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evin\Documents\GitHub\http-nodejs\public\resourceFiles\DIMENSIONAMENTO_FIO_B_POS_14300\"/>
    </mc:Choice>
  </mc:AlternateContent>
  <xr:revisionPtr revIDLastSave="0" documentId="13_ncr:1_{9D4454F3-787D-4BDB-B558-C17664E4127F}" xr6:coauthVersionLast="47" xr6:coauthVersionMax="47" xr10:uidLastSave="{00000000-0000-0000-0000-000000000000}"/>
  <bookViews>
    <workbookView xWindow="-120" yWindow="-120" windowWidth="29040" windowHeight="15840" tabRatio="771" xr2:uid="{00000000-000D-0000-FFFF-FFFF00000000}"/>
  </bookViews>
  <sheets>
    <sheet name="DADOS INICIAIS" sheetId="1" r:id="rId1"/>
    <sheet name="ORÇAMENTO" sheetId="10" r:id="rId2"/>
    <sheet name="RESUMO FINAL" sheetId="26" r:id="rId3"/>
    <sheet name="Automação Word " sheetId="30" r:id="rId4"/>
    <sheet name="RESUMO TÉCNICO" sheetId="35" r:id="rId5"/>
    <sheet name="Tarifa - B3 " sheetId="20" r:id="rId6"/>
    <sheet name="Inversores" sheetId="34" r:id="rId7"/>
    <sheet name="TARIFAFIOB" sheetId="36" r:id="rId8"/>
    <sheet name="Módulos " sheetId="33" state="hidden" r:id="rId9"/>
    <sheet name="Fator k " sheetId="31" state="hidden" r:id="rId10"/>
    <sheet name="Tarifa - B3 Branca" sheetId="21" state="hidden" r:id="rId11"/>
    <sheet name="IRRADIAÇÃO" sheetId="17" state="hidden" r:id="rId12"/>
    <sheet name="PLANILHA3" sheetId="18" state="hidden" r:id="rId13"/>
    <sheet name="Imprimir" sheetId="28" r:id="rId14"/>
  </sheets>
  <externalReferences>
    <externalReference r:id="rId15"/>
    <externalReference r:id="rId16"/>
    <externalReference r:id="rId17"/>
  </externalReferences>
  <definedNames>
    <definedName name="_xlnm._FilterDatabase" localSheetId="11">IRRADIAÇÃO!$B$1:$R$5570</definedName>
    <definedName name="_xlnm._FilterDatabase" localSheetId="12" hidden="1">PLANILHA3!$C$1:$C$29</definedName>
    <definedName name="_xlnm._FilterDatabase" localSheetId="5" hidden="1">'Tarifa - B3 '!$C$4:$G$4</definedName>
    <definedName name="_xlnm._FilterDatabase" localSheetId="7" hidden="1">TARIFAFIOB!$C$4:$E$4</definedName>
    <definedName name="A4VERDE">'[1]A4 Verde'!$B:$B</definedName>
    <definedName name="B3C">'[2]B3 Comercial'!$B$6:$B$38</definedName>
    <definedName name="B3COMERCIAL">'[1]B3 Comercial'!$B:$B</definedName>
    <definedName name="Cidade" localSheetId="13">OFFSET([3]PLANILHA3!$F$2,0,0,COUNTIF([3]PLANILHA3!$F$2:$F$882,"&lt;&gt;1"),1)</definedName>
    <definedName name="Cidade">OFFSET(PLANILHA3!$F$2,0,0,COUNTIF(PLANILHA3!$F$2:$F$882,"&lt;&gt;1"),1)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1" l="1"/>
  <c r="J13" i="1"/>
  <c r="AM11" i="1" l="1"/>
  <c r="AM12" i="1"/>
  <c r="AM13" i="1"/>
  <c r="AM14" i="1"/>
  <c r="AM15" i="1"/>
  <c r="AM16" i="1"/>
  <c r="AM17" i="1"/>
  <c r="AC12" i="1"/>
  <c r="AC13" i="1"/>
  <c r="AC14" i="1"/>
  <c r="AC15" i="1"/>
  <c r="AC16" i="1"/>
  <c r="AC17" i="1"/>
  <c r="AC11" i="1"/>
  <c r="D7" i="1" l="1" a="1"/>
  <c r="D7" i="1" s="1"/>
  <c r="AR3" i="30" l="1"/>
  <c r="W16" i="1" a="1"/>
  <c r="W16" i="1" s="1"/>
  <c r="AH31" i="1" s="1"/>
  <c r="AJ8" i="1" a="1"/>
  <c r="AJ8" i="1" s="1"/>
  <c r="AL8" i="1"/>
  <c r="AH8" i="1"/>
  <c r="G15" i="10"/>
  <c r="G14" i="10"/>
  <c r="G13" i="10"/>
  <c r="G12" i="10"/>
  <c r="G11" i="10"/>
  <c r="G10" i="10"/>
  <c r="G9" i="10"/>
  <c r="G8" i="10"/>
  <c r="F15" i="10"/>
  <c r="F14" i="10"/>
  <c r="F13" i="10"/>
  <c r="F12" i="10"/>
  <c r="F11" i="10"/>
  <c r="F10" i="10"/>
  <c r="F9" i="10"/>
  <c r="F8" i="10"/>
  <c r="F7" i="10"/>
  <c r="F6" i="10"/>
  <c r="W11" i="1" a="1"/>
  <c r="W11" i="1" s="1"/>
  <c r="G41" i="20"/>
  <c r="AA8" i="1"/>
  <c r="AA12" i="1" s="1"/>
  <c r="E31" i="36"/>
  <c r="E43" i="36"/>
  <c r="E40" i="36"/>
  <c r="E39" i="36"/>
  <c r="E38" i="36"/>
  <c r="E24" i="36"/>
  <c r="E20" i="36"/>
  <c r="D70" i="34"/>
  <c r="J12" i="1" a="1"/>
  <c r="J12" i="1" s="1"/>
  <c r="D45" i="1" s="1"/>
  <c r="AA13" i="1" l="1"/>
  <c r="AC8" i="1"/>
  <c r="AA17" i="1"/>
  <c r="AA16" i="1"/>
  <c r="AA11" i="1"/>
  <c r="AA15" i="1"/>
  <c r="AA14" i="1"/>
  <c r="D43" i="1"/>
  <c r="D69" i="34"/>
  <c r="B73" i="33"/>
  <c r="P74" i="33"/>
  <c r="P75" i="33"/>
  <c r="P76" i="33"/>
  <c r="P77" i="33"/>
  <c r="P78" i="33"/>
  <c r="P79" i="33"/>
  <c r="P73" i="33"/>
  <c r="P62" i="33"/>
  <c r="P18" i="33"/>
  <c r="B18" i="33"/>
  <c r="B7" i="33"/>
  <c r="B8" i="33"/>
  <c r="B9" i="33"/>
  <c r="B10" i="33"/>
  <c r="B11" i="33"/>
  <c r="B12" i="33"/>
  <c r="B13" i="33"/>
  <c r="B14" i="33"/>
  <c r="B15" i="33"/>
  <c r="B16" i="33"/>
  <c r="B17" i="33"/>
  <c r="E9" i="10"/>
  <c r="I3" i="30"/>
  <c r="J3" i="30"/>
  <c r="P63" i="33"/>
  <c r="P64" i="33"/>
  <c r="P65" i="33"/>
  <c r="P66" i="33"/>
  <c r="P67" i="33"/>
  <c r="B63" i="33"/>
  <c r="B64" i="33"/>
  <c r="B65" i="33"/>
  <c r="B66" i="33"/>
  <c r="B67" i="33"/>
  <c r="B62" i="33"/>
  <c r="T10" i="1"/>
  <c r="T11" i="1"/>
  <c r="G19" i="1"/>
  <c r="D44" i="1"/>
  <c r="W10" i="1" s="1"/>
  <c r="AD46" i="1"/>
  <c r="D46" i="34"/>
  <c r="D49" i="34"/>
  <c r="D47" i="34"/>
  <c r="D48" i="34"/>
  <c r="J10" i="1"/>
  <c r="AB12" i="1" l="1"/>
  <c r="AB14" i="1"/>
  <c r="AB15" i="1"/>
  <c r="AE8" i="1" a="1"/>
  <c r="AE8" i="1" s="1"/>
  <c r="AB16" i="1"/>
  <c r="AB17" i="1"/>
  <c r="AB11" i="1"/>
  <c r="AB13" i="1"/>
  <c r="T3" i="30"/>
  <c r="Y32" i="1"/>
  <c r="Y33" i="1"/>
  <c r="Y34" i="1"/>
  <c r="Y35" i="1"/>
  <c r="Y36" i="1"/>
  <c r="Y37" i="1"/>
  <c r="Y38" i="1"/>
  <c r="Y39" i="1"/>
  <c r="Y40" i="1"/>
  <c r="Y41" i="1"/>
  <c r="Y42" i="1"/>
  <c r="Y31" i="1"/>
  <c r="I15" i="1"/>
  <c r="Y44" i="1" l="1"/>
  <c r="H7" i="35"/>
  <c r="D8" i="35"/>
  <c r="T34" i="1"/>
  <c r="D15" i="35" s="1"/>
  <c r="P17" i="33"/>
  <c r="Q3" i="30"/>
  <c r="P11" i="33" l="1"/>
  <c r="D66" i="34"/>
  <c r="D63" i="34"/>
  <c r="AD50" i="1"/>
  <c r="D53" i="34" l="1"/>
  <c r="D54" i="34"/>
  <c r="D55" i="34"/>
  <c r="D56" i="34"/>
  <c r="D57" i="34"/>
  <c r="D58" i="34"/>
  <c r="D59" i="34"/>
  <c r="D52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44" i="34"/>
  <c r="D45" i="34"/>
  <c r="D30" i="34"/>
  <c r="D25" i="34"/>
  <c r="D26" i="34"/>
  <c r="D27" i="34"/>
  <c r="D24" i="34"/>
  <c r="D17" i="34"/>
  <c r="D18" i="34"/>
  <c r="D19" i="34"/>
  <c r="D20" i="34"/>
  <c r="D21" i="34"/>
  <c r="D16" i="34"/>
  <c r="D6" i="34"/>
  <c r="D7" i="34"/>
  <c r="D8" i="34"/>
  <c r="D9" i="34"/>
  <c r="D10" i="34"/>
  <c r="D11" i="34"/>
  <c r="D12" i="34"/>
  <c r="D13" i="34"/>
  <c r="D5" i="34"/>
  <c r="AH3" i="30"/>
  <c r="AG3" i="30"/>
  <c r="AD3" i="30"/>
  <c r="AE3" i="30" s="1"/>
  <c r="D3" i="30"/>
  <c r="H3" i="30"/>
  <c r="G3" i="30"/>
  <c r="E3" i="30"/>
  <c r="C3" i="30"/>
  <c r="E7" i="10"/>
  <c r="O3" i="30" l="1"/>
  <c r="D7" i="35"/>
  <c r="AD58" i="1"/>
  <c r="H13" i="35" s="1"/>
  <c r="AD51" i="1"/>
  <c r="H9" i="35" s="1"/>
  <c r="AD59" i="1"/>
  <c r="AD61" i="1"/>
  <c r="H10" i="35" s="1"/>
  <c r="AD57" i="1"/>
  <c r="H15" i="35" s="1"/>
  <c r="AD56" i="1"/>
  <c r="AD52" i="1"/>
  <c r="D57" i="1" s="1"/>
  <c r="AD55" i="1"/>
  <c r="AD60" i="1"/>
  <c r="H14" i="35" s="1"/>
  <c r="AD53" i="1"/>
  <c r="H11" i="35" s="1"/>
  <c r="AD54" i="1"/>
  <c r="P35" i="33"/>
  <c r="P36" i="33"/>
  <c r="P37" i="33"/>
  <c r="P38" i="33"/>
  <c r="P39" i="33"/>
  <c r="P40" i="33"/>
  <c r="P41" i="33"/>
  <c r="P42" i="33"/>
  <c r="P43" i="33"/>
  <c r="P44" i="33"/>
  <c r="P45" i="33"/>
  <c r="P46" i="33"/>
  <c r="P47" i="33"/>
  <c r="P48" i="33"/>
  <c r="P49" i="33"/>
  <c r="P50" i="33"/>
  <c r="P51" i="33"/>
  <c r="P52" i="33"/>
  <c r="P53" i="33"/>
  <c r="P54" i="33"/>
  <c r="P55" i="33"/>
  <c r="P34" i="33"/>
  <c r="P7" i="33"/>
  <c r="P8" i="33"/>
  <c r="P9" i="33"/>
  <c r="P10" i="33"/>
  <c r="P12" i="33"/>
  <c r="P13" i="33"/>
  <c r="P14" i="33"/>
  <c r="P15" i="33"/>
  <c r="P16" i="33"/>
  <c r="P19" i="33"/>
  <c r="P20" i="33"/>
  <c r="P21" i="33"/>
  <c r="P22" i="33"/>
  <c r="P23" i="33"/>
  <c r="P24" i="33"/>
  <c r="P25" i="33"/>
  <c r="P26" i="33"/>
  <c r="P27" i="33"/>
  <c r="P28" i="33"/>
  <c r="P6" i="33"/>
  <c r="T35" i="1"/>
  <c r="B55" i="33"/>
  <c r="B50" i="33"/>
  <c r="B51" i="33"/>
  <c r="B52" i="33"/>
  <c r="B53" i="33"/>
  <c r="B54" i="33"/>
  <c r="B35" i="33"/>
  <c r="B36" i="33"/>
  <c r="B37" i="33"/>
  <c r="B38" i="33"/>
  <c r="B39" i="33"/>
  <c r="B40" i="33"/>
  <c r="B41" i="33"/>
  <c r="B42" i="33"/>
  <c r="B43" i="33"/>
  <c r="B44" i="33"/>
  <c r="B45" i="33"/>
  <c r="B46" i="33"/>
  <c r="B47" i="33"/>
  <c r="B48" i="33"/>
  <c r="B49" i="33"/>
  <c r="B34" i="33"/>
  <c r="B28" i="33"/>
  <c r="B27" i="33"/>
  <c r="B26" i="33"/>
  <c r="B25" i="33"/>
  <c r="B24" i="33"/>
  <c r="B23" i="33"/>
  <c r="B22" i="33"/>
  <c r="B21" i="33"/>
  <c r="B20" i="33"/>
  <c r="B19" i="33"/>
  <c r="B6" i="33"/>
  <c r="T33" i="1"/>
  <c r="N15" i="28"/>
  <c r="N42" i="28"/>
  <c r="T46" i="1" l="1"/>
  <c r="H12" i="35"/>
  <c r="T40" i="1"/>
  <c r="T47" i="1"/>
  <c r="T45" i="1"/>
  <c r="J15" i="1" s="1"/>
  <c r="T36" i="1"/>
  <c r="T38" i="1"/>
  <c r="T37" i="1"/>
  <c r="T39" i="1"/>
  <c r="T42" i="1"/>
  <c r="T41" i="1"/>
  <c r="T43" i="1"/>
  <c r="T44" i="1"/>
  <c r="J14" i="1" s="1"/>
  <c r="Z32" i="1"/>
  <c r="Z33" i="1"/>
  <c r="Z34" i="1"/>
  <c r="Z35" i="1"/>
  <c r="Z36" i="1"/>
  <c r="Z37" i="1"/>
  <c r="Z38" i="1"/>
  <c r="Z39" i="1"/>
  <c r="Z40" i="1"/>
  <c r="Z41" i="1"/>
  <c r="Z42" i="1"/>
  <c r="Z31" i="1"/>
  <c r="AH32" i="1"/>
  <c r="AR10" i="1"/>
  <c r="I14" i="1"/>
  <c r="I13" i="1"/>
  <c r="D21" i="10"/>
  <c r="D10" i="26" s="1"/>
  <c r="AD49" i="1"/>
  <c r="D20" i="10"/>
  <c r="D8" i="26" s="1"/>
  <c r="K3" i="30" s="1"/>
  <c r="A973" i="31"/>
  <c r="A974" i="31"/>
  <c r="A975" i="31"/>
  <c r="A976" i="31"/>
  <c r="A977" i="31"/>
  <c r="A978" i="31"/>
  <c r="A979" i="31"/>
  <c r="A980" i="31"/>
  <c r="A981" i="31"/>
  <c r="A982" i="31"/>
  <c r="A983" i="31"/>
  <c r="A984" i="31"/>
  <c r="A985" i="31"/>
  <c r="A986" i="31"/>
  <c r="A987" i="31"/>
  <c r="A988" i="31"/>
  <c r="A989" i="31"/>
  <c r="A990" i="31"/>
  <c r="A972" i="31"/>
  <c r="A951" i="31"/>
  <c r="A952" i="31"/>
  <c r="A953" i="31"/>
  <c r="A954" i="31"/>
  <c r="A955" i="31"/>
  <c r="A956" i="31"/>
  <c r="A957" i="31"/>
  <c r="A958" i="31"/>
  <c r="A959" i="31"/>
  <c r="A960" i="31"/>
  <c r="A961" i="31"/>
  <c r="A962" i="31"/>
  <c r="A963" i="31"/>
  <c r="A964" i="31"/>
  <c r="A965" i="31"/>
  <c r="A966" i="31"/>
  <c r="A967" i="31"/>
  <c r="A968" i="31"/>
  <c r="A950" i="31"/>
  <c r="A929" i="31"/>
  <c r="A930" i="31"/>
  <c r="A931" i="31"/>
  <c r="A932" i="31"/>
  <c r="A933" i="31"/>
  <c r="A934" i="31"/>
  <c r="A935" i="31"/>
  <c r="A936" i="31"/>
  <c r="A937" i="31"/>
  <c r="A938" i="31"/>
  <c r="A939" i="31"/>
  <c r="A940" i="31"/>
  <c r="A941" i="31"/>
  <c r="A942" i="31"/>
  <c r="A943" i="31"/>
  <c r="A944" i="31"/>
  <c r="A945" i="31"/>
  <c r="A946" i="31"/>
  <c r="A928" i="31"/>
  <c r="A907" i="31"/>
  <c r="A908" i="31"/>
  <c r="A909" i="31"/>
  <c r="A910" i="31"/>
  <c r="A911" i="31"/>
  <c r="A912" i="31"/>
  <c r="A913" i="31"/>
  <c r="A914" i="31"/>
  <c r="A915" i="31"/>
  <c r="A916" i="31"/>
  <c r="A917" i="31"/>
  <c r="A918" i="31"/>
  <c r="A919" i="31"/>
  <c r="A920" i="31"/>
  <c r="A921" i="31"/>
  <c r="A922" i="31"/>
  <c r="A923" i="31"/>
  <c r="A924" i="31"/>
  <c r="A906" i="31"/>
  <c r="A885" i="31"/>
  <c r="A886" i="31"/>
  <c r="A887" i="31"/>
  <c r="A888" i="31"/>
  <c r="A889" i="31"/>
  <c r="A890" i="31"/>
  <c r="A891" i="31"/>
  <c r="A892" i="31"/>
  <c r="A893" i="31"/>
  <c r="A894" i="31"/>
  <c r="A895" i="31"/>
  <c r="A896" i="31"/>
  <c r="A897" i="31"/>
  <c r="A898" i="31"/>
  <c r="A899" i="31"/>
  <c r="A900" i="31"/>
  <c r="A901" i="31"/>
  <c r="A902" i="31"/>
  <c r="A884" i="31"/>
  <c r="A863" i="31"/>
  <c r="A864" i="31"/>
  <c r="A865" i="31"/>
  <c r="A866" i="31"/>
  <c r="A867" i="31"/>
  <c r="A868" i="31"/>
  <c r="A869" i="31"/>
  <c r="A870" i="31"/>
  <c r="A871" i="31"/>
  <c r="A872" i="31"/>
  <c r="A873" i="31"/>
  <c r="A874" i="31"/>
  <c r="A875" i="31"/>
  <c r="A876" i="31"/>
  <c r="A877" i="31"/>
  <c r="A878" i="31"/>
  <c r="A879" i="31"/>
  <c r="A880" i="31"/>
  <c r="A862" i="31"/>
  <c r="A841" i="31"/>
  <c r="A842" i="31"/>
  <c r="A843" i="31"/>
  <c r="A844" i="31"/>
  <c r="A845" i="31"/>
  <c r="A846" i="31"/>
  <c r="A847" i="31"/>
  <c r="A848" i="31"/>
  <c r="A849" i="31"/>
  <c r="A850" i="31"/>
  <c r="A851" i="31"/>
  <c r="A852" i="31"/>
  <c r="A853" i="31"/>
  <c r="A854" i="31"/>
  <c r="A855" i="31"/>
  <c r="A856" i="31"/>
  <c r="A857" i="31"/>
  <c r="A858" i="31"/>
  <c r="A840" i="31"/>
  <c r="A819" i="31"/>
  <c r="A820" i="31"/>
  <c r="A821" i="31"/>
  <c r="A822" i="31"/>
  <c r="A823" i="31"/>
  <c r="A824" i="31"/>
  <c r="A825" i="31"/>
  <c r="A826" i="31"/>
  <c r="A827" i="31"/>
  <c r="A828" i="31"/>
  <c r="A829" i="31"/>
  <c r="A830" i="31"/>
  <c r="A831" i="31"/>
  <c r="A832" i="31"/>
  <c r="A833" i="31"/>
  <c r="A834" i="31"/>
  <c r="A835" i="31"/>
  <c r="A836" i="31"/>
  <c r="A818" i="31"/>
  <c r="A797" i="31"/>
  <c r="A798" i="31"/>
  <c r="A799" i="31"/>
  <c r="A800" i="31"/>
  <c r="A801" i="31"/>
  <c r="A802" i="31"/>
  <c r="A803" i="31"/>
  <c r="A804" i="31"/>
  <c r="A805" i="31"/>
  <c r="A806" i="31"/>
  <c r="A807" i="31"/>
  <c r="A808" i="31"/>
  <c r="A809" i="31"/>
  <c r="A810" i="31"/>
  <c r="A811" i="31"/>
  <c r="A812" i="31"/>
  <c r="A813" i="31"/>
  <c r="A814" i="31"/>
  <c r="A796" i="31"/>
  <c r="A775" i="31"/>
  <c r="A776" i="31"/>
  <c r="A777" i="31"/>
  <c r="A778" i="31"/>
  <c r="A779" i="31"/>
  <c r="A780" i="31"/>
  <c r="A781" i="31"/>
  <c r="A782" i="31"/>
  <c r="A783" i="31"/>
  <c r="A784" i="31"/>
  <c r="A785" i="31"/>
  <c r="A786" i="31"/>
  <c r="A787" i="31"/>
  <c r="A788" i="31"/>
  <c r="A789" i="31"/>
  <c r="A790" i="31"/>
  <c r="A791" i="31"/>
  <c r="A792" i="31"/>
  <c r="A774" i="31"/>
  <c r="A753" i="31"/>
  <c r="A754" i="31"/>
  <c r="A755" i="31"/>
  <c r="A756" i="31"/>
  <c r="A757" i="31"/>
  <c r="A758" i="31"/>
  <c r="A759" i="31"/>
  <c r="A760" i="31"/>
  <c r="A761" i="31"/>
  <c r="A762" i="31"/>
  <c r="A763" i="31"/>
  <c r="A764" i="31"/>
  <c r="A765" i="31"/>
  <c r="A766" i="31"/>
  <c r="A767" i="31"/>
  <c r="A768" i="31"/>
  <c r="A769" i="31"/>
  <c r="A770" i="31"/>
  <c r="A752" i="31"/>
  <c r="A731" i="31"/>
  <c r="A732" i="31"/>
  <c r="A733" i="31"/>
  <c r="A734" i="31"/>
  <c r="A735" i="31"/>
  <c r="A736" i="31"/>
  <c r="A737" i="31"/>
  <c r="A738" i="31"/>
  <c r="A739" i="31"/>
  <c r="A740" i="31"/>
  <c r="A741" i="31"/>
  <c r="A742" i="31"/>
  <c r="A743" i="31"/>
  <c r="A744" i="31"/>
  <c r="A745" i="31"/>
  <c r="A746" i="31"/>
  <c r="A747" i="31"/>
  <c r="A748" i="31"/>
  <c r="A730" i="31"/>
  <c r="A709" i="31"/>
  <c r="A710" i="31"/>
  <c r="A711" i="31"/>
  <c r="A712" i="31"/>
  <c r="A713" i="31"/>
  <c r="A714" i="31"/>
  <c r="A715" i="31"/>
  <c r="A716" i="31"/>
  <c r="A717" i="31"/>
  <c r="A718" i="31"/>
  <c r="A719" i="31"/>
  <c r="A720" i="31"/>
  <c r="A721" i="31"/>
  <c r="A722" i="31"/>
  <c r="A723" i="31"/>
  <c r="A724" i="31"/>
  <c r="A725" i="31"/>
  <c r="A726" i="31"/>
  <c r="A708" i="31"/>
  <c r="A687" i="31"/>
  <c r="A688" i="31"/>
  <c r="A689" i="31"/>
  <c r="A690" i="31"/>
  <c r="A691" i="31"/>
  <c r="A692" i="31"/>
  <c r="A693" i="31"/>
  <c r="A694" i="31"/>
  <c r="A695" i="31"/>
  <c r="A696" i="31"/>
  <c r="A697" i="31"/>
  <c r="A698" i="31"/>
  <c r="A699" i="31"/>
  <c r="A700" i="31"/>
  <c r="A701" i="31"/>
  <c r="A702" i="31"/>
  <c r="A703" i="31"/>
  <c r="A704" i="31"/>
  <c r="A686" i="31"/>
  <c r="A665" i="31"/>
  <c r="A666" i="31"/>
  <c r="A667" i="31"/>
  <c r="A668" i="31"/>
  <c r="A669" i="31"/>
  <c r="A670" i="31"/>
  <c r="A671" i="31"/>
  <c r="A672" i="31"/>
  <c r="A673" i="31"/>
  <c r="A674" i="31"/>
  <c r="A675" i="31"/>
  <c r="A676" i="31"/>
  <c r="A677" i="31"/>
  <c r="A678" i="31"/>
  <c r="A679" i="31"/>
  <c r="A680" i="31"/>
  <c r="A681" i="31"/>
  <c r="A682" i="31"/>
  <c r="A664" i="31"/>
  <c r="A643" i="31"/>
  <c r="A644" i="31"/>
  <c r="A645" i="31"/>
  <c r="A646" i="31"/>
  <c r="A647" i="31"/>
  <c r="A648" i="31"/>
  <c r="A649" i="31"/>
  <c r="A650" i="31"/>
  <c r="A651" i="31"/>
  <c r="A652" i="31"/>
  <c r="A653" i="31"/>
  <c r="A654" i="31"/>
  <c r="A655" i="31"/>
  <c r="A656" i="31"/>
  <c r="A657" i="31"/>
  <c r="A658" i="31"/>
  <c r="A659" i="31"/>
  <c r="A660" i="31"/>
  <c r="A642" i="31"/>
  <c r="A621" i="31"/>
  <c r="A622" i="31"/>
  <c r="A623" i="31"/>
  <c r="A624" i="31"/>
  <c r="A625" i="31"/>
  <c r="A626" i="31"/>
  <c r="A627" i="31"/>
  <c r="A628" i="31"/>
  <c r="A629" i="31"/>
  <c r="A630" i="31"/>
  <c r="A631" i="31"/>
  <c r="A632" i="31"/>
  <c r="A633" i="31"/>
  <c r="A634" i="31"/>
  <c r="A635" i="31"/>
  <c r="A636" i="31"/>
  <c r="A637" i="31"/>
  <c r="A638" i="31"/>
  <c r="A620" i="31"/>
  <c r="A598" i="31"/>
  <c r="A599" i="31"/>
  <c r="A600" i="31"/>
  <c r="A601" i="31"/>
  <c r="A602" i="31"/>
  <c r="A603" i="31"/>
  <c r="A604" i="31"/>
  <c r="A605" i="31"/>
  <c r="A606" i="31"/>
  <c r="A607" i="31"/>
  <c r="A608" i="31"/>
  <c r="A609" i="31"/>
  <c r="A610" i="31"/>
  <c r="A611" i="31"/>
  <c r="A612" i="31"/>
  <c r="A613" i="31"/>
  <c r="A614" i="31"/>
  <c r="A615" i="31"/>
  <c r="A597" i="31"/>
  <c r="A576" i="31"/>
  <c r="A577" i="31"/>
  <c r="A578" i="31"/>
  <c r="A579" i="31"/>
  <c r="A580" i="31"/>
  <c r="A581" i="31"/>
  <c r="A582" i="31"/>
  <c r="A583" i="31"/>
  <c r="A584" i="31"/>
  <c r="A585" i="31"/>
  <c r="A586" i="31"/>
  <c r="A587" i="31"/>
  <c r="A588" i="31"/>
  <c r="A589" i="31"/>
  <c r="A590" i="31"/>
  <c r="A591" i="31"/>
  <c r="A592" i="31"/>
  <c r="A593" i="31"/>
  <c r="A575" i="31"/>
  <c r="A554" i="31"/>
  <c r="A555" i="31"/>
  <c r="A556" i="31"/>
  <c r="A557" i="31"/>
  <c r="A558" i="31"/>
  <c r="A559" i="31"/>
  <c r="A560" i="31"/>
  <c r="A561" i="31"/>
  <c r="A562" i="31"/>
  <c r="A563" i="31"/>
  <c r="A564" i="31"/>
  <c r="A565" i="31"/>
  <c r="A566" i="31"/>
  <c r="A567" i="31"/>
  <c r="A568" i="31"/>
  <c r="A569" i="31"/>
  <c r="A570" i="31"/>
  <c r="A571" i="31"/>
  <c r="A553" i="31"/>
  <c r="A532" i="31"/>
  <c r="A533" i="31"/>
  <c r="A534" i="31"/>
  <c r="A535" i="31"/>
  <c r="A536" i="31"/>
  <c r="A537" i="31"/>
  <c r="A538" i="31"/>
  <c r="A539" i="31"/>
  <c r="A540" i="31"/>
  <c r="A541" i="31"/>
  <c r="A542" i="31"/>
  <c r="A543" i="31"/>
  <c r="A544" i="31"/>
  <c r="A545" i="31"/>
  <c r="A546" i="31"/>
  <c r="A547" i="31"/>
  <c r="A548" i="31"/>
  <c r="A549" i="31"/>
  <c r="A531" i="31"/>
  <c r="A510" i="31"/>
  <c r="A511" i="31"/>
  <c r="A512" i="31"/>
  <c r="A513" i="31"/>
  <c r="A514" i="31"/>
  <c r="A515" i="31"/>
  <c r="A516" i="31"/>
  <c r="A517" i="31"/>
  <c r="A518" i="31"/>
  <c r="A519" i="31"/>
  <c r="A520" i="31"/>
  <c r="A521" i="31"/>
  <c r="A522" i="31"/>
  <c r="A523" i="31"/>
  <c r="A524" i="31"/>
  <c r="A525" i="31"/>
  <c r="A526" i="31"/>
  <c r="A527" i="31"/>
  <c r="A509" i="31"/>
  <c r="A491" i="31"/>
  <c r="A492" i="31"/>
  <c r="A493" i="31"/>
  <c r="A494" i="31"/>
  <c r="A495" i="31"/>
  <c r="A496" i="31"/>
  <c r="A497" i="31"/>
  <c r="A498" i="31"/>
  <c r="A499" i="31"/>
  <c r="A500" i="31"/>
  <c r="A501" i="31"/>
  <c r="A502" i="31"/>
  <c r="A503" i="31"/>
  <c r="A504" i="31"/>
  <c r="A505" i="31"/>
  <c r="A490" i="31"/>
  <c r="A489" i="31"/>
  <c r="A488" i="31"/>
  <c r="A487" i="31"/>
  <c r="A466" i="31"/>
  <c r="A467" i="31"/>
  <c r="A468" i="31"/>
  <c r="A469" i="31"/>
  <c r="A470" i="31"/>
  <c r="A471" i="31"/>
  <c r="A472" i="31"/>
  <c r="A473" i="31"/>
  <c r="A474" i="31"/>
  <c r="A475" i="31"/>
  <c r="A476" i="31"/>
  <c r="A477" i="31"/>
  <c r="A478" i="31"/>
  <c r="A479" i="31"/>
  <c r="A480" i="31"/>
  <c r="A481" i="31"/>
  <c r="A482" i="31"/>
  <c r="A483" i="31"/>
  <c r="A465" i="31"/>
  <c r="A444" i="31"/>
  <c r="A445" i="31"/>
  <c r="A446" i="31"/>
  <c r="A447" i="31"/>
  <c r="A448" i="31"/>
  <c r="A449" i="31"/>
  <c r="A450" i="31"/>
  <c r="A451" i="31"/>
  <c r="A452" i="31"/>
  <c r="A453" i="31"/>
  <c r="A454" i="31"/>
  <c r="A455" i="31"/>
  <c r="A456" i="31"/>
  <c r="A457" i="31"/>
  <c r="A458" i="31"/>
  <c r="A459" i="31"/>
  <c r="A460" i="31"/>
  <c r="A461" i="31"/>
  <c r="A443" i="31"/>
  <c r="A422" i="31"/>
  <c r="A423" i="31"/>
  <c r="A424" i="31"/>
  <c r="A425" i="31"/>
  <c r="A426" i="31"/>
  <c r="A427" i="31"/>
  <c r="A428" i="31"/>
  <c r="A429" i="31"/>
  <c r="A430" i="31"/>
  <c r="A431" i="31"/>
  <c r="A432" i="31"/>
  <c r="A433" i="31"/>
  <c r="A434" i="31"/>
  <c r="A435" i="31"/>
  <c r="A436" i="31"/>
  <c r="A437" i="31"/>
  <c r="A438" i="31"/>
  <c r="A439" i="31"/>
  <c r="A421" i="31"/>
  <c r="A400" i="31"/>
  <c r="A401" i="31"/>
  <c r="A402" i="31"/>
  <c r="A403" i="31"/>
  <c r="A404" i="31"/>
  <c r="A405" i="31"/>
  <c r="A406" i="31"/>
  <c r="A407" i="31"/>
  <c r="A408" i="31"/>
  <c r="A409" i="31"/>
  <c r="A410" i="31"/>
  <c r="A411" i="31"/>
  <c r="A412" i="31"/>
  <c r="A413" i="31"/>
  <c r="A414" i="31"/>
  <c r="A415" i="31"/>
  <c r="A416" i="31"/>
  <c r="A417" i="31"/>
  <c r="A399" i="31"/>
  <c r="A378" i="31"/>
  <c r="A379" i="31"/>
  <c r="A380" i="31"/>
  <c r="A381" i="31"/>
  <c r="A382" i="31"/>
  <c r="A383" i="31"/>
  <c r="A384" i="31"/>
  <c r="A385" i="31"/>
  <c r="A386" i="31"/>
  <c r="A387" i="31"/>
  <c r="A388" i="31"/>
  <c r="A389" i="31"/>
  <c r="A390" i="31"/>
  <c r="A391" i="31"/>
  <c r="A392" i="31"/>
  <c r="A393" i="31"/>
  <c r="A394" i="31"/>
  <c r="A395" i="31"/>
  <c r="A377" i="31"/>
  <c r="A356" i="31"/>
  <c r="A357" i="31"/>
  <c r="A358" i="31"/>
  <c r="A359" i="31"/>
  <c r="A360" i="31"/>
  <c r="A361" i="31"/>
  <c r="A362" i="31"/>
  <c r="A363" i="31"/>
  <c r="A364" i="31"/>
  <c r="A365" i="31"/>
  <c r="A366" i="31"/>
  <c r="A367" i="31"/>
  <c r="A368" i="31"/>
  <c r="A369" i="31"/>
  <c r="A370" i="31"/>
  <c r="A371" i="31"/>
  <c r="A372" i="31"/>
  <c r="A373" i="31"/>
  <c r="A355" i="31"/>
  <c r="A334" i="31"/>
  <c r="A335" i="31"/>
  <c r="A336" i="31"/>
  <c r="A337" i="31"/>
  <c r="A338" i="31"/>
  <c r="A339" i="31"/>
  <c r="A340" i="31"/>
  <c r="A341" i="31"/>
  <c r="A342" i="31"/>
  <c r="A343" i="31"/>
  <c r="A344" i="31"/>
  <c r="A345" i="31"/>
  <c r="A346" i="31"/>
  <c r="A347" i="31"/>
  <c r="A348" i="31"/>
  <c r="A349" i="31"/>
  <c r="A350" i="31"/>
  <c r="A351" i="31"/>
  <c r="A333" i="31"/>
  <c r="A312" i="31"/>
  <c r="A313" i="31"/>
  <c r="A314" i="31"/>
  <c r="A315" i="31"/>
  <c r="A316" i="31"/>
  <c r="A317" i="31"/>
  <c r="A318" i="31"/>
  <c r="A319" i="31"/>
  <c r="A320" i="31"/>
  <c r="A321" i="31"/>
  <c r="A322" i="31"/>
  <c r="A323" i="31"/>
  <c r="A324" i="31"/>
  <c r="A325" i="31"/>
  <c r="A326" i="31"/>
  <c r="A327" i="31"/>
  <c r="A328" i="31"/>
  <c r="A329" i="31"/>
  <c r="A311" i="31"/>
  <c r="A290" i="31"/>
  <c r="A291" i="31"/>
  <c r="A292" i="31"/>
  <c r="A293" i="31"/>
  <c r="A294" i="31"/>
  <c r="A295" i="31"/>
  <c r="A296" i="31"/>
  <c r="A297" i="31"/>
  <c r="A298" i="31"/>
  <c r="A299" i="31"/>
  <c r="A300" i="31"/>
  <c r="A301" i="31"/>
  <c r="A302" i="31"/>
  <c r="A303" i="31"/>
  <c r="A304" i="31"/>
  <c r="A305" i="31"/>
  <c r="A306" i="31"/>
  <c r="A307" i="31"/>
  <c r="A289" i="31"/>
  <c r="A268" i="31"/>
  <c r="A269" i="31"/>
  <c r="A270" i="31"/>
  <c r="A271" i="31"/>
  <c r="A272" i="31"/>
  <c r="A273" i="31"/>
  <c r="A274" i="31"/>
  <c r="A275" i="31"/>
  <c r="A276" i="31"/>
  <c r="A277" i="31"/>
  <c r="A278" i="31"/>
  <c r="A279" i="31"/>
  <c r="A280" i="31"/>
  <c r="A281" i="31"/>
  <c r="A282" i="31"/>
  <c r="A283" i="31"/>
  <c r="A284" i="31"/>
  <c r="A285" i="31"/>
  <c r="A267" i="31"/>
  <c r="A246" i="31"/>
  <c r="A247" i="31"/>
  <c r="A248" i="31"/>
  <c r="A249" i="31"/>
  <c r="A250" i="31"/>
  <c r="A251" i="31"/>
  <c r="A252" i="31"/>
  <c r="A253" i="31"/>
  <c r="A254" i="31"/>
  <c r="A255" i="31"/>
  <c r="A256" i="31"/>
  <c r="A257" i="31"/>
  <c r="A258" i="31"/>
  <c r="A259" i="31"/>
  <c r="A260" i="31"/>
  <c r="A261" i="31"/>
  <c r="A262" i="31"/>
  <c r="A263" i="31"/>
  <c r="A245" i="31"/>
  <c r="A224" i="31"/>
  <c r="A225" i="31"/>
  <c r="A226" i="31"/>
  <c r="A227" i="31"/>
  <c r="A228" i="31"/>
  <c r="A229" i="31"/>
  <c r="A230" i="31"/>
  <c r="A231" i="31"/>
  <c r="A232" i="31"/>
  <c r="A233" i="31"/>
  <c r="A234" i="31"/>
  <c r="A235" i="31"/>
  <c r="A236" i="31"/>
  <c r="A237" i="31"/>
  <c r="A238" i="31"/>
  <c r="A239" i="31"/>
  <c r="A240" i="31"/>
  <c r="A241" i="31"/>
  <c r="A223" i="31"/>
  <c r="A202" i="31"/>
  <c r="A203" i="31"/>
  <c r="A204" i="31"/>
  <c r="A205" i="31"/>
  <c r="A206" i="31"/>
  <c r="A207" i="31"/>
  <c r="A208" i="31"/>
  <c r="A209" i="31"/>
  <c r="A210" i="31"/>
  <c r="A211" i="31"/>
  <c r="A212" i="31"/>
  <c r="A213" i="31"/>
  <c r="A214" i="31"/>
  <c r="A215" i="31"/>
  <c r="A216" i="31"/>
  <c r="A217" i="31"/>
  <c r="A218" i="31"/>
  <c r="A219" i="31"/>
  <c r="A201" i="31"/>
  <c r="A180" i="31"/>
  <c r="A181" i="31"/>
  <c r="A182" i="31"/>
  <c r="A183" i="31"/>
  <c r="A184" i="31"/>
  <c r="A185" i="31"/>
  <c r="A186" i="31"/>
  <c r="A187" i="31"/>
  <c r="A188" i="31"/>
  <c r="A189" i="31"/>
  <c r="A190" i="31"/>
  <c r="A191" i="31"/>
  <c r="A192" i="31"/>
  <c r="A193" i="31"/>
  <c r="A194" i="31"/>
  <c r="A195" i="31"/>
  <c r="A196" i="31"/>
  <c r="A197" i="31"/>
  <c r="A179" i="31"/>
  <c r="A158" i="31"/>
  <c r="A159" i="31"/>
  <c r="A160" i="31"/>
  <c r="A161" i="31"/>
  <c r="A162" i="31"/>
  <c r="A163" i="31"/>
  <c r="A164" i="31"/>
  <c r="A165" i="31"/>
  <c r="A166" i="31"/>
  <c r="A167" i="31"/>
  <c r="A168" i="31"/>
  <c r="A169" i="31"/>
  <c r="A170" i="31"/>
  <c r="A171" i="31"/>
  <c r="A172" i="31"/>
  <c r="A173" i="31"/>
  <c r="A174" i="31"/>
  <c r="A175" i="31"/>
  <c r="A157" i="31"/>
  <c r="A136" i="31"/>
  <c r="A137" i="31"/>
  <c r="A138" i="31"/>
  <c r="A139" i="31"/>
  <c r="A140" i="31"/>
  <c r="A141" i="31"/>
  <c r="A142" i="31"/>
  <c r="A143" i="31"/>
  <c r="A144" i="31"/>
  <c r="A145" i="31"/>
  <c r="A146" i="31"/>
  <c r="A147" i="31"/>
  <c r="A148" i="31"/>
  <c r="A149" i="31"/>
  <c r="A150" i="31"/>
  <c r="A151" i="31"/>
  <c r="A152" i="31"/>
  <c r="A153" i="31"/>
  <c r="A135" i="31"/>
  <c r="A114" i="31"/>
  <c r="A115" i="31"/>
  <c r="A116" i="31"/>
  <c r="A117" i="31"/>
  <c r="A118" i="31"/>
  <c r="A119" i="31"/>
  <c r="A120" i="31"/>
  <c r="A121" i="31"/>
  <c r="A122" i="31"/>
  <c r="A123" i="31"/>
  <c r="A124" i="31"/>
  <c r="A125" i="31"/>
  <c r="A126" i="31"/>
  <c r="A127" i="31"/>
  <c r="A128" i="31"/>
  <c r="A129" i="31"/>
  <c r="A130" i="31"/>
  <c r="A131" i="31"/>
  <c r="A113" i="31"/>
  <c r="A92" i="31"/>
  <c r="A93" i="31"/>
  <c r="A94" i="31"/>
  <c r="A95" i="31"/>
  <c r="A96" i="31"/>
  <c r="A97" i="31"/>
  <c r="A98" i="31"/>
  <c r="A99" i="31"/>
  <c r="A100" i="31"/>
  <c r="A101" i="31"/>
  <c r="A102" i="31"/>
  <c r="A103" i="31"/>
  <c r="A104" i="31"/>
  <c r="A105" i="31"/>
  <c r="A106" i="31"/>
  <c r="A107" i="31"/>
  <c r="A108" i="31"/>
  <c r="A109" i="31"/>
  <c r="A91" i="31"/>
  <c r="A70" i="31"/>
  <c r="A71" i="31"/>
  <c r="A72" i="31"/>
  <c r="A73" i="31"/>
  <c r="A74" i="31"/>
  <c r="A75" i="31"/>
  <c r="A76" i="31"/>
  <c r="A77" i="31"/>
  <c r="A78" i="31"/>
  <c r="A79" i="31"/>
  <c r="A80" i="31"/>
  <c r="A81" i="31"/>
  <c r="A82" i="31"/>
  <c r="A83" i="31"/>
  <c r="A84" i="31"/>
  <c r="A85" i="31"/>
  <c r="A86" i="31"/>
  <c r="A87" i="31"/>
  <c r="A69" i="31"/>
  <c r="A48" i="31"/>
  <c r="A49" i="31"/>
  <c r="A50" i="31"/>
  <c r="A51" i="31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47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25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3" i="31"/>
  <c r="G13" i="1"/>
  <c r="G14" i="1"/>
  <c r="G15" i="1" s="1"/>
  <c r="S3" i="17"/>
  <c r="S4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140" i="17"/>
  <c r="S141" i="17"/>
  <c r="S142" i="17"/>
  <c r="S143" i="17"/>
  <c r="S144" i="17"/>
  <c r="S145" i="17"/>
  <c r="S146" i="17"/>
  <c r="S147" i="17"/>
  <c r="S148" i="17"/>
  <c r="S149" i="17"/>
  <c r="S150" i="17"/>
  <c r="S151" i="17"/>
  <c r="S152" i="17"/>
  <c r="S153" i="17"/>
  <c r="S154" i="17"/>
  <c r="S155" i="17"/>
  <c r="S156" i="17"/>
  <c r="S157" i="17"/>
  <c r="S158" i="17"/>
  <c r="S159" i="17"/>
  <c r="S160" i="17"/>
  <c r="S161" i="17"/>
  <c r="S162" i="17"/>
  <c r="S163" i="17"/>
  <c r="S164" i="17"/>
  <c r="S165" i="17"/>
  <c r="S166" i="17"/>
  <c r="S167" i="17"/>
  <c r="S168" i="17"/>
  <c r="S169" i="17"/>
  <c r="S170" i="17"/>
  <c r="S171" i="17"/>
  <c r="S172" i="17"/>
  <c r="S173" i="17"/>
  <c r="S174" i="17"/>
  <c r="S175" i="17"/>
  <c r="S176" i="17"/>
  <c r="S177" i="17"/>
  <c r="S178" i="17"/>
  <c r="S179" i="17"/>
  <c r="S180" i="17"/>
  <c r="S181" i="17"/>
  <c r="S182" i="17"/>
  <c r="S183" i="17"/>
  <c r="S184" i="17"/>
  <c r="S185" i="17"/>
  <c r="S186" i="17"/>
  <c r="S187" i="17"/>
  <c r="S188" i="17"/>
  <c r="S189" i="17"/>
  <c r="S190" i="17"/>
  <c r="S191" i="17"/>
  <c r="S192" i="17"/>
  <c r="S193" i="17"/>
  <c r="S194" i="17"/>
  <c r="S195" i="17"/>
  <c r="S196" i="17"/>
  <c r="S197" i="17"/>
  <c r="S198" i="17"/>
  <c r="S199" i="17"/>
  <c r="S200" i="17"/>
  <c r="S201" i="17"/>
  <c r="S202" i="17"/>
  <c r="S203" i="17"/>
  <c r="S204" i="17"/>
  <c r="S205" i="17"/>
  <c r="S206" i="17"/>
  <c r="S207" i="17"/>
  <c r="S208" i="17"/>
  <c r="S209" i="17"/>
  <c r="S210" i="17"/>
  <c r="S211" i="17"/>
  <c r="S212" i="17"/>
  <c r="S213" i="17"/>
  <c r="S214" i="17"/>
  <c r="S215" i="17"/>
  <c r="S216" i="17"/>
  <c r="S217" i="17"/>
  <c r="S218" i="17"/>
  <c r="S219" i="17"/>
  <c r="S220" i="17"/>
  <c r="S221" i="17"/>
  <c r="S222" i="17"/>
  <c r="S223" i="17"/>
  <c r="S224" i="17"/>
  <c r="S225" i="17"/>
  <c r="S226" i="17"/>
  <c r="S227" i="17"/>
  <c r="S228" i="17"/>
  <c r="S229" i="17"/>
  <c r="S230" i="17"/>
  <c r="S231" i="17"/>
  <c r="S232" i="17"/>
  <c r="S233" i="17"/>
  <c r="S234" i="17"/>
  <c r="S235" i="17"/>
  <c r="S236" i="17"/>
  <c r="S237" i="17"/>
  <c r="S238" i="17"/>
  <c r="S239" i="17"/>
  <c r="S240" i="17"/>
  <c r="S241" i="17"/>
  <c r="S242" i="17"/>
  <c r="S243" i="17"/>
  <c r="S244" i="17"/>
  <c r="S245" i="17"/>
  <c r="S246" i="17"/>
  <c r="S247" i="17"/>
  <c r="S248" i="17"/>
  <c r="S249" i="17"/>
  <c r="S250" i="17"/>
  <c r="S251" i="17"/>
  <c r="S252" i="17"/>
  <c r="S253" i="17"/>
  <c r="S254" i="17"/>
  <c r="S255" i="17"/>
  <c r="S256" i="17"/>
  <c r="S257" i="17"/>
  <c r="S258" i="17"/>
  <c r="S259" i="17"/>
  <c r="S260" i="17"/>
  <c r="S261" i="17"/>
  <c r="S262" i="17"/>
  <c r="S263" i="17"/>
  <c r="S264" i="17"/>
  <c r="S265" i="17"/>
  <c r="S266" i="17"/>
  <c r="S267" i="17"/>
  <c r="S268" i="17"/>
  <c r="S269" i="17"/>
  <c r="S270" i="17"/>
  <c r="S271" i="17"/>
  <c r="S272" i="17"/>
  <c r="S273" i="17"/>
  <c r="S274" i="17"/>
  <c r="S275" i="17"/>
  <c r="S276" i="17"/>
  <c r="S277" i="17"/>
  <c r="S278" i="17"/>
  <c r="S279" i="17"/>
  <c r="S280" i="17"/>
  <c r="S281" i="17"/>
  <c r="S282" i="17"/>
  <c r="S283" i="17"/>
  <c r="S284" i="17"/>
  <c r="S285" i="17"/>
  <c r="S286" i="17"/>
  <c r="S287" i="17"/>
  <c r="S288" i="17"/>
  <c r="S289" i="17"/>
  <c r="S290" i="17"/>
  <c r="S291" i="17"/>
  <c r="S292" i="17"/>
  <c r="S293" i="17"/>
  <c r="S294" i="17"/>
  <c r="S295" i="17"/>
  <c r="S296" i="17"/>
  <c r="S297" i="17"/>
  <c r="S298" i="17"/>
  <c r="S299" i="17"/>
  <c r="S300" i="17"/>
  <c r="S301" i="17"/>
  <c r="S302" i="17"/>
  <c r="S303" i="17"/>
  <c r="S304" i="17"/>
  <c r="S305" i="17"/>
  <c r="S306" i="17"/>
  <c r="S307" i="17"/>
  <c r="S308" i="17"/>
  <c r="S309" i="17"/>
  <c r="S310" i="17"/>
  <c r="S311" i="17"/>
  <c r="S312" i="17"/>
  <c r="S313" i="17"/>
  <c r="S314" i="17"/>
  <c r="S315" i="17"/>
  <c r="S316" i="17"/>
  <c r="S317" i="17"/>
  <c r="S318" i="17"/>
  <c r="S319" i="17"/>
  <c r="S320" i="17"/>
  <c r="S321" i="17"/>
  <c r="S322" i="17"/>
  <c r="S323" i="17"/>
  <c r="S324" i="17"/>
  <c r="S325" i="17"/>
  <c r="S326" i="17"/>
  <c r="S327" i="17"/>
  <c r="S328" i="17"/>
  <c r="S329" i="17"/>
  <c r="S330" i="17"/>
  <c r="S331" i="17"/>
  <c r="S332" i="17"/>
  <c r="S333" i="17"/>
  <c r="S334" i="17"/>
  <c r="S335" i="17"/>
  <c r="S336" i="17"/>
  <c r="S337" i="17"/>
  <c r="S338" i="17"/>
  <c r="S339" i="17"/>
  <c r="S340" i="17"/>
  <c r="S341" i="17"/>
  <c r="S342" i="17"/>
  <c r="S343" i="17"/>
  <c r="S344" i="17"/>
  <c r="S345" i="17"/>
  <c r="S346" i="17"/>
  <c r="S347" i="17"/>
  <c r="S348" i="17"/>
  <c r="S349" i="17"/>
  <c r="S350" i="17"/>
  <c r="S351" i="17"/>
  <c r="S352" i="17"/>
  <c r="S353" i="17"/>
  <c r="S354" i="17"/>
  <c r="S355" i="17"/>
  <c r="S356" i="17"/>
  <c r="S357" i="17"/>
  <c r="S358" i="17"/>
  <c r="S359" i="17"/>
  <c r="S360" i="17"/>
  <c r="S361" i="17"/>
  <c r="S362" i="17"/>
  <c r="S363" i="17"/>
  <c r="S364" i="17"/>
  <c r="S365" i="17"/>
  <c r="S366" i="17"/>
  <c r="S367" i="17"/>
  <c r="S368" i="17"/>
  <c r="S369" i="17"/>
  <c r="S370" i="17"/>
  <c r="S371" i="17"/>
  <c r="S372" i="17"/>
  <c r="S373" i="17"/>
  <c r="S374" i="17"/>
  <c r="S375" i="17"/>
  <c r="S376" i="17"/>
  <c r="S377" i="17"/>
  <c r="S378" i="17"/>
  <c r="S379" i="17"/>
  <c r="S380" i="17"/>
  <c r="S381" i="17"/>
  <c r="S382" i="17"/>
  <c r="S383" i="17"/>
  <c r="S384" i="17"/>
  <c r="S385" i="17"/>
  <c r="S386" i="17"/>
  <c r="S387" i="17"/>
  <c r="S388" i="17"/>
  <c r="S389" i="17"/>
  <c r="S390" i="17"/>
  <c r="S391" i="17"/>
  <c r="S392" i="17"/>
  <c r="S393" i="17"/>
  <c r="S394" i="17"/>
  <c r="S395" i="17"/>
  <c r="S396" i="17"/>
  <c r="S397" i="17"/>
  <c r="S398" i="17"/>
  <c r="S399" i="17"/>
  <c r="S400" i="17"/>
  <c r="S401" i="17"/>
  <c r="S402" i="17"/>
  <c r="S403" i="17"/>
  <c r="S404" i="17"/>
  <c r="S405" i="17"/>
  <c r="S406" i="17"/>
  <c r="S407" i="17"/>
  <c r="S408" i="17"/>
  <c r="S409" i="17"/>
  <c r="S410" i="17"/>
  <c r="S411" i="17"/>
  <c r="S412" i="17"/>
  <c r="S413" i="17"/>
  <c r="S414" i="17"/>
  <c r="S415" i="17"/>
  <c r="S416" i="17"/>
  <c r="S417" i="17"/>
  <c r="S418" i="17"/>
  <c r="S419" i="17"/>
  <c r="S420" i="17"/>
  <c r="S421" i="17"/>
  <c r="S422" i="17"/>
  <c r="S423" i="17"/>
  <c r="S424" i="17"/>
  <c r="S425" i="17"/>
  <c r="S426" i="17"/>
  <c r="S427" i="17"/>
  <c r="S428" i="17"/>
  <c r="S429" i="17"/>
  <c r="S430" i="17"/>
  <c r="S431" i="17"/>
  <c r="S432" i="17"/>
  <c r="S433" i="17"/>
  <c r="S434" i="17"/>
  <c r="S435" i="17"/>
  <c r="S436" i="17"/>
  <c r="S437" i="17"/>
  <c r="S438" i="17"/>
  <c r="S439" i="17"/>
  <c r="S440" i="17"/>
  <c r="S441" i="17"/>
  <c r="S442" i="17"/>
  <c r="S443" i="17"/>
  <c r="S444" i="17"/>
  <c r="S445" i="17"/>
  <c r="S446" i="17"/>
  <c r="S447" i="17"/>
  <c r="S448" i="17"/>
  <c r="S449" i="17"/>
  <c r="S450" i="17"/>
  <c r="S451" i="17"/>
  <c r="S452" i="17"/>
  <c r="S453" i="17"/>
  <c r="S454" i="17"/>
  <c r="S455" i="17"/>
  <c r="S456" i="17"/>
  <c r="S457" i="17"/>
  <c r="S458" i="17"/>
  <c r="S459" i="17"/>
  <c r="S460" i="17"/>
  <c r="S461" i="17"/>
  <c r="S462" i="17"/>
  <c r="S463" i="17"/>
  <c r="S464" i="17"/>
  <c r="S465" i="17"/>
  <c r="S466" i="17"/>
  <c r="S467" i="17"/>
  <c r="S468" i="17"/>
  <c r="S469" i="17"/>
  <c r="S470" i="17"/>
  <c r="S471" i="17"/>
  <c r="S472" i="17"/>
  <c r="S473" i="17"/>
  <c r="S474" i="17"/>
  <c r="S475" i="17"/>
  <c r="S476" i="17"/>
  <c r="S477" i="17"/>
  <c r="S478" i="17"/>
  <c r="S479" i="17"/>
  <c r="S480" i="17"/>
  <c r="S481" i="17"/>
  <c r="S482" i="17"/>
  <c r="S483" i="17"/>
  <c r="S484" i="17"/>
  <c r="S485" i="17"/>
  <c r="S486" i="17"/>
  <c r="S487" i="17"/>
  <c r="S488" i="17"/>
  <c r="S489" i="17"/>
  <c r="S490" i="17"/>
  <c r="S491" i="17"/>
  <c r="S492" i="17"/>
  <c r="S493" i="17"/>
  <c r="S494" i="17"/>
  <c r="S495" i="17"/>
  <c r="S496" i="17"/>
  <c r="S497" i="17"/>
  <c r="S498" i="17"/>
  <c r="S499" i="17"/>
  <c r="S500" i="17"/>
  <c r="S501" i="17"/>
  <c r="S502" i="17"/>
  <c r="S503" i="17"/>
  <c r="S504" i="17"/>
  <c r="S505" i="17"/>
  <c r="S506" i="17"/>
  <c r="S507" i="17"/>
  <c r="S508" i="17"/>
  <c r="S509" i="17"/>
  <c r="S510" i="17"/>
  <c r="S511" i="17"/>
  <c r="S512" i="17"/>
  <c r="S513" i="17"/>
  <c r="S514" i="17"/>
  <c r="S515" i="17"/>
  <c r="S516" i="17"/>
  <c r="S517" i="17"/>
  <c r="S518" i="17"/>
  <c r="S519" i="17"/>
  <c r="S520" i="17"/>
  <c r="S521" i="17"/>
  <c r="S522" i="17"/>
  <c r="S523" i="17"/>
  <c r="S524" i="17"/>
  <c r="S525" i="17"/>
  <c r="S526" i="17"/>
  <c r="S527" i="17"/>
  <c r="S528" i="17"/>
  <c r="S529" i="17"/>
  <c r="S530" i="17"/>
  <c r="S531" i="17"/>
  <c r="S532" i="17"/>
  <c r="S533" i="17"/>
  <c r="S534" i="17"/>
  <c r="S535" i="17"/>
  <c r="S536" i="17"/>
  <c r="S537" i="17"/>
  <c r="S538" i="17"/>
  <c r="S539" i="17"/>
  <c r="S540" i="17"/>
  <c r="S541" i="17"/>
  <c r="S542" i="17"/>
  <c r="S543" i="17"/>
  <c r="S544" i="17"/>
  <c r="S545" i="17"/>
  <c r="S546" i="17"/>
  <c r="S547" i="17"/>
  <c r="S548" i="17"/>
  <c r="S549" i="17"/>
  <c r="S550" i="17"/>
  <c r="S551" i="17"/>
  <c r="S552" i="17"/>
  <c r="S553" i="17"/>
  <c r="S554" i="17"/>
  <c r="S555" i="17"/>
  <c r="S556" i="17"/>
  <c r="S557" i="17"/>
  <c r="S558" i="17"/>
  <c r="S559" i="17"/>
  <c r="S560" i="17"/>
  <c r="S561" i="17"/>
  <c r="S562" i="17"/>
  <c r="S563" i="17"/>
  <c r="S564" i="17"/>
  <c r="S565" i="17"/>
  <c r="S566" i="17"/>
  <c r="S567" i="17"/>
  <c r="S568" i="17"/>
  <c r="S569" i="17"/>
  <c r="S570" i="17"/>
  <c r="S571" i="17"/>
  <c r="S572" i="17"/>
  <c r="S573" i="17"/>
  <c r="S574" i="17"/>
  <c r="S575" i="17"/>
  <c r="S576" i="17"/>
  <c r="S577" i="17"/>
  <c r="S578" i="17"/>
  <c r="S579" i="17"/>
  <c r="S580" i="17"/>
  <c r="S581" i="17"/>
  <c r="S582" i="17"/>
  <c r="S583" i="17"/>
  <c r="S584" i="17"/>
  <c r="S585" i="17"/>
  <c r="S586" i="17"/>
  <c r="S587" i="17"/>
  <c r="S588" i="17"/>
  <c r="S589" i="17"/>
  <c r="S590" i="17"/>
  <c r="S591" i="17"/>
  <c r="S592" i="17"/>
  <c r="S593" i="17"/>
  <c r="S594" i="17"/>
  <c r="S595" i="17"/>
  <c r="S596" i="17"/>
  <c r="S597" i="17"/>
  <c r="S598" i="17"/>
  <c r="S599" i="17"/>
  <c r="S600" i="17"/>
  <c r="S601" i="17"/>
  <c r="S602" i="17"/>
  <c r="S603" i="17"/>
  <c r="S604" i="17"/>
  <c r="S605" i="17"/>
  <c r="S606" i="17"/>
  <c r="S607" i="17"/>
  <c r="S608" i="17"/>
  <c r="S609" i="17"/>
  <c r="S610" i="17"/>
  <c r="S611" i="17"/>
  <c r="S612" i="17"/>
  <c r="S613" i="17"/>
  <c r="S614" i="17"/>
  <c r="S615" i="17"/>
  <c r="S616" i="17"/>
  <c r="S617" i="17"/>
  <c r="S618" i="17"/>
  <c r="S619" i="17"/>
  <c r="S620" i="17"/>
  <c r="S621" i="17"/>
  <c r="S622" i="17"/>
  <c r="S623" i="17"/>
  <c r="S624" i="17"/>
  <c r="S625" i="17"/>
  <c r="S626" i="17"/>
  <c r="S627" i="17"/>
  <c r="S628" i="17"/>
  <c r="S629" i="17"/>
  <c r="S630" i="17"/>
  <c r="S631" i="17"/>
  <c r="S632" i="17"/>
  <c r="S633" i="17"/>
  <c r="S634" i="17"/>
  <c r="S635" i="17"/>
  <c r="S636" i="17"/>
  <c r="S637" i="17"/>
  <c r="S638" i="17"/>
  <c r="S639" i="17"/>
  <c r="S640" i="17"/>
  <c r="S641" i="17"/>
  <c r="S642" i="17"/>
  <c r="S643" i="17"/>
  <c r="S644" i="17"/>
  <c r="S645" i="17"/>
  <c r="S646" i="17"/>
  <c r="S647" i="17"/>
  <c r="S648" i="17"/>
  <c r="S649" i="17"/>
  <c r="S650" i="17"/>
  <c r="S651" i="17"/>
  <c r="S652" i="17"/>
  <c r="S653" i="17"/>
  <c r="S654" i="17"/>
  <c r="S655" i="17"/>
  <c r="S656" i="17"/>
  <c r="S657" i="17"/>
  <c r="S658" i="17"/>
  <c r="S659" i="17"/>
  <c r="S660" i="17"/>
  <c r="S661" i="17"/>
  <c r="S662" i="17"/>
  <c r="S663" i="17"/>
  <c r="S664" i="17"/>
  <c r="S665" i="17"/>
  <c r="S666" i="17"/>
  <c r="S667" i="17"/>
  <c r="S668" i="17"/>
  <c r="S669" i="17"/>
  <c r="S670" i="17"/>
  <c r="S671" i="17"/>
  <c r="S672" i="17"/>
  <c r="S673" i="17"/>
  <c r="S674" i="17"/>
  <c r="S675" i="17"/>
  <c r="S676" i="17"/>
  <c r="S677" i="17"/>
  <c r="S678" i="17"/>
  <c r="S679" i="17"/>
  <c r="S680" i="17"/>
  <c r="S681" i="17"/>
  <c r="S682" i="17"/>
  <c r="S683" i="17"/>
  <c r="S684" i="17"/>
  <c r="S685" i="17"/>
  <c r="S686" i="17"/>
  <c r="S687" i="17"/>
  <c r="S688" i="17"/>
  <c r="S689" i="17"/>
  <c r="S690" i="17"/>
  <c r="S691" i="17"/>
  <c r="S692" i="17"/>
  <c r="S693" i="17"/>
  <c r="S694" i="17"/>
  <c r="S695" i="17"/>
  <c r="S696" i="17"/>
  <c r="S697" i="17"/>
  <c r="S698" i="17"/>
  <c r="S699" i="17"/>
  <c r="S700" i="17"/>
  <c r="S701" i="17"/>
  <c r="S702" i="17"/>
  <c r="S703" i="17"/>
  <c r="S704" i="17"/>
  <c r="S705" i="17"/>
  <c r="S706" i="17"/>
  <c r="S707" i="17"/>
  <c r="S708" i="17"/>
  <c r="S709" i="17"/>
  <c r="S710" i="17"/>
  <c r="S711" i="17"/>
  <c r="S712" i="17"/>
  <c r="S713" i="17"/>
  <c r="S714" i="17"/>
  <c r="S715" i="17"/>
  <c r="S716" i="17"/>
  <c r="S717" i="17"/>
  <c r="S718" i="17"/>
  <c r="S719" i="17"/>
  <c r="S720" i="17"/>
  <c r="S721" i="17"/>
  <c r="S722" i="17"/>
  <c r="S723" i="17"/>
  <c r="S724" i="17"/>
  <c r="S725" i="17"/>
  <c r="S726" i="17"/>
  <c r="S727" i="17"/>
  <c r="S728" i="17"/>
  <c r="S729" i="17"/>
  <c r="S730" i="17"/>
  <c r="S731" i="17"/>
  <c r="S732" i="17"/>
  <c r="S733" i="17"/>
  <c r="S734" i="17"/>
  <c r="S735" i="17"/>
  <c r="S736" i="17"/>
  <c r="S737" i="17"/>
  <c r="S738" i="17"/>
  <c r="S739" i="17"/>
  <c r="S740" i="17"/>
  <c r="S741" i="17"/>
  <c r="S742" i="17"/>
  <c r="S743" i="17"/>
  <c r="S744" i="17"/>
  <c r="S745" i="17"/>
  <c r="S746" i="17"/>
  <c r="S747" i="17"/>
  <c r="S748" i="17"/>
  <c r="S749" i="17"/>
  <c r="S750" i="17"/>
  <c r="S751" i="17"/>
  <c r="S752" i="17"/>
  <c r="S753" i="17"/>
  <c r="S754" i="17"/>
  <c r="S755" i="17"/>
  <c r="S756" i="17"/>
  <c r="S757" i="17"/>
  <c r="S758" i="17"/>
  <c r="S759" i="17"/>
  <c r="S760" i="17"/>
  <c r="S761" i="17"/>
  <c r="S762" i="17"/>
  <c r="S763" i="17"/>
  <c r="S764" i="17"/>
  <c r="S765" i="17"/>
  <c r="S766" i="17"/>
  <c r="S767" i="17"/>
  <c r="S768" i="17"/>
  <c r="S769" i="17"/>
  <c r="S770" i="17"/>
  <c r="S771" i="17"/>
  <c r="S772" i="17"/>
  <c r="S773" i="17"/>
  <c r="S774" i="17"/>
  <c r="S775" i="17"/>
  <c r="S776" i="17"/>
  <c r="S777" i="17"/>
  <c r="S778" i="17"/>
  <c r="S779" i="17"/>
  <c r="S780" i="17"/>
  <c r="S781" i="17"/>
  <c r="S782" i="17"/>
  <c r="S783" i="17"/>
  <c r="S784" i="17"/>
  <c r="S785" i="17"/>
  <c r="S786" i="17"/>
  <c r="S787" i="17"/>
  <c r="S788" i="17"/>
  <c r="S789" i="17"/>
  <c r="S790" i="17"/>
  <c r="S791" i="17"/>
  <c r="S792" i="17"/>
  <c r="S793" i="17"/>
  <c r="S794" i="17"/>
  <c r="S795" i="17"/>
  <c r="S796" i="17"/>
  <c r="S797" i="17"/>
  <c r="S798" i="17"/>
  <c r="S799" i="17"/>
  <c r="S800" i="17"/>
  <c r="S801" i="17"/>
  <c r="S802" i="17"/>
  <c r="S803" i="17"/>
  <c r="S804" i="17"/>
  <c r="S805" i="17"/>
  <c r="S806" i="17"/>
  <c r="S807" i="17"/>
  <c r="S808" i="17"/>
  <c r="S809" i="17"/>
  <c r="S810" i="17"/>
  <c r="S811" i="17"/>
  <c r="S812" i="17"/>
  <c r="S813" i="17"/>
  <c r="S814" i="17"/>
  <c r="S815" i="17"/>
  <c r="S816" i="17"/>
  <c r="S817" i="17"/>
  <c r="S818" i="17"/>
  <c r="S819" i="17"/>
  <c r="S820" i="17"/>
  <c r="S821" i="17"/>
  <c r="S822" i="17"/>
  <c r="S823" i="17"/>
  <c r="S824" i="17"/>
  <c r="S825" i="17"/>
  <c r="S826" i="17"/>
  <c r="S827" i="17"/>
  <c r="S828" i="17"/>
  <c r="S829" i="17"/>
  <c r="S830" i="17"/>
  <c r="S831" i="17"/>
  <c r="S832" i="17"/>
  <c r="S833" i="17"/>
  <c r="S834" i="17"/>
  <c r="S835" i="17"/>
  <c r="S836" i="17"/>
  <c r="S837" i="17"/>
  <c r="S838" i="17"/>
  <c r="S839" i="17"/>
  <c r="S840" i="17"/>
  <c r="S841" i="17"/>
  <c r="S842" i="17"/>
  <c r="S843" i="17"/>
  <c r="S844" i="17"/>
  <c r="S845" i="17"/>
  <c r="S846" i="17"/>
  <c r="S847" i="17"/>
  <c r="S848" i="17"/>
  <c r="S849" i="17"/>
  <c r="S850" i="17"/>
  <c r="S851" i="17"/>
  <c r="S852" i="17"/>
  <c r="S853" i="17"/>
  <c r="S854" i="17"/>
  <c r="S855" i="17"/>
  <c r="S856" i="17"/>
  <c r="S857" i="17"/>
  <c r="S858" i="17"/>
  <c r="S859" i="17"/>
  <c r="S860" i="17"/>
  <c r="S861" i="17"/>
  <c r="S862" i="17"/>
  <c r="S863" i="17"/>
  <c r="S864" i="17"/>
  <c r="S865" i="17"/>
  <c r="S866" i="17"/>
  <c r="S867" i="17"/>
  <c r="S868" i="17"/>
  <c r="S869" i="17"/>
  <c r="S870" i="17"/>
  <c r="S871" i="17"/>
  <c r="S872" i="17"/>
  <c r="S873" i="17"/>
  <c r="S874" i="17"/>
  <c r="S875" i="17"/>
  <c r="S876" i="17"/>
  <c r="S877" i="17"/>
  <c r="S878" i="17"/>
  <c r="S879" i="17"/>
  <c r="S880" i="17"/>
  <c r="S881" i="17"/>
  <c r="S882" i="17"/>
  <c r="S883" i="17"/>
  <c r="S884" i="17"/>
  <c r="S885" i="17"/>
  <c r="S886" i="17"/>
  <c r="S887" i="17"/>
  <c r="S888" i="17"/>
  <c r="S889" i="17"/>
  <c r="S890" i="17"/>
  <c r="S891" i="17"/>
  <c r="S892" i="17"/>
  <c r="S893" i="17"/>
  <c r="S894" i="17"/>
  <c r="S895" i="17"/>
  <c r="S896" i="17"/>
  <c r="S897" i="17"/>
  <c r="S898" i="17"/>
  <c r="S899" i="17"/>
  <c r="S900" i="17"/>
  <c r="S901" i="17"/>
  <c r="S902" i="17"/>
  <c r="S903" i="17"/>
  <c r="S904" i="17"/>
  <c r="S905" i="17"/>
  <c r="S906" i="17"/>
  <c r="S907" i="17"/>
  <c r="S908" i="17"/>
  <c r="S909" i="17"/>
  <c r="S910" i="17"/>
  <c r="S911" i="17"/>
  <c r="S912" i="17"/>
  <c r="S913" i="17"/>
  <c r="S914" i="17"/>
  <c r="S915" i="17"/>
  <c r="S916" i="17"/>
  <c r="S917" i="17"/>
  <c r="S918" i="17"/>
  <c r="S919" i="17"/>
  <c r="S920" i="17"/>
  <c r="S921" i="17"/>
  <c r="S922" i="17"/>
  <c r="S923" i="17"/>
  <c r="S924" i="17"/>
  <c r="S925" i="17"/>
  <c r="S926" i="17"/>
  <c r="S927" i="17"/>
  <c r="S928" i="17"/>
  <c r="S929" i="17"/>
  <c r="S930" i="17"/>
  <c r="S931" i="17"/>
  <c r="S932" i="17"/>
  <c r="S933" i="17"/>
  <c r="S934" i="17"/>
  <c r="S935" i="17"/>
  <c r="S936" i="17"/>
  <c r="S937" i="17"/>
  <c r="S938" i="17"/>
  <c r="S939" i="17"/>
  <c r="S940" i="17"/>
  <c r="S941" i="17"/>
  <c r="S942" i="17"/>
  <c r="S943" i="17"/>
  <c r="S944" i="17"/>
  <c r="S945" i="17"/>
  <c r="S946" i="17"/>
  <c r="S947" i="17"/>
  <c r="S948" i="17"/>
  <c r="S949" i="17"/>
  <c r="S950" i="17"/>
  <c r="S951" i="17"/>
  <c r="S952" i="17"/>
  <c r="S953" i="17"/>
  <c r="S954" i="17"/>
  <c r="S955" i="17"/>
  <c r="S956" i="17"/>
  <c r="S957" i="17"/>
  <c r="S958" i="17"/>
  <c r="S959" i="17"/>
  <c r="S960" i="17"/>
  <c r="S961" i="17"/>
  <c r="S962" i="17"/>
  <c r="S963" i="17"/>
  <c r="S964" i="17"/>
  <c r="S965" i="17"/>
  <c r="S966" i="17"/>
  <c r="S967" i="17"/>
  <c r="S968" i="17"/>
  <c r="S969" i="17"/>
  <c r="S970" i="17"/>
  <c r="S971" i="17"/>
  <c r="S972" i="17"/>
  <c r="S973" i="17"/>
  <c r="S974" i="17"/>
  <c r="S975" i="17"/>
  <c r="S976" i="17"/>
  <c r="S977" i="17"/>
  <c r="S978" i="17"/>
  <c r="S979" i="17"/>
  <c r="S980" i="17"/>
  <c r="S981" i="17"/>
  <c r="S982" i="17"/>
  <c r="S983" i="17"/>
  <c r="S984" i="17"/>
  <c r="S985" i="17"/>
  <c r="S986" i="17"/>
  <c r="S987" i="17"/>
  <c r="S988" i="17"/>
  <c r="S989" i="17"/>
  <c r="S990" i="17"/>
  <c r="S991" i="17"/>
  <c r="S992" i="17"/>
  <c r="S993" i="17"/>
  <c r="S994" i="17"/>
  <c r="S995" i="17"/>
  <c r="S996" i="17"/>
  <c r="S997" i="17"/>
  <c r="S998" i="17"/>
  <c r="S999" i="17"/>
  <c r="S1000" i="17"/>
  <c r="S1001" i="17"/>
  <c r="S1002" i="17"/>
  <c r="S1003" i="17"/>
  <c r="S1004" i="17"/>
  <c r="S1005" i="17"/>
  <c r="S1006" i="17"/>
  <c r="S1007" i="17"/>
  <c r="S1008" i="17"/>
  <c r="S1009" i="17"/>
  <c r="S1010" i="17"/>
  <c r="S1011" i="17"/>
  <c r="S1012" i="17"/>
  <c r="S1013" i="17"/>
  <c r="S1014" i="17"/>
  <c r="S1015" i="17"/>
  <c r="S1016" i="17"/>
  <c r="S1017" i="17"/>
  <c r="S1018" i="17"/>
  <c r="S1019" i="17"/>
  <c r="S1020" i="17"/>
  <c r="S1021" i="17"/>
  <c r="S1022" i="17"/>
  <c r="S1023" i="17"/>
  <c r="S1024" i="17"/>
  <c r="S1025" i="17"/>
  <c r="S1026" i="17"/>
  <c r="S1027" i="17"/>
  <c r="S1028" i="17"/>
  <c r="S1029" i="17"/>
  <c r="S1030" i="17"/>
  <c r="S1031" i="17"/>
  <c r="S1032" i="17"/>
  <c r="S1033" i="17"/>
  <c r="S1034" i="17"/>
  <c r="S1035" i="17"/>
  <c r="S1036" i="17"/>
  <c r="S1037" i="17"/>
  <c r="S1038" i="17"/>
  <c r="S1039" i="17"/>
  <c r="S1040" i="17"/>
  <c r="S1041" i="17"/>
  <c r="S1042" i="17"/>
  <c r="S1043" i="17"/>
  <c r="S1044" i="17"/>
  <c r="S1045" i="17"/>
  <c r="S1046" i="17"/>
  <c r="S1047" i="17"/>
  <c r="S1048" i="17"/>
  <c r="S1049" i="17"/>
  <c r="S1050" i="17"/>
  <c r="S1051" i="17"/>
  <c r="S1052" i="17"/>
  <c r="S1053" i="17"/>
  <c r="S1054" i="17"/>
  <c r="S1055" i="17"/>
  <c r="S1056" i="17"/>
  <c r="S1057" i="17"/>
  <c r="S1058" i="17"/>
  <c r="S1059" i="17"/>
  <c r="S1060" i="17"/>
  <c r="S1061" i="17"/>
  <c r="S1062" i="17"/>
  <c r="S1063" i="17"/>
  <c r="S1064" i="17"/>
  <c r="S1065" i="17"/>
  <c r="S1066" i="17"/>
  <c r="S1067" i="17"/>
  <c r="S1068" i="17"/>
  <c r="S1069" i="17"/>
  <c r="S1070" i="17"/>
  <c r="S1071" i="17"/>
  <c r="S1072" i="17"/>
  <c r="S1073" i="17"/>
  <c r="S1074" i="17"/>
  <c r="S1075" i="17"/>
  <c r="S1076" i="17"/>
  <c r="S1077" i="17"/>
  <c r="S1078" i="17"/>
  <c r="S1079" i="17"/>
  <c r="S1080" i="17"/>
  <c r="S1081" i="17"/>
  <c r="S1082" i="17"/>
  <c r="S1083" i="17"/>
  <c r="S1084" i="17"/>
  <c r="S1085" i="17"/>
  <c r="S1086" i="17"/>
  <c r="S1087" i="17"/>
  <c r="S1088" i="17"/>
  <c r="S1089" i="17"/>
  <c r="S1090" i="17"/>
  <c r="S1091" i="17"/>
  <c r="S1092" i="17"/>
  <c r="S1093" i="17"/>
  <c r="S1094" i="17"/>
  <c r="S1095" i="17"/>
  <c r="S1096" i="17"/>
  <c r="S1097" i="17"/>
  <c r="S1098" i="17"/>
  <c r="S1099" i="17"/>
  <c r="S1100" i="17"/>
  <c r="S1101" i="17"/>
  <c r="S1102" i="17"/>
  <c r="S1103" i="17"/>
  <c r="S1104" i="17"/>
  <c r="S1105" i="17"/>
  <c r="S1106" i="17"/>
  <c r="S1107" i="17"/>
  <c r="S1108" i="17"/>
  <c r="S1109" i="17"/>
  <c r="S1110" i="17"/>
  <c r="S1111" i="17"/>
  <c r="S1112" i="17"/>
  <c r="S1113" i="17"/>
  <c r="S1114" i="17"/>
  <c r="S1115" i="17"/>
  <c r="S1116" i="17"/>
  <c r="S1117" i="17"/>
  <c r="S1118" i="17"/>
  <c r="S1119" i="17"/>
  <c r="S1120" i="17"/>
  <c r="S1121" i="17"/>
  <c r="S1122" i="17"/>
  <c r="S1123" i="17"/>
  <c r="S1124" i="17"/>
  <c r="S1125" i="17"/>
  <c r="S1126" i="17"/>
  <c r="S1127" i="17"/>
  <c r="S1128" i="17"/>
  <c r="S1129" i="17"/>
  <c r="S1130" i="17"/>
  <c r="S1131" i="17"/>
  <c r="S1132" i="17"/>
  <c r="S1133" i="17"/>
  <c r="S1134" i="17"/>
  <c r="S1135" i="17"/>
  <c r="S1136" i="17"/>
  <c r="S1137" i="17"/>
  <c r="S1138" i="17"/>
  <c r="S1139" i="17"/>
  <c r="S1140" i="17"/>
  <c r="S1141" i="17"/>
  <c r="S1142" i="17"/>
  <c r="S1143" i="17"/>
  <c r="S1144" i="17"/>
  <c r="S1145" i="17"/>
  <c r="S1146" i="17"/>
  <c r="S1147" i="17"/>
  <c r="S1148" i="17"/>
  <c r="S1149" i="17"/>
  <c r="S1150" i="17"/>
  <c r="S1151" i="17"/>
  <c r="S1152" i="17"/>
  <c r="S1153" i="17"/>
  <c r="S1154" i="17"/>
  <c r="S1155" i="17"/>
  <c r="S1156" i="17"/>
  <c r="S1157" i="17"/>
  <c r="S1158" i="17"/>
  <c r="S1159" i="17"/>
  <c r="S1160" i="17"/>
  <c r="S1161" i="17"/>
  <c r="S1162" i="17"/>
  <c r="S1163" i="17"/>
  <c r="S1164" i="17"/>
  <c r="S1165" i="17"/>
  <c r="S1166" i="17"/>
  <c r="S1167" i="17"/>
  <c r="S1168" i="17"/>
  <c r="S1169" i="17"/>
  <c r="S1170" i="17"/>
  <c r="S1171" i="17"/>
  <c r="S1172" i="17"/>
  <c r="S1173" i="17"/>
  <c r="S1174" i="17"/>
  <c r="S1175" i="17"/>
  <c r="S1176" i="17"/>
  <c r="S1177" i="17"/>
  <c r="S1178" i="17"/>
  <c r="S1179" i="17"/>
  <c r="S1180" i="17"/>
  <c r="S1181" i="17"/>
  <c r="S1182" i="17"/>
  <c r="S1183" i="17"/>
  <c r="S1184" i="17"/>
  <c r="S1185" i="17"/>
  <c r="S1186" i="17"/>
  <c r="S1187" i="17"/>
  <c r="S1188" i="17"/>
  <c r="S1189" i="17"/>
  <c r="S1190" i="17"/>
  <c r="S1191" i="17"/>
  <c r="S1192" i="17"/>
  <c r="S1193" i="17"/>
  <c r="S1194" i="17"/>
  <c r="S1195" i="17"/>
  <c r="S1196" i="17"/>
  <c r="S1197" i="17"/>
  <c r="S1198" i="17"/>
  <c r="S1199" i="17"/>
  <c r="S1200" i="17"/>
  <c r="S1201" i="17"/>
  <c r="S1202" i="17"/>
  <c r="S1203" i="17"/>
  <c r="S1204" i="17"/>
  <c r="S1205" i="17"/>
  <c r="S1206" i="17"/>
  <c r="S1207" i="17"/>
  <c r="S1208" i="17"/>
  <c r="S1209" i="17"/>
  <c r="S1210" i="17"/>
  <c r="S1211" i="17"/>
  <c r="S1212" i="17"/>
  <c r="S1213" i="17"/>
  <c r="S1214" i="17"/>
  <c r="S1215" i="17"/>
  <c r="S1216" i="17"/>
  <c r="S1217" i="17"/>
  <c r="S1218" i="17"/>
  <c r="S1219" i="17"/>
  <c r="S1220" i="17"/>
  <c r="S1221" i="17"/>
  <c r="S1222" i="17"/>
  <c r="S1223" i="17"/>
  <c r="S1224" i="17"/>
  <c r="S1225" i="17"/>
  <c r="S1226" i="17"/>
  <c r="S1227" i="17"/>
  <c r="S1228" i="17"/>
  <c r="S1229" i="17"/>
  <c r="S1230" i="17"/>
  <c r="S1231" i="17"/>
  <c r="S1232" i="17"/>
  <c r="S1233" i="17"/>
  <c r="S1234" i="17"/>
  <c r="S1235" i="17"/>
  <c r="S1236" i="17"/>
  <c r="S1237" i="17"/>
  <c r="S1238" i="17"/>
  <c r="S1239" i="17"/>
  <c r="S1240" i="17"/>
  <c r="S1241" i="17"/>
  <c r="S1242" i="17"/>
  <c r="S1243" i="17"/>
  <c r="S1244" i="17"/>
  <c r="S1245" i="17"/>
  <c r="S1246" i="17"/>
  <c r="S1247" i="17"/>
  <c r="S1248" i="17"/>
  <c r="S1249" i="17"/>
  <c r="S1250" i="17"/>
  <c r="S1251" i="17"/>
  <c r="S1252" i="17"/>
  <c r="S1253" i="17"/>
  <c r="S1254" i="17"/>
  <c r="S1255" i="17"/>
  <c r="S1256" i="17"/>
  <c r="S1257" i="17"/>
  <c r="S1258" i="17"/>
  <c r="S1259" i="17"/>
  <c r="S1260" i="17"/>
  <c r="S1261" i="17"/>
  <c r="S1262" i="17"/>
  <c r="S1263" i="17"/>
  <c r="S1264" i="17"/>
  <c r="S1265" i="17"/>
  <c r="S1266" i="17"/>
  <c r="S1267" i="17"/>
  <c r="S1268" i="17"/>
  <c r="S1269" i="17"/>
  <c r="S1270" i="17"/>
  <c r="S1271" i="17"/>
  <c r="S1272" i="17"/>
  <c r="S1273" i="17"/>
  <c r="S1274" i="17"/>
  <c r="S1275" i="17"/>
  <c r="S1276" i="17"/>
  <c r="S1277" i="17"/>
  <c r="S1278" i="17"/>
  <c r="S1279" i="17"/>
  <c r="S1280" i="17"/>
  <c r="S1281" i="17"/>
  <c r="S1282" i="17"/>
  <c r="S1283" i="17"/>
  <c r="S1284" i="17"/>
  <c r="S1285" i="17"/>
  <c r="S1286" i="17"/>
  <c r="S1287" i="17"/>
  <c r="S1288" i="17"/>
  <c r="S1289" i="17"/>
  <c r="S1290" i="17"/>
  <c r="S1291" i="17"/>
  <c r="S1292" i="17"/>
  <c r="S1293" i="17"/>
  <c r="S1294" i="17"/>
  <c r="S1295" i="17"/>
  <c r="S1296" i="17"/>
  <c r="S1297" i="17"/>
  <c r="S1298" i="17"/>
  <c r="S1299" i="17"/>
  <c r="S1300" i="17"/>
  <c r="S1301" i="17"/>
  <c r="S1302" i="17"/>
  <c r="S1303" i="17"/>
  <c r="S1304" i="17"/>
  <c r="S1305" i="17"/>
  <c r="S1306" i="17"/>
  <c r="S1307" i="17"/>
  <c r="S1308" i="17"/>
  <c r="S1309" i="17"/>
  <c r="S1310" i="17"/>
  <c r="S1311" i="17"/>
  <c r="S1312" i="17"/>
  <c r="S1313" i="17"/>
  <c r="S1314" i="17"/>
  <c r="S1315" i="17"/>
  <c r="S1316" i="17"/>
  <c r="S1317" i="17"/>
  <c r="S1318" i="17"/>
  <c r="S1319" i="17"/>
  <c r="S1320" i="17"/>
  <c r="S1321" i="17"/>
  <c r="S1322" i="17"/>
  <c r="S1323" i="17"/>
  <c r="S1324" i="17"/>
  <c r="S1325" i="17"/>
  <c r="S1326" i="17"/>
  <c r="S1327" i="17"/>
  <c r="S1328" i="17"/>
  <c r="S1329" i="17"/>
  <c r="S1330" i="17"/>
  <c r="S1331" i="17"/>
  <c r="S1332" i="17"/>
  <c r="S1333" i="17"/>
  <c r="S1334" i="17"/>
  <c r="S1335" i="17"/>
  <c r="S1336" i="17"/>
  <c r="S1337" i="17"/>
  <c r="S1338" i="17"/>
  <c r="S1339" i="17"/>
  <c r="S1340" i="17"/>
  <c r="S1341" i="17"/>
  <c r="S1342" i="17"/>
  <c r="S1343" i="17"/>
  <c r="S1344" i="17"/>
  <c r="S1345" i="17"/>
  <c r="S1346" i="17"/>
  <c r="S1347" i="17"/>
  <c r="S1348" i="17"/>
  <c r="S1349" i="17"/>
  <c r="S1350" i="17"/>
  <c r="S1351" i="17"/>
  <c r="S1352" i="17"/>
  <c r="S1353" i="17"/>
  <c r="S1354" i="17"/>
  <c r="S1355" i="17"/>
  <c r="S1356" i="17"/>
  <c r="S1357" i="17"/>
  <c r="S1358" i="17"/>
  <c r="S1359" i="17"/>
  <c r="S1360" i="17"/>
  <c r="S1361" i="17"/>
  <c r="S1362" i="17"/>
  <c r="S1363" i="17"/>
  <c r="S1364" i="17"/>
  <c r="S1365" i="17"/>
  <c r="S1366" i="17"/>
  <c r="S1367" i="17"/>
  <c r="S1368" i="17"/>
  <c r="S1369" i="17"/>
  <c r="S1370" i="17"/>
  <c r="S1371" i="17"/>
  <c r="S1372" i="17"/>
  <c r="S1373" i="17"/>
  <c r="S1374" i="17"/>
  <c r="S1375" i="17"/>
  <c r="S1376" i="17"/>
  <c r="S1377" i="17"/>
  <c r="S1378" i="17"/>
  <c r="S1379" i="17"/>
  <c r="S1380" i="17"/>
  <c r="S1381" i="17"/>
  <c r="S1382" i="17"/>
  <c r="S1383" i="17"/>
  <c r="S1384" i="17"/>
  <c r="S1385" i="17"/>
  <c r="S1386" i="17"/>
  <c r="S1387" i="17"/>
  <c r="S1388" i="17"/>
  <c r="S1389" i="17"/>
  <c r="S1390" i="17"/>
  <c r="S1391" i="17"/>
  <c r="S1392" i="17"/>
  <c r="S1393" i="17"/>
  <c r="S1394" i="17"/>
  <c r="S1395" i="17"/>
  <c r="S1396" i="17"/>
  <c r="S1397" i="17"/>
  <c r="S1398" i="17"/>
  <c r="S1399" i="17"/>
  <c r="S1400" i="17"/>
  <c r="S1401" i="17"/>
  <c r="S1402" i="17"/>
  <c r="S1403" i="17"/>
  <c r="S1404" i="17"/>
  <c r="S1405" i="17"/>
  <c r="S1406" i="17"/>
  <c r="S1407" i="17"/>
  <c r="S1408" i="17"/>
  <c r="S1409" i="17"/>
  <c r="S1410" i="17"/>
  <c r="S1411" i="17"/>
  <c r="S1412" i="17"/>
  <c r="S1413" i="17"/>
  <c r="S1414" i="17"/>
  <c r="S1415" i="17"/>
  <c r="S1416" i="17"/>
  <c r="S1417" i="17"/>
  <c r="S1418" i="17"/>
  <c r="S1419" i="17"/>
  <c r="S1420" i="17"/>
  <c r="S1421" i="17"/>
  <c r="S1422" i="17"/>
  <c r="S1423" i="17"/>
  <c r="S1424" i="17"/>
  <c r="S1425" i="17"/>
  <c r="S1426" i="17"/>
  <c r="S1427" i="17"/>
  <c r="S1428" i="17"/>
  <c r="S1429" i="17"/>
  <c r="S1430" i="17"/>
  <c r="S1431" i="17"/>
  <c r="S1432" i="17"/>
  <c r="S1433" i="17"/>
  <c r="S1434" i="17"/>
  <c r="S1435" i="17"/>
  <c r="S1436" i="17"/>
  <c r="S1437" i="17"/>
  <c r="S1438" i="17"/>
  <c r="S1439" i="17"/>
  <c r="S1440" i="17"/>
  <c r="S1441" i="17"/>
  <c r="S1442" i="17"/>
  <c r="S1443" i="17"/>
  <c r="S1444" i="17"/>
  <c r="S1445" i="17"/>
  <c r="S1446" i="17"/>
  <c r="S1447" i="17"/>
  <c r="S1448" i="17"/>
  <c r="S1449" i="17"/>
  <c r="S1450" i="17"/>
  <c r="S1451" i="17"/>
  <c r="S1452" i="17"/>
  <c r="S1453" i="17"/>
  <c r="S1454" i="17"/>
  <c r="S1455" i="17"/>
  <c r="S1456" i="17"/>
  <c r="S1457" i="17"/>
  <c r="S1458" i="17"/>
  <c r="S1459" i="17"/>
  <c r="S1460" i="17"/>
  <c r="S1461" i="17"/>
  <c r="S1462" i="17"/>
  <c r="S1463" i="17"/>
  <c r="S1464" i="17"/>
  <c r="S1465" i="17"/>
  <c r="S1466" i="17"/>
  <c r="S1467" i="17"/>
  <c r="S1468" i="17"/>
  <c r="S1469" i="17"/>
  <c r="S1470" i="17"/>
  <c r="S1471" i="17"/>
  <c r="S1472" i="17"/>
  <c r="S1473" i="17"/>
  <c r="S1474" i="17"/>
  <c r="S1475" i="17"/>
  <c r="S1476" i="17"/>
  <c r="S1477" i="17"/>
  <c r="S1478" i="17"/>
  <c r="S1479" i="17"/>
  <c r="S1480" i="17"/>
  <c r="S1481" i="17"/>
  <c r="S1482" i="17"/>
  <c r="S1483" i="17"/>
  <c r="S1484" i="17"/>
  <c r="S1485" i="17"/>
  <c r="S1486" i="17"/>
  <c r="S1487" i="17"/>
  <c r="S1488" i="17"/>
  <c r="S1489" i="17"/>
  <c r="S1490" i="17"/>
  <c r="S1491" i="17"/>
  <c r="S1492" i="17"/>
  <c r="S1493" i="17"/>
  <c r="S1494" i="17"/>
  <c r="S1495" i="17"/>
  <c r="S1496" i="17"/>
  <c r="S1497" i="17"/>
  <c r="S1498" i="17"/>
  <c r="S1499" i="17"/>
  <c r="S1500" i="17"/>
  <c r="S1501" i="17"/>
  <c r="S1502" i="17"/>
  <c r="S1503" i="17"/>
  <c r="S1504" i="17"/>
  <c r="S1505" i="17"/>
  <c r="S1506" i="17"/>
  <c r="S1507" i="17"/>
  <c r="S1508" i="17"/>
  <c r="S1509" i="17"/>
  <c r="S1510" i="17"/>
  <c r="S1511" i="17"/>
  <c r="S1512" i="17"/>
  <c r="S1513" i="17"/>
  <c r="S1514" i="17"/>
  <c r="S1515" i="17"/>
  <c r="S1516" i="17"/>
  <c r="S1517" i="17"/>
  <c r="S1518" i="17"/>
  <c r="S1519" i="17"/>
  <c r="S1520" i="17"/>
  <c r="S1521" i="17"/>
  <c r="S1522" i="17"/>
  <c r="S1523" i="17"/>
  <c r="S1524" i="17"/>
  <c r="S1525" i="17"/>
  <c r="S1526" i="17"/>
  <c r="S1527" i="17"/>
  <c r="S1528" i="17"/>
  <c r="S1529" i="17"/>
  <c r="S1530" i="17"/>
  <c r="S1531" i="17"/>
  <c r="S1532" i="17"/>
  <c r="S1533" i="17"/>
  <c r="S1534" i="17"/>
  <c r="S1535" i="17"/>
  <c r="S1536" i="17"/>
  <c r="S1537" i="17"/>
  <c r="S1538" i="17"/>
  <c r="S1539" i="17"/>
  <c r="S1540" i="17"/>
  <c r="S1541" i="17"/>
  <c r="S1542" i="17"/>
  <c r="S1543" i="17"/>
  <c r="S1544" i="17"/>
  <c r="S1545" i="17"/>
  <c r="S1546" i="17"/>
  <c r="S1547" i="17"/>
  <c r="S1548" i="17"/>
  <c r="S1549" i="17"/>
  <c r="S1550" i="17"/>
  <c r="S1551" i="17"/>
  <c r="S1552" i="17"/>
  <c r="S1553" i="17"/>
  <c r="S1554" i="17"/>
  <c r="S1555" i="17"/>
  <c r="S1556" i="17"/>
  <c r="S1557" i="17"/>
  <c r="S1558" i="17"/>
  <c r="S1559" i="17"/>
  <c r="S1560" i="17"/>
  <c r="S1561" i="17"/>
  <c r="S1562" i="17"/>
  <c r="S1563" i="17"/>
  <c r="S1564" i="17"/>
  <c r="S1565" i="17"/>
  <c r="S1566" i="17"/>
  <c r="S1567" i="17"/>
  <c r="S1568" i="17"/>
  <c r="S1569" i="17"/>
  <c r="S1570" i="17"/>
  <c r="S1571" i="17"/>
  <c r="S1572" i="17"/>
  <c r="S1573" i="17"/>
  <c r="S1574" i="17"/>
  <c r="S1575" i="17"/>
  <c r="S1576" i="17"/>
  <c r="S1577" i="17"/>
  <c r="S1578" i="17"/>
  <c r="S1579" i="17"/>
  <c r="S1580" i="17"/>
  <c r="S1581" i="17"/>
  <c r="S1582" i="17"/>
  <c r="S1583" i="17"/>
  <c r="S1584" i="17"/>
  <c r="S1585" i="17"/>
  <c r="S1586" i="17"/>
  <c r="S1587" i="17"/>
  <c r="S1588" i="17"/>
  <c r="S1589" i="17"/>
  <c r="S1590" i="17"/>
  <c r="S1591" i="17"/>
  <c r="S1592" i="17"/>
  <c r="S1593" i="17"/>
  <c r="S1594" i="17"/>
  <c r="S1595" i="17"/>
  <c r="S1596" i="17"/>
  <c r="S1597" i="17"/>
  <c r="S1598" i="17"/>
  <c r="S1599" i="17"/>
  <c r="S1600" i="17"/>
  <c r="S1601" i="17"/>
  <c r="S1602" i="17"/>
  <c r="S1603" i="17"/>
  <c r="S1604" i="17"/>
  <c r="S1605" i="17"/>
  <c r="S1606" i="17"/>
  <c r="S1607" i="17"/>
  <c r="S1608" i="17"/>
  <c r="S1609" i="17"/>
  <c r="S1610" i="17"/>
  <c r="S1611" i="17"/>
  <c r="S1612" i="17"/>
  <c r="S1613" i="17"/>
  <c r="S1614" i="17"/>
  <c r="S1615" i="17"/>
  <c r="S1616" i="17"/>
  <c r="S1617" i="17"/>
  <c r="S1618" i="17"/>
  <c r="S1619" i="17"/>
  <c r="S1620" i="17"/>
  <c r="S1621" i="17"/>
  <c r="S1622" i="17"/>
  <c r="S1623" i="17"/>
  <c r="S1624" i="17"/>
  <c r="S1625" i="17"/>
  <c r="S1626" i="17"/>
  <c r="S1627" i="17"/>
  <c r="S1628" i="17"/>
  <c r="S1629" i="17"/>
  <c r="S1630" i="17"/>
  <c r="S1631" i="17"/>
  <c r="S1632" i="17"/>
  <c r="S1633" i="17"/>
  <c r="S1634" i="17"/>
  <c r="S1635" i="17"/>
  <c r="S1636" i="17"/>
  <c r="S1637" i="17"/>
  <c r="S1638" i="17"/>
  <c r="S1639" i="17"/>
  <c r="S1640" i="17"/>
  <c r="S1641" i="17"/>
  <c r="S1642" i="17"/>
  <c r="S1643" i="17"/>
  <c r="S1644" i="17"/>
  <c r="S1645" i="17"/>
  <c r="S1646" i="17"/>
  <c r="S1647" i="17"/>
  <c r="S1648" i="17"/>
  <c r="S1649" i="17"/>
  <c r="S1650" i="17"/>
  <c r="S1651" i="17"/>
  <c r="S1652" i="17"/>
  <c r="S1653" i="17"/>
  <c r="S1654" i="17"/>
  <c r="S1655" i="17"/>
  <c r="S1656" i="17"/>
  <c r="S1657" i="17"/>
  <c r="S1658" i="17"/>
  <c r="S1659" i="17"/>
  <c r="S1660" i="17"/>
  <c r="S1661" i="17"/>
  <c r="S1662" i="17"/>
  <c r="S1663" i="17"/>
  <c r="S1664" i="17"/>
  <c r="S1665" i="17"/>
  <c r="S1666" i="17"/>
  <c r="S1667" i="17"/>
  <c r="S1668" i="17"/>
  <c r="S1669" i="17"/>
  <c r="S1670" i="17"/>
  <c r="S1671" i="17"/>
  <c r="S1672" i="17"/>
  <c r="S1673" i="17"/>
  <c r="S1674" i="17"/>
  <c r="S1675" i="17"/>
  <c r="S1676" i="17"/>
  <c r="S1677" i="17"/>
  <c r="S1678" i="17"/>
  <c r="S1679" i="17"/>
  <c r="S1680" i="17"/>
  <c r="S1681" i="17"/>
  <c r="S1682" i="17"/>
  <c r="S1683" i="17"/>
  <c r="S1684" i="17"/>
  <c r="S1685" i="17"/>
  <c r="S1686" i="17"/>
  <c r="S1687" i="17"/>
  <c r="S1688" i="17"/>
  <c r="S1689" i="17"/>
  <c r="S1690" i="17"/>
  <c r="S1691" i="17"/>
  <c r="S1692" i="17"/>
  <c r="S1693" i="17"/>
  <c r="S1694" i="17"/>
  <c r="S1695" i="17"/>
  <c r="S1696" i="17"/>
  <c r="S1697" i="17"/>
  <c r="S1698" i="17"/>
  <c r="S1699" i="17"/>
  <c r="S1700" i="17"/>
  <c r="S1701" i="17"/>
  <c r="S1702" i="17"/>
  <c r="S1703" i="17"/>
  <c r="S1704" i="17"/>
  <c r="S1705" i="17"/>
  <c r="S1706" i="17"/>
  <c r="S1707" i="17"/>
  <c r="S1708" i="17"/>
  <c r="S1709" i="17"/>
  <c r="S1710" i="17"/>
  <c r="S1711" i="17"/>
  <c r="S1712" i="17"/>
  <c r="S1713" i="17"/>
  <c r="S1714" i="17"/>
  <c r="S1715" i="17"/>
  <c r="S1716" i="17"/>
  <c r="S1717" i="17"/>
  <c r="S1718" i="17"/>
  <c r="S1719" i="17"/>
  <c r="S1720" i="17"/>
  <c r="S1721" i="17"/>
  <c r="S1722" i="17"/>
  <c r="S1723" i="17"/>
  <c r="S1724" i="17"/>
  <c r="S1725" i="17"/>
  <c r="S1726" i="17"/>
  <c r="S1727" i="17"/>
  <c r="S1728" i="17"/>
  <c r="S1729" i="17"/>
  <c r="S1730" i="17"/>
  <c r="S1731" i="17"/>
  <c r="S1732" i="17"/>
  <c r="S1733" i="17"/>
  <c r="S1734" i="17"/>
  <c r="S1735" i="17"/>
  <c r="S1736" i="17"/>
  <c r="S1737" i="17"/>
  <c r="S1738" i="17"/>
  <c r="S1739" i="17"/>
  <c r="S1740" i="17"/>
  <c r="S1741" i="17"/>
  <c r="S1742" i="17"/>
  <c r="S1743" i="17"/>
  <c r="S1744" i="17"/>
  <c r="S1745" i="17"/>
  <c r="S1746" i="17"/>
  <c r="S1747" i="17"/>
  <c r="S1748" i="17"/>
  <c r="S1749" i="17"/>
  <c r="S1750" i="17"/>
  <c r="S1751" i="17"/>
  <c r="S1752" i="17"/>
  <c r="S1753" i="17"/>
  <c r="S1754" i="17"/>
  <c r="S1755" i="17"/>
  <c r="S1756" i="17"/>
  <c r="S1757" i="17"/>
  <c r="S1758" i="17"/>
  <c r="S1759" i="17"/>
  <c r="S1760" i="17"/>
  <c r="S1761" i="17"/>
  <c r="S1762" i="17"/>
  <c r="S1763" i="17"/>
  <c r="S1764" i="17"/>
  <c r="S1765" i="17"/>
  <c r="S1766" i="17"/>
  <c r="S1767" i="17"/>
  <c r="S1768" i="17"/>
  <c r="S1769" i="17"/>
  <c r="S1770" i="17"/>
  <c r="S1771" i="17"/>
  <c r="S1772" i="17"/>
  <c r="S1773" i="17"/>
  <c r="S1774" i="17"/>
  <c r="S1775" i="17"/>
  <c r="S1776" i="17"/>
  <c r="S1777" i="17"/>
  <c r="S1778" i="17"/>
  <c r="S1779" i="17"/>
  <c r="S1780" i="17"/>
  <c r="S1781" i="17"/>
  <c r="S1782" i="17"/>
  <c r="S1783" i="17"/>
  <c r="S1784" i="17"/>
  <c r="S1785" i="17"/>
  <c r="S1786" i="17"/>
  <c r="S1787" i="17"/>
  <c r="S1788" i="17"/>
  <c r="S1789" i="17"/>
  <c r="S1790" i="17"/>
  <c r="S1791" i="17"/>
  <c r="S1792" i="17"/>
  <c r="S1793" i="17"/>
  <c r="S1794" i="17"/>
  <c r="S1795" i="17"/>
  <c r="S1796" i="17"/>
  <c r="S1797" i="17"/>
  <c r="S1798" i="17"/>
  <c r="S1799" i="17"/>
  <c r="S1800" i="17"/>
  <c r="S1801" i="17"/>
  <c r="S1802" i="17"/>
  <c r="S1803" i="17"/>
  <c r="S1804" i="17"/>
  <c r="S1805" i="17"/>
  <c r="S1806" i="17"/>
  <c r="S1807" i="17"/>
  <c r="S1808" i="17"/>
  <c r="S1809" i="17"/>
  <c r="S1810" i="17"/>
  <c r="S1811" i="17"/>
  <c r="S1812" i="17"/>
  <c r="S1813" i="17"/>
  <c r="S1814" i="17"/>
  <c r="S1815" i="17"/>
  <c r="S1816" i="17"/>
  <c r="S1817" i="17"/>
  <c r="S1818" i="17"/>
  <c r="S1819" i="17"/>
  <c r="S1820" i="17"/>
  <c r="S1821" i="17"/>
  <c r="S1822" i="17"/>
  <c r="S1823" i="17"/>
  <c r="S1824" i="17"/>
  <c r="S1825" i="17"/>
  <c r="S1826" i="17"/>
  <c r="S1827" i="17"/>
  <c r="S1828" i="17"/>
  <c r="S1829" i="17"/>
  <c r="S1830" i="17"/>
  <c r="S1831" i="17"/>
  <c r="S1832" i="17"/>
  <c r="S1833" i="17"/>
  <c r="S1834" i="17"/>
  <c r="S1835" i="17"/>
  <c r="S1836" i="17"/>
  <c r="S1837" i="17"/>
  <c r="S1838" i="17"/>
  <c r="S1839" i="17"/>
  <c r="S1840" i="17"/>
  <c r="S1841" i="17"/>
  <c r="S1842" i="17"/>
  <c r="S1843" i="17"/>
  <c r="S1844" i="17"/>
  <c r="S1845" i="17"/>
  <c r="S1846" i="17"/>
  <c r="S1847" i="17"/>
  <c r="S1848" i="17"/>
  <c r="S1849" i="17"/>
  <c r="S1850" i="17"/>
  <c r="S1851" i="17"/>
  <c r="S1852" i="17"/>
  <c r="S1853" i="17"/>
  <c r="S1854" i="17"/>
  <c r="S1855" i="17"/>
  <c r="S1856" i="17"/>
  <c r="S1857" i="17"/>
  <c r="S1858" i="17"/>
  <c r="S1859" i="17"/>
  <c r="S1860" i="17"/>
  <c r="S1861" i="17"/>
  <c r="S1862" i="17"/>
  <c r="S1863" i="17"/>
  <c r="S1864" i="17"/>
  <c r="S1865" i="17"/>
  <c r="S1866" i="17"/>
  <c r="S1867" i="17"/>
  <c r="S1868" i="17"/>
  <c r="S1869" i="17"/>
  <c r="S1870" i="17"/>
  <c r="S1871" i="17"/>
  <c r="S1872" i="17"/>
  <c r="S1873" i="17"/>
  <c r="S1874" i="17"/>
  <c r="S1875" i="17"/>
  <c r="S1876" i="17"/>
  <c r="S1877" i="17"/>
  <c r="S1878" i="17"/>
  <c r="S1879" i="17"/>
  <c r="S1880" i="17"/>
  <c r="S1881" i="17"/>
  <c r="S1882" i="17"/>
  <c r="S1883" i="17"/>
  <c r="S1884" i="17"/>
  <c r="S1885" i="17"/>
  <c r="S1886" i="17"/>
  <c r="S1887" i="17"/>
  <c r="S1888" i="17"/>
  <c r="S1889" i="17"/>
  <c r="S1890" i="17"/>
  <c r="S1891" i="17"/>
  <c r="S1892" i="17"/>
  <c r="S1893" i="17"/>
  <c r="S1894" i="17"/>
  <c r="S1895" i="17"/>
  <c r="S1896" i="17"/>
  <c r="S1897" i="17"/>
  <c r="S1898" i="17"/>
  <c r="S1899" i="17"/>
  <c r="S1900" i="17"/>
  <c r="S1901" i="17"/>
  <c r="S1902" i="17"/>
  <c r="S1903" i="17"/>
  <c r="S1904" i="17"/>
  <c r="S1905" i="17"/>
  <c r="S1906" i="17"/>
  <c r="S1907" i="17"/>
  <c r="S1908" i="17"/>
  <c r="S1909" i="17"/>
  <c r="S1910" i="17"/>
  <c r="S1911" i="17"/>
  <c r="S1912" i="17"/>
  <c r="S1913" i="17"/>
  <c r="S1914" i="17"/>
  <c r="S1915" i="17"/>
  <c r="S1916" i="17"/>
  <c r="S1917" i="17"/>
  <c r="S1918" i="17"/>
  <c r="S1919" i="17"/>
  <c r="S1920" i="17"/>
  <c r="S1921" i="17"/>
  <c r="S1922" i="17"/>
  <c r="S1923" i="17"/>
  <c r="S1924" i="17"/>
  <c r="S1925" i="17"/>
  <c r="S1926" i="17"/>
  <c r="S1927" i="17"/>
  <c r="S1928" i="17"/>
  <c r="S1929" i="17"/>
  <c r="S1930" i="17"/>
  <c r="S1931" i="17"/>
  <c r="S1932" i="17"/>
  <c r="S1933" i="17"/>
  <c r="S1934" i="17"/>
  <c r="S1935" i="17"/>
  <c r="S1936" i="17"/>
  <c r="S1937" i="17"/>
  <c r="S1938" i="17"/>
  <c r="S1939" i="17"/>
  <c r="S1940" i="17"/>
  <c r="S1941" i="17"/>
  <c r="S1942" i="17"/>
  <c r="S1943" i="17"/>
  <c r="S1944" i="17"/>
  <c r="S1945" i="17"/>
  <c r="S1946" i="17"/>
  <c r="S1947" i="17"/>
  <c r="S1948" i="17"/>
  <c r="S1949" i="17"/>
  <c r="S1950" i="17"/>
  <c r="S1951" i="17"/>
  <c r="S1952" i="17"/>
  <c r="S1953" i="17"/>
  <c r="S1954" i="17"/>
  <c r="S1955" i="17"/>
  <c r="S1956" i="17"/>
  <c r="S1957" i="17"/>
  <c r="S1958" i="17"/>
  <c r="S1959" i="17"/>
  <c r="S1960" i="17"/>
  <c r="S1961" i="17"/>
  <c r="S1962" i="17"/>
  <c r="S1963" i="17"/>
  <c r="S1964" i="17"/>
  <c r="S1965" i="17"/>
  <c r="S1966" i="17"/>
  <c r="S1967" i="17"/>
  <c r="S1968" i="17"/>
  <c r="S1969" i="17"/>
  <c r="S1970" i="17"/>
  <c r="S1971" i="17"/>
  <c r="S1972" i="17"/>
  <c r="S1973" i="17"/>
  <c r="S1974" i="17"/>
  <c r="S1975" i="17"/>
  <c r="S1976" i="17"/>
  <c r="S1977" i="17"/>
  <c r="S1978" i="17"/>
  <c r="S1979" i="17"/>
  <c r="S1980" i="17"/>
  <c r="S1981" i="17"/>
  <c r="S1982" i="17"/>
  <c r="S1983" i="17"/>
  <c r="S1984" i="17"/>
  <c r="S1985" i="17"/>
  <c r="S1986" i="17"/>
  <c r="S1987" i="17"/>
  <c r="S1988" i="17"/>
  <c r="S1989" i="17"/>
  <c r="S1990" i="17"/>
  <c r="S1991" i="17"/>
  <c r="S1992" i="17"/>
  <c r="S1993" i="17"/>
  <c r="S1994" i="17"/>
  <c r="S1995" i="17"/>
  <c r="S1996" i="17"/>
  <c r="S1997" i="17"/>
  <c r="S1998" i="17"/>
  <c r="S1999" i="17"/>
  <c r="S2000" i="17"/>
  <c r="S2001" i="17"/>
  <c r="S2002" i="17"/>
  <c r="S2003" i="17"/>
  <c r="S2004" i="17"/>
  <c r="S2005" i="17"/>
  <c r="S2006" i="17"/>
  <c r="S2007" i="17"/>
  <c r="S2008" i="17"/>
  <c r="S2009" i="17"/>
  <c r="S2010" i="17"/>
  <c r="S2011" i="17"/>
  <c r="S2012" i="17"/>
  <c r="S2013" i="17"/>
  <c r="S2014" i="17"/>
  <c r="S2015" i="17"/>
  <c r="S2016" i="17"/>
  <c r="S2017" i="17"/>
  <c r="S2018" i="17"/>
  <c r="S2019" i="17"/>
  <c r="S2020" i="17"/>
  <c r="S2021" i="17"/>
  <c r="S2022" i="17"/>
  <c r="S2023" i="17"/>
  <c r="S2024" i="17"/>
  <c r="S2025" i="17"/>
  <c r="S2026" i="17"/>
  <c r="S2027" i="17"/>
  <c r="S2028" i="17"/>
  <c r="S2029" i="17"/>
  <c r="S2030" i="17"/>
  <c r="S2031" i="17"/>
  <c r="S2032" i="17"/>
  <c r="S2033" i="17"/>
  <c r="S2034" i="17"/>
  <c r="S2035" i="17"/>
  <c r="S2036" i="17"/>
  <c r="S2037" i="17"/>
  <c r="S2038" i="17"/>
  <c r="S2039" i="17"/>
  <c r="S2040" i="17"/>
  <c r="S2041" i="17"/>
  <c r="S2042" i="17"/>
  <c r="S2043" i="17"/>
  <c r="S2044" i="17"/>
  <c r="S2045" i="17"/>
  <c r="S2046" i="17"/>
  <c r="S2047" i="17"/>
  <c r="S2048" i="17"/>
  <c r="S2049" i="17"/>
  <c r="S2050" i="17"/>
  <c r="S2051" i="17"/>
  <c r="S2052" i="17"/>
  <c r="S2053" i="17"/>
  <c r="S2054" i="17"/>
  <c r="S2055" i="17"/>
  <c r="S2056" i="17"/>
  <c r="S2057" i="17"/>
  <c r="S2058" i="17"/>
  <c r="S2059" i="17"/>
  <c r="S2060" i="17"/>
  <c r="S2061" i="17"/>
  <c r="S2062" i="17"/>
  <c r="S2063" i="17"/>
  <c r="S2064" i="17"/>
  <c r="S2065" i="17"/>
  <c r="S2066" i="17"/>
  <c r="S2067" i="17"/>
  <c r="S2068" i="17"/>
  <c r="S2069" i="17"/>
  <c r="S2070" i="17"/>
  <c r="S2071" i="17"/>
  <c r="S2072" i="17"/>
  <c r="S2073" i="17"/>
  <c r="S2074" i="17"/>
  <c r="S2075" i="17"/>
  <c r="S2076" i="17"/>
  <c r="S2077" i="17"/>
  <c r="S2078" i="17"/>
  <c r="S2079" i="17"/>
  <c r="S2080" i="17"/>
  <c r="S2081" i="17"/>
  <c r="S2082" i="17"/>
  <c r="S2083" i="17"/>
  <c r="S2084" i="17"/>
  <c r="S2085" i="17"/>
  <c r="S2086" i="17"/>
  <c r="S2087" i="17"/>
  <c r="S2088" i="17"/>
  <c r="S2089" i="17"/>
  <c r="S2090" i="17"/>
  <c r="S2091" i="17"/>
  <c r="S2092" i="17"/>
  <c r="S2093" i="17"/>
  <c r="S2094" i="17"/>
  <c r="S2095" i="17"/>
  <c r="S2096" i="17"/>
  <c r="S2097" i="17"/>
  <c r="S2098" i="17"/>
  <c r="S2099" i="17"/>
  <c r="S2100" i="17"/>
  <c r="S2101" i="17"/>
  <c r="S2102" i="17"/>
  <c r="S2103" i="17"/>
  <c r="S2104" i="17"/>
  <c r="S2105" i="17"/>
  <c r="S2106" i="17"/>
  <c r="S2107" i="17"/>
  <c r="S2108" i="17"/>
  <c r="S2109" i="17"/>
  <c r="S2110" i="17"/>
  <c r="S2111" i="17"/>
  <c r="S2112" i="17"/>
  <c r="S2113" i="17"/>
  <c r="S2114" i="17"/>
  <c r="S2115" i="17"/>
  <c r="S2116" i="17"/>
  <c r="S2117" i="17"/>
  <c r="S2118" i="17"/>
  <c r="S2119" i="17"/>
  <c r="S2120" i="17"/>
  <c r="S2121" i="17"/>
  <c r="S2122" i="17"/>
  <c r="S2123" i="17"/>
  <c r="S2124" i="17"/>
  <c r="S2125" i="17"/>
  <c r="S2126" i="17"/>
  <c r="S2127" i="17"/>
  <c r="S2128" i="17"/>
  <c r="S2129" i="17"/>
  <c r="S2130" i="17"/>
  <c r="S2131" i="17"/>
  <c r="S2132" i="17"/>
  <c r="S2133" i="17"/>
  <c r="S2134" i="17"/>
  <c r="S2135" i="17"/>
  <c r="S2136" i="17"/>
  <c r="S2137" i="17"/>
  <c r="S2138" i="17"/>
  <c r="S2139" i="17"/>
  <c r="S2140" i="17"/>
  <c r="S2141" i="17"/>
  <c r="S2142" i="17"/>
  <c r="S2143" i="17"/>
  <c r="S2144" i="17"/>
  <c r="S2145" i="17"/>
  <c r="S2146" i="17"/>
  <c r="S2147" i="17"/>
  <c r="S2148" i="17"/>
  <c r="S2149" i="17"/>
  <c r="S2150" i="17"/>
  <c r="S2151" i="17"/>
  <c r="S2152" i="17"/>
  <c r="S2153" i="17"/>
  <c r="S2154" i="17"/>
  <c r="S2155" i="17"/>
  <c r="S2156" i="17"/>
  <c r="S2157" i="17"/>
  <c r="S2158" i="17"/>
  <c r="S2159" i="17"/>
  <c r="S2160" i="17"/>
  <c r="S2161" i="17"/>
  <c r="S2162" i="17"/>
  <c r="S2163" i="17"/>
  <c r="S2164" i="17"/>
  <c r="S2165" i="17"/>
  <c r="S2166" i="17"/>
  <c r="S2167" i="17"/>
  <c r="S2168" i="17"/>
  <c r="S2169" i="17"/>
  <c r="S2170" i="17"/>
  <c r="S2171" i="17"/>
  <c r="S2172" i="17"/>
  <c r="S2173" i="17"/>
  <c r="S2174" i="17"/>
  <c r="S2175" i="17"/>
  <c r="S2176" i="17"/>
  <c r="S2177" i="17"/>
  <c r="S2178" i="17"/>
  <c r="S2179" i="17"/>
  <c r="S2180" i="17"/>
  <c r="S2181" i="17"/>
  <c r="S2182" i="17"/>
  <c r="S2183" i="17"/>
  <c r="S2184" i="17"/>
  <c r="S2185" i="17"/>
  <c r="S2186" i="17"/>
  <c r="S2187" i="17"/>
  <c r="S2188" i="17"/>
  <c r="S2189" i="17"/>
  <c r="S2190" i="17"/>
  <c r="S2191" i="17"/>
  <c r="S2192" i="17"/>
  <c r="S2193" i="17"/>
  <c r="S2194" i="17"/>
  <c r="S2195" i="17"/>
  <c r="S2196" i="17"/>
  <c r="S2197" i="17"/>
  <c r="S2198" i="17"/>
  <c r="S2199" i="17"/>
  <c r="S2200" i="17"/>
  <c r="S2201" i="17"/>
  <c r="S2202" i="17"/>
  <c r="S2203" i="17"/>
  <c r="S2204" i="17"/>
  <c r="S2205" i="17"/>
  <c r="S2206" i="17"/>
  <c r="S2207" i="17"/>
  <c r="S2208" i="17"/>
  <c r="S2209" i="17"/>
  <c r="S2210" i="17"/>
  <c r="S2211" i="17"/>
  <c r="S2212" i="17"/>
  <c r="S2213" i="17"/>
  <c r="S2214" i="17"/>
  <c r="S2215" i="17"/>
  <c r="S2216" i="17"/>
  <c r="S2217" i="17"/>
  <c r="S2218" i="17"/>
  <c r="S2219" i="17"/>
  <c r="S2220" i="17"/>
  <c r="S2221" i="17"/>
  <c r="S2222" i="17"/>
  <c r="S2223" i="17"/>
  <c r="S2224" i="17"/>
  <c r="S2225" i="17"/>
  <c r="S2226" i="17"/>
  <c r="S2227" i="17"/>
  <c r="S2228" i="17"/>
  <c r="S2229" i="17"/>
  <c r="S2230" i="17"/>
  <c r="S2231" i="17"/>
  <c r="S2232" i="17"/>
  <c r="S2233" i="17"/>
  <c r="S2234" i="17"/>
  <c r="S2235" i="17"/>
  <c r="S2236" i="17"/>
  <c r="S2237" i="17"/>
  <c r="S2238" i="17"/>
  <c r="S2239" i="17"/>
  <c r="S2240" i="17"/>
  <c r="S2241" i="17"/>
  <c r="S2242" i="17"/>
  <c r="S2243" i="17"/>
  <c r="S2244" i="17"/>
  <c r="S2245" i="17"/>
  <c r="S2246" i="17"/>
  <c r="S2247" i="17"/>
  <c r="S2248" i="17"/>
  <c r="S2249" i="17"/>
  <c r="S2250" i="17"/>
  <c r="S2251" i="17"/>
  <c r="S2252" i="17"/>
  <c r="S2253" i="17"/>
  <c r="S2254" i="17"/>
  <c r="S2255" i="17"/>
  <c r="S2256" i="17"/>
  <c r="S2257" i="17"/>
  <c r="S2258" i="17"/>
  <c r="S2259" i="17"/>
  <c r="S2260" i="17"/>
  <c r="S2261" i="17"/>
  <c r="S2262" i="17"/>
  <c r="S2263" i="17"/>
  <c r="S2264" i="17"/>
  <c r="S2265" i="17"/>
  <c r="S2266" i="17"/>
  <c r="S2267" i="17"/>
  <c r="S2268" i="17"/>
  <c r="S2269" i="17"/>
  <c r="S2270" i="17"/>
  <c r="S2271" i="17"/>
  <c r="S2272" i="17"/>
  <c r="S2273" i="17"/>
  <c r="S2274" i="17"/>
  <c r="S2275" i="17"/>
  <c r="S2276" i="17"/>
  <c r="S2277" i="17"/>
  <c r="S2278" i="17"/>
  <c r="S2279" i="17"/>
  <c r="S2280" i="17"/>
  <c r="S2281" i="17"/>
  <c r="S2282" i="17"/>
  <c r="S2283" i="17"/>
  <c r="S2284" i="17"/>
  <c r="S2285" i="17"/>
  <c r="S2286" i="17"/>
  <c r="S2287" i="17"/>
  <c r="S2288" i="17"/>
  <c r="S2289" i="17"/>
  <c r="S2290" i="17"/>
  <c r="S2291" i="17"/>
  <c r="S2292" i="17"/>
  <c r="S2293" i="17"/>
  <c r="S2294" i="17"/>
  <c r="S2295" i="17"/>
  <c r="S2296" i="17"/>
  <c r="S2297" i="17"/>
  <c r="S2298" i="17"/>
  <c r="S2299" i="17"/>
  <c r="S2300" i="17"/>
  <c r="S2301" i="17"/>
  <c r="S2302" i="17"/>
  <c r="S2303" i="17"/>
  <c r="S2304" i="17"/>
  <c r="S2305" i="17"/>
  <c r="S2306" i="17"/>
  <c r="S2307" i="17"/>
  <c r="S2308" i="17"/>
  <c r="S2309" i="17"/>
  <c r="S2310" i="17"/>
  <c r="S2311" i="17"/>
  <c r="S2312" i="17"/>
  <c r="S2313" i="17"/>
  <c r="S2314" i="17"/>
  <c r="S2315" i="17"/>
  <c r="S2316" i="17"/>
  <c r="S2317" i="17"/>
  <c r="S2318" i="17"/>
  <c r="S2319" i="17"/>
  <c r="S2320" i="17"/>
  <c r="S2321" i="17"/>
  <c r="S2322" i="17"/>
  <c r="S2323" i="17"/>
  <c r="S2324" i="17"/>
  <c r="S2325" i="17"/>
  <c r="S2326" i="17"/>
  <c r="S2327" i="17"/>
  <c r="S2328" i="17"/>
  <c r="S2329" i="17"/>
  <c r="S2330" i="17"/>
  <c r="S2331" i="17"/>
  <c r="S2332" i="17"/>
  <c r="S2333" i="17"/>
  <c r="S2334" i="17"/>
  <c r="S2335" i="17"/>
  <c r="S2336" i="17"/>
  <c r="S2337" i="17"/>
  <c r="S2338" i="17"/>
  <c r="S2339" i="17"/>
  <c r="S2340" i="17"/>
  <c r="S2341" i="17"/>
  <c r="S2342" i="17"/>
  <c r="S2343" i="17"/>
  <c r="S2344" i="17"/>
  <c r="S2345" i="17"/>
  <c r="S2346" i="17"/>
  <c r="S2347" i="17"/>
  <c r="S2348" i="17"/>
  <c r="S2349" i="17"/>
  <c r="S2350" i="17"/>
  <c r="S2351" i="17"/>
  <c r="S2352" i="17"/>
  <c r="S2353" i="17"/>
  <c r="S2354" i="17"/>
  <c r="S2355" i="17"/>
  <c r="S2356" i="17"/>
  <c r="S2357" i="17"/>
  <c r="S2358" i="17"/>
  <c r="S2359" i="17"/>
  <c r="S2360" i="17"/>
  <c r="S2361" i="17"/>
  <c r="S2362" i="17"/>
  <c r="S2363" i="17"/>
  <c r="S2364" i="17"/>
  <c r="S2365" i="17"/>
  <c r="S2366" i="17"/>
  <c r="S2367" i="17"/>
  <c r="S2368" i="17"/>
  <c r="S2369" i="17"/>
  <c r="S2370" i="17"/>
  <c r="S2371" i="17"/>
  <c r="S2372" i="17"/>
  <c r="S2373" i="17"/>
  <c r="S2374" i="17"/>
  <c r="S2375" i="17"/>
  <c r="S2376" i="17"/>
  <c r="S2377" i="17"/>
  <c r="S2378" i="17"/>
  <c r="S2379" i="17"/>
  <c r="S2380" i="17"/>
  <c r="S2381" i="17"/>
  <c r="S2382" i="17"/>
  <c r="S2383" i="17"/>
  <c r="S2384" i="17"/>
  <c r="S2385" i="17"/>
  <c r="S2386" i="17"/>
  <c r="S2387" i="17"/>
  <c r="S2388" i="17"/>
  <c r="S2389" i="17"/>
  <c r="S2390" i="17"/>
  <c r="S2391" i="17"/>
  <c r="S2392" i="17"/>
  <c r="S2393" i="17"/>
  <c r="S2394" i="17"/>
  <c r="S2395" i="17"/>
  <c r="S2396" i="17"/>
  <c r="S2397" i="17"/>
  <c r="S2398" i="17"/>
  <c r="S2399" i="17"/>
  <c r="S2400" i="17"/>
  <c r="S2401" i="17"/>
  <c r="S2402" i="17"/>
  <c r="S2403" i="17"/>
  <c r="S2404" i="17"/>
  <c r="S2405" i="17"/>
  <c r="S2406" i="17"/>
  <c r="S2407" i="17"/>
  <c r="S2408" i="17"/>
  <c r="S2409" i="17"/>
  <c r="S2410" i="17"/>
  <c r="S2411" i="17"/>
  <c r="S2412" i="17"/>
  <c r="S2413" i="17"/>
  <c r="S2414" i="17"/>
  <c r="S2415" i="17"/>
  <c r="S2416" i="17"/>
  <c r="S2417" i="17"/>
  <c r="S2418" i="17"/>
  <c r="S2419" i="17"/>
  <c r="S2420" i="17"/>
  <c r="S2421" i="17"/>
  <c r="S2422" i="17"/>
  <c r="S2423" i="17"/>
  <c r="S2424" i="17"/>
  <c r="S2425" i="17"/>
  <c r="S2426" i="17"/>
  <c r="S2427" i="17"/>
  <c r="S2428" i="17"/>
  <c r="S2429" i="17"/>
  <c r="S2430" i="17"/>
  <c r="S2431" i="17"/>
  <c r="S2432" i="17"/>
  <c r="S2433" i="17"/>
  <c r="S2434" i="17"/>
  <c r="S2435" i="17"/>
  <c r="S2436" i="17"/>
  <c r="S2437" i="17"/>
  <c r="S2438" i="17"/>
  <c r="S2439" i="17"/>
  <c r="S2440" i="17"/>
  <c r="S2441" i="17"/>
  <c r="S2442" i="17"/>
  <c r="S2443" i="17"/>
  <c r="S2444" i="17"/>
  <c r="S2445" i="17"/>
  <c r="S2446" i="17"/>
  <c r="S2447" i="17"/>
  <c r="S2448" i="17"/>
  <c r="S2449" i="17"/>
  <c r="S2450" i="17"/>
  <c r="S2451" i="17"/>
  <c r="S2452" i="17"/>
  <c r="S2453" i="17"/>
  <c r="S2454" i="17"/>
  <c r="S2455" i="17"/>
  <c r="S2456" i="17"/>
  <c r="S2457" i="17"/>
  <c r="S2458" i="17"/>
  <c r="S2459" i="17"/>
  <c r="S2460" i="17"/>
  <c r="S2461" i="17"/>
  <c r="S2462" i="17"/>
  <c r="S2463" i="17"/>
  <c r="S2464" i="17"/>
  <c r="S2465" i="17"/>
  <c r="S2466" i="17"/>
  <c r="S2467" i="17"/>
  <c r="S2468" i="17"/>
  <c r="S2469" i="17"/>
  <c r="S2470" i="17"/>
  <c r="S2471" i="17"/>
  <c r="S2472" i="17"/>
  <c r="S2473" i="17"/>
  <c r="S2474" i="17"/>
  <c r="S2475" i="17"/>
  <c r="S2476" i="17"/>
  <c r="S2477" i="17"/>
  <c r="S2478" i="17"/>
  <c r="S2479" i="17"/>
  <c r="S2480" i="17"/>
  <c r="S2481" i="17"/>
  <c r="S2482" i="17"/>
  <c r="S2483" i="17"/>
  <c r="S2484" i="17"/>
  <c r="S2485" i="17"/>
  <c r="S2486" i="17"/>
  <c r="S2487" i="17"/>
  <c r="S2488" i="17"/>
  <c r="S2489" i="17"/>
  <c r="S2490" i="17"/>
  <c r="S2491" i="17"/>
  <c r="S2492" i="17"/>
  <c r="S2493" i="17"/>
  <c r="S2494" i="17"/>
  <c r="S2495" i="17"/>
  <c r="S2496" i="17"/>
  <c r="S2497" i="17"/>
  <c r="S2498" i="17"/>
  <c r="S2499" i="17"/>
  <c r="S2500" i="17"/>
  <c r="S2501" i="17"/>
  <c r="S2502" i="17"/>
  <c r="S2503" i="17"/>
  <c r="S2504" i="17"/>
  <c r="S2505" i="17"/>
  <c r="S2506" i="17"/>
  <c r="S2507" i="17"/>
  <c r="S2508" i="17"/>
  <c r="S2509" i="17"/>
  <c r="S2510" i="17"/>
  <c r="S2511" i="17"/>
  <c r="S2512" i="17"/>
  <c r="S2513" i="17"/>
  <c r="S2514" i="17"/>
  <c r="S2515" i="17"/>
  <c r="S2516" i="17"/>
  <c r="S2517" i="17"/>
  <c r="S2518" i="17"/>
  <c r="S2519" i="17"/>
  <c r="S2520" i="17"/>
  <c r="S2521" i="17"/>
  <c r="S2522" i="17"/>
  <c r="S2523" i="17"/>
  <c r="S2524" i="17"/>
  <c r="S2525" i="17"/>
  <c r="S2526" i="17"/>
  <c r="S2527" i="17"/>
  <c r="S2528" i="17"/>
  <c r="S2529" i="17"/>
  <c r="S2530" i="17"/>
  <c r="S2531" i="17"/>
  <c r="S2532" i="17"/>
  <c r="S2533" i="17"/>
  <c r="S2534" i="17"/>
  <c r="S2535" i="17"/>
  <c r="S2536" i="17"/>
  <c r="S2537" i="17"/>
  <c r="S2538" i="17"/>
  <c r="S2539" i="17"/>
  <c r="S2540" i="17"/>
  <c r="S2541" i="17"/>
  <c r="S2542" i="17"/>
  <c r="S2543" i="17"/>
  <c r="S2544" i="17"/>
  <c r="S2545" i="17"/>
  <c r="S2546" i="17"/>
  <c r="S2547" i="17"/>
  <c r="S2548" i="17"/>
  <c r="S2549" i="17"/>
  <c r="S2550" i="17"/>
  <c r="S2551" i="17"/>
  <c r="S2552" i="17"/>
  <c r="S2553" i="17"/>
  <c r="S2554" i="17"/>
  <c r="S2555" i="17"/>
  <c r="S2556" i="17"/>
  <c r="S2557" i="17"/>
  <c r="S2558" i="17"/>
  <c r="S2559" i="17"/>
  <c r="S2560" i="17"/>
  <c r="S2561" i="17"/>
  <c r="S2562" i="17"/>
  <c r="S2563" i="17"/>
  <c r="S2564" i="17"/>
  <c r="S2565" i="17"/>
  <c r="S2566" i="17"/>
  <c r="S2567" i="17"/>
  <c r="S2568" i="17"/>
  <c r="S2569" i="17"/>
  <c r="S2570" i="17"/>
  <c r="S2571" i="17"/>
  <c r="S2572" i="17"/>
  <c r="S2573" i="17"/>
  <c r="S2574" i="17"/>
  <c r="S2575" i="17"/>
  <c r="S2576" i="17"/>
  <c r="S2577" i="17"/>
  <c r="S2578" i="17"/>
  <c r="S2579" i="17"/>
  <c r="S2580" i="17"/>
  <c r="S2581" i="17"/>
  <c r="S2582" i="17"/>
  <c r="S2583" i="17"/>
  <c r="S2584" i="17"/>
  <c r="S2585" i="17"/>
  <c r="S2586" i="17"/>
  <c r="S2587" i="17"/>
  <c r="S2588" i="17"/>
  <c r="S2589" i="17"/>
  <c r="S2590" i="17"/>
  <c r="S2591" i="17"/>
  <c r="S2592" i="17"/>
  <c r="S2593" i="17"/>
  <c r="S2594" i="17"/>
  <c r="S2595" i="17"/>
  <c r="S2596" i="17"/>
  <c r="S2597" i="17"/>
  <c r="S2598" i="17"/>
  <c r="S2599" i="17"/>
  <c r="S2600" i="17"/>
  <c r="S2601" i="17"/>
  <c r="S2602" i="17"/>
  <c r="S2603" i="17"/>
  <c r="S2604" i="17"/>
  <c r="S2605" i="17"/>
  <c r="S2606" i="17"/>
  <c r="S2607" i="17"/>
  <c r="S2608" i="17"/>
  <c r="S2609" i="17"/>
  <c r="S2610" i="17"/>
  <c r="S2611" i="17"/>
  <c r="S2612" i="17"/>
  <c r="S2613" i="17"/>
  <c r="S2614" i="17"/>
  <c r="S2615" i="17"/>
  <c r="S2616" i="17"/>
  <c r="S2617" i="17"/>
  <c r="S2618" i="17"/>
  <c r="S2619" i="17"/>
  <c r="S2620" i="17"/>
  <c r="S2621" i="17"/>
  <c r="S2622" i="17"/>
  <c r="S2623" i="17"/>
  <c r="S2624" i="17"/>
  <c r="S2625" i="17"/>
  <c r="S2626" i="17"/>
  <c r="S2627" i="17"/>
  <c r="S2628" i="17"/>
  <c r="S2629" i="17"/>
  <c r="S2630" i="17"/>
  <c r="S2631" i="17"/>
  <c r="S2632" i="17"/>
  <c r="S2633" i="17"/>
  <c r="S2634" i="17"/>
  <c r="S2635" i="17"/>
  <c r="S2636" i="17"/>
  <c r="S2637" i="17"/>
  <c r="S2638" i="17"/>
  <c r="S2639" i="17"/>
  <c r="S2640" i="17"/>
  <c r="S2641" i="17"/>
  <c r="S2642" i="17"/>
  <c r="S2643" i="17"/>
  <c r="S2644" i="17"/>
  <c r="S2645" i="17"/>
  <c r="S2646" i="17"/>
  <c r="S2647" i="17"/>
  <c r="S2648" i="17"/>
  <c r="S2649" i="17"/>
  <c r="S2650" i="17"/>
  <c r="S2651" i="17"/>
  <c r="S2652" i="17"/>
  <c r="S2653" i="17"/>
  <c r="S2654" i="17"/>
  <c r="S2655" i="17"/>
  <c r="S2656" i="17"/>
  <c r="S2657" i="17"/>
  <c r="S2658" i="17"/>
  <c r="S2659" i="17"/>
  <c r="S2660" i="17"/>
  <c r="S2661" i="17"/>
  <c r="S2662" i="17"/>
  <c r="S2663" i="17"/>
  <c r="S2664" i="17"/>
  <c r="S2665" i="17"/>
  <c r="S2666" i="17"/>
  <c r="S2667" i="17"/>
  <c r="S2668" i="17"/>
  <c r="S2669" i="17"/>
  <c r="S2670" i="17"/>
  <c r="S2671" i="17"/>
  <c r="S2672" i="17"/>
  <c r="S2673" i="17"/>
  <c r="S2674" i="17"/>
  <c r="S2675" i="17"/>
  <c r="S2676" i="17"/>
  <c r="S2677" i="17"/>
  <c r="S2678" i="17"/>
  <c r="S2679" i="17"/>
  <c r="S2680" i="17"/>
  <c r="S2681" i="17"/>
  <c r="S2682" i="17"/>
  <c r="S2683" i="17"/>
  <c r="S2684" i="17"/>
  <c r="S2685" i="17"/>
  <c r="S2686" i="17"/>
  <c r="S2687" i="17"/>
  <c r="S2688" i="17"/>
  <c r="S2689" i="17"/>
  <c r="S2690" i="17"/>
  <c r="S2691" i="17"/>
  <c r="S2692" i="17"/>
  <c r="S2693" i="17"/>
  <c r="S2694" i="17"/>
  <c r="S2695" i="17"/>
  <c r="S2696" i="17"/>
  <c r="S2697" i="17"/>
  <c r="S2698" i="17"/>
  <c r="S2699" i="17"/>
  <c r="S2700" i="17"/>
  <c r="S2701" i="17"/>
  <c r="S2702" i="17"/>
  <c r="S2703" i="17"/>
  <c r="S2704" i="17"/>
  <c r="S2705" i="17"/>
  <c r="S2706" i="17"/>
  <c r="S2707" i="17"/>
  <c r="S2708" i="17"/>
  <c r="S2709" i="17"/>
  <c r="S2710" i="17"/>
  <c r="S2711" i="17"/>
  <c r="S2712" i="17"/>
  <c r="S2713" i="17"/>
  <c r="S2714" i="17"/>
  <c r="S2715" i="17"/>
  <c r="S2716" i="17"/>
  <c r="S2717" i="17"/>
  <c r="S2718" i="17"/>
  <c r="S2719" i="17"/>
  <c r="S2720" i="17"/>
  <c r="S2721" i="17"/>
  <c r="S2722" i="17"/>
  <c r="S2723" i="17"/>
  <c r="S2724" i="17"/>
  <c r="S2725" i="17"/>
  <c r="S2726" i="17"/>
  <c r="S2727" i="17"/>
  <c r="S2728" i="17"/>
  <c r="S2729" i="17"/>
  <c r="S2730" i="17"/>
  <c r="S2731" i="17"/>
  <c r="S2732" i="17"/>
  <c r="S2733" i="17"/>
  <c r="S2734" i="17"/>
  <c r="S2735" i="17"/>
  <c r="S2736" i="17"/>
  <c r="S2737" i="17"/>
  <c r="S2738" i="17"/>
  <c r="S2739" i="17"/>
  <c r="S2740" i="17"/>
  <c r="S2741" i="17"/>
  <c r="S2742" i="17"/>
  <c r="S2743" i="17"/>
  <c r="S2744" i="17"/>
  <c r="S2745" i="17"/>
  <c r="S2746" i="17"/>
  <c r="S2747" i="17"/>
  <c r="S2748" i="17"/>
  <c r="S2749" i="17"/>
  <c r="S2750" i="17"/>
  <c r="S2751" i="17"/>
  <c r="S2752" i="17"/>
  <c r="S2753" i="17"/>
  <c r="S2754" i="17"/>
  <c r="S2755" i="17"/>
  <c r="S2756" i="17"/>
  <c r="S2757" i="17"/>
  <c r="S2758" i="17"/>
  <c r="S2759" i="17"/>
  <c r="S2760" i="17"/>
  <c r="S2761" i="17"/>
  <c r="S2762" i="17"/>
  <c r="S2763" i="17"/>
  <c r="S2764" i="17"/>
  <c r="S2765" i="17"/>
  <c r="S2766" i="17"/>
  <c r="S2767" i="17"/>
  <c r="S2768" i="17"/>
  <c r="S2769" i="17"/>
  <c r="S2770" i="17"/>
  <c r="S2771" i="17"/>
  <c r="S2772" i="17"/>
  <c r="S2773" i="17"/>
  <c r="S2774" i="17"/>
  <c r="S2775" i="17"/>
  <c r="S2776" i="17"/>
  <c r="S2777" i="17"/>
  <c r="S2778" i="17"/>
  <c r="S2779" i="17"/>
  <c r="S2780" i="17"/>
  <c r="S2781" i="17"/>
  <c r="S2782" i="17"/>
  <c r="S2783" i="17"/>
  <c r="S2784" i="17"/>
  <c r="S2785" i="17"/>
  <c r="S2786" i="17"/>
  <c r="S2787" i="17"/>
  <c r="S2788" i="17"/>
  <c r="S2789" i="17"/>
  <c r="S2790" i="17"/>
  <c r="S2791" i="17"/>
  <c r="S2792" i="17"/>
  <c r="S2793" i="17"/>
  <c r="S2794" i="17"/>
  <c r="S2795" i="17"/>
  <c r="S2796" i="17"/>
  <c r="S2797" i="17"/>
  <c r="S2798" i="17"/>
  <c r="S2799" i="17"/>
  <c r="S2800" i="17"/>
  <c r="S2801" i="17"/>
  <c r="S2802" i="17"/>
  <c r="S2803" i="17"/>
  <c r="S2804" i="17"/>
  <c r="S2805" i="17"/>
  <c r="S2806" i="17"/>
  <c r="S2807" i="17"/>
  <c r="S2808" i="17"/>
  <c r="S2809" i="17"/>
  <c r="S2810" i="17"/>
  <c r="S2811" i="17"/>
  <c r="S2812" i="17"/>
  <c r="S2813" i="17"/>
  <c r="S2814" i="17"/>
  <c r="S2815" i="17"/>
  <c r="S2816" i="17"/>
  <c r="S2817" i="17"/>
  <c r="S2818" i="17"/>
  <c r="S2819" i="17"/>
  <c r="S2820" i="17"/>
  <c r="S2821" i="17"/>
  <c r="S2822" i="17"/>
  <c r="S2823" i="17"/>
  <c r="S2824" i="17"/>
  <c r="S2825" i="17"/>
  <c r="S2826" i="17"/>
  <c r="S2827" i="17"/>
  <c r="S2828" i="17"/>
  <c r="S2829" i="17"/>
  <c r="S2830" i="17"/>
  <c r="S2831" i="17"/>
  <c r="S2832" i="17"/>
  <c r="S2833" i="17"/>
  <c r="S2834" i="17"/>
  <c r="S2835" i="17"/>
  <c r="S2836" i="17"/>
  <c r="S2837" i="17"/>
  <c r="S2838" i="17"/>
  <c r="S2839" i="17"/>
  <c r="S2840" i="17"/>
  <c r="S2841" i="17"/>
  <c r="S2842" i="17"/>
  <c r="S2843" i="17"/>
  <c r="S2844" i="17"/>
  <c r="S2845" i="17"/>
  <c r="S2846" i="17"/>
  <c r="S2847" i="17"/>
  <c r="S2848" i="17"/>
  <c r="S2849" i="17"/>
  <c r="S2850" i="17"/>
  <c r="S2851" i="17"/>
  <c r="S2852" i="17"/>
  <c r="S2853" i="17"/>
  <c r="S2854" i="17"/>
  <c r="S2855" i="17"/>
  <c r="S2856" i="17"/>
  <c r="S2857" i="17"/>
  <c r="S2858" i="17"/>
  <c r="S2859" i="17"/>
  <c r="S2860" i="17"/>
  <c r="S2861" i="17"/>
  <c r="S2862" i="17"/>
  <c r="S2863" i="17"/>
  <c r="S2864" i="17"/>
  <c r="S2865" i="17"/>
  <c r="S2866" i="17"/>
  <c r="S2867" i="17"/>
  <c r="S2868" i="17"/>
  <c r="S2869" i="17"/>
  <c r="S2870" i="17"/>
  <c r="S2871" i="17"/>
  <c r="S2872" i="17"/>
  <c r="S2873" i="17"/>
  <c r="S2874" i="17"/>
  <c r="S2875" i="17"/>
  <c r="S2876" i="17"/>
  <c r="S2877" i="17"/>
  <c r="S2878" i="17"/>
  <c r="S2879" i="17"/>
  <c r="S2880" i="17"/>
  <c r="S2881" i="17"/>
  <c r="S2882" i="17"/>
  <c r="S2883" i="17"/>
  <c r="S2884" i="17"/>
  <c r="S2885" i="17"/>
  <c r="S2886" i="17"/>
  <c r="S2887" i="17"/>
  <c r="S2888" i="17"/>
  <c r="S2889" i="17"/>
  <c r="S2890" i="17"/>
  <c r="S2891" i="17"/>
  <c r="S2892" i="17"/>
  <c r="S2893" i="17"/>
  <c r="S2894" i="17"/>
  <c r="S2895" i="17"/>
  <c r="S2896" i="17"/>
  <c r="S2897" i="17"/>
  <c r="S2898" i="17"/>
  <c r="S2899" i="17"/>
  <c r="S2900" i="17"/>
  <c r="S2901" i="17"/>
  <c r="S2902" i="17"/>
  <c r="S2903" i="17"/>
  <c r="S2904" i="17"/>
  <c r="S2905" i="17"/>
  <c r="S2906" i="17"/>
  <c r="S2907" i="17"/>
  <c r="S2908" i="17"/>
  <c r="S2909" i="17"/>
  <c r="S2910" i="17"/>
  <c r="S2911" i="17"/>
  <c r="S2912" i="17"/>
  <c r="S2913" i="17"/>
  <c r="S2914" i="17"/>
  <c r="S2915" i="17"/>
  <c r="S2916" i="17"/>
  <c r="S2917" i="17"/>
  <c r="S2918" i="17"/>
  <c r="S2919" i="17"/>
  <c r="S2920" i="17"/>
  <c r="S2921" i="17"/>
  <c r="S2922" i="17"/>
  <c r="S2923" i="17"/>
  <c r="S2924" i="17"/>
  <c r="S2925" i="17"/>
  <c r="S2926" i="17"/>
  <c r="S2927" i="17"/>
  <c r="S2928" i="17"/>
  <c r="S2929" i="17"/>
  <c r="S2930" i="17"/>
  <c r="S2931" i="17"/>
  <c r="S2932" i="17"/>
  <c r="S2933" i="17"/>
  <c r="S2934" i="17"/>
  <c r="S2935" i="17"/>
  <c r="S2936" i="17"/>
  <c r="S2937" i="17"/>
  <c r="S2938" i="17"/>
  <c r="S2939" i="17"/>
  <c r="S2940" i="17"/>
  <c r="S2941" i="17"/>
  <c r="S2942" i="17"/>
  <c r="S2943" i="17"/>
  <c r="S2944" i="17"/>
  <c r="S2945" i="17"/>
  <c r="S2946" i="17"/>
  <c r="S2947" i="17"/>
  <c r="S2948" i="17"/>
  <c r="S2949" i="17"/>
  <c r="S2950" i="17"/>
  <c r="S2951" i="17"/>
  <c r="S2952" i="17"/>
  <c r="S2953" i="17"/>
  <c r="S2954" i="17"/>
  <c r="S2955" i="17"/>
  <c r="S2956" i="17"/>
  <c r="S2957" i="17"/>
  <c r="S2958" i="17"/>
  <c r="S2959" i="17"/>
  <c r="S2960" i="17"/>
  <c r="S2961" i="17"/>
  <c r="S2962" i="17"/>
  <c r="S2963" i="17"/>
  <c r="S2964" i="17"/>
  <c r="S2965" i="17"/>
  <c r="S2966" i="17"/>
  <c r="S2967" i="17"/>
  <c r="S2968" i="17"/>
  <c r="S2969" i="17"/>
  <c r="S2970" i="17"/>
  <c r="S2971" i="17"/>
  <c r="S2972" i="17"/>
  <c r="S2973" i="17"/>
  <c r="S2974" i="17"/>
  <c r="S2975" i="17"/>
  <c r="S2976" i="17"/>
  <c r="S2977" i="17"/>
  <c r="S2978" i="17"/>
  <c r="S2979" i="17"/>
  <c r="S2980" i="17"/>
  <c r="S2981" i="17"/>
  <c r="S2982" i="17"/>
  <c r="S2983" i="17"/>
  <c r="S2984" i="17"/>
  <c r="S2985" i="17"/>
  <c r="S2986" i="17"/>
  <c r="S2987" i="17"/>
  <c r="S2988" i="17"/>
  <c r="S2989" i="17"/>
  <c r="S2990" i="17"/>
  <c r="S2991" i="17"/>
  <c r="S2992" i="17"/>
  <c r="S2993" i="17"/>
  <c r="S2994" i="17"/>
  <c r="S2995" i="17"/>
  <c r="S2996" i="17"/>
  <c r="S2997" i="17"/>
  <c r="S2998" i="17"/>
  <c r="S2999" i="17"/>
  <c r="S3000" i="17"/>
  <c r="S3001" i="17"/>
  <c r="S3002" i="17"/>
  <c r="S3003" i="17"/>
  <c r="S3004" i="17"/>
  <c r="S3005" i="17"/>
  <c r="S3006" i="17"/>
  <c r="S3007" i="17"/>
  <c r="S3008" i="17"/>
  <c r="S3009" i="17"/>
  <c r="S3010" i="17"/>
  <c r="S3011" i="17"/>
  <c r="S3012" i="17"/>
  <c r="S3013" i="17"/>
  <c r="S3014" i="17"/>
  <c r="S3015" i="17"/>
  <c r="S3016" i="17"/>
  <c r="S3017" i="17"/>
  <c r="S3018" i="17"/>
  <c r="S3019" i="17"/>
  <c r="S3020" i="17"/>
  <c r="S3021" i="17"/>
  <c r="S3022" i="17"/>
  <c r="S3023" i="17"/>
  <c r="S3024" i="17"/>
  <c r="S3025" i="17"/>
  <c r="S3026" i="17"/>
  <c r="S3027" i="17"/>
  <c r="S3028" i="17"/>
  <c r="S3029" i="17"/>
  <c r="S3030" i="17"/>
  <c r="S3031" i="17"/>
  <c r="S3032" i="17"/>
  <c r="S3033" i="17"/>
  <c r="S3034" i="17"/>
  <c r="S3035" i="17"/>
  <c r="S3036" i="17"/>
  <c r="S3037" i="17"/>
  <c r="S3038" i="17"/>
  <c r="S3039" i="17"/>
  <c r="S3040" i="17"/>
  <c r="S3041" i="17"/>
  <c r="S3042" i="17"/>
  <c r="S3043" i="17"/>
  <c r="S3044" i="17"/>
  <c r="S3045" i="17"/>
  <c r="S3046" i="17"/>
  <c r="S3047" i="17"/>
  <c r="S3048" i="17"/>
  <c r="S3049" i="17"/>
  <c r="S3050" i="17"/>
  <c r="S3051" i="17"/>
  <c r="S3052" i="17"/>
  <c r="S3053" i="17"/>
  <c r="S3054" i="17"/>
  <c r="S3055" i="17"/>
  <c r="S3056" i="17"/>
  <c r="S3057" i="17"/>
  <c r="S3058" i="17"/>
  <c r="S3059" i="17"/>
  <c r="S3060" i="17"/>
  <c r="S3061" i="17"/>
  <c r="S3062" i="17"/>
  <c r="S3063" i="17"/>
  <c r="S3064" i="17"/>
  <c r="S3065" i="17"/>
  <c r="S3066" i="17"/>
  <c r="S3067" i="17"/>
  <c r="S3068" i="17"/>
  <c r="S3069" i="17"/>
  <c r="S3070" i="17"/>
  <c r="S3071" i="17"/>
  <c r="S3072" i="17"/>
  <c r="S3073" i="17"/>
  <c r="S3074" i="17"/>
  <c r="S3075" i="17"/>
  <c r="S3076" i="17"/>
  <c r="S3077" i="17"/>
  <c r="S3078" i="17"/>
  <c r="S3079" i="17"/>
  <c r="S3080" i="17"/>
  <c r="S3081" i="17"/>
  <c r="S3082" i="17"/>
  <c r="S3083" i="17"/>
  <c r="S3084" i="17"/>
  <c r="S3085" i="17"/>
  <c r="S3086" i="17"/>
  <c r="S3087" i="17"/>
  <c r="S3088" i="17"/>
  <c r="S3089" i="17"/>
  <c r="S3090" i="17"/>
  <c r="S3091" i="17"/>
  <c r="S3092" i="17"/>
  <c r="S3093" i="17"/>
  <c r="S3094" i="17"/>
  <c r="S3095" i="17"/>
  <c r="S3096" i="17"/>
  <c r="S3097" i="17"/>
  <c r="S3098" i="17"/>
  <c r="S3099" i="17"/>
  <c r="S3100" i="17"/>
  <c r="S3101" i="17"/>
  <c r="S3102" i="17"/>
  <c r="S3103" i="17"/>
  <c r="S3104" i="17"/>
  <c r="S3105" i="17"/>
  <c r="S3106" i="17"/>
  <c r="S3107" i="17"/>
  <c r="S3108" i="17"/>
  <c r="S3109" i="17"/>
  <c r="S3110" i="17"/>
  <c r="S3111" i="17"/>
  <c r="S3112" i="17"/>
  <c r="S3113" i="17"/>
  <c r="S3114" i="17"/>
  <c r="S3115" i="17"/>
  <c r="S3116" i="17"/>
  <c r="S3117" i="17"/>
  <c r="S3118" i="17"/>
  <c r="S3119" i="17"/>
  <c r="S3120" i="17"/>
  <c r="S3121" i="17"/>
  <c r="S3122" i="17"/>
  <c r="S3123" i="17"/>
  <c r="S3124" i="17"/>
  <c r="S3125" i="17"/>
  <c r="S3126" i="17"/>
  <c r="S3127" i="17"/>
  <c r="S3128" i="17"/>
  <c r="S3129" i="17"/>
  <c r="S3130" i="17"/>
  <c r="S3131" i="17"/>
  <c r="S3132" i="17"/>
  <c r="S3133" i="17"/>
  <c r="S3134" i="17"/>
  <c r="S3135" i="17"/>
  <c r="S3136" i="17"/>
  <c r="S3137" i="17"/>
  <c r="S3138" i="17"/>
  <c r="S3139" i="17"/>
  <c r="S3140" i="17"/>
  <c r="S3141" i="17"/>
  <c r="S3142" i="17"/>
  <c r="S3143" i="17"/>
  <c r="S3144" i="17"/>
  <c r="S3145" i="17"/>
  <c r="S3146" i="17"/>
  <c r="S3147" i="17"/>
  <c r="S3148" i="17"/>
  <c r="S3149" i="17"/>
  <c r="S3150" i="17"/>
  <c r="S3151" i="17"/>
  <c r="S3152" i="17"/>
  <c r="S3153" i="17"/>
  <c r="S3154" i="17"/>
  <c r="S3155" i="17"/>
  <c r="S3156" i="17"/>
  <c r="S3157" i="17"/>
  <c r="S3158" i="17"/>
  <c r="S3159" i="17"/>
  <c r="S3160" i="17"/>
  <c r="S3161" i="17"/>
  <c r="S3162" i="17"/>
  <c r="S3163" i="17"/>
  <c r="S3164" i="17"/>
  <c r="S3165" i="17"/>
  <c r="S3166" i="17"/>
  <c r="S3167" i="17"/>
  <c r="S3168" i="17"/>
  <c r="S3169" i="17"/>
  <c r="S3170" i="17"/>
  <c r="S3171" i="17"/>
  <c r="S3172" i="17"/>
  <c r="S3173" i="17"/>
  <c r="S3174" i="17"/>
  <c r="S3175" i="17"/>
  <c r="S3176" i="17"/>
  <c r="S3177" i="17"/>
  <c r="S3178" i="17"/>
  <c r="S3179" i="17"/>
  <c r="S3180" i="17"/>
  <c r="S3181" i="17"/>
  <c r="S3182" i="17"/>
  <c r="S3183" i="17"/>
  <c r="S3184" i="17"/>
  <c r="S3185" i="17"/>
  <c r="S3186" i="17"/>
  <c r="S3187" i="17"/>
  <c r="S3188" i="17"/>
  <c r="S3189" i="17"/>
  <c r="S3190" i="17"/>
  <c r="S3191" i="17"/>
  <c r="S3192" i="17"/>
  <c r="S3193" i="17"/>
  <c r="S3194" i="17"/>
  <c r="S3195" i="17"/>
  <c r="S3196" i="17"/>
  <c r="S3197" i="17"/>
  <c r="S3198" i="17"/>
  <c r="S3199" i="17"/>
  <c r="S3200" i="17"/>
  <c r="S3201" i="17"/>
  <c r="S3202" i="17"/>
  <c r="S3203" i="17"/>
  <c r="S3204" i="17"/>
  <c r="S3205" i="17"/>
  <c r="S3206" i="17"/>
  <c r="S3207" i="17"/>
  <c r="S3208" i="17"/>
  <c r="S3209" i="17"/>
  <c r="S3210" i="17"/>
  <c r="S3211" i="17"/>
  <c r="S3212" i="17"/>
  <c r="S3213" i="17"/>
  <c r="S3214" i="17"/>
  <c r="S3215" i="17"/>
  <c r="S3216" i="17"/>
  <c r="S3217" i="17"/>
  <c r="S3218" i="17"/>
  <c r="S3219" i="17"/>
  <c r="S3220" i="17"/>
  <c r="S3221" i="17"/>
  <c r="S3222" i="17"/>
  <c r="S3223" i="17"/>
  <c r="S3224" i="17"/>
  <c r="S3225" i="17"/>
  <c r="S3226" i="17"/>
  <c r="S3227" i="17"/>
  <c r="S3228" i="17"/>
  <c r="S3229" i="17"/>
  <c r="S3230" i="17"/>
  <c r="S3231" i="17"/>
  <c r="S3232" i="17"/>
  <c r="S3233" i="17"/>
  <c r="S3234" i="17"/>
  <c r="S3235" i="17"/>
  <c r="S3236" i="17"/>
  <c r="S3237" i="17"/>
  <c r="S3238" i="17"/>
  <c r="S3239" i="17"/>
  <c r="S3240" i="17"/>
  <c r="S3241" i="17"/>
  <c r="S3242" i="17"/>
  <c r="S3243" i="17"/>
  <c r="S3244" i="17"/>
  <c r="S3245" i="17"/>
  <c r="S3246" i="17"/>
  <c r="S3247" i="17"/>
  <c r="S3248" i="17"/>
  <c r="S3249" i="17"/>
  <c r="S3250" i="17"/>
  <c r="S3251" i="17"/>
  <c r="S3252" i="17"/>
  <c r="S3253" i="17"/>
  <c r="S3254" i="17"/>
  <c r="S3255" i="17"/>
  <c r="S3256" i="17"/>
  <c r="S3257" i="17"/>
  <c r="S3258" i="17"/>
  <c r="S3259" i="17"/>
  <c r="S3260" i="17"/>
  <c r="S3261" i="17"/>
  <c r="S3262" i="17"/>
  <c r="S3263" i="17"/>
  <c r="S3264" i="17"/>
  <c r="S3265" i="17"/>
  <c r="S3266" i="17"/>
  <c r="S3267" i="17"/>
  <c r="S3268" i="17"/>
  <c r="S3269" i="17"/>
  <c r="S3270" i="17"/>
  <c r="S3271" i="17"/>
  <c r="S3272" i="17"/>
  <c r="S3273" i="17"/>
  <c r="S3274" i="17"/>
  <c r="S3275" i="17"/>
  <c r="S3276" i="17"/>
  <c r="S3277" i="17"/>
  <c r="S3278" i="17"/>
  <c r="S3279" i="17"/>
  <c r="S3280" i="17"/>
  <c r="S3281" i="17"/>
  <c r="S3282" i="17"/>
  <c r="S3283" i="17"/>
  <c r="S3284" i="17"/>
  <c r="S3285" i="17"/>
  <c r="S3286" i="17"/>
  <c r="S3287" i="17"/>
  <c r="S3288" i="17"/>
  <c r="S3289" i="17"/>
  <c r="S3290" i="17"/>
  <c r="S3291" i="17"/>
  <c r="S3292" i="17"/>
  <c r="S3293" i="17"/>
  <c r="S3294" i="17"/>
  <c r="S3295" i="17"/>
  <c r="S3296" i="17"/>
  <c r="S3297" i="17"/>
  <c r="S3298" i="17"/>
  <c r="S3299" i="17"/>
  <c r="S3300" i="17"/>
  <c r="S3301" i="17"/>
  <c r="S3302" i="17"/>
  <c r="S3303" i="17"/>
  <c r="S3304" i="17"/>
  <c r="S3305" i="17"/>
  <c r="S3306" i="17"/>
  <c r="S3307" i="17"/>
  <c r="S3308" i="17"/>
  <c r="S3309" i="17"/>
  <c r="S3310" i="17"/>
  <c r="S3311" i="17"/>
  <c r="S3312" i="17"/>
  <c r="S3313" i="17"/>
  <c r="S3314" i="17"/>
  <c r="S3315" i="17"/>
  <c r="S3316" i="17"/>
  <c r="S3317" i="17"/>
  <c r="S3318" i="17"/>
  <c r="S3319" i="17"/>
  <c r="S3320" i="17"/>
  <c r="S3321" i="17"/>
  <c r="S3322" i="17"/>
  <c r="S3323" i="17"/>
  <c r="S3324" i="17"/>
  <c r="S3325" i="17"/>
  <c r="S3326" i="17"/>
  <c r="S3327" i="17"/>
  <c r="S3328" i="17"/>
  <c r="S3329" i="17"/>
  <c r="S3330" i="17"/>
  <c r="S3331" i="17"/>
  <c r="S3332" i="17"/>
  <c r="S3333" i="17"/>
  <c r="S3334" i="17"/>
  <c r="S3335" i="17"/>
  <c r="S3336" i="17"/>
  <c r="S3337" i="17"/>
  <c r="S3338" i="17"/>
  <c r="S3339" i="17"/>
  <c r="S3340" i="17"/>
  <c r="S3341" i="17"/>
  <c r="S3342" i="17"/>
  <c r="S3343" i="17"/>
  <c r="S3344" i="17"/>
  <c r="S3345" i="17"/>
  <c r="S3346" i="17"/>
  <c r="S3347" i="17"/>
  <c r="S3348" i="17"/>
  <c r="S3349" i="17"/>
  <c r="S3350" i="17"/>
  <c r="S3351" i="17"/>
  <c r="S3352" i="17"/>
  <c r="S3353" i="17"/>
  <c r="S3354" i="17"/>
  <c r="S3355" i="17"/>
  <c r="S3356" i="17"/>
  <c r="S3357" i="17"/>
  <c r="S3358" i="17"/>
  <c r="S3359" i="17"/>
  <c r="S3360" i="17"/>
  <c r="S3361" i="17"/>
  <c r="S3362" i="17"/>
  <c r="S3363" i="17"/>
  <c r="S3364" i="17"/>
  <c r="S3365" i="17"/>
  <c r="S3366" i="17"/>
  <c r="S3367" i="17"/>
  <c r="S3368" i="17"/>
  <c r="S3369" i="17"/>
  <c r="S3370" i="17"/>
  <c r="S3371" i="17"/>
  <c r="S3372" i="17"/>
  <c r="S3373" i="17"/>
  <c r="S3374" i="17"/>
  <c r="S3375" i="17"/>
  <c r="S3376" i="17"/>
  <c r="S3377" i="17"/>
  <c r="S3378" i="17"/>
  <c r="S3379" i="17"/>
  <c r="S3380" i="17"/>
  <c r="S3381" i="17"/>
  <c r="S3382" i="17"/>
  <c r="S3383" i="17"/>
  <c r="S3384" i="17"/>
  <c r="S3385" i="17"/>
  <c r="S3386" i="17"/>
  <c r="S3387" i="17"/>
  <c r="S3388" i="17"/>
  <c r="S3389" i="17"/>
  <c r="S3390" i="17"/>
  <c r="S3391" i="17"/>
  <c r="S3392" i="17"/>
  <c r="S3393" i="17"/>
  <c r="S3394" i="17"/>
  <c r="S3395" i="17"/>
  <c r="S3396" i="17"/>
  <c r="S3397" i="17"/>
  <c r="S3398" i="17"/>
  <c r="S3399" i="17"/>
  <c r="S3400" i="17"/>
  <c r="S3401" i="17"/>
  <c r="S3402" i="17"/>
  <c r="S3403" i="17"/>
  <c r="S3404" i="17"/>
  <c r="S3405" i="17"/>
  <c r="S3406" i="17"/>
  <c r="S3407" i="17"/>
  <c r="S3408" i="17"/>
  <c r="S3409" i="17"/>
  <c r="S3410" i="17"/>
  <c r="S3411" i="17"/>
  <c r="S3412" i="17"/>
  <c r="S3413" i="17"/>
  <c r="S3414" i="17"/>
  <c r="S3415" i="17"/>
  <c r="S3416" i="17"/>
  <c r="S3417" i="17"/>
  <c r="S3418" i="17"/>
  <c r="S3419" i="17"/>
  <c r="S3420" i="17"/>
  <c r="S3421" i="17"/>
  <c r="S3422" i="17"/>
  <c r="S3423" i="17"/>
  <c r="S3424" i="17"/>
  <c r="S3425" i="17"/>
  <c r="S3426" i="17"/>
  <c r="S3427" i="17"/>
  <c r="S3428" i="17"/>
  <c r="S3429" i="17"/>
  <c r="S3430" i="17"/>
  <c r="S3431" i="17"/>
  <c r="S3432" i="17"/>
  <c r="S3433" i="17"/>
  <c r="S3434" i="17"/>
  <c r="S3435" i="17"/>
  <c r="S3436" i="17"/>
  <c r="S3437" i="17"/>
  <c r="S3438" i="17"/>
  <c r="S3439" i="17"/>
  <c r="S3440" i="17"/>
  <c r="S3441" i="17"/>
  <c r="S3442" i="17"/>
  <c r="S3443" i="17"/>
  <c r="S3444" i="17"/>
  <c r="S3445" i="17"/>
  <c r="S3446" i="17"/>
  <c r="S3447" i="17"/>
  <c r="S3448" i="17"/>
  <c r="S3449" i="17"/>
  <c r="S3450" i="17"/>
  <c r="S3451" i="17"/>
  <c r="S3452" i="17"/>
  <c r="S3453" i="17"/>
  <c r="S3454" i="17"/>
  <c r="S3455" i="17"/>
  <c r="S3456" i="17"/>
  <c r="S3457" i="17"/>
  <c r="S3458" i="17"/>
  <c r="S3459" i="17"/>
  <c r="S3460" i="17"/>
  <c r="S3461" i="17"/>
  <c r="S3462" i="17"/>
  <c r="S3463" i="17"/>
  <c r="S3464" i="17"/>
  <c r="S3465" i="17"/>
  <c r="S3466" i="17"/>
  <c r="S3467" i="17"/>
  <c r="S3468" i="17"/>
  <c r="S3469" i="17"/>
  <c r="S3470" i="17"/>
  <c r="S3471" i="17"/>
  <c r="S3472" i="17"/>
  <c r="S3473" i="17"/>
  <c r="S3474" i="17"/>
  <c r="S3475" i="17"/>
  <c r="S3476" i="17"/>
  <c r="S3477" i="17"/>
  <c r="S3478" i="17"/>
  <c r="S3479" i="17"/>
  <c r="S3480" i="17"/>
  <c r="S3481" i="17"/>
  <c r="S3482" i="17"/>
  <c r="S3483" i="17"/>
  <c r="S3484" i="17"/>
  <c r="S3485" i="17"/>
  <c r="S3486" i="17"/>
  <c r="S3487" i="17"/>
  <c r="S3488" i="17"/>
  <c r="S3489" i="17"/>
  <c r="S3490" i="17"/>
  <c r="S3491" i="17"/>
  <c r="S3492" i="17"/>
  <c r="S3493" i="17"/>
  <c r="S3494" i="17"/>
  <c r="S3495" i="17"/>
  <c r="S3496" i="17"/>
  <c r="S3497" i="17"/>
  <c r="S3498" i="17"/>
  <c r="S3499" i="17"/>
  <c r="S3500" i="17"/>
  <c r="S3501" i="17"/>
  <c r="S3502" i="17"/>
  <c r="S3503" i="17"/>
  <c r="S3504" i="17"/>
  <c r="S3505" i="17"/>
  <c r="S3506" i="17"/>
  <c r="S3507" i="17"/>
  <c r="S3508" i="17"/>
  <c r="S3509" i="17"/>
  <c r="S3510" i="17"/>
  <c r="S3511" i="17"/>
  <c r="S3512" i="17"/>
  <c r="S3513" i="17"/>
  <c r="S3514" i="17"/>
  <c r="S3515" i="17"/>
  <c r="S3516" i="17"/>
  <c r="S3517" i="17"/>
  <c r="S3518" i="17"/>
  <c r="S3519" i="17"/>
  <c r="S3520" i="17"/>
  <c r="S3521" i="17"/>
  <c r="S3522" i="17"/>
  <c r="S3523" i="17"/>
  <c r="S3524" i="17"/>
  <c r="S3525" i="17"/>
  <c r="S3526" i="17"/>
  <c r="S3527" i="17"/>
  <c r="S3528" i="17"/>
  <c r="S3529" i="17"/>
  <c r="S3530" i="17"/>
  <c r="S3531" i="17"/>
  <c r="S3532" i="17"/>
  <c r="S3533" i="17"/>
  <c r="S3534" i="17"/>
  <c r="S3535" i="17"/>
  <c r="S3536" i="17"/>
  <c r="S3537" i="17"/>
  <c r="S3538" i="17"/>
  <c r="S3539" i="17"/>
  <c r="S3540" i="17"/>
  <c r="S3541" i="17"/>
  <c r="S3542" i="17"/>
  <c r="S3543" i="17"/>
  <c r="S3544" i="17"/>
  <c r="S3545" i="17"/>
  <c r="S3546" i="17"/>
  <c r="S3547" i="17"/>
  <c r="S3548" i="17"/>
  <c r="S3549" i="17"/>
  <c r="S3550" i="17"/>
  <c r="S3551" i="17"/>
  <c r="S3552" i="17"/>
  <c r="S3553" i="17"/>
  <c r="S3554" i="17"/>
  <c r="S3555" i="17"/>
  <c r="S3556" i="17"/>
  <c r="S3557" i="17"/>
  <c r="S3558" i="17"/>
  <c r="S3559" i="17"/>
  <c r="S3560" i="17"/>
  <c r="S3561" i="17"/>
  <c r="S3562" i="17"/>
  <c r="S3563" i="17"/>
  <c r="S3564" i="17"/>
  <c r="S3565" i="17"/>
  <c r="S3566" i="17"/>
  <c r="S3567" i="17"/>
  <c r="S3568" i="17"/>
  <c r="S3569" i="17"/>
  <c r="S3570" i="17"/>
  <c r="S3571" i="17"/>
  <c r="S3572" i="17"/>
  <c r="S3573" i="17"/>
  <c r="S3574" i="17"/>
  <c r="S3575" i="17"/>
  <c r="S3576" i="17"/>
  <c r="S3577" i="17"/>
  <c r="S3578" i="17"/>
  <c r="S3579" i="17"/>
  <c r="S3580" i="17"/>
  <c r="S3581" i="17"/>
  <c r="S3582" i="17"/>
  <c r="S3583" i="17"/>
  <c r="S3584" i="17"/>
  <c r="S3585" i="17"/>
  <c r="S3586" i="17"/>
  <c r="S3587" i="17"/>
  <c r="S3588" i="17"/>
  <c r="S3589" i="17"/>
  <c r="S3590" i="17"/>
  <c r="S3591" i="17"/>
  <c r="S3592" i="17"/>
  <c r="S3593" i="17"/>
  <c r="S3594" i="17"/>
  <c r="S3595" i="17"/>
  <c r="S3596" i="17"/>
  <c r="S3597" i="17"/>
  <c r="S3598" i="17"/>
  <c r="S3599" i="17"/>
  <c r="S3600" i="17"/>
  <c r="S3601" i="17"/>
  <c r="S3602" i="17"/>
  <c r="S3603" i="17"/>
  <c r="S3604" i="17"/>
  <c r="S3605" i="17"/>
  <c r="S3606" i="17"/>
  <c r="S3607" i="17"/>
  <c r="S3608" i="17"/>
  <c r="S3609" i="17"/>
  <c r="S3610" i="17"/>
  <c r="S3611" i="17"/>
  <c r="S3612" i="17"/>
  <c r="S3613" i="17"/>
  <c r="S3614" i="17"/>
  <c r="S3615" i="17"/>
  <c r="S3616" i="17"/>
  <c r="S3617" i="17"/>
  <c r="S3618" i="17"/>
  <c r="S3619" i="17"/>
  <c r="S3620" i="17"/>
  <c r="S3621" i="17"/>
  <c r="S3622" i="17"/>
  <c r="S3623" i="17"/>
  <c r="S3624" i="17"/>
  <c r="S3625" i="17"/>
  <c r="S3626" i="17"/>
  <c r="S3627" i="17"/>
  <c r="S3628" i="17"/>
  <c r="S3629" i="17"/>
  <c r="S3630" i="17"/>
  <c r="S3631" i="17"/>
  <c r="S3632" i="17"/>
  <c r="S3633" i="17"/>
  <c r="S3634" i="17"/>
  <c r="S3635" i="17"/>
  <c r="S3636" i="17"/>
  <c r="S3637" i="17"/>
  <c r="S3638" i="17"/>
  <c r="S3639" i="17"/>
  <c r="S3640" i="17"/>
  <c r="S3641" i="17"/>
  <c r="S3642" i="17"/>
  <c r="S3643" i="17"/>
  <c r="S3644" i="17"/>
  <c r="S3645" i="17"/>
  <c r="S3646" i="17"/>
  <c r="S3647" i="17"/>
  <c r="S3648" i="17"/>
  <c r="S3649" i="17"/>
  <c r="S3650" i="17"/>
  <c r="S3651" i="17"/>
  <c r="S3652" i="17"/>
  <c r="S3653" i="17"/>
  <c r="S3654" i="17"/>
  <c r="S3655" i="17"/>
  <c r="S3656" i="17"/>
  <c r="S3657" i="17"/>
  <c r="S3658" i="17"/>
  <c r="S3659" i="17"/>
  <c r="S3660" i="17"/>
  <c r="S3661" i="17"/>
  <c r="S3662" i="17"/>
  <c r="S3663" i="17"/>
  <c r="S3664" i="17"/>
  <c r="S3665" i="17"/>
  <c r="S3666" i="17"/>
  <c r="S3667" i="17"/>
  <c r="S3668" i="17"/>
  <c r="S3669" i="17"/>
  <c r="S3670" i="17"/>
  <c r="S3671" i="17"/>
  <c r="S3672" i="17"/>
  <c r="S3673" i="17"/>
  <c r="S3674" i="17"/>
  <c r="S3675" i="17"/>
  <c r="S3676" i="17"/>
  <c r="S3677" i="17"/>
  <c r="S3678" i="17"/>
  <c r="S3679" i="17"/>
  <c r="S3680" i="17"/>
  <c r="S3681" i="17"/>
  <c r="S3682" i="17"/>
  <c r="S3683" i="17"/>
  <c r="S3684" i="17"/>
  <c r="S3685" i="17"/>
  <c r="S3686" i="17"/>
  <c r="S3687" i="17"/>
  <c r="S3688" i="17"/>
  <c r="S3689" i="17"/>
  <c r="S3690" i="17"/>
  <c r="S3691" i="17"/>
  <c r="S3692" i="17"/>
  <c r="S3693" i="17"/>
  <c r="S3694" i="17"/>
  <c r="S3695" i="17"/>
  <c r="S3696" i="17"/>
  <c r="S3697" i="17"/>
  <c r="S3698" i="17"/>
  <c r="S3699" i="17"/>
  <c r="S3700" i="17"/>
  <c r="S3701" i="17"/>
  <c r="S3702" i="17"/>
  <c r="S3703" i="17"/>
  <c r="S3704" i="17"/>
  <c r="S3705" i="17"/>
  <c r="S3706" i="17"/>
  <c r="S3707" i="17"/>
  <c r="S3708" i="17"/>
  <c r="S3709" i="17"/>
  <c r="S3710" i="17"/>
  <c r="S3711" i="17"/>
  <c r="S3712" i="17"/>
  <c r="S3713" i="17"/>
  <c r="S3714" i="17"/>
  <c r="S3715" i="17"/>
  <c r="S3716" i="17"/>
  <c r="S3717" i="17"/>
  <c r="S3718" i="17"/>
  <c r="S3719" i="17"/>
  <c r="S3720" i="17"/>
  <c r="S3721" i="17"/>
  <c r="S3722" i="17"/>
  <c r="S3723" i="17"/>
  <c r="S3724" i="17"/>
  <c r="S3725" i="17"/>
  <c r="S3726" i="17"/>
  <c r="S3727" i="17"/>
  <c r="S3728" i="17"/>
  <c r="S3729" i="17"/>
  <c r="S3730" i="17"/>
  <c r="S3731" i="17"/>
  <c r="S3732" i="17"/>
  <c r="S3733" i="17"/>
  <c r="S3734" i="17"/>
  <c r="S3735" i="17"/>
  <c r="S3736" i="17"/>
  <c r="S3737" i="17"/>
  <c r="S3738" i="17"/>
  <c r="S3739" i="17"/>
  <c r="S3740" i="17"/>
  <c r="S3741" i="17"/>
  <c r="S3742" i="17"/>
  <c r="S3743" i="17"/>
  <c r="S3744" i="17"/>
  <c r="S3745" i="17"/>
  <c r="S3746" i="17"/>
  <c r="S3747" i="17"/>
  <c r="S3748" i="17"/>
  <c r="S3749" i="17"/>
  <c r="S3750" i="17"/>
  <c r="S3751" i="17"/>
  <c r="S3752" i="17"/>
  <c r="S3753" i="17"/>
  <c r="S3754" i="17"/>
  <c r="S3755" i="17"/>
  <c r="S3756" i="17"/>
  <c r="S3757" i="17"/>
  <c r="S3758" i="17"/>
  <c r="S3759" i="17"/>
  <c r="S3760" i="17"/>
  <c r="S3761" i="17"/>
  <c r="S3762" i="17"/>
  <c r="S3763" i="17"/>
  <c r="S3764" i="17"/>
  <c r="S3765" i="17"/>
  <c r="S3766" i="17"/>
  <c r="S3767" i="17"/>
  <c r="S3768" i="17"/>
  <c r="S3769" i="17"/>
  <c r="S3770" i="17"/>
  <c r="S3771" i="17"/>
  <c r="S3772" i="17"/>
  <c r="S3773" i="17"/>
  <c r="S3774" i="17"/>
  <c r="S3775" i="17"/>
  <c r="S3776" i="17"/>
  <c r="S3777" i="17"/>
  <c r="S3778" i="17"/>
  <c r="S3779" i="17"/>
  <c r="S3780" i="17"/>
  <c r="S3781" i="17"/>
  <c r="S3782" i="17"/>
  <c r="S3783" i="17"/>
  <c r="S3784" i="17"/>
  <c r="S3785" i="17"/>
  <c r="S3786" i="17"/>
  <c r="S3787" i="17"/>
  <c r="S3788" i="17"/>
  <c r="S3789" i="17"/>
  <c r="S3790" i="17"/>
  <c r="S3791" i="17"/>
  <c r="S3792" i="17"/>
  <c r="S3793" i="17"/>
  <c r="S3794" i="17"/>
  <c r="S3795" i="17"/>
  <c r="S3796" i="17"/>
  <c r="S3797" i="17"/>
  <c r="S3798" i="17"/>
  <c r="S3799" i="17"/>
  <c r="S3800" i="17"/>
  <c r="S3801" i="17"/>
  <c r="S3802" i="17"/>
  <c r="S3803" i="17"/>
  <c r="S3804" i="17"/>
  <c r="S3805" i="17"/>
  <c r="S3806" i="17"/>
  <c r="S3807" i="17"/>
  <c r="S3808" i="17"/>
  <c r="S3809" i="17"/>
  <c r="S3810" i="17"/>
  <c r="S3811" i="17"/>
  <c r="S3812" i="17"/>
  <c r="S3813" i="17"/>
  <c r="S3814" i="17"/>
  <c r="S3815" i="17"/>
  <c r="S3816" i="17"/>
  <c r="S3817" i="17"/>
  <c r="S3818" i="17"/>
  <c r="S3819" i="17"/>
  <c r="S3820" i="17"/>
  <c r="S3821" i="17"/>
  <c r="S3822" i="17"/>
  <c r="S3823" i="17"/>
  <c r="S3824" i="17"/>
  <c r="S3825" i="17"/>
  <c r="S3826" i="17"/>
  <c r="S3827" i="17"/>
  <c r="S3828" i="17"/>
  <c r="S3829" i="17"/>
  <c r="S3830" i="17"/>
  <c r="S3831" i="17"/>
  <c r="S3832" i="17"/>
  <c r="S3833" i="17"/>
  <c r="S3834" i="17"/>
  <c r="S3835" i="17"/>
  <c r="S3836" i="17"/>
  <c r="S3837" i="17"/>
  <c r="S3838" i="17"/>
  <c r="S3839" i="17"/>
  <c r="S3840" i="17"/>
  <c r="S3841" i="17"/>
  <c r="S3842" i="17"/>
  <c r="S3843" i="17"/>
  <c r="S3844" i="17"/>
  <c r="S3845" i="17"/>
  <c r="S3846" i="17"/>
  <c r="S3847" i="17"/>
  <c r="S3848" i="17"/>
  <c r="S3849" i="17"/>
  <c r="S3850" i="17"/>
  <c r="S3851" i="17"/>
  <c r="S3852" i="17"/>
  <c r="S3853" i="17"/>
  <c r="S3854" i="17"/>
  <c r="S3855" i="17"/>
  <c r="S3856" i="17"/>
  <c r="S3857" i="17"/>
  <c r="S3858" i="17"/>
  <c r="S3859" i="17"/>
  <c r="S3860" i="17"/>
  <c r="S3861" i="17"/>
  <c r="S3862" i="17"/>
  <c r="S3863" i="17"/>
  <c r="S3864" i="17"/>
  <c r="S3865" i="17"/>
  <c r="S3866" i="17"/>
  <c r="S3867" i="17"/>
  <c r="S3868" i="17"/>
  <c r="S3869" i="17"/>
  <c r="S3870" i="17"/>
  <c r="S3871" i="17"/>
  <c r="S3872" i="17"/>
  <c r="S3873" i="17"/>
  <c r="S3874" i="17"/>
  <c r="S3875" i="17"/>
  <c r="S3876" i="17"/>
  <c r="S3877" i="17"/>
  <c r="S3878" i="17"/>
  <c r="S3879" i="17"/>
  <c r="S3880" i="17"/>
  <c r="S3881" i="17"/>
  <c r="S3882" i="17"/>
  <c r="S3883" i="17"/>
  <c r="S3884" i="17"/>
  <c r="S3885" i="17"/>
  <c r="S3886" i="17"/>
  <c r="S3887" i="17"/>
  <c r="S3888" i="17"/>
  <c r="S3889" i="17"/>
  <c r="S3890" i="17"/>
  <c r="S3891" i="17"/>
  <c r="S3892" i="17"/>
  <c r="S3893" i="17"/>
  <c r="S3894" i="17"/>
  <c r="S3895" i="17"/>
  <c r="S3896" i="17"/>
  <c r="S3897" i="17"/>
  <c r="S3898" i="17"/>
  <c r="S3899" i="17"/>
  <c r="S3900" i="17"/>
  <c r="S3901" i="17"/>
  <c r="S3902" i="17"/>
  <c r="S3903" i="17"/>
  <c r="S3904" i="17"/>
  <c r="S3905" i="17"/>
  <c r="S3906" i="17"/>
  <c r="S3907" i="17"/>
  <c r="S3908" i="17"/>
  <c r="S3909" i="17"/>
  <c r="S3910" i="17"/>
  <c r="S3911" i="17"/>
  <c r="S3912" i="17"/>
  <c r="S3913" i="17"/>
  <c r="S3914" i="17"/>
  <c r="S3915" i="17"/>
  <c r="S3916" i="17"/>
  <c r="S3917" i="17"/>
  <c r="S3918" i="17"/>
  <c r="S3919" i="17"/>
  <c r="S3920" i="17"/>
  <c r="S3921" i="17"/>
  <c r="S3922" i="17"/>
  <c r="S3923" i="17"/>
  <c r="S3924" i="17"/>
  <c r="S3925" i="17"/>
  <c r="S3926" i="17"/>
  <c r="S3927" i="17"/>
  <c r="S3928" i="17"/>
  <c r="S3929" i="17"/>
  <c r="S3930" i="17"/>
  <c r="S3931" i="17"/>
  <c r="S3932" i="17"/>
  <c r="S3933" i="17"/>
  <c r="S3934" i="17"/>
  <c r="S3935" i="17"/>
  <c r="S3936" i="17"/>
  <c r="S3937" i="17"/>
  <c r="S3938" i="17"/>
  <c r="S3939" i="17"/>
  <c r="S3940" i="17"/>
  <c r="S3941" i="17"/>
  <c r="S3942" i="17"/>
  <c r="S3943" i="17"/>
  <c r="S3944" i="17"/>
  <c r="S3945" i="17"/>
  <c r="S3946" i="17"/>
  <c r="S3947" i="17"/>
  <c r="S3948" i="17"/>
  <c r="S3949" i="17"/>
  <c r="S3950" i="17"/>
  <c r="S3951" i="17"/>
  <c r="S3952" i="17"/>
  <c r="S3953" i="17"/>
  <c r="S3954" i="17"/>
  <c r="S3955" i="17"/>
  <c r="S3956" i="17"/>
  <c r="S3957" i="17"/>
  <c r="S3958" i="17"/>
  <c r="S3959" i="17"/>
  <c r="S3960" i="17"/>
  <c r="S3961" i="17"/>
  <c r="S3962" i="17"/>
  <c r="S3963" i="17"/>
  <c r="S3964" i="17"/>
  <c r="S3965" i="17"/>
  <c r="S3966" i="17"/>
  <c r="S3967" i="17"/>
  <c r="S3968" i="17"/>
  <c r="S3969" i="17"/>
  <c r="S3970" i="17"/>
  <c r="S3971" i="17"/>
  <c r="S3972" i="17"/>
  <c r="S3973" i="17"/>
  <c r="S3974" i="17"/>
  <c r="S3975" i="17"/>
  <c r="S3976" i="17"/>
  <c r="S3977" i="17"/>
  <c r="S3978" i="17"/>
  <c r="S3979" i="17"/>
  <c r="S3980" i="17"/>
  <c r="S3981" i="17"/>
  <c r="S3982" i="17"/>
  <c r="S3983" i="17"/>
  <c r="S3984" i="17"/>
  <c r="S3985" i="17"/>
  <c r="S3986" i="17"/>
  <c r="S3987" i="17"/>
  <c r="S3988" i="17"/>
  <c r="S3989" i="17"/>
  <c r="S3990" i="17"/>
  <c r="S3991" i="17"/>
  <c r="S3992" i="17"/>
  <c r="S3993" i="17"/>
  <c r="S3994" i="17"/>
  <c r="S3995" i="17"/>
  <c r="S3996" i="17"/>
  <c r="S3997" i="17"/>
  <c r="S3998" i="17"/>
  <c r="S3999" i="17"/>
  <c r="S4000" i="17"/>
  <c r="S4001" i="17"/>
  <c r="S4002" i="17"/>
  <c r="S4003" i="17"/>
  <c r="S4004" i="17"/>
  <c r="S4005" i="17"/>
  <c r="S4006" i="17"/>
  <c r="S4007" i="17"/>
  <c r="S4008" i="17"/>
  <c r="S4009" i="17"/>
  <c r="S4010" i="17"/>
  <c r="S4011" i="17"/>
  <c r="S4012" i="17"/>
  <c r="S4013" i="17"/>
  <c r="S4014" i="17"/>
  <c r="S4015" i="17"/>
  <c r="S4016" i="17"/>
  <c r="S4017" i="17"/>
  <c r="S4018" i="17"/>
  <c r="S4019" i="17"/>
  <c r="S4020" i="17"/>
  <c r="S4021" i="17"/>
  <c r="S4022" i="17"/>
  <c r="S4023" i="17"/>
  <c r="S4024" i="17"/>
  <c r="S4025" i="17"/>
  <c r="S4026" i="17"/>
  <c r="S4027" i="17"/>
  <c r="S4028" i="17"/>
  <c r="S4029" i="17"/>
  <c r="S4030" i="17"/>
  <c r="S4031" i="17"/>
  <c r="S4032" i="17"/>
  <c r="S4033" i="17"/>
  <c r="S4034" i="17"/>
  <c r="S4035" i="17"/>
  <c r="S4036" i="17"/>
  <c r="S4037" i="17"/>
  <c r="S4038" i="17"/>
  <c r="S4039" i="17"/>
  <c r="S4040" i="17"/>
  <c r="S4041" i="17"/>
  <c r="S4042" i="17"/>
  <c r="S4043" i="17"/>
  <c r="S4044" i="17"/>
  <c r="S4045" i="17"/>
  <c r="S4046" i="17"/>
  <c r="S4047" i="17"/>
  <c r="S4048" i="17"/>
  <c r="S4049" i="17"/>
  <c r="S4050" i="17"/>
  <c r="S4051" i="17"/>
  <c r="S4052" i="17"/>
  <c r="S4053" i="17"/>
  <c r="S4054" i="17"/>
  <c r="S4055" i="17"/>
  <c r="S4056" i="17"/>
  <c r="S4057" i="17"/>
  <c r="S4058" i="17"/>
  <c r="S4059" i="17"/>
  <c r="S4060" i="17"/>
  <c r="S4061" i="17"/>
  <c r="S4062" i="17"/>
  <c r="S4063" i="17"/>
  <c r="S4064" i="17"/>
  <c r="S4065" i="17"/>
  <c r="S4066" i="17"/>
  <c r="S4067" i="17"/>
  <c r="S4068" i="17"/>
  <c r="S4069" i="17"/>
  <c r="S4070" i="17"/>
  <c r="S4071" i="17"/>
  <c r="S4072" i="17"/>
  <c r="S4073" i="17"/>
  <c r="S4074" i="17"/>
  <c r="S4075" i="17"/>
  <c r="S4076" i="17"/>
  <c r="S4077" i="17"/>
  <c r="S4078" i="17"/>
  <c r="S4079" i="17"/>
  <c r="S4080" i="17"/>
  <c r="S4081" i="17"/>
  <c r="S4082" i="17"/>
  <c r="S4083" i="17"/>
  <c r="S4084" i="17"/>
  <c r="S4085" i="17"/>
  <c r="S4086" i="17"/>
  <c r="S4087" i="17"/>
  <c r="S4088" i="17"/>
  <c r="S4089" i="17"/>
  <c r="S4090" i="17"/>
  <c r="S4091" i="17"/>
  <c r="S4092" i="17"/>
  <c r="S4093" i="17"/>
  <c r="S4094" i="17"/>
  <c r="S4095" i="17"/>
  <c r="S4096" i="17"/>
  <c r="S4097" i="17"/>
  <c r="S4098" i="17"/>
  <c r="S4099" i="17"/>
  <c r="S4100" i="17"/>
  <c r="S4101" i="17"/>
  <c r="S4102" i="17"/>
  <c r="S4103" i="17"/>
  <c r="S4104" i="17"/>
  <c r="S4105" i="17"/>
  <c r="S4106" i="17"/>
  <c r="S4107" i="17"/>
  <c r="S4108" i="17"/>
  <c r="S4109" i="17"/>
  <c r="S4110" i="17"/>
  <c r="S4111" i="17"/>
  <c r="S4112" i="17"/>
  <c r="S4113" i="17"/>
  <c r="S4114" i="17"/>
  <c r="S4115" i="17"/>
  <c r="S4116" i="17"/>
  <c r="S4117" i="17"/>
  <c r="S4118" i="17"/>
  <c r="S4119" i="17"/>
  <c r="S4120" i="17"/>
  <c r="S4121" i="17"/>
  <c r="S4122" i="17"/>
  <c r="S4123" i="17"/>
  <c r="S4124" i="17"/>
  <c r="S4125" i="17"/>
  <c r="S4126" i="17"/>
  <c r="S4127" i="17"/>
  <c r="S4128" i="17"/>
  <c r="S4129" i="17"/>
  <c r="S4130" i="17"/>
  <c r="S4131" i="17"/>
  <c r="S4132" i="17"/>
  <c r="S4133" i="17"/>
  <c r="S4134" i="17"/>
  <c r="S4135" i="17"/>
  <c r="S4136" i="17"/>
  <c r="S4137" i="17"/>
  <c r="S4138" i="17"/>
  <c r="S4139" i="17"/>
  <c r="S4140" i="17"/>
  <c r="S4141" i="17"/>
  <c r="S4142" i="17"/>
  <c r="S4143" i="17"/>
  <c r="S4144" i="17"/>
  <c r="S4145" i="17"/>
  <c r="S4146" i="17"/>
  <c r="S4147" i="17"/>
  <c r="S4148" i="17"/>
  <c r="S4149" i="17"/>
  <c r="S4150" i="17"/>
  <c r="S4151" i="17"/>
  <c r="S4152" i="17"/>
  <c r="S4153" i="17"/>
  <c r="S4154" i="17"/>
  <c r="S4155" i="17"/>
  <c r="S4156" i="17"/>
  <c r="S4157" i="17"/>
  <c r="S4158" i="17"/>
  <c r="S4159" i="17"/>
  <c r="S4160" i="17"/>
  <c r="S4161" i="17"/>
  <c r="S4162" i="17"/>
  <c r="S4163" i="17"/>
  <c r="S4164" i="17"/>
  <c r="S4165" i="17"/>
  <c r="S4166" i="17"/>
  <c r="S4167" i="17"/>
  <c r="S4168" i="17"/>
  <c r="S4169" i="17"/>
  <c r="S4170" i="17"/>
  <c r="S4171" i="17"/>
  <c r="S4172" i="17"/>
  <c r="S4173" i="17"/>
  <c r="S4174" i="17"/>
  <c r="S4175" i="17"/>
  <c r="S4176" i="17"/>
  <c r="S4177" i="17"/>
  <c r="S4178" i="17"/>
  <c r="S4179" i="17"/>
  <c r="S4180" i="17"/>
  <c r="S4181" i="17"/>
  <c r="S4182" i="17"/>
  <c r="S4183" i="17"/>
  <c r="S4184" i="17"/>
  <c r="S4185" i="17"/>
  <c r="S4186" i="17"/>
  <c r="S4187" i="17"/>
  <c r="S4188" i="17"/>
  <c r="S4189" i="17"/>
  <c r="S4190" i="17"/>
  <c r="S4191" i="17"/>
  <c r="S4192" i="17"/>
  <c r="S4193" i="17"/>
  <c r="S4194" i="17"/>
  <c r="S4195" i="17"/>
  <c r="S4196" i="17"/>
  <c r="S4197" i="17"/>
  <c r="S4198" i="17"/>
  <c r="S4199" i="17"/>
  <c r="S4200" i="17"/>
  <c r="S4201" i="17"/>
  <c r="S4202" i="17"/>
  <c r="S4203" i="17"/>
  <c r="S4204" i="17"/>
  <c r="S4205" i="17"/>
  <c r="S4206" i="17"/>
  <c r="S4207" i="17"/>
  <c r="S4208" i="17"/>
  <c r="S4209" i="17"/>
  <c r="S4210" i="17"/>
  <c r="S4211" i="17"/>
  <c r="S4212" i="17"/>
  <c r="S4213" i="17"/>
  <c r="S4214" i="17"/>
  <c r="S4215" i="17"/>
  <c r="S4216" i="17"/>
  <c r="S4217" i="17"/>
  <c r="S4218" i="17"/>
  <c r="S4219" i="17"/>
  <c r="S4220" i="17"/>
  <c r="S4221" i="17"/>
  <c r="S4222" i="17"/>
  <c r="S4223" i="17"/>
  <c r="S4224" i="17"/>
  <c r="S4225" i="17"/>
  <c r="S4226" i="17"/>
  <c r="S4227" i="17"/>
  <c r="S4228" i="17"/>
  <c r="S4229" i="17"/>
  <c r="S4230" i="17"/>
  <c r="S4231" i="17"/>
  <c r="S4232" i="17"/>
  <c r="S4233" i="17"/>
  <c r="S4234" i="17"/>
  <c r="S4235" i="17"/>
  <c r="S4236" i="17"/>
  <c r="S4237" i="17"/>
  <c r="S4238" i="17"/>
  <c r="S4239" i="17"/>
  <c r="S4240" i="17"/>
  <c r="S4241" i="17"/>
  <c r="S4242" i="17"/>
  <c r="S4243" i="17"/>
  <c r="S4244" i="17"/>
  <c r="S4245" i="17"/>
  <c r="S4246" i="17"/>
  <c r="S4247" i="17"/>
  <c r="S4248" i="17"/>
  <c r="S4249" i="17"/>
  <c r="S4250" i="17"/>
  <c r="S4251" i="17"/>
  <c r="S4252" i="17"/>
  <c r="S4253" i="17"/>
  <c r="S4254" i="17"/>
  <c r="S4255" i="17"/>
  <c r="S4256" i="17"/>
  <c r="S4257" i="17"/>
  <c r="S4258" i="17"/>
  <c r="S4259" i="17"/>
  <c r="S4260" i="17"/>
  <c r="S4261" i="17"/>
  <c r="S4262" i="17"/>
  <c r="S4263" i="17"/>
  <c r="S4264" i="17"/>
  <c r="S4265" i="17"/>
  <c r="S4266" i="17"/>
  <c r="S4267" i="17"/>
  <c r="S4268" i="17"/>
  <c r="S4269" i="17"/>
  <c r="S4270" i="17"/>
  <c r="S4271" i="17"/>
  <c r="S4272" i="17"/>
  <c r="S4273" i="17"/>
  <c r="S4274" i="17"/>
  <c r="S4275" i="17"/>
  <c r="S4276" i="17"/>
  <c r="S4277" i="17"/>
  <c r="S4278" i="17"/>
  <c r="S4279" i="17"/>
  <c r="S4280" i="17"/>
  <c r="S4281" i="17"/>
  <c r="S4282" i="17"/>
  <c r="S4283" i="17"/>
  <c r="S4284" i="17"/>
  <c r="S4285" i="17"/>
  <c r="S4286" i="17"/>
  <c r="S4287" i="17"/>
  <c r="S4288" i="17"/>
  <c r="S4289" i="17"/>
  <c r="S4290" i="17"/>
  <c r="S4291" i="17"/>
  <c r="S4292" i="17"/>
  <c r="S4293" i="17"/>
  <c r="S4294" i="17"/>
  <c r="S4295" i="17"/>
  <c r="S4296" i="17"/>
  <c r="S4297" i="17"/>
  <c r="S4298" i="17"/>
  <c r="S4299" i="17"/>
  <c r="S4300" i="17"/>
  <c r="S4301" i="17"/>
  <c r="S4302" i="17"/>
  <c r="S4303" i="17"/>
  <c r="S4304" i="17"/>
  <c r="S4305" i="17"/>
  <c r="S4306" i="17"/>
  <c r="S4307" i="17"/>
  <c r="S4308" i="17"/>
  <c r="S4309" i="17"/>
  <c r="S4310" i="17"/>
  <c r="S4311" i="17"/>
  <c r="S4312" i="17"/>
  <c r="S4313" i="17"/>
  <c r="S4314" i="17"/>
  <c r="S4315" i="17"/>
  <c r="S4316" i="17"/>
  <c r="S4317" i="17"/>
  <c r="S4318" i="17"/>
  <c r="S4319" i="17"/>
  <c r="S4320" i="17"/>
  <c r="S4321" i="17"/>
  <c r="S4322" i="17"/>
  <c r="S4323" i="17"/>
  <c r="S4324" i="17"/>
  <c r="S4325" i="17"/>
  <c r="S4326" i="17"/>
  <c r="S4327" i="17"/>
  <c r="S4328" i="17"/>
  <c r="S4329" i="17"/>
  <c r="S4330" i="17"/>
  <c r="S4331" i="17"/>
  <c r="S4332" i="17"/>
  <c r="S4333" i="17"/>
  <c r="S4334" i="17"/>
  <c r="S4335" i="17"/>
  <c r="S4336" i="17"/>
  <c r="S4337" i="17"/>
  <c r="S4338" i="17"/>
  <c r="S4339" i="17"/>
  <c r="S4340" i="17"/>
  <c r="S4341" i="17"/>
  <c r="S4342" i="17"/>
  <c r="S4343" i="17"/>
  <c r="S4344" i="17"/>
  <c r="S4345" i="17"/>
  <c r="S4346" i="17"/>
  <c r="S4347" i="17"/>
  <c r="S4348" i="17"/>
  <c r="S4349" i="17"/>
  <c r="S4350" i="17"/>
  <c r="S4351" i="17"/>
  <c r="S4352" i="17"/>
  <c r="S4353" i="17"/>
  <c r="S4354" i="17"/>
  <c r="S4355" i="17"/>
  <c r="S4356" i="17"/>
  <c r="S4357" i="17"/>
  <c r="S4358" i="17"/>
  <c r="S4359" i="17"/>
  <c r="S4360" i="17"/>
  <c r="S4361" i="17"/>
  <c r="S4362" i="17"/>
  <c r="S4363" i="17"/>
  <c r="S4364" i="17"/>
  <c r="S4365" i="17"/>
  <c r="S4366" i="17"/>
  <c r="S4367" i="17"/>
  <c r="S4368" i="17"/>
  <c r="S4369" i="17"/>
  <c r="S4370" i="17"/>
  <c r="S4371" i="17"/>
  <c r="S4372" i="17"/>
  <c r="S4373" i="17"/>
  <c r="S4374" i="17"/>
  <c r="S4375" i="17"/>
  <c r="S4376" i="17"/>
  <c r="S4377" i="17"/>
  <c r="S4378" i="17"/>
  <c r="S4379" i="17"/>
  <c r="S4380" i="17"/>
  <c r="S4381" i="17"/>
  <c r="S4382" i="17"/>
  <c r="S4383" i="17"/>
  <c r="S4384" i="17"/>
  <c r="S4385" i="17"/>
  <c r="S4386" i="17"/>
  <c r="S4387" i="17"/>
  <c r="S4388" i="17"/>
  <c r="S4389" i="17"/>
  <c r="S4390" i="17"/>
  <c r="S4391" i="17"/>
  <c r="S4392" i="17"/>
  <c r="S4393" i="17"/>
  <c r="S4394" i="17"/>
  <c r="S4395" i="17"/>
  <c r="S4396" i="17"/>
  <c r="S4397" i="17"/>
  <c r="S4398" i="17"/>
  <c r="S4399" i="17"/>
  <c r="S4400" i="17"/>
  <c r="S4401" i="17"/>
  <c r="S4402" i="17"/>
  <c r="S4403" i="17"/>
  <c r="S4404" i="17"/>
  <c r="S4405" i="17"/>
  <c r="S4406" i="17"/>
  <c r="S4407" i="17"/>
  <c r="S4408" i="17"/>
  <c r="S4409" i="17"/>
  <c r="S4410" i="17"/>
  <c r="S4411" i="17"/>
  <c r="S4412" i="17"/>
  <c r="S4413" i="17"/>
  <c r="S4414" i="17"/>
  <c r="S4415" i="17"/>
  <c r="S4416" i="17"/>
  <c r="S4417" i="17"/>
  <c r="S4418" i="17"/>
  <c r="S4419" i="17"/>
  <c r="S4420" i="17"/>
  <c r="S4421" i="17"/>
  <c r="S4422" i="17"/>
  <c r="S4423" i="17"/>
  <c r="S4424" i="17"/>
  <c r="S4425" i="17"/>
  <c r="S4426" i="17"/>
  <c r="S4427" i="17"/>
  <c r="S4428" i="17"/>
  <c r="S4429" i="17"/>
  <c r="S4430" i="17"/>
  <c r="S4431" i="17"/>
  <c r="S4432" i="17"/>
  <c r="S4433" i="17"/>
  <c r="S4434" i="17"/>
  <c r="S4435" i="17"/>
  <c r="S4436" i="17"/>
  <c r="S4437" i="17"/>
  <c r="S4438" i="17"/>
  <c r="S4439" i="17"/>
  <c r="S4440" i="17"/>
  <c r="S4441" i="17"/>
  <c r="S4442" i="17"/>
  <c r="S4443" i="17"/>
  <c r="S4444" i="17"/>
  <c r="S4445" i="17"/>
  <c r="S4446" i="17"/>
  <c r="S4447" i="17"/>
  <c r="S4448" i="17"/>
  <c r="S4449" i="17"/>
  <c r="S4450" i="17"/>
  <c r="S4451" i="17"/>
  <c r="S4452" i="17"/>
  <c r="S4453" i="17"/>
  <c r="S4454" i="17"/>
  <c r="S4455" i="17"/>
  <c r="S4456" i="17"/>
  <c r="S4457" i="17"/>
  <c r="S4458" i="17"/>
  <c r="S4459" i="17"/>
  <c r="S4460" i="17"/>
  <c r="S4461" i="17"/>
  <c r="S4462" i="17"/>
  <c r="S4463" i="17"/>
  <c r="S4464" i="17"/>
  <c r="S4465" i="17"/>
  <c r="S4466" i="17"/>
  <c r="S4467" i="17"/>
  <c r="S4468" i="17"/>
  <c r="S4469" i="17"/>
  <c r="S4470" i="17"/>
  <c r="S4471" i="17"/>
  <c r="S4472" i="17"/>
  <c r="S4473" i="17"/>
  <c r="S4474" i="17"/>
  <c r="S4475" i="17"/>
  <c r="S4476" i="17"/>
  <c r="S4477" i="17"/>
  <c r="S4478" i="17"/>
  <c r="S4479" i="17"/>
  <c r="S4480" i="17"/>
  <c r="S4481" i="17"/>
  <c r="S4482" i="17"/>
  <c r="S4483" i="17"/>
  <c r="S4484" i="17"/>
  <c r="S4485" i="17"/>
  <c r="S4486" i="17"/>
  <c r="S4487" i="17"/>
  <c r="S4488" i="17"/>
  <c r="S4489" i="17"/>
  <c r="S4490" i="17"/>
  <c r="S4491" i="17"/>
  <c r="S4492" i="17"/>
  <c r="S4493" i="17"/>
  <c r="S4494" i="17"/>
  <c r="S4495" i="17"/>
  <c r="S4496" i="17"/>
  <c r="S4497" i="17"/>
  <c r="S4498" i="17"/>
  <c r="S4499" i="17"/>
  <c r="S4500" i="17"/>
  <c r="S4501" i="17"/>
  <c r="S4502" i="17"/>
  <c r="S4503" i="17"/>
  <c r="S4504" i="17"/>
  <c r="S4505" i="17"/>
  <c r="S4506" i="17"/>
  <c r="S4507" i="17"/>
  <c r="S4508" i="17"/>
  <c r="S4509" i="17"/>
  <c r="S4510" i="17"/>
  <c r="S4511" i="17"/>
  <c r="S4512" i="17"/>
  <c r="S4513" i="17"/>
  <c r="S4514" i="17"/>
  <c r="S4515" i="17"/>
  <c r="S4516" i="17"/>
  <c r="S4517" i="17"/>
  <c r="S4518" i="17"/>
  <c r="S4519" i="17"/>
  <c r="S4520" i="17"/>
  <c r="S4521" i="17"/>
  <c r="S4522" i="17"/>
  <c r="S4523" i="17"/>
  <c r="S4524" i="17"/>
  <c r="S4525" i="17"/>
  <c r="S4526" i="17"/>
  <c r="S4527" i="17"/>
  <c r="S4528" i="17"/>
  <c r="S4529" i="17"/>
  <c r="S4530" i="17"/>
  <c r="S4531" i="17"/>
  <c r="S4532" i="17"/>
  <c r="S4533" i="17"/>
  <c r="S4534" i="17"/>
  <c r="S4535" i="17"/>
  <c r="S4536" i="17"/>
  <c r="S4537" i="17"/>
  <c r="S4538" i="17"/>
  <c r="S4539" i="17"/>
  <c r="S4540" i="17"/>
  <c r="S4541" i="17"/>
  <c r="S4542" i="17"/>
  <c r="S4543" i="17"/>
  <c r="S4544" i="17"/>
  <c r="S4545" i="17"/>
  <c r="S4546" i="17"/>
  <c r="S4547" i="17"/>
  <c r="S4548" i="17"/>
  <c r="S4549" i="17"/>
  <c r="S4550" i="17"/>
  <c r="S4551" i="17"/>
  <c r="S4552" i="17"/>
  <c r="S4553" i="17"/>
  <c r="S4554" i="17"/>
  <c r="S4555" i="17"/>
  <c r="S4556" i="17"/>
  <c r="S4557" i="17"/>
  <c r="S4558" i="17"/>
  <c r="S4559" i="17"/>
  <c r="S4560" i="17"/>
  <c r="S4561" i="17"/>
  <c r="S4562" i="17"/>
  <c r="S4563" i="17"/>
  <c r="S4564" i="17"/>
  <c r="S4565" i="17"/>
  <c r="S4566" i="17"/>
  <c r="S4567" i="17"/>
  <c r="S4568" i="17"/>
  <c r="S4569" i="17"/>
  <c r="S4570" i="17"/>
  <c r="S4571" i="17"/>
  <c r="S4572" i="17"/>
  <c r="S4573" i="17"/>
  <c r="S4574" i="17"/>
  <c r="S4575" i="17"/>
  <c r="S4576" i="17"/>
  <c r="S4577" i="17"/>
  <c r="S4578" i="17"/>
  <c r="S4579" i="17"/>
  <c r="S4580" i="17"/>
  <c r="S4581" i="17"/>
  <c r="S4582" i="17"/>
  <c r="S4583" i="17"/>
  <c r="S4584" i="17"/>
  <c r="S4585" i="17"/>
  <c r="S4586" i="17"/>
  <c r="S4587" i="17"/>
  <c r="S4588" i="17"/>
  <c r="S4589" i="17"/>
  <c r="S4590" i="17"/>
  <c r="S4591" i="17"/>
  <c r="S4592" i="17"/>
  <c r="S4593" i="17"/>
  <c r="S4594" i="17"/>
  <c r="S4595" i="17"/>
  <c r="S4596" i="17"/>
  <c r="S4597" i="17"/>
  <c r="S4598" i="17"/>
  <c r="S4599" i="17"/>
  <c r="S4600" i="17"/>
  <c r="S4601" i="17"/>
  <c r="S4602" i="17"/>
  <c r="S4603" i="17"/>
  <c r="S4604" i="17"/>
  <c r="S4605" i="17"/>
  <c r="S4606" i="17"/>
  <c r="S4607" i="17"/>
  <c r="S4608" i="17"/>
  <c r="S4609" i="17"/>
  <c r="S4610" i="17"/>
  <c r="S4611" i="17"/>
  <c r="S4612" i="17"/>
  <c r="S4613" i="17"/>
  <c r="S4614" i="17"/>
  <c r="S4615" i="17"/>
  <c r="S4616" i="17"/>
  <c r="S4617" i="17"/>
  <c r="S4618" i="17"/>
  <c r="S4619" i="17"/>
  <c r="S4620" i="17"/>
  <c r="S4621" i="17"/>
  <c r="S4622" i="17"/>
  <c r="S4623" i="17"/>
  <c r="S4624" i="17"/>
  <c r="S4625" i="17"/>
  <c r="S4626" i="17"/>
  <c r="S4627" i="17"/>
  <c r="S4628" i="17"/>
  <c r="S4629" i="17"/>
  <c r="S4630" i="17"/>
  <c r="S4631" i="17"/>
  <c r="S4632" i="17"/>
  <c r="S4633" i="17"/>
  <c r="S4634" i="17"/>
  <c r="S4635" i="17"/>
  <c r="S4636" i="17"/>
  <c r="S4637" i="17"/>
  <c r="S4638" i="17"/>
  <c r="S4639" i="17"/>
  <c r="S4640" i="17"/>
  <c r="S4641" i="17"/>
  <c r="S4642" i="17"/>
  <c r="S4643" i="17"/>
  <c r="S4644" i="17"/>
  <c r="S4645" i="17"/>
  <c r="S4646" i="17"/>
  <c r="S4647" i="17"/>
  <c r="S4648" i="17"/>
  <c r="S4649" i="17"/>
  <c r="S4650" i="17"/>
  <c r="S4651" i="17"/>
  <c r="S4652" i="17"/>
  <c r="S4653" i="17"/>
  <c r="S4654" i="17"/>
  <c r="S4655" i="17"/>
  <c r="S4656" i="17"/>
  <c r="S4657" i="17"/>
  <c r="S4658" i="17"/>
  <c r="S4659" i="17"/>
  <c r="S4660" i="17"/>
  <c r="S4661" i="17"/>
  <c r="S4662" i="17"/>
  <c r="S4663" i="17"/>
  <c r="S4664" i="17"/>
  <c r="S4665" i="17"/>
  <c r="S4666" i="17"/>
  <c r="S4667" i="17"/>
  <c r="S4668" i="17"/>
  <c r="S4669" i="17"/>
  <c r="S4670" i="17"/>
  <c r="S4671" i="17"/>
  <c r="S4672" i="17"/>
  <c r="S4673" i="17"/>
  <c r="S4674" i="17"/>
  <c r="S4675" i="17"/>
  <c r="S4676" i="17"/>
  <c r="S4677" i="17"/>
  <c r="S4678" i="17"/>
  <c r="S4679" i="17"/>
  <c r="S4680" i="17"/>
  <c r="S4681" i="17"/>
  <c r="S4682" i="17"/>
  <c r="S4683" i="17"/>
  <c r="S4684" i="17"/>
  <c r="S4685" i="17"/>
  <c r="S4686" i="17"/>
  <c r="S4687" i="17"/>
  <c r="S4688" i="17"/>
  <c r="S4689" i="17"/>
  <c r="S4690" i="17"/>
  <c r="S4691" i="17"/>
  <c r="S4692" i="17"/>
  <c r="S4693" i="17"/>
  <c r="S4694" i="17"/>
  <c r="S4695" i="17"/>
  <c r="S4696" i="17"/>
  <c r="S4697" i="17"/>
  <c r="S4698" i="17"/>
  <c r="S4699" i="17"/>
  <c r="S4700" i="17"/>
  <c r="S4701" i="17"/>
  <c r="S4702" i="17"/>
  <c r="S4703" i="17"/>
  <c r="S4704" i="17"/>
  <c r="S4705" i="17"/>
  <c r="S4706" i="17"/>
  <c r="S4707" i="17"/>
  <c r="S4708" i="17"/>
  <c r="S4709" i="17"/>
  <c r="S4710" i="17"/>
  <c r="S4711" i="17"/>
  <c r="S4712" i="17"/>
  <c r="S4713" i="17"/>
  <c r="S4714" i="17"/>
  <c r="S4715" i="17"/>
  <c r="S4716" i="17"/>
  <c r="S4717" i="17"/>
  <c r="S4718" i="17"/>
  <c r="S4719" i="17"/>
  <c r="S4720" i="17"/>
  <c r="S4721" i="17"/>
  <c r="S4722" i="17"/>
  <c r="S4723" i="17"/>
  <c r="S4724" i="17"/>
  <c r="S4725" i="17"/>
  <c r="S4726" i="17"/>
  <c r="S4727" i="17"/>
  <c r="S4728" i="17"/>
  <c r="S4729" i="17"/>
  <c r="S4730" i="17"/>
  <c r="S4731" i="17"/>
  <c r="S4732" i="17"/>
  <c r="S4733" i="17"/>
  <c r="S4734" i="17"/>
  <c r="S4735" i="17"/>
  <c r="S4736" i="17"/>
  <c r="S4737" i="17"/>
  <c r="S4738" i="17"/>
  <c r="S4739" i="17"/>
  <c r="S4740" i="17"/>
  <c r="S4741" i="17"/>
  <c r="S4742" i="17"/>
  <c r="S4743" i="17"/>
  <c r="S4744" i="17"/>
  <c r="S4745" i="17"/>
  <c r="S4746" i="17"/>
  <c r="S4747" i="17"/>
  <c r="S4748" i="17"/>
  <c r="S4749" i="17"/>
  <c r="S4750" i="17"/>
  <c r="S4751" i="17"/>
  <c r="S4752" i="17"/>
  <c r="S4753" i="17"/>
  <c r="S4754" i="17"/>
  <c r="S4755" i="17"/>
  <c r="S4756" i="17"/>
  <c r="S4757" i="17"/>
  <c r="S4758" i="17"/>
  <c r="S4759" i="17"/>
  <c r="S4760" i="17"/>
  <c r="S4761" i="17"/>
  <c r="S4762" i="17"/>
  <c r="S4763" i="17"/>
  <c r="S4764" i="17"/>
  <c r="S4765" i="17"/>
  <c r="S4766" i="17"/>
  <c r="S4767" i="17"/>
  <c r="S4768" i="17"/>
  <c r="S4769" i="17"/>
  <c r="S4770" i="17"/>
  <c r="S4771" i="17"/>
  <c r="S4772" i="17"/>
  <c r="S4773" i="17"/>
  <c r="S4774" i="17"/>
  <c r="S4775" i="17"/>
  <c r="S4776" i="17"/>
  <c r="S4777" i="17"/>
  <c r="S4778" i="17"/>
  <c r="S4779" i="17"/>
  <c r="S4780" i="17"/>
  <c r="S4781" i="17"/>
  <c r="S4782" i="17"/>
  <c r="S4783" i="17"/>
  <c r="S4784" i="17"/>
  <c r="S4785" i="17"/>
  <c r="S4786" i="17"/>
  <c r="S4787" i="17"/>
  <c r="S4788" i="17"/>
  <c r="S4789" i="17"/>
  <c r="S4790" i="17"/>
  <c r="S4791" i="17"/>
  <c r="S4792" i="17"/>
  <c r="S4793" i="17"/>
  <c r="S4794" i="17"/>
  <c r="S4795" i="17"/>
  <c r="S4796" i="17"/>
  <c r="S4797" i="17"/>
  <c r="S4798" i="17"/>
  <c r="S4799" i="17"/>
  <c r="S4800" i="17"/>
  <c r="S4801" i="17"/>
  <c r="S4802" i="17"/>
  <c r="S4803" i="17"/>
  <c r="S4804" i="17"/>
  <c r="S4805" i="17"/>
  <c r="S4806" i="17"/>
  <c r="S4807" i="17"/>
  <c r="S4808" i="17"/>
  <c r="S4809" i="17"/>
  <c r="S4810" i="17"/>
  <c r="S4811" i="17"/>
  <c r="S4812" i="17"/>
  <c r="S4813" i="17"/>
  <c r="S4814" i="17"/>
  <c r="S4815" i="17"/>
  <c r="S4816" i="17"/>
  <c r="S4817" i="17"/>
  <c r="S4818" i="17"/>
  <c r="S4819" i="17"/>
  <c r="S4820" i="17"/>
  <c r="S4821" i="17"/>
  <c r="S4822" i="17"/>
  <c r="S4823" i="17"/>
  <c r="S4824" i="17"/>
  <c r="S4825" i="17"/>
  <c r="S4826" i="17"/>
  <c r="S4827" i="17"/>
  <c r="S4828" i="17"/>
  <c r="S4829" i="17"/>
  <c r="S4830" i="17"/>
  <c r="S4831" i="17"/>
  <c r="S4832" i="17"/>
  <c r="S4833" i="17"/>
  <c r="S4834" i="17"/>
  <c r="S4835" i="17"/>
  <c r="S4836" i="17"/>
  <c r="S4837" i="17"/>
  <c r="S4838" i="17"/>
  <c r="S4839" i="17"/>
  <c r="S4840" i="17"/>
  <c r="S4841" i="17"/>
  <c r="S4842" i="17"/>
  <c r="S4843" i="17"/>
  <c r="S4844" i="17"/>
  <c r="S4845" i="17"/>
  <c r="S4846" i="17"/>
  <c r="S4847" i="17"/>
  <c r="S4848" i="17"/>
  <c r="S4849" i="17"/>
  <c r="S4850" i="17"/>
  <c r="S4851" i="17"/>
  <c r="S4852" i="17"/>
  <c r="S4853" i="17"/>
  <c r="S4854" i="17"/>
  <c r="S4855" i="17"/>
  <c r="S4856" i="17"/>
  <c r="S4857" i="17"/>
  <c r="S4858" i="17"/>
  <c r="S4859" i="17"/>
  <c r="S4860" i="17"/>
  <c r="S4861" i="17"/>
  <c r="S4862" i="17"/>
  <c r="S4863" i="17"/>
  <c r="S4864" i="17"/>
  <c r="S4865" i="17"/>
  <c r="S4866" i="17"/>
  <c r="S4867" i="17"/>
  <c r="S4868" i="17"/>
  <c r="S4869" i="17"/>
  <c r="S4870" i="17"/>
  <c r="S4871" i="17"/>
  <c r="S4872" i="17"/>
  <c r="S4873" i="17"/>
  <c r="S4874" i="17"/>
  <c r="S4875" i="17"/>
  <c r="S4876" i="17"/>
  <c r="S4877" i="17"/>
  <c r="S4878" i="17"/>
  <c r="S4879" i="17"/>
  <c r="S4880" i="17"/>
  <c r="S4881" i="17"/>
  <c r="S4882" i="17"/>
  <c r="S4883" i="17"/>
  <c r="S4884" i="17"/>
  <c r="S4885" i="17"/>
  <c r="S4886" i="17"/>
  <c r="S4887" i="17"/>
  <c r="S4888" i="17"/>
  <c r="S4889" i="17"/>
  <c r="S4890" i="17"/>
  <c r="S4891" i="17"/>
  <c r="S4892" i="17"/>
  <c r="S4893" i="17"/>
  <c r="S4894" i="17"/>
  <c r="S4895" i="17"/>
  <c r="S4896" i="17"/>
  <c r="S4897" i="17"/>
  <c r="S4898" i="17"/>
  <c r="S4899" i="17"/>
  <c r="S4900" i="17"/>
  <c r="S4901" i="17"/>
  <c r="S4902" i="17"/>
  <c r="S4903" i="17"/>
  <c r="S4904" i="17"/>
  <c r="S4905" i="17"/>
  <c r="S4906" i="17"/>
  <c r="S4907" i="17"/>
  <c r="S4908" i="17"/>
  <c r="S4909" i="17"/>
  <c r="S4910" i="17"/>
  <c r="S4911" i="17"/>
  <c r="S4912" i="17"/>
  <c r="S4913" i="17"/>
  <c r="S4914" i="17"/>
  <c r="S4915" i="17"/>
  <c r="S4916" i="17"/>
  <c r="S4917" i="17"/>
  <c r="S4918" i="17"/>
  <c r="S4919" i="17"/>
  <c r="S4920" i="17"/>
  <c r="S4921" i="17"/>
  <c r="S4922" i="17"/>
  <c r="S4923" i="17"/>
  <c r="S4924" i="17"/>
  <c r="S4925" i="17"/>
  <c r="S4926" i="17"/>
  <c r="S4927" i="17"/>
  <c r="S4928" i="17"/>
  <c r="S4929" i="17"/>
  <c r="S4930" i="17"/>
  <c r="S4931" i="17"/>
  <c r="S4932" i="17"/>
  <c r="S4933" i="17"/>
  <c r="S4934" i="17"/>
  <c r="S4935" i="17"/>
  <c r="S4936" i="17"/>
  <c r="S4937" i="17"/>
  <c r="S4938" i="17"/>
  <c r="S4939" i="17"/>
  <c r="S4940" i="17"/>
  <c r="S4941" i="17"/>
  <c r="S4942" i="17"/>
  <c r="S4943" i="17"/>
  <c r="S4944" i="17"/>
  <c r="S4945" i="17"/>
  <c r="S4946" i="17"/>
  <c r="S4947" i="17"/>
  <c r="S4948" i="17"/>
  <c r="S4949" i="17"/>
  <c r="S4950" i="17"/>
  <c r="S4951" i="17"/>
  <c r="S4952" i="17"/>
  <c r="S4953" i="17"/>
  <c r="S4954" i="17"/>
  <c r="S4955" i="17"/>
  <c r="S4956" i="17"/>
  <c r="S4957" i="17"/>
  <c r="S4958" i="17"/>
  <c r="S4959" i="17"/>
  <c r="S4960" i="17"/>
  <c r="S4961" i="17"/>
  <c r="S4962" i="17"/>
  <c r="S4963" i="17"/>
  <c r="S4964" i="17"/>
  <c r="S4965" i="17"/>
  <c r="S4966" i="17"/>
  <c r="S4967" i="17"/>
  <c r="S4968" i="17"/>
  <c r="S4969" i="17"/>
  <c r="S4970" i="17"/>
  <c r="S4971" i="17"/>
  <c r="S4972" i="17"/>
  <c r="S4973" i="17"/>
  <c r="S4974" i="17"/>
  <c r="S4975" i="17"/>
  <c r="S4976" i="17"/>
  <c r="S4977" i="17"/>
  <c r="S4978" i="17"/>
  <c r="S4979" i="17"/>
  <c r="S4980" i="17"/>
  <c r="S4981" i="17"/>
  <c r="S4982" i="17"/>
  <c r="S4983" i="17"/>
  <c r="S4984" i="17"/>
  <c r="S4985" i="17"/>
  <c r="S4986" i="17"/>
  <c r="S4987" i="17"/>
  <c r="S4988" i="17"/>
  <c r="S4989" i="17"/>
  <c r="S4990" i="17"/>
  <c r="S4991" i="17"/>
  <c r="S4992" i="17"/>
  <c r="S4993" i="17"/>
  <c r="S4994" i="17"/>
  <c r="S4995" i="17"/>
  <c r="S4996" i="17"/>
  <c r="S4997" i="17"/>
  <c r="S4998" i="17"/>
  <c r="S4999" i="17"/>
  <c r="S5000" i="17"/>
  <c r="S5001" i="17"/>
  <c r="S5002" i="17"/>
  <c r="S5003" i="17"/>
  <c r="S5004" i="17"/>
  <c r="S5005" i="17"/>
  <c r="S5006" i="17"/>
  <c r="S5007" i="17"/>
  <c r="S5008" i="17"/>
  <c r="S5009" i="17"/>
  <c r="S5010" i="17"/>
  <c r="S5011" i="17"/>
  <c r="S5012" i="17"/>
  <c r="S5013" i="17"/>
  <c r="S5014" i="17"/>
  <c r="S5015" i="17"/>
  <c r="S5016" i="17"/>
  <c r="S5017" i="17"/>
  <c r="S5018" i="17"/>
  <c r="S5019" i="17"/>
  <c r="S5020" i="17"/>
  <c r="S5021" i="17"/>
  <c r="S5022" i="17"/>
  <c r="S5023" i="17"/>
  <c r="S5024" i="17"/>
  <c r="S5025" i="17"/>
  <c r="S5026" i="17"/>
  <c r="S5027" i="17"/>
  <c r="S5028" i="17"/>
  <c r="S5029" i="17"/>
  <c r="S5030" i="17"/>
  <c r="S5031" i="17"/>
  <c r="S5032" i="17"/>
  <c r="S5033" i="17"/>
  <c r="S5034" i="17"/>
  <c r="S5035" i="17"/>
  <c r="S5036" i="17"/>
  <c r="S5037" i="17"/>
  <c r="S5038" i="17"/>
  <c r="S5039" i="17"/>
  <c r="S5040" i="17"/>
  <c r="S5041" i="17"/>
  <c r="S5042" i="17"/>
  <c r="S5043" i="17"/>
  <c r="S5044" i="17"/>
  <c r="S5045" i="17"/>
  <c r="S5046" i="17"/>
  <c r="S5047" i="17"/>
  <c r="S5048" i="17"/>
  <c r="S5049" i="17"/>
  <c r="S5050" i="17"/>
  <c r="S5051" i="17"/>
  <c r="S5052" i="17"/>
  <c r="S5053" i="17"/>
  <c r="S5054" i="17"/>
  <c r="S5055" i="17"/>
  <c r="S5056" i="17"/>
  <c r="S5057" i="17"/>
  <c r="S5058" i="17"/>
  <c r="S5059" i="17"/>
  <c r="S5060" i="17"/>
  <c r="S5061" i="17"/>
  <c r="S5062" i="17"/>
  <c r="S5063" i="17"/>
  <c r="S5064" i="17"/>
  <c r="S5065" i="17"/>
  <c r="S5066" i="17"/>
  <c r="S5067" i="17"/>
  <c r="S5068" i="17"/>
  <c r="S5069" i="17"/>
  <c r="S5070" i="17"/>
  <c r="S5071" i="17"/>
  <c r="S5072" i="17"/>
  <c r="S5073" i="17"/>
  <c r="S5074" i="17"/>
  <c r="S5075" i="17"/>
  <c r="S5076" i="17"/>
  <c r="S5077" i="17"/>
  <c r="S5078" i="17"/>
  <c r="S5079" i="17"/>
  <c r="S5080" i="17"/>
  <c r="S5081" i="17"/>
  <c r="S5082" i="17"/>
  <c r="S5083" i="17"/>
  <c r="S5084" i="17"/>
  <c r="S5085" i="17"/>
  <c r="S5086" i="17"/>
  <c r="S5087" i="17"/>
  <c r="S5088" i="17"/>
  <c r="S5089" i="17"/>
  <c r="S5090" i="17"/>
  <c r="S5091" i="17"/>
  <c r="S5092" i="17"/>
  <c r="S5093" i="17"/>
  <c r="S5094" i="17"/>
  <c r="S5095" i="17"/>
  <c r="S5096" i="17"/>
  <c r="S5097" i="17"/>
  <c r="S5098" i="17"/>
  <c r="S5099" i="17"/>
  <c r="S5100" i="17"/>
  <c r="S5101" i="17"/>
  <c r="S5102" i="17"/>
  <c r="S5103" i="17"/>
  <c r="S5104" i="17"/>
  <c r="S5105" i="17"/>
  <c r="S5106" i="17"/>
  <c r="S5107" i="17"/>
  <c r="S5108" i="17"/>
  <c r="S5109" i="17"/>
  <c r="S5110" i="17"/>
  <c r="S5111" i="17"/>
  <c r="S5112" i="17"/>
  <c r="S5113" i="17"/>
  <c r="S5114" i="17"/>
  <c r="S5115" i="17"/>
  <c r="S5116" i="17"/>
  <c r="S5117" i="17"/>
  <c r="S5118" i="17"/>
  <c r="S5119" i="17"/>
  <c r="S5120" i="17"/>
  <c r="S5121" i="17"/>
  <c r="S5122" i="17"/>
  <c r="S5123" i="17"/>
  <c r="S5124" i="17"/>
  <c r="S5125" i="17"/>
  <c r="S5126" i="17"/>
  <c r="S5127" i="17"/>
  <c r="S5128" i="17"/>
  <c r="S5129" i="17"/>
  <c r="S5130" i="17"/>
  <c r="S5131" i="17"/>
  <c r="S5132" i="17"/>
  <c r="S5133" i="17"/>
  <c r="S5134" i="17"/>
  <c r="S5135" i="17"/>
  <c r="S5136" i="17"/>
  <c r="S5137" i="17"/>
  <c r="S5138" i="17"/>
  <c r="S5139" i="17"/>
  <c r="S5140" i="17"/>
  <c r="S5141" i="17"/>
  <c r="S5142" i="17"/>
  <c r="S5143" i="17"/>
  <c r="S5144" i="17"/>
  <c r="S5145" i="17"/>
  <c r="S5146" i="17"/>
  <c r="S5147" i="17"/>
  <c r="S5148" i="17"/>
  <c r="S5149" i="17"/>
  <c r="S5150" i="17"/>
  <c r="S5151" i="17"/>
  <c r="S5152" i="17"/>
  <c r="S5153" i="17"/>
  <c r="S5154" i="17"/>
  <c r="S5155" i="17"/>
  <c r="S5156" i="17"/>
  <c r="S5157" i="17"/>
  <c r="S5158" i="17"/>
  <c r="S5159" i="17"/>
  <c r="S5160" i="17"/>
  <c r="S5161" i="17"/>
  <c r="S5162" i="17"/>
  <c r="S5163" i="17"/>
  <c r="S5164" i="17"/>
  <c r="S5165" i="17"/>
  <c r="S5166" i="17"/>
  <c r="S5167" i="17"/>
  <c r="S5168" i="17"/>
  <c r="S5169" i="17"/>
  <c r="S5170" i="17"/>
  <c r="S5171" i="17"/>
  <c r="S5172" i="17"/>
  <c r="S5173" i="17"/>
  <c r="S5174" i="17"/>
  <c r="S5175" i="17"/>
  <c r="S5176" i="17"/>
  <c r="S5177" i="17"/>
  <c r="S5178" i="17"/>
  <c r="S5179" i="17"/>
  <c r="S5180" i="17"/>
  <c r="S5181" i="17"/>
  <c r="S5182" i="17"/>
  <c r="S5183" i="17"/>
  <c r="S5184" i="17"/>
  <c r="S5185" i="17"/>
  <c r="S5186" i="17"/>
  <c r="S5187" i="17"/>
  <c r="S5188" i="17"/>
  <c r="S5189" i="17"/>
  <c r="S5190" i="17"/>
  <c r="S5191" i="17"/>
  <c r="S5192" i="17"/>
  <c r="S5193" i="17"/>
  <c r="S5194" i="17"/>
  <c r="S5195" i="17"/>
  <c r="S5196" i="17"/>
  <c r="S5197" i="17"/>
  <c r="S5198" i="17"/>
  <c r="S5199" i="17"/>
  <c r="S5200" i="17"/>
  <c r="S5201" i="17"/>
  <c r="S5202" i="17"/>
  <c r="S5203" i="17"/>
  <c r="S5204" i="17"/>
  <c r="S5205" i="17"/>
  <c r="S5206" i="17"/>
  <c r="S5207" i="17"/>
  <c r="S5208" i="17"/>
  <c r="S5209" i="17"/>
  <c r="S5210" i="17"/>
  <c r="S5211" i="17"/>
  <c r="S5212" i="17"/>
  <c r="S5213" i="17"/>
  <c r="S5214" i="17"/>
  <c r="S5215" i="17"/>
  <c r="S5216" i="17"/>
  <c r="S5217" i="17"/>
  <c r="S5218" i="17"/>
  <c r="S5219" i="17"/>
  <c r="S5220" i="17"/>
  <c r="S5221" i="17"/>
  <c r="S5222" i="17"/>
  <c r="S5223" i="17"/>
  <c r="S5224" i="17"/>
  <c r="S5225" i="17"/>
  <c r="S5226" i="17"/>
  <c r="S5227" i="17"/>
  <c r="S5228" i="17"/>
  <c r="S5229" i="17"/>
  <c r="S5230" i="17"/>
  <c r="S5231" i="17"/>
  <c r="S5232" i="17"/>
  <c r="S5233" i="17"/>
  <c r="S5234" i="17"/>
  <c r="S5235" i="17"/>
  <c r="S5236" i="17"/>
  <c r="S5237" i="17"/>
  <c r="S5238" i="17"/>
  <c r="S5239" i="17"/>
  <c r="S5240" i="17"/>
  <c r="S5241" i="17"/>
  <c r="S5242" i="17"/>
  <c r="S5243" i="17"/>
  <c r="S5244" i="17"/>
  <c r="S5245" i="17"/>
  <c r="S5246" i="17"/>
  <c r="S5247" i="17"/>
  <c r="S5248" i="17"/>
  <c r="S5249" i="17"/>
  <c r="S5250" i="17"/>
  <c r="S5251" i="17"/>
  <c r="S5252" i="17"/>
  <c r="S5253" i="17"/>
  <c r="S5254" i="17"/>
  <c r="S5255" i="17"/>
  <c r="S5256" i="17"/>
  <c r="S5257" i="17"/>
  <c r="S5258" i="17"/>
  <c r="S5259" i="17"/>
  <c r="S5260" i="17"/>
  <c r="S5261" i="17"/>
  <c r="S5262" i="17"/>
  <c r="S5263" i="17"/>
  <c r="S5264" i="17"/>
  <c r="S5265" i="17"/>
  <c r="S5266" i="17"/>
  <c r="S5267" i="17"/>
  <c r="S5268" i="17"/>
  <c r="S5269" i="17"/>
  <c r="S5270" i="17"/>
  <c r="S5271" i="17"/>
  <c r="S5272" i="17"/>
  <c r="S5273" i="17"/>
  <c r="S5274" i="17"/>
  <c r="S5275" i="17"/>
  <c r="S5276" i="17"/>
  <c r="S5277" i="17"/>
  <c r="S5278" i="17"/>
  <c r="S5279" i="17"/>
  <c r="S5280" i="17"/>
  <c r="S5281" i="17"/>
  <c r="S5282" i="17"/>
  <c r="S5283" i="17"/>
  <c r="S5284" i="17"/>
  <c r="S5285" i="17"/>
  <c r="S5286" i="17"/>
  <c r="S5287" i="17"/>
  <c r="S5288" i="17"/>
  <c r="S5289" i="17"/>
  <c r="S5290" i="17"/>
  <c r="S5291" i="17"/>
  <c r="S5292" i="17"/>
  <c r="S5293" i="17"/>
  <c r="S5294" i="17"/>
  <c r="S5295" i="17"/>
  <c r="S5296" i="17"/>
  <c r="S5297" i="17"/>
  <c r="S5298" i="17"/>
  <c r="S5299" i="17"/>
  <c r="S5300" i="17"/>
  <c r="S5301" i="17"/>
  <c r="S5302" i="17"/>
  <c r="S5303" i="17"/>
  <c r="S5304" i="17"/>
  <c r="S5305" i="17"/>
  <c r="S5306" i="17"/>
  <c r="S5307" i="17"/>
  <c r="S5308" i="17"/>
  <c r="S5309" i="17"/>
  <c r="S5310" i="17"/>
  <c r="S5311" i="17"/>
  <c r="S5312" i="17"/>
  <c r="S5313" i="17"/>
  <c r="S5314" i="17"/>
  <c r="S5315" i="17"/>
  <c r="S5316" i="17"/>
  <c r="S5317" i="17"/>
  <c r="S5318" i="17"/>
  <c r="S5319" i="17"/>
  <c r="S5320" i="17"/>
  <c r="S5321" i="17"/>
  <c r="S5322" i="17"/>
  <c r="S5323" i="17"/>
  <c r="S5324" i="17"/>
  <c r="S5325" i="17"/>
  <c r="S5326" i="17"/>
  <c r="S5327" i="17"/>
  <c r="S5328" i="17"/>
  <c r="S5329" i="17"/>
  <c r="S5330" i="17"/>
  <c r="S5331" i="17"/>
  <c r="S5332" i="17"/>
  <c r="S5333" i="17"/>
  <c r="S5334" i="17"/>
  <c r="S5335" i="17"/>
  <c r="S5336" i="17"/>
  <c r="S5337" i="17"/>
  <c r="S5338" i="17"/>
  <c r="S5339" i="17"/>
  <c r="S5340" i="17"/>
  <c r="S5341" i="17"/>
  <c r="S5342" i="17"/>
  <c r="S5343" i="17"/>
  <c r="S5344" i="17"/>
  <c r="S5345" i="17"/>
  <c r="S5346" i="17"/>
  <c r="S5347" i="17"/>
  <c r="S5348" i="17"/>
  <c r="S5349" i="17"/>
  <c r="S5350" i="17"/>
  <c r="S5351" i="17"/>
  <c r="S5352" i="17"/>
  <c r="S5353" i="17"/>
  <c r="S5354" i="17"/>
  <c r="S5355" i="17"/>
  <c r="S5356" i="17"/>
  <c r="S5357" i="17"/>
  <c r="S5358" i="17"/>
  <c r="S5359" i="17"/>
  <c r="S5360" i="17"/>
  <c r="S5361" i="17"/>
  <c r="S5362" i="17"/>
  <c r="S5363" i="17"/>
  <c r="S5364" i="17"/>
  <c r="S5365" i="17"/>
  <c r="S5366" i="17"/>
  <c r="S5367" i="17"/>
  <c r="S5368" i="17"/>
  <c r="S5369" i="17"/>
  <c r="S5370" i="17"/>
  <c r="S5371" i="17"/>
  <c r="S5372" i="17"/>
  <c r="S5373" i="17"/>
  <c r="S5374" i="17"/>
  <c r="S5375" i="17"/>
  <c r="S5376" i="17"/>
  <c r="S5377" i="17"/>
  <c r="S5378" i="17"/>
  <c r="S5379" i="17"/>
  <c r="S5380" i="17"/>
  <c r="S5381" i="17"/>
  <c r="S5382" i="17"/>
  <c r="S5383" i="17"/>
  <c r="S5384" i="17"/>
  <c r="S5385" i="17"/>
  <c r="S5386" i="17"/>
  <c r="S5387" i="17"/>
  <c r="S5388" i="17"/>
  <c r="S5389" i="17"/>
  <c r="S5390" i="17"/>
  <c r="S5391" i="17"/>
  <c r="S5392" i="17"/>
  <c r="S5393" i="17"/>
  <c r="S5394" i="17"/>
  <c r="S5395" i="17"/>
  <c r="S5396" i="17"/>
  <c r="S5397" i="17"/>
  <c r="S5398" i="17"/>
  <c r="S5399" i="17"/>
  <c r="S5400" i="17"/>
  <c r="S5401" i="17"/>
  <c r="S5402" i="17"/>
  <c r="S5403" i="17"/>
  <c r="S5404" i="17"/>
  <c r="S5405" i="17"/>
  <c r="S5406" i="17"/>
  <c r="S5407" i="17"/>
  <c r="S5408" i="17"/>
  <c r="S5409" i="17"/>
  <c r="S5410" i="17"/>
  <c r="S5411" i="17"/>
  <c r="S5412" i="17"/>
  <c r="S5413" i="17"/>
  <c r="S5414" i="17"/>
  <c r="S5415" i="17"/>
  <c r="S5416" i="17"/>
  <c r="S5417" i="17"/>
  <c r="S5418" i="17"/>
  <c r="S5419" i="17"/>
  <c r="S5420" i="17"/>
  <c r="S5421" i="17"/>
  <c r="S5422" i="17"/>
  <c r="S5423" i="17"/>
  <c r="S5424" i="17"/>
  <c r="S5425" i="17"/>
  <c r="S5426" i="17"/>
  <c r="S5427" i="17"/>
  <c r="S5428" i="17"/>
  <c r="S5429" i="17"/>
  <c r="S5430" i="17"/>
  <c r="S5431" i="17"/>
  <c r="S5432" i="17"/>
  <c r="S5433" i="17"/>
  <c r="S5434" i="17"/>
  <c r="S5435" i="17"/>
  <c r="S5436" i="17"/>
  <c r="S5437" i="17"/>
  <c r="S5438" i="17"/>
  <c r="S5439" i="17"/>
  <c r="S5440" i="17"/>
  <c r="S5441" i="17"/>
  <c r="S5442" i="17"/>
  <c r="S5443" i="17"/>
  <c r="S5444" i="17"/>
  <c r="S5445" i="17"/>
  <c r="S5446" i="17"/>
  <c r="S5447" i="17"/>
  <c r="S5448" i="17"/>
  <c r="S5449" i="17"/>
  <c r="S5450" i="17"/>
  <c r="S5451" i="17"/>
  <c r="S5452" i="17"/>
  <c r="S5453" i="17"/>
  <c r="S5454" i="17"/>
  <c r="S5455" i="17"/>
  <c r="S5456" i="17"/>
  <c r="S5457" i="17"/>
  <c r="S5458" i="17"/>
  <c r="S5459" i="17"/>
  <c r="S5460" i="17"/>
  <c r="S5461" i="17"/>
  <c r="S5462" i="17"/>
  <c r="S5463" i="17"/>
  <c r="S5464" i="17"/>
  <c r="S5465" i="17"/>
  <c r="S5466" i="17"/>
  <c r="S5467" i="17"/>
  <c r="S5468" i="17"/>
  <c r="S5469" i="17"/>
  <c r="S5470" i="17"/>
  <c r="S5471" i="17"/>
  <c r="S5472" i="17"/>
  <c r="S5473" i="17"/>
  <c r="S5474" i="17"/>
  <c r="S5475" i="17"/>
  <c r="S5476" i="17"/>
  <c r="S5477" i="17"/>
  <c r="S5478" i="17"/>
  <c r="S5479" i="17"/>
  <c r="S5480" i="17"/>
  <c r="S5481" i="17"/>
  <c r="S5482" i="17"/>
  <c r="S5483" i="17"/>
  <c r="S5484" i="17"/>
  <c r="S5485" i="17"/>
  <c r="S5486" i="17"/>
  <c r="S5487" i="17"/>
  <c r="S5488" i="17"/>
  <c r="S5489" i="17"/>
  <c r="S5490" i="17"/>
  <c r="S5491" i="17"/>
  <c r="S5492" i="17"/>
  <c r="S5493" i="17"/>
  <c r="S5494" i="17"/>
  <c r="S5495" i="17"/>
  <c r="S5496" i="17"/>
  <c r="S5497" i="17"/>
  <c r="S5498" i="17"/>
  <c r="S5499" i="17"/>
  <c r="S5500" i="17"/>
  <c r="S5501" i="17"/>
  <c r="S5502" i="17"/>
  <c r="S5503" i="17"/>
  <c r="S5504" i="17"/>
  <c r="S5505" i="17"/>
  <c r="S5506" i="17"/>
  <c r="S5507" i="17"/>
  <c r="S5508" i="17"/>
  <c r="S5509" i="17"/>
  <c r="S5510" i="17"/>
  <c r="S5511" i="17"/>
  <c r="S5512" i="17"/>
  <c r="S5513" i="17"/>
  <c r="S5514" i="17"/>
  <c r="S5515" i="17"/>
  <c r="S5516" i="17"/>
  <c r="S5517" i="17"/>
  <c r="S5518" i="17"/>
  <c r="S5519" i="17"/>
  <c r="S5520" i="17"/>
  <c r="S5521" i="17"/>
  <c r="S5522" i="17"/>
  <c r="S5523" i="17"/>
  <c r="S5524" i="17"/>
  <c r="S5525" i="17"/>
  <c r="S5526" i="17"/>
  <c r="S5527" i="17"/>
  <c r="S5528" i="17"/>
  <c r="S5529" i="17"/>
  <c r="S5530" i="17"/>
  <c r="S5531" i="17"/>
  <c r="S5532" i="17"/>
  <c r="S5533" i="17"/>
  <c r="S5534" i="17"/>
  <c r="S5535" i="17"/>
  <c r="S5536" i="17"/>
  <c r="S5537" i="17"/>
  <c r="S5538" i="17"/>
  <c r="S5539" i="17"/>
  <c r="S5540" i="17"/>
  <c r="S5541" i="17"/>
  <c r="S5542" i="17"/>
  <c r="S5543" i="17"/>
  <c r="S5544" i="17"/>
  <c r="S5545" i="17"/>
  <c r="S5546" i="17"/>
  <c r="S5547" i="17"/>
  <c r="S5548" i="17"/>
  <c r="S5549" i="17"/>
  <c r="S5550" i="17"/>
  <c r="S5551" i="17"/>
  <c r="S5552" i="17"/>
  <c r="S5553" i="17"/>
  <c r="S5554" i="17"/>
  <c r="S5555" i="17"/>
  <c r="S5556" i="17"/>
  <c r="S5557" i="17"/>
  <c r="S5558" i="17"/>
  <c r="S5559" i="17"/>
  <c r="S5560" i="17"/>
  <c r="S5561" i="17"/>
  <c r="S5562" i="17"/>
  <c r="S5563" i="17"/>
  <c r="S5564" i="17"/>
  <c r="S5565" i="17"/>
  <c r="S5566" i="17"/>
  <c r="S5567" i="17"/>
  <c r="S5568" i="17"/>
  <c r="S5569" i="17"/>
  <c r="S5570" i="17"/>
  <c r="S2" i="17"/>
  <c r="G22" i="1" a="1"/>
  <c r="G22" i="1" s="1"/>
  <c r="W20" i="1" s="1"/>
  <c r="W21" i="1" s="1"/>
  <c r="T13" i="1"/>
  <c r="O21" i="28"/>
  <c r="N309" i="28"/>
  <c r="T48" i="1" l="1"/>
  <c r="D9" i="26"/>
  <c r="M3" i="30" s="1"/>
  <c r="D16" i="35"/>
  <c r="P3" i="30"/>
  <c r="H8" i="35"/>
  <c r="L3" i="30"/>
  <c r="D17" i="35"/>
  <c r="T50" i="1"/>
  <c r="X54" i="1" s="1"/>
  <c r="AA56" i="1" s="1"/>
  <c r="AA57" i="1" s="1" a="1"/>
  <c r="AA57" i="1" s="1"/>
  <c r="K7" i="35" s="1"/>
  <c r="T49" i="1"/>
  <c r="T29" i="1"/>
  <c r="N304" i="28"/>
  <c r="W6" i="28"/>
  <c r="V10" i="28"/>
  <c r="V12" i="28"/>
  <c r="AD12" i="1" l="1"/>
  <c r="AH12" i="1" s="1"/>
  <c r="AD13" i="1"/>
  <c r="AH13" i="1" s="1"/>
  <c r="AD11" i="1"/>
  <c r="AH11" i="1" s="1"/>
  <c r="AD14" i="1"/>
  <c r="AH14" i="1" s="1"/>
  <c r="AD15" i="1"/>
  <c r="AH15" i="1" s="1"/>
  <c r="AD16" i="1"/>
  <c r="AH16" i="1" s="1"/>
  <c r="AD17" i="1"/>
  <c r="AH17" i="1" s="1"/>
  <c r="G17" i="1"/>
  <c r="W22" i="1" s="1"/>
  <c r="W23" i="1" s="1"/>
  <c r="T23" i="1"/>
  <c r="X32" i="1" s="1"/>
  <c r="D46" i="1"/>
  <c r="AD39" i="1"/>
  <c r="O304" i="28"/>
  <c r="O36" i="28" s="1"/>
  <c r="N36" i="28"/>
  <c r="AI15" i="1" l="1"/>
  <c r="AL15" i="1"/>
  <c r="AK15" i="1"/>
  <c r="AJ15" i="1"/>
  <c r="AI14" i="1"/>
  <c r="AL14" i="1"/>
  <c r="AJ14" i="1"/>
  <c r="AK14" i="1"/>
  <c r="AJ17" i="1"/>
  <c r="AK17" i="1"/>
  <c r="AI17" i="1"/>
  <c r="AL17" i="1"/>
  <c r="AK13" i="1"/>
  <c r="AJ13" i="1"/>
  <c r="AI13" i="1"/>
  <c r="AL13" i="1"/>
  <c r="AK16" i="1"/>
  <c r="AI16" i="1"/>
  <c r="AL16" i="1"/>
  <c r="AJ16" i="1"/>
  <c r="AK12" i="1"/>
  <c r="AI12" i="1"/>
  <c r="AJ12" i="1"/>
  <c r="AL12" i="1"/>
  <c r="AJ11" i="1"/>
  <c r="AK11" i="1"/>
  <c r="AI11" i="1"/>
  <c r="AL11" i="1"/>
  <c r="D55" i="1"/>
  <c r="AD42" i="1"/>
  <c r="X31" i="1"/>
  <c r="I19" i="26" l="1" a="1"/>
  <c r="I19" i="26" s="1"/>
  <c r="X34" i="1"/>
  <c r="X41" i="1"/>
  <c r="X40" i="1"/>
  <c r="X42" i="1"/>
  <c r="X37" i="1"/>
  <c r="X39" i="1"/>
  <c r="X38" i="1"/>
  <c r="X33" i="1"/>
  <c r="X36" i="1"/>
  <c r="X35" i="1"/>
  <c r="Y45" i="1"/>
  <c r="G47" i="20"/>
  <c r="G46" i="20"/>
  <c r="G45" i="20"/>
  <c r="G44" i="20"/>
  <c r="G43" i="20"/>
  <c r="G42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C32" i="26" l="1"/>
  <c r="T12" i="1" l="1"/>
  <c r="D53" i="1" l="1"/>
  <c r="Z44" i="1"/>
  <c r="Z45" i="1" s="1"/>
  <c r="D52" i="1" l="1"/>
  <c r="D54" i="1" s="1"/>
  <c r="D56" i="1" s="1"/>
  <c r="G48" i="20"/>
  <c r="AD41" i="1" l="1"/>
  <c r="AD43" i="1" s="1"/>
  <c r="AU19" i="1"/>
  <c r="H8" i="26" s="1"/>
  <c r="AK3" i="30" s="1"/>
  <c r="D47" i="1"/>
  <c r="AD45" i="1" l="1"/>
  <c r="X45" i="1"/>
  <c r="D14" i="26" s="1"/>
  <c r="V3" i="30" s="1"/>
  <c r="AD44" i="1" l="1"/>
  <c r="X51" i="1" s="1"/>
  <c r="H6" i="35"/>
  <c r="J53" i="1"/>
  <c r="T14" i="1"/>
  <c r="T15" i="1" l="1"/>
  <c r="T16" i="1"/>
  <c r="AH26" i="1" s="1"/>
  <c r="O18" i="28"/>
  <c r="I17" i="26"/>
  <c r="H17" i="26"/>
  <c r="AH25" i="1" l="1"/>
  <c r="AH29" i="1" s="1"/>
  <c r="W12" i="1"/>
  <c r="AH30" i="1"/>
  <c r="T17" i="1"/>
  <c r="C2" i="18"/>
  <c r="A5570" i="17"/>
  <c r="A5569" i="17"/>
  <c r="A5568" i="17"/>
  <c r="A5567" i="17"/>
  <c r="A5566" i="17"/>
  <c r="A5565" i="17"/>
  <c r="A5564" i="17"/>
  <c r="A5563" i="17"/>
  <c r="A5562" i="17"/>
  <c r="A5561" i="17"/>
  <c r="A5560" i="17"/>
  <c r="A5559" i="17"/>
  <c r="A5558" i="17"/>
  <c r="A5557" i="17"/>
  <c r="A5556" i="17"/>
  <c r="A5555" i="17"/>
  <c r="A5554" i="17"/>
  <c r="A5553" i="17"/>
  <c r="A5552" i="17"/>
  <c r="A5551" i="17"/>
  <c r="A5550" i="17"/>
  <c r="A5549" i="17"/>
  <c r="A5548" i="17"/>
  <c r="A5547" i="17"/>
  <c r="A5546" i="17"/>
  <c r="A5545" i="17"/>
  <c r="A5544" i="17"/>
  <c r="A5543" i="17"/>
  <c r="A5542" i="17"/>
  <c r="A5541" i="17"/>
  <c r="A5540" i="17"/>
  <c r="A5539" i="17"/>
  <c r="A5538" i="17"/>
  <c r="A5537" i="17"/>
  <c r="A5536" i="17"/>
  <c r="A5535" i="17"/>
  <c r="A5534" i="17"/>
  <c r="A5533" i="17"/>
  <c r="A5532" i="17"/>
  <c r="A5531" i="17"/>
  <c r="A5530" i="17"/>
  <c r="A5529" i="17"/>
  <c r="A5528" i="17"/>
  <c r="A5527" i="17"/>
  <c r="A5526" i="17"/>
  <c r="A5525" i="17"/>
  <c r="A5524" i="17"/>
  <c r="A5523" i="17"/>
  <c r="A5522" i="17"/>
  <c r="A5521" i="17"/>
  <c r="A5520" i="17"/>
  <c r="A5519" i="17"/>
  <c r="A5518" i="17"/>
  <c r="A5517" i="17"/>
  <c r="A5516" i="17"/>
  <c r="A5515" i="17"/>
  <c r="A5514" i="17"/>
  <c r="A5513" i="17"/>
  <c r="A5512" i="17"/>
  <c r="A5511" i="17"/>
  <c r="A5510" i="17"/>
  <c r="A5509" i="17"/>
  <c r="A5508" i="17"/>
  <c r="A5507" i="17"/>
  <c r="A5506" i="17"/>
  <c r="A5505" i="17"/>
  <c r="A5504" i="17"/>
  <c r="A5503" i="17"/>
  <c r="A5502" i="17"/>
  <c r="A5501" i="17"/>
  <c r="A5500" i="17"/>
  <c r="A5499" i="17"/>
  <c r="A5498" i="17"/>
  <c r="A5497" i="17"/>
  <c r="A5496" i="17"/>
  <c r="A5495" i="17"/>
  <c r="A5494" i="17"/>
  <c r="A5493" i="17"/>
  <c r="A5492" i="17"/>
  <c r="A5491" i="17"/>
  <c r="A5490" i="17"/>
  <c r="A5489" i="17"/>
  <c r="A5488" i="17"/>
  <c r="A5487" i="17"/>
  <c r="A5486" i="17"/>
  <c r="A5485" i="17"/>
  <c r="A5484" i="17"/>
  <c r="A5483" i="17"/>
  <c r="A5482" i="17"/>
  <c r="A5481" i="17"/>
  <c r="A5480" i="17"/>
  <c r="A5479" i="17"/>
  <c r="A5478" i="17"/>
  <c r="A5477" i="17"/>
  <c r="A5476" i="17"/>
  <c r="A5475" i="17"/>
  <c r="A5474" i="17"/>
  <c r="A5473" i="17"/>
  <c r="A5472" i="17"/>
  <c r="A5471" i="17"/>
  <c r="A5470" i="17"/>
  <c r="A5469" i="17"/>
  <c r="A5468" i="17"/>
  <c r="A5467" i="17"/>
  <c r="A5466" i="17"/>
  <c r="A5465" i="17"/>
  <c r="A5464" i="17"/>
  <c r="A5463" i="17"/>
  <c r="A5462" i="17"/>
  <c r="A5461" i="17"/>
  <c r="A5460" i="17"/>
  <c r="A5459" i="17"/>
  <c r="A5458" i="17"/>
  <c r="A5457" i="17"/>
  <c r="A5456" i="17"/>
  <c r="A5455" i="17"/>
  <c r="A5454" i="17"/>
  <c r="A5453" i="17"/>
  <c r="A5452" i="17"/>
  <c r="A5451" i="17"/>
  <c r="A5450" i="17"/>
  <c r="A5449" i="17"/>
  <c r="A5448" i="17"/>
  <c r="A5447" i="17"/>
  <c r="A5446" i="17"/>
  <c r="A5445" i="17"/>
  <c r="A5444" i="17"/>
  <c r="A5443" i="17"/>
  <c r="A5442" i="17"/>
  <c r="A5441" i="17"/>
  <c r="A5440" i="17"/>
  <c r="A5439" i="17"/>
  <c r="A5438" i="17"/>
  <c r="A5437" i="17"/>
  <c r="A5436" i="17"/>
  <c r="A5435" i="17"/>
  <c r="A5434" i="17"/>
  <c r="A5433" i="17"/>
  <c r="A5432" i="17"/>
  <c r="A5431" i="17"/>
  <c r="A5430" i="17"/>
  <c r="A5429" i="17"/>
  <c r="A5428" i="17"/>
  <c r="A5427" i="17"/>
  <c r="A5426" i="17"/>
  <c r="A5425" i="17"/>
  <c r="A5424" i="17"/>
  <c r="A5423" i="17"/>
  <c r="A5422" i="17"/>
  <c r="A5421" i="17"/>
  <c r="A5420" i="17"/>
  <c r="A5419" i="17"/>
  <c r="A5418" i="17"/>
  <c r="A5417" i="17"/>
  <c r="A5416" i="17"/>
  <c r="A5415" i="17"/>
  <c r="A5414" i="17"/>
  <c r="A5413" i="17"/>
  <c r="A5412" i="17"/>
  <c r="A5411" i="17"/>
  <c r="A5410" i="17"/>
  <c r="A5409" i="17"/>
  <c r="A5408" i="17"/>
  <c r="A5407" i="17"/>
  <c r="A5406" i="17"/>
  <c r="A5405" i="17"/>
  <c r="A5404" i="17"/>
  <c r="A5403" i="17"/>
  <c r="A5402" i="17"/>
  <c r="A5401" i="17"/>
  <c r="A5400" i="17"/>
  <c r="A5399" i="17"/>
  <c r="A5398" i="17"/>
  <c r="A5397" i="17"/>
  <c r="A5396" i="17"/>
  <c r="A5395" i="17"/>
  <c r="A5394" i="17"/>
  <c r="A5393" i="17"/>
  <c r="A5392" i="17"/>
  <c r="A5391" i="17"/>
  <c r="A5390" i="17"/>
  <c r="A5389" i="17"/>
  <c r="A5388" i="17"/>
  <c r="A5387" i="17"/>
  <c r="A5386" i="17"/>
  <c r="A5385" i="17"/>
  <c r="A5384" i="17"/>
  <c r="A5383" i="17"/>
  <c r="A5382" i="17"/>
  <c r="A5381" i="17"/>
  <c r="A5380" i="17"/>
  <c r="A5379" i="17"/>
  <c r="A5378" i="17"/>
  <c r="A5377" i="17"/>
  <c r="A5376" i="17"/>
  <c r="A5375" i="17"/>
  <c r="A5374" i="17"/>
  <c r="A5373" i="17"/>
  <c r="A5372" i="17"/>
  <c r="A5371" i="17"/>
  <c r="A5370" i="17"/>
  <c r="A5369" i="17"/>
  <c r="A5368" i="17"/>
  <c r="A5367" i="17"/>
  <c r="A5366" i="17"/>
  <c r="A5365" i="17"/>
  <c r="A5364" i="17"/>
  <c r="A5363" i="17"/>
  <c r="A5362" i="17"/>
  <c r="A5361" i="17"/>
  <c r="A5360" i="17"/>
  <c r="A5359" i="17"/>
  <c r="A5358" i="17"/>
  <c r="A5357" i="17"/>
  <c r="A5356" i="17"/>
  <c r="A5355" i="17"/>
  <c r="A5354" i="17"/>
  <c r="A5353" i="17"/>
  <c r="A5352" i="17"/>
  <c r="A5351" i="17"/>
  <c r="A5350" i="17"/>
  <c r="A5349" i="17"/>
  <c r="A5348" i="17"/>
  <c r="A5347" i="17"/>
  <c r="A5346" i="17"/>
  <c r="A5345" i="17"/>
  <c r="A5344" i="17"/>
  <c r="A5343" i="17"/>
  <c r="A5342" i="17"/>
  <c r="A5341" i="17"/>
  <c r="A5340" i="17"/>
  <c r="A5339" i="17"/>
  <c r="A5338" i="17"/>
  <c r="A5337" i="17"/>
  <c r="A5336" i="17"/>
  <c r="A5335" i="17"/>
  <c r="A5334" i="17"/>
  <c r="A5333" i="17"/>
  <c r="A5332" i="17"/>
  <c r="A5331" i="17"/>
  <c r="A5330" i="17"/>
  <c r="A5329" i="17"/>
  <c r="A5328" i="17"/>
  <c r="A5327" i="17"/>
  <c r="A5326" i="17"/>
  <c r="A5325" i="17"/>
  <c r="A5324" i="17"/>
  <c r="A5323" i="17"/>
  <c r="A5322" i="17"/>
  <c r="A5321" i="17"/>
  <c r="A5320" i="17"/>
  <c r="A5319" i="17"/>
  <c r="A5318" i="17"/>
  <c r="A5317" i="17"/>
  <c r="A5316" i="17"/>
  <c r="A5315" i="17"/>
  <c r="A5314" i="17"/>
  <c r="A5313" i="17"/>
  <c r="A5312" i="17"/>
  <c r="A5311" i="17"/>
  <c r="A5310" i="17"/>
  <c r="A5309" i="17"/>
  <c r="A5308" i="17"/>
  <c r="A5307" i="17"/>
  <c r="A5306" i="17"/>
  <c r="A5305" i="17"/>
  <c r="A5304" i="17"/>
  <c r="A5303" i="17"/>
  <c r="A5302" i="17"/>
  <c r="A5301" i="17"/>
  <c r="A5300" i="17"/>
  <c r="A5299" i="17"/>
  <c r="A5298" i="17"/>
  <c r="A5297" i="17"/>
  <c r="A5296" i="17"/>
  <c r="A5295" i="17"/>
  <c r="A5294" i="17"/>
  <c r="A5293" i="17"/>
  <c r="A5292" i="17"/>
  <c r="A5291" i="17"/>
  <c r="A5290" i="17"/>
  <c r="A5289" i="17"/>
  <c r="A5288" i="17"/>
  <c r="A5287" i="17"/>
  <c r="A5286" i="17"/>
  <c r="A5285" i="17"/>
  <c r="A5284" i="17"/>
  <c r="A5283" i="17"/>
  <c r="A5282" i="17"/>
  <c r="A5281" i="17"/>
  <c r="A5280" i="17"/>
  <c r="A5279" i="17"/>
  <c r="A5278" i="17"/>
  <c r="A5277" i="17"/>
  <c r="A5276" i="17"/>
  <c r="A5275" i="17"/>
  <c r="A5274" i="17"/>
  <c r="A5273" i="17"/>
  <c r="A5272" i="17"/>
  <c r="A5271" i="17"/>
  <c r="A5270" i="17"/>
  <c r="A5269" i="17"/>
  <c r="A5268" i="17"/>
  <c r="A5267" i="17"/>
  <c r="A5266" i="17"/>
  <c r="A5265" i="17"/>
  <c r="A5264" i="17"/>
  <c r="A5263" i="17"/>
  <c r="A5262" i="17"/>
  <c r="A5261" i="17"/>
  <c r="A5260" i="17"/>
  <c r="A5259" i="17"/>
  <c r="A5258" i="17"/>
  <c r="A5257" i="17"/>
  <c r="A5256" i="17"/>
  <c r="A5255" i="17"/>
  <c r="A5254" i="17"/>
  <c r="A5253" i="17"/>
  <c r="A5252" i="17"/>
  <c r="A5251" i="17"/>
  <c r="A5250" i="17"/>
  <c r="A5249" i="17"/>
  <c r="A5248" i="17"/>
  <c r="A5247" i="17"/>
  <c r="A5246" i="17"/>
  <c r="A5245" i="17"/>
  <c r="A5244" i="17"/>
  <c r="A5243" i="17"/>
  <c r="A5242" i="17"/>
  <c r="A5241" i="17"/>
  <c r="A5240" i="17"/>
  <c r="A5239" i="17"/>
  <c r="A5238" i="17"/>
  <c r="A5237" i="17"/>
  <c r="A5236" i="17"/>
  <c r="A5235" i="17"/>
  <c r="A5234" i="17"/>
  <c r="A5233" i="17"/>
  <c r="A5232" i="17"/>
  <c r="A5231" i="17"/>
  <c r="A5230" i="17"/>
  <c r="A5229" i="17"/>
  <c r="A5228" i="17"/>
  <c r="A5227" i="17"/>
  <c r="A5226" i="17"/>
  <c r="A5225" i="17"/>
  <c r="A5224" i="17"/>
  <c r="A5223" i="17"/>
  <c r="A5222" i="17"/>
  <c r="A5221" i="17"/>
  <c r="A5220" i="17"/>
  <c r="A5219" i="17"/>
  <c r="A5218" i="17"/>
  <c r="A5217" i="17"/>
  <c r="A5216" i="17"/>
  <c r="A5215" i="17"/>
  <c r="A5214" i="17"/>
  <c r="A5213" i="17"/>
  <c r="A5212" i="17"/>
  <c r="A5211" i="17"/>
  <c r="A5210" i="17"/>
  <c r="A5209" i="17"/>
  <c r="A5208" i="17"/>
  <c r="A5207" i="17"/>
  <c r="A5206" i="17"/>
  <c r="A5205" i="17"/>
  <c r="A5204" i="17"/>
  <c r="A5203" i="17"/>
  <c r="A5202" i="17"/>
  <c r="A5201" i="17"/>
  <c r="A5200" i="17"/>
  <c r="A5199" i="17"/>
  <c r="A5198" i="17"/>
  <c r="A5197" i="17"/>
  <c r="A5196" i="17"/>
  <c r="A5195" i="17"/>
  <c r="A5194" i="17"/>
  <c r="A5193" i="17"/>
  <c r="A5192" i="17"/>
  <c r="A5191" i="17"/>
  <c r="A5190" i="17"/>
  <c r="A5189" i="17"/>
  <c r="A5188" i="17"/>
  <c r="A5187" i="17"/>
  <c r="A5186" i="17"/>
  <c r="A5185" i="17"/>
  <c r="A5184" i="17"/>
  <c r="A5183" i="17"/>
  <c r="A5182" i="17"/>
  <c r="A5181" i="17"/>
  <c r="A5180" i="17"/>
  <c r="A5179" i="17"/>
  <c r="A5178" i="17"/>
  <c r="A5177" i="17"/>
  <c r="A5176" i="17"/>
  <c r="A5175" i="17"/>
  <c r="A5174" i="17"/>
  <c r="A5173" i="17"/>
  <c r="A5172" i="17"/>
  <c r="A5171" i="17"/>
  <c r="A5170" i="17"/>
  <c r="A5169" i="17"/>
  <c r="A5168" i="17"/>
  <c r="A5167" i="17"/>
  <c r="A5166" i="17"/>
  <c r="A5165" i="17"/>
  <c r="A5164" i="17"/>
  <c r="A5163" i="17"/>
  <c r="A5162" i="17"/>
  <c r="A5161" i="17"/>
  <c r="A5160" i="17"/>
  <c r="A5159" i="17"/>
  <c r="A5158" i="17"/>
  <c r="A5157" i="17"/>
  <c r="A5156" i="17"/>
  <c r="A5155" i="17"/>
  <c r="A5154" i="17"/>
  <c r="A5153" i="17"/>
  <c r="A5152" i="17"/>
  <c r="A5151" i="17"/>
  <c r="A5150" i="17"/>
  <c r="A5149" i="17"/>
  <c r="A5148" i="17"/>
  <c r="A5147" i="17"/>
  <c r="A5146" i="17"/>
  <c r="A5145" i="17"/>
  <c r="A5144" i="17"/>
  <c r="A5143" i="17"/>
  <c r="A5142" i="17"/>
  <c r="A5141" i="17"/>
  <c r="A5140" i="17"/>
  <c r="A5139" i="17"/>
  <c r="A5138" i="17"/>
  <c r="A5137" i="17"/>
  <c r="A5136" i="17"/>
  <c r="A5135" i="17"/>
  <c r="A5134" i="17"/>
  <c r="A5133" i="17"/>
  <c r="A5132" i="17"/>
  <c r="A5131" i="17"/>
  <c r="A5130" i="17"/>
  <c r="A5129" i="17"/>
  <c r="A5128" i="17"/>
  <c r="A5127" i="17"/>
  <c r="A5126" i="17"/>
  <c r="A5125" i="17"/>
  <c r="A5124" i="17"/>
  <c r="A5123" i="17"/>
  <c r="A5122" i="17"/>
  <c r="A5121" i="17"/>
  <c r="A5120" i="17"/>
  <c r="A5119" i="17"/>
  <c r="A5118" i="17"/>
  <c r="A5117" i="17"/>
  <c r="A5116" i="17"/>
  <c r="A5115" i="17"/>
  <c r="A5114" i="17"/>
  <c r="A5113" i="17"/>
  <c r="A5112" i="17"/>
  <c r="A5111" i="17"/>
  <c r="A5110" i="17"/>
  <c r="A5109" i="17"/>
  <c r="A5108" i="17"/>
  <c r="A5107" i="17"/>
  <c r="A5106" i="17"/>
  <c r="A5105" i="17"/>
  <c r="A5104" i="17"/>
  <c r="A5103" i="17"/>
  <c r="A5102" i="17"/>
  <c r="A5101" i="17"/>
  <c r="A5100" i="17"/>
  <c r="A5099" i="17"/>
  <c r="A5098" i="17"/>
  <c r="A5097" i="17"/>
  <c r="A5096" i="17"/>
  <c r="A5095" i="17"/>
  <c r="A5094" i="17"/>
  <c r="A5093" i="17"/>
  <c r="A5092" i="17"/>
  <c r="A5091" i="17"/>
  <c r="A5090" i="17"/>
  <c r="A5089" i="17"/>
  <c r="A5088" i="17"/>
  <c r="A5087" i="17"/>
  <c r="A5086" i="17"/>
  <c r="A5085" i="17"/>
  <c r="A5084" i="17"/>
  <c r="A5083" i="17"/>
  <c r="A5082" i="17"/>
  <c r="A5081" i="17"/>
  <c r="A5080" i="17"/>
  <c r="A5079" i="17"/>
  <c r="A5078" i="17"/>
  <c r="A5077" i="17"/>
  <c r="A5076" i="17"/>
  <c r="A5075" i="17"/>
  <c r="A5074" i="17"/>
  <c r="A5073" i="17"/>
  <c r="A5072" i="17"/>
  <c r="A5071" i="17"/>
  <c r="A5070" i="17"/>
  <c r="A5069" i="17"/>
  <c r="A5068" i="17"/>
  <c r="A5067" i="17"/>
  <c r="A5066" i="17"/>
  <c r="A5065" i="17"/>
  <c r="A5064" i="17"/>
  <c r="A5063" i="17"/>
  <c r="A5062" i="17"/>
  <c r="A5061" i="17"/>
  <c r="A5060" i="17"/>
  <c r="A5059" i="17"/>
  <c r="A5058" i="17"/>
  <c r="A5057" i="17"/>
  <c r="A5056" i="17"/>
  <c r="A5055" i="17"/>
  <c r="A5054" i="17"/>
  <c r="A5053" i="17"/>
  <c r="A5052" i="17"/>
  <c r="A5051" i="17"/>
  <c r="A5050" i="17"/>
  <c r="A5049" i="17"/>
  <c r="A5048" i="17"/>
  <c r="A5047" i="17"/>
  <c r="A5046" i="17"/>
  <c r="A5045" i="17"/>
  <c r="A5044" i="17"/>
  <c r="A5043" i="17"/>
  <c r="A5042" i="17"/>
  <c r="A5041" i="17"/>
  <c r="A5040" i="17"/>
  <c r="A5039" i="17"/>
  <c r="A5038" i="17"/>
  <c r="A5037" i="17"/>
  <c r="A5036" i="17"/>
  <c r="A5035" i="17"/>
  <c r="A5034" i="17"/>
  <c r="A5033" i="17"/>
  <c r="A5032" i="17"/>
  <c r="A5031" i="17"/>
  <c r="A5030" i="17"/>
  <c r="A5029" i="17"/>
  <c r="A5028" i="17"/>
  <c r="A5027" i="17"/>
  <c r="A5026" i="17"/>
  <c r="A5025" i="17"/>
  <c r="A5024" i="17"/>
  <c r="A5023" i="17"/>
  <c r="A5022" i="17"/>
  <c r="A5021" i="17"/>
  <c r="A5020" i="17"/>
  <c r="A5019" i="17"/>
  <c r="A5018" i="17"/>
  <c r="A5017" i="17"/>
  <c r="A5016" i="17"/>
  <c r="A5015" i="17"/>
  <c r="A5014" i="17"/>
  <c r="A5013" i="17"/>
  <c r="A5012" i="17"/>
  <c r="A5011" i="17"/>
  <c r="A5010" i="17"/>
  <c r="A5009" i="17"/>
  <c r="A5008" i="17"/>
  <c r="A5007" i="17"/>
  <c r="A5006" i="17"/>
  <c r="A5005" i="17"/>
  <c r="A5004" i="17"/>
  <c r="A5003" i="17"/>
  <c r="A5002" i="17"/>
  <c r="A5001" i="17"/>
  <c r="A5000" i="17"/>
  <c r="A4999" i="17"/>
  <c r="A4998" i="17"/>
  <c r="A4997" i="17"/>
  <c r="A4996" i="17"/>
  <c r="A4995" i="17"/>
  <c r="A4994" i="17"/>
  <c r="A4993" i="17"/>
  <c r="A4992" i="17"/>
  <c r="A4991" i="17"/>
  <c r="A4990" i="17"/>
  <c r="A4989" i="17"/>
  <c r="A4988" i="17"/>
  <c r="A4987" i="17"/>
  <c r="A4986" i="17"/>
  <c r="A4985" i="17"/>
  <c r="A4984" i="17"/>
  <c r="A4983" i="17"/>
  <c r="A4982" i="17"/>
  <c r="A4981" i="17"/>
  <c r="A4980" i="17"/>
  <c r="A4979" i="17"/>
  <c r="A4978" i="17"/>
  <c r="A4977" i="17"/>
  <c r="A4976" i="17"/>
  <c r="A4975" i="17"/>
  <c r="A4974" i="17"/>
  <c r="A4973" i="17"/>
  <c r="A4972" i="17"/>
  <c r="A4971" i="17"/>
  <c r="A4970" i="17"/>
  <c r="A4969" i="17"/>
  <c r="A4968" i="17"/>
  <c r="A4967" i="17"/>
  <c r="A4966" i="17"/>
  <c r="A4965" i="17"/>
  <c r="A4964" i="17"/>
  <c r="A4963" i="17"/>
  <c r="A4962" i="17"/>
  <c r="A4961" i="17"/>
  <c r="A4960" i="17"/>
  <c r="A4959" i="17"/>
  <c r="A4958" i="17"/>
  <c r="A4957" i="17"/>
  <c r="A4956" i="17"/>
  <c r="A4955" i="17"/>
  <c r="A4954" i="17"/>
  <c r="A4953" i="17"/>
  <c r="A4952" i="17"/>
  <c r="A4951" i="17"/>
  <c r="A4950" i="17"/>
  <c r="A4949" i="17"/>
  <c r="A4948" i="17"/>
  <c r="A4947" i="17"/>
  <c r="A4946" i="17"/>
  <c r="A4945" i="17"/>
  <c r="A4944" i="17"/>
  <c r="A4943" i="17"/>
  <c r="A4942" i="17"/>
  <c r="A4941" i="17"/>
  <c r="A4940" i="17"/>
  <c r="A4939" i="17"/>
  <c r="A4938" i="17"/>
  <c r="A4937" i="17"/>
  <c r="A4936" i="17"/>
  <c r="A4935" i="17"/>
  <c r="A4934" i="17"/>
  <c r="A4933" i="17"/>
  <c r="A4932" i="17"/>
  <c r="A4931" i="17"/>
  <c r="A4930" i="17"/>
  <c r="A4929" i="17"/>
  <c r="A4928" i="17"/>
  <c r="A4927" i="17"/>
  <c r="A4926" i="17"/>
  <c r="A4925" i="17"/>
  <c r="A4924" i="17"/>
  <c r="A4923" i="17"/>
  <c r="A4922" i="17"/>
  <c r="A4921" i="17"/>
  <c r="A4920" i="17"/>
  <c r="A4919" i="17"/>
  <c r="A4918" i="17"/>
  <c r="A4917" i="17"/>
  <c r="A4916" i="17"/>
  <c r="A4915" i="17"/>
  <c r="A4914" i="17"/>
  <c r="A4913" i="17"/>
  <c r="A4912" i="17"/>
  <c r="A4911" i="17"/>
  <c r="A4910" i="17"/>
  <c r="A4909" i="17"/>
  <c r="A4908" i="17"/>
  <c r="A4907" i="17"/>
  <c r="A4906" i="17"/>
  <c r="A4905" i="17"/>
  <c r="A4904" i="17"/>
  <c r="A4903" i="17"/>
  <c r="A4902" i="17"/>
  <c r="A4901" i="17"/>
  <c r="A4900" i="17"/>
  <c r="A4899" i="17"/>
  <c r="A4898" i="17"/>
  <c r="A4897" i="17"/>
  <c r="A4896" i="17"/>
  <c r="A4895" i="17"/>
  <c r="A4894" i="17"/>
  <c r="A4893" i="17"/>
  <c r="A4892" i="17"/>
  <c r="A4891" i="17"/>
  <c r="A4890" i="17"/>
  <c r="A4889" i="17"/>
  <c r="A4888" i="17"/>
  <c r="A4887" i="17"/>
  <c r="A4886" i="17"/>
  <c r="A4885" i="17"/>
  <c r="A4884" i="17"/>
  <c r="A4883" i="17"/>
  <c r="A4882" i="17"/>
  <c r="A4881" i="17"/>
  <c r="A4880" i="17"/>
  <c r="A4879" i="17"/>
  <c r="A4878" i="17"/>
  <c r="A4877" i="17"/>
  <c r="A4876" i="17"/>
  <c r="A4875" i="17"/>
  <c r="A4874" i="17"/>
  <c r="A4873" i="17"/>
  <c r="A4872" i="17"/>
  <c r="A4871" i="17"/>
  <c r="A4870" i="17"/>
  <c r="A4869" i="17"/>
  <c r="A4868" i="17"/>
  <c r="A4867" i="17"/>
  <c r="A4866" i="17"/>
  <c r="A4865" i="17"/>
  <c r="A4864" i="17"/>
  <c r="A4863" i="17"/>
  <c r="A4862" i="17"/>
  <c r="A4861" i="17"/>
  <c r="A4860" i="17"/>
  <c r="A4859" i="17"/>
  <c r="A4858" i="17"/>
  <c r="A4857" i="17"/>
  <c r="A4856" i="17"/>
  <c r="A4855" i="17"/>
  <c r="A4854" i="17"/>
  <c r="A4853" i="17"/>
  <c r="A4852" i="17"/>
  <c r="A4851" i="17"/>
  <c r="A4850" i="17"/>
  <c r="A4849" i="17"/>
  <c r="A4848" i="17"/>
  <c r="A4847" i="17"/>
  <c r="A4846" i="17"/>
  <c r="A4845" i="17"/>
  <c r="A4844" i="17"/>
  <c r="A4843" i="17"/>
  <c r="A4842" i="17"/>
  <c r="A4841" i="17"/>
  <c r="A4840" i="17"/>
  <c r="A4839" i="17"/>
  <c r="A4838" i="17"/>
  <c r="A4837" i="17"/>
  <c r="A4836" i="17"/>
  <c r="A4835" i="17"/>
  <c r="A4834" i="17"/>
  <c r="A4833" i="17"/>
  <c r="A4832" i="17"/>
  <c r="A4831" i="17"/>
  <c r="A4830" i="17"/>
  <c r="A4829" i="17"/>
  <c r="A4828" i="17"/>
  <c r="A4827" i="17"/>
  <c r="A4826" i="17"/>
  <c r="A4825" i="17"/>
  <c r="A4824" i="17"/>
  <c r="A4823" i="17"/>
  <c r="A4822" i="17"/>
  <c r="A4821" i="17"/>
  <c r="A4820" i="17"/>
  <c r="A4819" i="17"/>
  <c r="A4818" i="17"/>
  <c r="A4817" i="17"/>
  <c r="A4816" i="17"/>
  <c r="A4815" i="17"/>
  <c r="A4814" i="17"/>
  <c r="A4813" i="17"/>
  <c r="A4812" i="17"/>
  <c r="A4811" i="17"/>
  <c r="A4810" i="17"/>
  <c r="A4809" i="17"/>
  <c r="A4808" i="17"/>
  <c r="A4807" i="17"/>
  <c r="A4806" i="17"/>
  <c r="A4805" i="17"/>
  <c r="A4804" i="17"/>
  <c r="A4803" i="17"/>
  <c r="A4802" i="17"/>
  <c r="A4801" i="17"/>
  <c r="A4800" i="17"/>
  <c r="A4799" i="17"/>
  <c r="A4798" i="17"/>
  <c r="A4797" i="17"/>
  <c r="A4796" i="17"/>
  <c r="A4795" i="17"/>
  <c r="A4794" i="17"/>
  <c r="A4793" i="17"/>
  <c r="A4792" i="17"/>
  <c r="A4791" i="17"/>
  <c r="A4790" i="17"/>
  <c r="A4789" i="17"/>
  <c r="A4788" i="17"/>
  <c r="A4787" i="17"/>
  <c r="A4786" i="17"/>
  <c r="A4785" i="17"/>
  <c r="A4784" i="17"/>
  <c r="A4783" i="17"/>
  <c r="A4782" i="17"/>
  <c r="A4781" i="17"/>
  <c r="A4780" i="17"/>
  <c r="A4779" i="17"/>
  <c r="A4778" i="17"/>
  <c r="A4777" i="17"/>
  <c r="A4776" i="17"/>
  <c r="A4775" i="17"/>
  <c r="A4774" i="17"/>
  <c r="A4773" i="17"/>
  <c r="A4772" i="17"/>
  <c r="A4771" i="17"/>
  <c r="A4770" i="17"/>
  <c r="A4769" i="17"/>
  <c r="A4768" i="17"/>
  <c r="A4767" i="17"/>
  <c r="A4766" i="17"/>
  <c r="A4765" i="17"/>
  <c r="A4764" i="17"/>
  <c r="A4763" i="17"/>
  <c r="A4762" i="17"/>
  <c r="A4761" i="17"/>
  <c r="A4760" i="17"/>
  <c r="A4759" i="17"/>
  <c r="A4758" i="17"/>
  <c r="A4757" i="17"/>
  <c r="A4756" i="17"/>
  <c r="A4755" i="17"/>
  <c r="A4754" i="17"/>
  <c r="A4753" i="17"/>
  <c r="A4752" i="17"/>
  <c r="A4751" i="17"/>
  <c r="A4750" i="17"/>
  <c r="A4749" i="17"/>
  <c r="A4748" i="17"/>
  <c r="A4747" i="17"/>
  <c r="A4746" i="17"/>
  <c r="A4745" i="17"/>
  <c r="A4744" i="17"/>
  <c r="A4743" i="17"/>
  <c r="A4742" i="17"/>
  <c r="A4741" i="17"/>
  <c r="A4740" i="17"/>
  <c r="A4739" i="17"/>
  <c r="A4738" i="17"/>
  <c r="A4737" i="17"/>
  <c r="A4736" i="17"/>
  <c r="A4735" i="17"/>
  <c r="A4734" i="17"/>
  <c r="A4733" i="17"/>
  <c r="A4732" i="17"/>
  <c r="A4731" i="17"/>
  <c r="A4730" i="17"/>
  <c r="A4729" i="17"/>
  <c r="A4728" i="17"/>
  <c r="A4727" i="17"/>
  <c r="A4726" i="17"/>
  <c r="A4725" i="17"/>
  <c r="A4724" i="17"/>
  <c r="A4723" i="17"/>
  <c r="A4722" i="17"/>
  <c r="A4721" i="17"/>
  <c r="A4720" i="17"/>
  <c r="A4719" i="17"/>
  <c r="A4718" i="17"/>
  <c r="A4717" i="17"/>
  <c r="A4716" i="17"/>
  <c r="A4715" i="17"/>
  <c r="A4714" i="17"/>
  <c r="A4713" i="17"/>
  <c r="A4712" i="17"/>
  <c r="A4711" i="17"/>
  <c r="A4710" i="17"/>
  <c r="A4709" i="17"/>
  <c r="A4708" i="17"/>
  <c r="A4707" i="17"/>
  <c r="A4706" i="17"/>
  <c r="A4705" i="17"/>
  <c r="A4704" i="17"/>
  <c r="A4703" i="17"/>
  <c r="A4702" i="17"/>
  <c r="A4701" i="17"/>
  <c r="A4700" i="17"/>
  <c r="A4699" i="17"/>
  <c r="A4698" i="17"/>
  <c r="A4697" i="17"/>
  <c r="A4696" i="17"/>
  <c r="A4695" i="17"/>
  <c r="A4694" i="17"/>
  <c r="A4693" i="17"/>
  <c r="A4692" i="17"/>
  <c r="A4691" i="17"/>
  <c r="A4690" i="17"/>
  <c r="A4689" i="17"/>
  <c r="A4688" i="17"/>
  <c r="A4687" i="17"/>
  <c r="A4686" i="17"/>
  <c r="A4685" i="17"/>
  <c r="A4684" i="17"/>
  <c r="A4683" i="17"/>
  <c r="A4682" i="17"/>
  <c r="A4681" i="17"/>
  <c r="A4680" i="17"/>
  <c r="A4679" i="17"/>
  <c r="A4678" i="17"/>
  <c r="A4677" i="17"/>
  <c r="A4676" i="17"/>
  <c r="A4675" i="17"/>
  <c r="A4674" i="17"/>
  <c r="A4673" i="17"/>
  <c r="A4672" i="17"/>
  <c r="A4671" i="17"/>
  <c r="A4670" i="17"/>
  <c r="A4669" i="17"/>
  <c r="A4668" i="17"/>
  <c r="A4667" i="17"/>
  <c r="A4666" i="17"/>
  <c r="A4665" i="17"/>
  <c r="A4664" i="17"/>
  <c r="A4663" i="17"/>
  <c r="A4662" i="17"/>
  <c r="A4661" i="17"/>
  <c r="A4660" i="17"/>
  <c r="A4659" i="17"/>
  <c r="A4658" i="17"/>
  <c r="A4657" i="17"/>
  <c r="A4656" i="17"/>
  <c r="A4655" i="17"/>
  <c r="A4654" i="17"/>
  <c r="A4653" i="17"/>
  <c r="A4652" i="17"/>
  <c r="A4651" i="17"/>
  <c r="A4650" i="17"/>
  <c r="A4649" i="17"/>
  <c r="A4648" i="17"/>
  <c r="A4647" i="17"/>
  <c r="A4646" i="17"/>
  <c r="A4645" i="17"/>
  <c r="A4644" i="17"/>
  <c r="A4643" i="17"/>
  <c r="A4642" i="17"/>
  <c r="A4641" i="17"/>
  <c r="A4640" i="17"/>
  <c r="A4639" i="17"/>
  <c r="A4638" i="17"/>
  <c r="A4637" i="17"/>
  <c r="A4636" i="17"/>
  <c r="A4635" i="17"/>
  <c r="A4634" i="17"/>
  <c r="A4633" i="17"/>
  <c r="A4632" i="17"/>
  <c r="A4631" i="17"/>
  <c r="A4630" i="17"/>
  <c r="A4629" i="17"/>
  <c r="A4628" i="17"/>
  <c r="A4627" i="17"/>
  <c r="A4626" i="17"/>
  <c r="A4625" i="17"/>
  <c r="A4624" i="17"/>
  <c r="A4623" i="17"/>
  <c r="A4622" i="17"/>
  <c r="A4621" i="17"/>
  <c r="A4620" i="17"/>
  <c r="A4619" i="17"/>
  <c r="A4618" i="17"/>
  <c r="A4617" i="17"/>
  <c r="A4616" i="17"/>
  <c r="A4615" i="17"/>
  <c r="A4614" i="17"/>
  <c r="A4613" i="17"/>
  <c r="A4612" i="17"/>
  <c r="A4611" i="17"/>
  <c r="A4610" i="17"/>
  <c r="A4609" i="17"/>
  <c r="A4608" i="17"/>
  <c r="A4607" i="17"/>
  <c r="A4606" i="17"/>
  <c r="A4605" i="17"/>
  <c r="A4604" i="17"/>
  <c r="A4603" i="17"/>
  <c r="A4602" i="17"/>
  <c r="A4601" i="17"/>
  <c r="A4600" i="17"/>
  <c r="A4599" i="17"/>
  <c r="A4598" i="17"/>
  <c r="A4597" i="17"/>
  <c r="A4596" i="17"/>
  <c r="A4595" i="17"/>
  <c r="A4594" i="17"/>
  <c r="A4593" i="17"/>
  <c r="A4592" i="17"/>
  <c r="A4591" i="17"/>
  <c r="A4590" i="17"/>
  <c r="A4589" i="17"/>
  <c r="A4588" i="17"/>
  <c r="A4587" i="17"/>
  <c r="A4586" i="17"/>
  <c r="A4585" i="17"/>
  <c r="A4584" i="17"/>
  <c r="A4583" i="17"/>
  <c r="A4582" i="17"/>
  <c r="A4581" i="17"/>
  <c r="A4580" i="17"/>
  <c r="A4579" i="17"/>
  <c r="A4578" i="17"/>
  <c r="A4577" i="17"/>
  <c r="A4576" i="17"/>
  <c r="A4575" i="17"/>
  <c r="A4574" i="17"/>
  <c r="A4573" i="17"/>
  <c r="A4572" i="17"/>
  <c r="A4571" i="17"/>
  <c r="A4570" i="17"/>
  <c r="A4569" i="17"/>
  <c r="A4568" i="17"/>
  <c r="A4567" i="17"/>
  <c r="A4566" i="17"/>
  <c r="A4565" i="17"/>
  <c r="A4564" i="17"/>
  <c r="A4563" i="17"/>
  <c r="A4562" i="17"/>
  <c r="A4561" i="17"/>
  <c r="A4560" i="17"/>
  <c r="A4559" i="17"/>
  <c r="A4558" i="17"/>
  <c r="A4557" i="17"/>
  <c r="A4556" i="17"/>
  <c r="A4555" i="17"/>
  <c r="A4554" i="17"/>
  <c r="A4553" i="17"/>
  <c r="A4552" i="17"/>
  <c r="A4551" i="17"/>
  <c r="A4550" i="17"/>
  <c r="A4549" i="17"/>
  <c r="A4548" i="17"/>
  <c r="A4547" i="17"/>
  <c r="A4546" i="17"/>
  <c r="A4545" i="17"/>
  <c r="A4544" i="17"/>
  <c r="A4543" i="17"/>
  <c r="A4542" i="17"/>
  <c r="A4541" i="17"/>
  <c r="A4540" i="17"/>
  <c r="A4539" i="17"/>
  <c r="A4538" i="17"/>
  <c r="A4537" i="17"/>
  <c r="A4536" i="17"/>
  <c r="A4535" i="17"/>
  <c r="A4534" i="17"/>
  <c r="A4533" i="17"/>
  <c r="A4532" i="17"/>
  <c r="A4531" i="17"/>
  <c r="A4530" i="17"/>
  <c r="A4529" i="17"/>
  <c r="A4528" i="17"/>
  <c r="A4527" i="17"/>
  <c r="A4526" i="17"/>
  <c r="A4525" i="17"/>
  <c r="A4524" i="17"/>
  <c r="A4523" i="17"/>
  <c r="A4522" i="17"/>
  <c r="A4521" i="17"/>
  <c r="A4520" i="17"/>
  <c r="A4519" i="17"/>
  <c r="A4518" i="17"/>
  <c r="A4517" i="17"/>
  <c r="A4516" i="17"/>
  <c r="A4515" i="17"/>
  <c r="A4514" i="17"/>
  <c r="A4513" i="17"/>
  <c r="A4512" i="17"/>
  <c r="A4511" i="17"/>
  <c r="A4510" i="17"/>
  <c r="A4509" i="17"/>
  <c r="A4508" i="17"/>
  <c r="A4507" i="17"/>
  <c r="A4506" i="17"/>
  <c r="A4505" i="17"/>
  <c r="A4504" i="17"/>
  <c r="A4503" i="17"/>
  <c r="A4502" i="17"/>
  <c r="A4501" i="17"/>
  <c r="A4500" i="17"/>
  <c r="A4499" i="17"/>
  <c r="A4498" i="17"/>
  <c r="A4497" i="17"/>
  <c r="A4496" i="17"/>
  <c r="A4495" i="17"/>
  <c r="A4494" i="17"/>
  <c r="A4493" i="17"/>
  <c r="A4492" i="17"/>
  <c r="A4491" i="17"/>
  <c r="A4490" i="17"/>
  <c r="A4489" i="17"/>
  <c r="A4488" i="17"/>
  <c r="A4487" i="17"/>
  <c r="A4486" i="17"/>
  <c r="A4485" i="17"/>
  <c r="A4484" i="17"/>
  <c r="A4483" i="17"/>
  <c r="A4482" i="17"/>
  <c r="A4481" i="17"/>
  <c r="A4480" i="17"/>
  <c r="A4479" i="17"/>
  <c r="A4478" i="17"/>
  <c r="A4477" i="17"/>
  <c r="A4476" i="17"/>
  <c r="A4475" i="17"/>
  <c r="A4474" i="17"/>
  <c r="A4473" i="17"/>
  <c r="A4472" i="17"/>
  <c r="A4471" i="17"/>
  <c r="A4470" i="17"/>
  <c r="A4469" i="17"/>
  <c r="A4468" i="17"/>
  <c r="A4467" i="17"/>
  <c r="A4466" i="17"/>
  <c r="A4465" i="17"/>
  <c r="A4464" i="17"/>
  <c r="A4463" i="17"/>
  <c r="A4462" i="17"/>
  <c r="A4461" i="17"/>
  <c r="A4460" i="17"/>
  <c r="A4459" i="17"/>
  <c r="A4458" i="17"/>
  <c r="A4457" i="17"/>
  <c r="A4456" i="17"/>
  <c r="A4455" i="17"/>
  <c r="A4454" i="17"/>
  <c r="A4453" i="17"/>
  <c r="A4452" i="17"/>
  <c r="A4451" i="17"/>
  <c r="A4450" i="17"/>
  <c r="A4449" i="17"/>
  <c r="A4448" i="17"/>
  <c r="A4447" i="17"/>
  <c r="A4446" i="17"/>
  <c r="A4445" i="17"/>
  <c r="A4444" i="17"/>
  <c r="A4443" i="17"/>
  <c r="A4442" i="17"/>
  <c r="A4441" i="17"/>
  <c r="A4440" i="17"/>
  <c r="A4439" i="17"/>
  <c r="A4438" i="17"/>
  <c r="A4437" i="17"/>
  <c r="A4436" i="17"/>
  <c r="A4435" i="17"/>
  <c r="A4434" i="17"/>
  <c r="A4433" i="17"/>
  <c r="A4432" i="17"/>
  <c r="A4431" i="17"/>
  <c r="A4430" i="17"/>
  <c r="A4429" i="17"/>
  <c r="A4428" i="17"/>
  <c r="A4427" i="17"/>
  <c r="A4426" i="17"/>
  <c r="A4425" i="17"/>
  <c r="A4424" i="17"/>
  <c r="A4423" i="17"/>
  <c r="A4422" i="17"/>
  <c r="A4421" i="17"/>
  <c r="A4420" i="17"/>
  <c r="A4419" i="17"/>
  <c r="A4418" i="17"/>
  <c r="A4417" i="17"/>
  <c r="A4416" i="17"/>
  <c r="A4415" i="17"/>
  <c r="A4414" i="17"/>
  <c r="A4413" i="17"/>
  <c r="A4412" i="17"/>
  <c r="A4411" i="17"/>
  <c r="A4410" i="17"/>
  <c r="A4409" i="17"/>
  <c r="A4408" i="17"/>
  <c r="A4407" i="17"/>
  <c r="A4406" i="17"/>
  <c r="A4405" i="17"/>
  <c r="A4404" i="17"/>
  <c r="A4403" i="17"/>
  <c r="A4402" i="17"/>
  <c r="A4401" i="17"/>
  <c r="A4400" i="17"/>
  <c r="A4399" i="17"/>
  <c r="A4398" i="17"/>
  <c r="A4397" i="17"/>
  <c r="A4396" i="17"/>
  <c r="A4395" i="17"/>
  <c r="A4394" i="17"/>
  <c r="A4393" i="17"/>
  <c r="A4392" i="17"/>
  <c r="A4391" i="17"/>
  <c r="A4390" i="17"/>
  <c r="A4389" i="17"/>
  <c r="A4388" i="17"/>
  <c r="A4387" i="17"/>
  <c r="A4386" i="17"/>
  <c r="A4385" i="17"/>
  <c r="A4384" i="17"/>
  <c r="A4383" i="17"/>
  <c r="A4382" i="17"/>
  <c r="A4381" i="17"/>
  <c r="A4380" i="17"/>
  <c r="A4379" i="17"/>
  <c r="A4378" i="17"/>
  <c r="A4377" i="17"/>
  <c r="A4376" i="17"/>
  <c r="A4375" i="17"/>
  <c r="A4374" i="17"/>
  <c r="A4373" i="17"/>
  <c r="A4372" i="17"/>
  <c r="A4371" i="17"/>
  <c r="A4370" i="17"/>
  <c r="A4369" i="17"/>
  <c r="A4368" i="17"/>
  <c r="A4367" i="17"/>
  <c r="A4366" i="17"/>
  <c r="A4365" i="17"/>
  <c r="A4364" i="17"/>
  <c r="A4363" i="17"/>
  <c r="A4362" i="17"/>
  <c r="A4361" i="17"/>
  <c r="A4360" i="17"/>
  <c r="A4359" i="17"/>
  <c r="A4358" i="17"/>
  <c r="A4357" i="17"/>
  <c r="A4356" i="17"/>
  <c r="A4355" i="17"/>
  <c r="A4354" i="17"/>
  <c r="A4353" i="17"/>
  <c r="A4352" i="17"/>
  <c r="A4351" i="17"/>
  <c r="A4350" i="17"/>
  <c r="A4349" i="17"/>
  <c r="A4348" i="17"/>
  <c r="A4347" i="17"/>
  <c r="A4346" i="17"/>
  <c r="A4345" i="17"/>
  <c r="A4344" i="17"/>
  <c r="A4343" i="17"/>
  <c r="A4342" i="17"/>
  <c r="A4341" i="17"/>
  <c r="A4340" i="17"/>
  <c r="A4339" i="17"/>
  <c r="A4338" i="17"/>
  <c r="A4337" i="17"/>
  <c r="A4336" i="17"/>
  <c r="A4335" i="17"/>
  <c r="A4334" i="17"/>
  <c r="A4333" i="17"/>
  <c r="A4332" i="17"/>
  <c r="A4331" i="17"/>
  <c r="A4330" i="17"/>
  <c r="A4329" i="17"/>
  <c r="A4328" i="17"/>
  <c r="A4327" i="17"/>
  <c r="A4326" i="17"/>
  <c r="A4325" i="17"/>
  <c r="A4324" i="17"/>
  <c r="A4323" i="17"/>
  <c r="A4322" i="17"/>
  <c r="A4321" i="17"/>
  <c r="A4320" i="17"/>
  <c r="A4319" i="17"/>
  <c r="A4318" i="17"/>
  <c r="A4317" i="17"/>
  <c r="A4316" i="17"/>
  <c r="A4315" i="17"/>
  <c r="A4314" i="17"/>
  <c r="A4313" i="17"/>
  <c r="A4312" i="17"/>
  <c r="A4311" i="17"/>
  <c r="A4310" i="17"/>
  <c r="A4309" i="17"/>
  <c r="A4308" i="17"/>
  <c r="A4307" i="17"/>
  <c r="A4306" i="17"/>
  <c r="A4305" i="17"/>
  <c r="A4304" i="17"/>
  <c r="A4303" i="17"/>
  <c r="A4302" i="17"/>
  <c r="A4301" i="17"/>
  <c r="A4300" i="17"/>
  <c r="A4299" i="17"/>
  <c r="A4298" i="17"/>
  <c r="A4297" i="17"/>
  <c r="A4296" i="17"/>
  <c r="A4295" i="17"/>
  <c r="A4294" i="17"/>
  <c r="A4293" i="17"/>
  <c r="A4292" i="17"/>
  <c r="A4291" i="17"/>
  <c r="A4290" i="17"/>
  <c r="A4289" i="17"/>
  <c r="A4288" i="17"/>
  <c r="A4287" i="17"/>
  <c r="A4286" i="17"/>
  <c r="A4285" i="17"/>
  <c r="A4284" i="17"/>
  <c r="A4283" i="17"/>
  <c r="A4282" i="17"/>
  <c r="A4281" i="17"/>
  <c r="A4280" i="17"/>
  <c r="A4279" i="17"/>
  <c r="A4278" i="17"/>
  <c r="A4277" i="17"/>
  <c r="A4276" i="17"/>
  <c r="A4275" i="17"/>
  <c r="A4274" i="17"/>
  <c r="A4273" i="17"/>
  <c r="A4272" i="17"/>
  <c r="A4271" i="17"/>
  <c r="A4270" i="17"/>
  <c r="A4269" i="17"/>
  <c r="A4268" i="17"/>
  <c r="A4267" i="17"/>
  <c r="A4266" i="17"/>
  <c r="A4265" i="17"/>
  <c r="A4264" i="17"/>
  <c r="A4263" i="17"/>
  <c r="A4262" i="17"/>
  <c r="A4261" i="17"/>
  <c r="A4260" i="17"/>
  <c r="A4259" i="17"/>
  <c r="A4258" i="17"/>
  <c r="A4257" i="17"/>
  <c r="A4256" i="17"/>
  <c r="A4255" i="17"/>
  <c r="A4254" i="17"/>
  <c r="A4253" i="17"/>
  <c r="A4252" i="17"/>
  <c r="A4251" i="17"/>
  <c r="A4250" i="17"/>
  <c r="A4249" i="17"/>
  <c r="A4248" i="17"/>
  <c r="A4247" i="17"/>
  <c r="A4246" i="17"/>
  <c r="A4245" i="17"/>
  <c r="A4244" i="17"/>
  <c r="A4243" i="17"/>
  <c r="A4242" i="17"/>
  <c r="A4241" i="17"/>
  <c r="A4240" i="17"/>
  <c r="A4239" i="17"/>
  <c r="A4238" i="17"/>
  <c r="A4237" i="17"/>
  <c r="A4236" i="17"/>
  <c r="A4235" i="17"/>
  <c r="A4234" i="17"/>
  <c r="A4233" i="17"/>
  <c r="A4232" i="17"/>
  <c r="A4231" i="17"/>
  <c r="A4230" i="17"/>
  <c r="A4229" i="17"/>
  <c r="A4228" i="17"/>
  <c r="A4227" i="17"/>
  <c r="A4226" i="17"/>
  <c r="A4225" i="17"/>
  <c r="A4224" i="17"/>
  <c r="A4223" i="17"/>
  <c r="A4222" i="17"/>
  <c r="A4221" i="17"/>
  <c r="A4220" i="17"/>
  <c r="A4219" i="17"/>
  <c r="A4218" i="17"/>
  <c r="A4217" i="17"/>
  <c r="A4216" i="17"/>
  <c r="A4215" i="17"/>
  <c r="A4214" i="17"/>
  <c r="A4213" i="17"/>
  <c r="A4212" i="17"/>
  <c r="A4211" i="17"/>
  <c r="A4210" i="17"/>
  <c r="A4209" i="17"/>
  <c r="A4208" i="17"/>
  <c r="A4207" i="17"/>
  <c r="A4206" i="17"/>
  <c r="A4205" i="17"/>
  <c r="A4204" i="17"/>
  <c r="A4203" i="17"/>
  <c r="A4202" i="17"/>
  <c r="A4201" i="17"/>
  <c r="A4200" i="17"/>
  <c r="A4199" i="17"/>
  <c r="A4198" i="17"/>
  <c r="A4197" i="17"/>
  <c r="A4196" i="17"/>
  <c r="A4195" i="17"/>
  <c r="A4194" i="17"/>
  <c r="A4193" i="17"/>
  <c r="A4192" i="17"/>
  <c r="A4191" i="17"/>
  <c r="A4190" i="17"/>
  <c r="A4189" i="17"/>
  <c r="A4188" i="17"/>
  <c r="A4187" i="17"/>
  <c r="A4186" i="17"/>
  <c r="A4185" i="17"/>
  <c r="A4184" i="17"/>
  <c r="A4183" i="17"/>
  <c r="A4182" i="17"/>
  <c r="A4181" i="17"/>
  <c r="A4180" i="17"/>
  <c r="A4179" i="17"/>
  <c r="A4178" i="17"/>
  <c r="A4177" i="17"/>
  <c r="A4176" i="17"/>
  <c r="A4175" i="17"/>
  <c r="A4174" i="17"/>
  <c r="A4173" i="17"/>
  <c r="A4172" i="17"/>
  <c r="A4171" i="17"/>
  <c r="A4170" i="17"/>
  <c r="A4169" i="17"/>
  <c r="A4168" i="17"/>
  <c r="A4167" i="17"/>
  <c r="A4166" i="17"/>
  <c r="A4165" i="17"/>
  <c r="A4164" i="17"/>
  <c r="A4163" i="17"/>
  <c r="A4162" i="17"/>
  <c r="A4161" i="17"/>
  <c r="A4160" i="17"/>
  <c r="A4159" i="17"/>
  <c r="A4158" i="17"/>
  <c r="A4157" i="17"/>
  <c r="A4156" i="17"/>
  <c r="A4155" i="17"/>
  <c r="A4154" i="17"/>
  <c r="A4153" i="17"/>
  <c r="A4152" i="17"/>
  <c r="A4151" i="17"/>
  <c r="A4150" i="17"/>
  <c r="A4149" i="17"/>
  <c r="A4148" i="17"/>
  <c r="A4147" i="17"/>
  <c r="A4146" i="17"/>
  <c r="A4145" i="17"/>
  <c r="A4144" i="17"/>
  <c r="A4143" i="17"/>
  <c r="A4142" i="17"/>
  <c r="A4141" i="17"/>
  <c r="A4140" i="17"/>
  <c r="A4139" i="17"/>
  <c r="A4138" i="17"/>
  <c r="A4137" i="17"/>
  <c r="A4136" i="17"/>
  <c r="A4135" i="17"/>
  <c r="A4134" i="17"/>
  <c r="A4133" i="17"/>
  <c r="A4132" i="17"/>
  <c r="A4131" i="17"/>
  <c r="A4130" i="17"/>
  <c r="A4129" i="17"/>
  <c r="A4128" i="17"/>
  <c r="A4127" i="17"/>
  <c r="A4126" i="17"/>
  <c r="A4125" i="17"/>
  <c r="A4124" i="17"/>
  <c r="A4123" i="17"/>
  <c r="A4122" i="17"/>
  <c r="A4121" i="17"/>
  <c r="A4120" i="17"/>
  <c r="A4119" i="17"/>
  <c r="A4118" i="17"/>
  <c r="A4117" i="17"/>
  <c r="A4116" i="17"/>
  <c r="A4115" i="17"/>
  <c r="A4114" i="17"/>
  <c r="A4113" i="17"/>
  <c r="A4112" i="17"/>
  <c r="A4111" i="17"/>
  <c r="A4110" i="17"/>
  <c r="A4109" i="17"/>
  <c r="A4108" i="17"/>
  <c r="A4107" i="17"/>
  <c r="A4106" i="17"/>
  <c r="A4105" i="17"/>
  <c r="A4104" i="17"/>
  <c r="A4103" i="17"/>
  <c r="A4102" i="17"/>
  <c r="A4101" i="17"/>
  <c r="A4100" i="17"/>
  <c r="A4099" i="17"/>
  <c r="A4098" i="17"/>
  <c r="A4097" i="17"/>
  <c r="A4096" i="17"/>
  <c r="A4095" i="17"/>
  <c r="A4094" i="17"/>
  <c r="A4093" i="17"/>
  <c r="A4092" i="17"/>
  <c r="A4091" i="17"/>
  <c r="A4090" i="17"/>
  <c r="A4089" i="17"/>
  <c r="A4088" i="17"/>
  <c r="A4087" i="17"/>
  <c r="A4086" i="17"/>
  <c r="A4085" i="17"/>
  <c r="A4084" i="17"/>
  <c r="A4083" i="17"/>
  <c r="A4082" i="17"/>
  <c r="A4081" i="17"/>
  <c r="A4080" i="17"/>
  <c r="A4079" i="17"/>
  <c r="A4078" i="17"/>
  <c r="A4077" i="17"/>
  <c r="A4076" i="17"/>
  <c r="A4075" i="17"/>
  <c r="A4074" i="17"/>
  <c r="A4073" i="17"/>
  <c r="A4072" i="17"/>
  <c r="A4071" i="17"/>
  <c r="A4070" i="17"/>
  <c r="A4069" i="17"/>
  <c r="A4068" i="17"/>
  <c r="A4067" i="17"/>
  <c r="A4066" i="17"/>
  <c r="A4065" i="17"/>
  <c r="A4064" i="17"/>
  <c r="A4063" i="17"/>
  <c r="A4062" i="17"/>
  <c r="A4061" i="17"/>
  <c r="A4060" i="17"/>
  <c r="A4059" i="17"/>
  <c r="A4058" i="17"/>
  <c r="A4057" i="17"/>
  <c r="A4056" i="17"/>
  <c r="A4055" i="17"/>
  <c r="A4054" i="17"/>
  <c r="A4053" i="17"/>
  <c r="A4052" i="17"/>
  <c r="A4051" i="17"/>
  <c r="A4050" i="17"/>
  <c r="A4049" i="17"/>
  <c r="A4048" i="17"/>
  <c r="A4047" i="17"/>
  <c r="A4046" i="17"/>
  <c r="A4045" i="17"/>
  <c r="A4044" i="17"/>
  <c r="A4043" i="17"/>
  <c r="A4042" i="17"/>
  <c r="A4041" i="17"/>
  <c r="A4040" i="17"/>
  <c r="A4039" i="17"/>
  <c r="A4038" i="17"/>
  <c r="A4037" i="17"/>
  <c r="A4036" i="17"/>
  <c r="A4035" i="17"/>
  <c r="A4034" i="17"/>
  <c r="A4033" i="17"/>
  <c r="A4032" i="17"/>
  <c r="A4031" i="17"/>
  <c r="A4030" i="17"/>
  <c r="A4029" i="17"/>
  <c r="A4028" i="17"/>
  <c r="A4027" i="17"/>
  <c r="A4026" i="17"/>
  <c r="A4025" i="17"/>
  <c r="A4024" i="17"/>
  <c r="A4023" i="17"/>
  <c r="A4022" i="17"/>
  <c r="A4021" i="17"/>
  <c r="A4020" i="17"/>
  <c r="A4019" i="17"/>
  <c r="A4018" i="17"/>
  <c r="A4017" i="17"/>
  <c r="A4016" i="17"/>
  <c r="A4015" i="17"/>
  <c r="A4014" i="17"/>
  <c r="A4013" i="17"/>
  <c r="A4012" i="17"/>
  <c r="A4011" i="17"/>
  <c r="A4010" i="17"/>
  <c r="A4009" i="17"/>
  <c r="A4008" i="17"/>
  <c r="A4007" i="17"/>
  <c r="A4006" i="17"/>
  <c r="A4005" i="17"/>
  <c r="A4004" i="17"/>
  <c r="A4003" i="17"/>
  <c r="A4002" i="17"/>
  <c r="A4001" i="17"/>
  <c r="A4000" i="17"/>
  <c r="A3999" i="17"/>
  <c r="A3998" i="17"/>
  <c r="A3997" i="17"/>
  <c r="A3996" i="17"/>
  <c r="A3995" i="17"/>
  <c r="A3994" i="17"/>
  <c r="A3993" i="17"/>
  <c r="A3992" i="17"/>
  <c r="A3991" i="17"/>
  <c r="A3990" i="17"/>
  <c r="A3989" i="17"/>
  <c r="A3988" i="17"/>
  <c r="A3987" i="17"/>
  <c r="A3986" i="17"/>
  <c r="A3985" i="17"/>
  <c r="A3984" i="17"/>
  <c r="A3983" i="17"/>
  <c r="A3982" i="17"/>
  <c r="A3981" i="17"/>
  <c r="A3980" i="17"/>
  <c r="A3979" i="17"/>
  <c r="A3978" i="17"/>
  <c r="A3977" i="17"/>
  <c r="A3976" i="17"/>
  <c r="A3975" i="17"/>
  <c r="A3974" i="17"/>
  <c r="A3973" i="17"/>
  <c r="A3972" i="17"/>
  <c r="A3971" i="17"/>
  <c r="A3970" i="17"/>
  <c r="A3969" i="17"/>
  <c r="A3968" i="17"/>
  <c r="A3967" i="17"/>
  <c r="A3966" i="17"/>
  <c r="A3965" i="17"/>
  <c r="A3964" i="17"/>
  <c r="A3963" i="17"/>
  <c r="A3962" i="17"/>
  <c r="A3961" i="17"/>
  <c r="A3960" i="17"/>
  <c r="A3959" i="17"/>
  <c r="A3958" i="17"/>
  <c r="A3957" i="17"/>
  <c r="A3956" i="17"/>
  <c r="A3955" i="17"/>
  <c r="A3954" i="17"/>
  <c r="A3953" i="17"/>
  <c r="A3952" i="17"/>
  <c r="A3951" i="17"/>
  <c r="A3950" i="17"/>
  <c r="A3949" i="17"/>
  <c r="A3948" i="17"/>
  <c r="A3947" i="17"/>
  <c r="A3946" i="17"/>
  <c r="A3945" i="17"/>
  <c r="A3944" i="17"/>
  <c r="A3943" i="17"/>
  <c r="A3942" i="17"/>
  <c r="A3941" i="17"/>
  <c r="A3940" i="17"/>
  <c r="A3939" i="17"/>
  <c r="A3938" i="17"/>
  <c r="A3937" i="17"/>
  <c r="A3936" i="17"/>
  <c r="A3935" i="17"/>
  <c r="A3934" i="17"/>
  <c r="A3933" i="17"/>
  <c r="A3932" i="17"/>
  <c r="A3931" i="17"/>
  <c r="A3930" i="17"/>
  <c r="A3929" i="17"/>
  <c r="A3928" i="17"/>
  <c r="A3927" i="17"/>
  <c r="A3926" i="17"/>
  <c r="A3925" i="17"/>
  <c r="A3924" i="17"/>
  <c r="A3923" i="17"/>
  <c r="A3922" i="17"/>
  <c r="A3921" i="17"/>
  <c r="A3920" i="17"/>
  <c r="A3919" i="17"/>
  <c r="A3918" i="17"/>
  <c r="A3917" i="17"/>
  <c r="A3916" i="17"/>
  <c r="A3915" i="17"/>
  <c r="A3914" i="17"/>
  <c r="A3913" i="17"/>
  <c r="A3912" i="17"/>
  <c r="A3911" i="17"/>
  <c r="A3910" i="17"/>
  <c r="A3909" i="17"/>
  <c r="A3908" i="17"/>
  <c r="A3907" i="17"/>
  <c r="A3906" i="17"/>
  <c r="A3905" i="17"/>
  <c r="A3904" i="17"/>
  <c r="A3903" i="17"/>
  <c r="A3902" i="17"/>
  <c r="A3901" i="17"/>
  <c r="A3900" i="17"/>
  <c r="A3899" i="17"/>
  <c r="A3898" i="17"/>
  <c r="A3897" i="17"/>
  <c r="A3896" i="17"/>
  <c r="A3895" i="17"/>
  <c r="A3894" i="17"/>
  <c r="A3893" i="17"/>
  <c r="A3892" i="17"/>
  <c r="A3891" i="17"/>
  <c r="A3890" i="17"/>
  <c r="A3889" i="17"/>
  <c r="A3888" i="17"/>
  <c r="A3887" i="17"/>
  <c r="A3886" i="17"/>
  <c r="A3885" i="17"/>
  <c r="A3884" i="17"/>
  <c r="A3883" i="17"/>
  <c r="A3882" i="17"/>
  <c r="A3881" i="17"/>
  <c r="A3880" i="17"/>
  <c r="A3879" i="17"/>
  <c r="A3878" i="17"/>
  <c r="A3877" i="17"/>
  <c r="A3876" i="17"/>
  <c r="A3875" i="17"/>
  <c r="A3874" i="17"/>
  <c r="A3873" i="17"/>
  <c r="A3872" i="17"/>
  <c r="A3871" i="17"/>
  <c r="A3870" i="17"/>
  <c r="A3869" i="17"/>
  <c r="A3868" i="17"/>
  <c r="A3867" i="17"/>
  <c r="A3866" i="17"/>
  <c r="A3865" i="17"/>
  <c r="A3864" i="17"/>
  <c r="A3863" i="17"/>
  <c r="A3862" i="17"/>
  <c r="A3861" i="17"/>
  <c r="A3860" i="17"/>
  <c r="A3859" i="17"/>
  <c r="A3858" i="17"/>
  <c r="A3857" i="17"/>
  <c r="A3856" i="17"/>
  <c r="A3855" i="17"/>
  <c r="A3854" i="17"/>
  <c r="A3853" i="17"/>
  <c r="A3852" i="17"/>
  <c r="A3851" i="17"/>
  <c r="A3850" i="17"/>
  <c r="A3849" i="17"/>
  <c r="A3848" i="17"/>
  <c r="A3847" i="17"/>
  <c r="A3846" i="17"/>
  <c r="A3845" i="17"/>
  <c r="A3844" i="17"/>
  <c r="A3843" i="17"/>
  <c r="A3842" i="17"/>
  <c r="A3841" i="17"/>
  <c r="A3840" i="17"/>
  <c r="A3839" i="17"/>
  <c r="A3838" i="17"/>
  <c r="A3837" i="17"/>
  <c r="A3836" i="17"/>
  <c r="A3835" i="17"/>
  <c r="A3834" i="17"/>
  <c r="A3833" i="17"/>
  <c r="A3832" i="17"/>
  <c r="A3831" i="17"/>
  <c r="A3830" i="17"/>
  <c r="A3829" i="17"/>
  <c r="A3828" i="17"/>
  <c r="A3827" i="17"/>
  <c r="A3826" i="17"/>
  <c r="A3825" i="17"/>
  <c r="A3824" i="17"/>
  <c r="A3823" i="17"/>
  <c r="A3822" i="17"/>
  <c r="A3821" i="17"/>
  <c r="A3820" i="17"/>
  <c r="A3819" i="17"/>
  <c r="A3818" i="17"/>
  <c r="A3817" i="17"/>
  <c r="A3816" i="17"/>
  <c r="A3815" i="17"/>
  <c r="A3814" i="17"/>
  <c r="A3813" i="17"/>
  <c r="A3812" i="17"/>
  <c r="A3811" i="17"/>
  <c r="A3810" i="17"/>
  <c r="A3809" i="17"/>
  <c r="A3808" i="17"/>
  <c r="A3807" i="17"/>
  <c r="A3806" i="17"/>
  <c r="A3805" i="17"/>
  <c r="A3804" i="17"/>
  <c r="A3803" i="17"/>
  <c r="A3802" i="17"/>
  <c r="A3801" i="17"/>
  <c r="A3800" i="17"/>
  <c r="A3799" i="17"/>
  <c r="A3798" i="17"/>
  <c r="A3797" i="17"/>
  <c r="A3796" i="17"/>
  <c r="A3795" i="17"/>
  <c r="A3794" i="17"/>
  <c r="A3793" i="17"/>
  <c r="A3792" i="17"/>
  <c r="A3791" i="17"/>
  <c r="A3790" i="17"/>
  <c r="A3789" i="17"/>
  <c r="A3788" i="17"/>
  <c r="A3787" i="17"/>
  <c r="A3786" i="17"/>
  <c r="A3785" i="17"/>
  <c r="A3784" i="17"/>
  <c r="A3783" i="17"/>
  <c r="A3782" i="17"/>
  <c r="A3781" i="17"/>
  <c r="A3780" i="17"/>
  <c r="A3779" i="17"/>
  <c r="A3778" i="17"/>
  <c r="A3777" i="17"/>
  <c r="A3776" i="17"/>
  <c r="A3775" i="17"/>
  <c r="A3774" i="17"/>
  <c r="A3773" i="17"/>
  <c r="A3772" i="17"/>
  <c r="A3771" i="17"/>
  <c r="A3770" i="17"/>
  <c r="A3769" i="17"/>
  <c r="A3768" i="17"/>
  <c r="A3767" i="17"/>
  <c r="A3766" i="17"/>
  <c r="A3765" i="17"/>
  <c r="A3764" i="17"/>
  <c r="A3763" i="17"/>
  <c r="A3762" i="17"/>
  <c r="A3761" i="17"/>
  <c r="A3760" i="17"/>
  <c r="A3759" i="17"/>
  <c r="A3758" i="17"/>
  <c r="A3757" i="17"/>
  <c r="A3756" i="17"/>
  <c r="A3755" i="17"/>
  <c r="A3754" i="17"/>
  <c r="A3753" i="17"/>
  <c r="A3752" i="17"/>
  <c r="A3751" i="17"/>
  <c r="A3750" i="17"/>
  <c r="A3749" i="17"/>
  <c r="A3748" i="17"/>
  <c r="A3747" i="17"/>
  <c r="A3746" i="17"/>
  <c r="A3745" i="17"/>
  <c r="A3744" i="17"/>
  <c r="A3743" i="17"/>
  <c r="A3742" i="17"/>
  <c r="A3741" i="17"/>
  <c r="A3740" i="17"/>
  <c r="A3739" i="17"/>
  <c r="A3738" i="17"/>
  <c r="A3737" i="17"/>
  <c r="A3736" i="17"/>
  <c r="A3735" i="17"/>
  <c r="A3734" i="17"/>
  <c r="A3733" i="17"/>
  <c r="A3732" i="17"/>
  <c r="A3731" i="17"/>
  <c r="A3730" i="17"/>
  <c r="A3729" i="17"/>
  <c r="A3728" i="17"/>
  <c r="A3727" i="17"/>
  <c r="A3726" i="17"/>
  <c r="A3725" i="17"/>
  <c r="A3724" i="17"/>
  <c r="A3723" i="17"/>
  <c r="A3722" i="17"/>
  <c r="A3721" i="17"/>
  <c r="A3720" i="17"/>
  <c r="A3719" i="17"/>
  <c r="A3718" i="17"/>
  <c r="A3717" i="17"/>
  <c r="A3716" i="17"/>
  <c r="A3715" i="17"/>
  <c r="A3714" i="17"/>
  <c r="A3713" i="17"/>
  <c r="A3712" i="17"/>
  <c r="A3711" i="17"/>
  <c r="A3710" i="17"/>
  <c r="A3709" i="17"/>
  <c r="A3708" i="17"/>
  <c r="A3707" i="17"/>
  <c r="A3706" i="17"/>
  <c r="A3705" i="17"/>
  <c r="A3704" i="17"/>
  <c r="A3703" i="17"/>
  <c r="A3702" i="17"/>
  <c r="A3701" i="17"/>
  <c r="A3700" i="17"/>
  <c r="A3699" i="17"/>
  <c r="A3698" i="17"/>
  <c r="A3697" i="17"/>
  <c r="A3696" i="17"/>
  <c r="A3695" i="17"/>
  <c r="A3694" i="17"/>
  <c r="A3693" i="17"/>
  <c r="A3692" i="17"/>
  <c r="A3691" i="17"/>
  <c r="A3690" i="17"/>
  <c r="A3689" i="17"/>
  <c r="A3688" i="17"/>
  <c r="A3687" i="17"/>
  <c r="A3686" i="17"/>
  <c r="A3685" i="17"/>
  <c r="A3684" i="17"/>
  <c r="A3683" i="17"/>
  <c r="A3682" i="17"/>
  <c r="A3681" i="17"/>
  <c r="A3680" i="17"/>
  <c r="A3679" i="17"/>
  <c r="A3678" i="17"/>
  <c r="A3677" i="17"/>
  <c r="A3676" i="17"/>
  <c r="A3675" i="17"/>
  <c r="A3674" i="17"/>
  <c r="A3673" i="17"/>
  <c r="A3672" i="17"/>
  <c r="A3671" i="17"/>
  <c r="A3670" i="17"/>
  <c r="A3669" i="17"/>
  <c r="A3668" i="17"/>
  <c r="A3667" i="17"/>
  <c r="A3666" i="17"/>
  <c r="A3665" i="17"/>
  <c r="A3664" i="17"/>
  <c r="A3663" i="17"/>
  <c r="A3662" i="17"/>
  <c r="A3661" i="17"/>
  <c r="A3660" i="17"/>
  <c r="A3659" i="17"/>
  <c r="A3658" i="17"/>
  <c r="A3657" i="17"/>
  <c r="A3656" i="17"/>
  <c r="A3655" i="17"/>
  <c r="A3654" i="17"/>
  <c r="A3653" i="17"/>
  <c r="A3652" i="17"/>
  <c r="A3651" i="17"/>
  <c r="A3650" i="17"/>
  <c r="A3649" i="17"/>
  <c r="A3648" i="17"/>
  <c r="A3647" i="17"/>
  <c r="A3646" i="17"/>
  <c r="A3645" i="17"/>
  <c r="A3644" i="17"/>
  <c r="A3643" i="17"/>
  <c r="A3642" i="17"/>
  <c r="A3641" i="17"/>
  <c r="A3640" i="17"/>
  <c r="A3639" i="17"/>
  <c r="A3638" i="17"/>
  <c r="A3637" i="17"/>
  <c r="A3636" i="17"/>
  <c r="A3635" i="17"/>
  <c r="A3634" i="17"/>
  <c r="A3633" i="17"/>
  <c r="A3632" i="17"/>
  <c r="A3631" i="17"/>
  <c r="A3630" i="17"/>
  <c r="A3629" i="17"/>
  <c r="A3628" i="17"/>
  <c r="A3627" i="17"/>
  <c r="A3626" i="17"/>
  <c r="A3625" i="17"/>
  <c r="A3624" i="17"/>
  <c r="A3623" i="17"/>
  <c r="A3622" i="17"/>
  <c r="A3621" i="17"/>
  <c r="A3620" i="17"/>
  <c r="A3619" i="17"/>
  <c r="A3618" i="17"/>
  <c r="A3617" i="17"/>
  <c r="A3616" i="17"/>
  <c r="A3615" i="17"/>
  <c r="A3614" i="17"/>
  <c r="A3613" i="17"/>
  <c r="A3612" i="17"/>
  <c r="A3611" i="17"/>
  <c r="A3610" i="17"/>
  <c r="A3609" i="17"/>
  <c r="A3608" i="17"/>
  <c r="A3607" i="17"/>
  <c r="A3606" i="17"/>
  <c r="A3605" i="17"/>
  <c r="A3604" i="17"/>
  <c r="A3603" i="17"/>
  <c r="A3602" i="17"/>
  <c r="A3601" i="17"/>
  <c r="A3600" i="17"/>
  <c r="A3599" i="17"/>
  <c r="A3598" i="17"/>
  <c r="A3597" i="17"/>
  <c r="A3596" i="17"/>
  <c r="A3595" i="17"/>
  <c r="A3594" i="17"/>
  <c r="A3593" i="17"/>
  <c r="A3592" i="17"/>
  <c r="A3591" i="17"/>
  <c r="A3590" i="17"/>
  <c r="A3589" i="17"/>
  <c r="A3588" i="17"/>
  <c r="A3587" i="17"/>
  <c r="A3586" i="17"/>
  <c r="A3585" i="17"/>
  <c r="A3584" i="17"/>
  <c r="A3583" i="17"/>
  <c r="A3582" i="17"/>
  <c r="A3581" i="17"/>
  <c r="A3580" i="17"/>
  <c r="A3579" i="17"/>
  <c r="A3578" i="17"/>
  <c r="A3577" i="17"/>
  <c r="A3576" i="17"/>
  <c r="A3575" i="17"/>
  <c r="A3574" i="17"/>
  <c r="A3573" i="17"/>
  <c r="A3572" i="17"/>
  <c r="A3571" i="17"/>
  <c r="A3570" i="17"/>
  <c r="A3569" i="17"/>
  <c r="A3568" i="17"/>
  <c r="A3567" i="17"/>
  <c r="A3566" i="17"/>
  <c r="A3565" i="17"/>
  <c r="A3564" i="17"/>
  <c r="A3563" i="17"/>
  <c r="A3562" i="17"/>
  <c r="A3561" i="17"/>
  <c r="A3560" i="17"/>
  <c r="A3559" i="17"/>
  <c r="A3558" i="17"/>
  <c r="A3557" i="17"/>
  <c r="A3556" i="17"/>
  <c r="A3555" i="17"/>
  <c r="A3554" i="17"/>
  <c r="A3553" i="17"/>
  <c r="A3552" i="17"/>
  <c r="A3551" i="17"/>
  <c r="A3550" i="17"/>
  <c r="A3549" i="17"/>
  <c r="A3548" i="17"/>
  <c r="A3547" i="17"/>
  <c r="A3546" i="17"/>
  <c r="A3545" i="17"/>
  <c r="A3544" i="17"/>
  <c r="A3543" i="17"/>
  <c r="A3542" i="17"/>
  <c r="A3541" i="17"/>
  <c r="A3540" i="17"/>
  <c r="A3539" i="17"/>
  <c r="A3538" i="17"/>
  <c r="A3537" i="17"/>
  <c r="A3536" i="17"/>
  <c r="A3535" i="17"/>
  <c r="A3534" i="17"/>
  <c r="A3533" i="17"/>
  <c r="A3532" i="17"/>
  <c r="A3531" i="17"/>
  <c r="A3530" i="17"/>
  <c r="A3529" i="17"/>
  <c r="A3528" i="17"/>
  <c r="A3527" i="17"/>
  <c r="A3526" i="17"/>
  <c r="A3525" i="17"/>
  <c r="A3524" i="17"/>
  <c r="A3523" i="17"/>
  <c r="A3522" i="17"/>
  <c r="A3521" i="17"/>
  <c r="A3520" i="17"/>
  <c r="A3519" i="17"/>
  <c r="A3518" i="17"/>
  <c r="A3517" i="17"/>
  <c r="A3516" i="17"/>
  <c r="A3515" i="17"/>
  <c r="A3514" i="17"/>
  <c r="A3513" i="17"/>
  <c r="A3512" i="17"/>
  <c r="A3511" i="17"/>
  <c r="A3510" i="17"/>
  <c r="A3509" i="17"/>
  <c r="A3508" i="17"/>
  <c r="A3507" i="17"/>
  <c r="A3506" i="17"/>
  <c r="A3505" i="17"/>
  <c r="A3504" i="17"/>
  <c r="A3503" i="17"/>
  <c r="A3502" i="17"/>
  <c r="A3501" i="17"/>
  <c r="A3500" i="17"/>
  <c r="A3499" i="17"/>
  <c r="A3498" i="17"/>
  <c r="A3497" i="17"/>
  <c r="A3496" i="17"/>
  <c r="A3495" i="17"/>
  <c r="A3494" i="17"/>
  <c r="A3493" i="17"/>
  <c r="A3492" i="17"/>
  <c r="A3491" i="17"/>
  <c r="A3490" i="17"/>
  <c r="A3489" i="17"/>
  <c r="A3488" i="17"/>
  <c r="A3487" i="17"/>
  <c r="A3486" i="17"/>
  <c r="A3485" i="17"/>
  <c r="A3484" i="17"/>
  <c r="A3483" i="17"/>
  <c r="A3482" i="17"/>
  <c r="A3481" i="17"/>
  <c r="A3480" i="17"/>
  <c r="A3479" i="17"/>
  <c r="A3478" i="17"/>
  <c r="A3477" i="17"/>
  <c r="A3476" i="17"/>
  <c r="A3475" i="17"/>
  <c r="A3474" i="17"/>
  <c r="A3473" i="17"/>
  <c r="A3472" i="17"/>
  <c r="A3471" i="17"/>
  <c r="A3470" i="17"/>
  <c r="A3469" i="17"/>
  <c r="A3468" i="17"/>
  <c r="A3467" i="17"/>
  <c r="A3466" i="17"/>
  <c r="A3465" i="17"/>
  <c r="A3464" i="17"/>
  <c r="A3463" i="17"/>
  <c r="A3462" i="17"/>
  <c r="A3461" i="17"/>
  <c r="A3460" i="17"/>
  <c r="A3459" i="17"/>
  <c r="A3458" i="17"/>
  <c r="A3457" i="17"/>
  <c r="A3456" i="17"/>
  <c r="A3455" i="17"/>
  <c r="A3454" i="17"/>
  <c r="A3453" i="17"/>
  <c r="A3452" i="17"/>
  <c r="A3451" i="17"/>
  <c r="A3450" i="17"/>
  <c r="A3449" i="17"/>
  <c r="A3448" i="17"/>
  <c r="A3447" i="17"/>
  <c r="A3446" i="17"/>
  <c r="A3445" i="17"/>
  <c r="A3444" i="17"/>
  <c r="A3443" i="17"/>
  <c r="A3442" i="17"/>
  <c r="A3441" i="17"/>
  <c r="A3440" i="17"/>
  <c r="A3439" i="17"/>
  <c r="A3438" i="17"/>
  <c r="A3437" i="17"/>
  <c r="A3436" i="17"/>
  <c r="A3435" i="17"/>
  <c r="A3434" i="17"/>
  <c r="A3433" i="17"/>
  <c r="A3432" i="17"/>
  <c r="A3431" i="17"/>
  <c r="A3430" i="17"/>
  <c r="A3429" i="17"/>
  <c r="A3428" i="17"/>
  <c r="A3427" i="17"/>
  <c r="A3426" i="17"/>
  <c r="A3425" i="17"/>
  <c r="A3424" i="17"/>
  <c r="A3423" i="17"/>
  <c r="A3422" i="17"/>
  <c r="A3421" i="17"/>
  <c r="A3420" i="17"/>
  <c r="A3419" i="17"/>
  <c r="A3418" i="17"/>
  <c r="A3417" i="17"/>
  <c r="A3416" i="17"/>
  <c r="A3415" i="17"/>
  <c r="A3414" i="17"/>
  <c r="A3413" i="17"/>
  <c r="A3412" i="17"/>
  <c r="A3411" i="17"/>
  <c r="A3410" i="17"/>
  <c r="A3409" i="17"/>
  <c r="A3408" i="17"/>
  <c r="A3407" i="17"/>
  <c r="A3406" i="17"/>
  <c r="A3405" i="17"/>
  <c r="A3404" i="17"/>
  <c r="A3403" i="17"/>
  <c r="A3402" i="17"/>
  <c r="A3401" i="17"/>
  <c r="A3400" i="17"/>
  <c r="A3399" i="17"/>
  <c r="A3398" i="17"/>
  <c r="A3397" i="17"/>
  <c r="A3396" i="17"/>
  <c r="A3395" i="17"/>
  <c r="A3394" i="17"/>
  <c r="A3393" i="17"/>
  <c r="A3392" i="17"/>
  <c r="A3391" i="17"/>
  <c r="A3390" i="17"/>
  <c r="A3389" i="17"/>
  <c r="A3388" i="17"/>
  <c r="A3387" i="17"/>
  <c r="A3386" i="17"/>
  <c r="A3385" i="17"/>
  <c r="A3384" i="17"/>
  <c r="A3383" i="17"/>
  <c r="A3382" i="17"/>
  <c r="A3381" i="17"/>
  <c r="A3380" i="17"/>
  <c r="A3379" i="17"/>
  <c r="A3378" i="17"/>
  <c r="A3377" i="17"/>
  <c r="A3376" i="17"/>
  <c r="A3375" i="17"/>
  <c r="A3374" i="17"/>
  <c r="A3373" i="17"/>
  <c r="A3372" i="17"/>
  <c r="A3371" i="17"/>
  <c r="A3370" i="17"/>
  <c r="A3369" i="17"/>
  <c r="A3368" i="17"/>
  <c r="A3367" i="17"/>
  <c r="A3366" i="17"/>
  <c r="A3365" i="17"/>
  <c r="A3364" i="17"/>
  <c r="A3363" i="17"/>
  <c r="A3362" i="17"/>
  <c r="A3361" i="17"/>
  <c r="A3360" i="17"/>
  <c r="A3359" i="17"/>
  <c r="A3358" i="17"/>
  <c r="A3357" i="17"/>
  <c r="A3356" i="17"/>
  <c r="A3355" i="17"/>
  <c r="A3354" i="17"/>
  <c r="A3353" i="17"/>
  <c r="A3352" i="17"/>
  <c r="A3351" i="17"/>
  <c r="A3350" i="17"/>
  <c r="A3349" i="17"/>
  <c r="A3348" i="17"/>
  <c r="A3347" i="17"/>
  <c r="A3346" i="17"/>
  <c r="A3345" i="17"/>
  <c r="A3344" i="17"/>
  <c r="A3343" i="17"/>
  <c r="A3342" i="17"/>
  <c r="A3341" i="17"/>
  <c r="A3340" i="17"/>
  <c r="A3339" i="17"/>
  <c r="A3338" i="17"/>
  <c r="A3337" i="17"/>
  <c r="A3336" i="17"/>
  <c r="A3335" i="17"/>
  <c r="A3334" i="17"/>
  <c r="A3333" i="17"/>
  <c r="A3332" i="17"/>
  <c r="A3331" i="17"/>
  <c r="A3330" i="17"/>
  <c r="A3329" i="17"/>
  <c r="A3328" i="17"/>
  <c r="A3327" i="17"/>
  <c r="A3326" i="17"/>
  <c r="A3325" i="17"/>
  <c r="A3324" i="17"/>
  <c r="A3323" i="17"/>
  <c r="A3322" i="17"/>
  <c r="A3321" i="17"/>
  <c r="A3320" i="17"/>
  <c r="A3319" i="17"/>
  <c r="A3318" i="17"/>
  <c r="A3317" i="17"/>
  <c r="A3316" i="17"/>
  <c r="A3315" i="17"/>
  <c r="A3314" i="17"/>
  <c r="A3313" i="17"/>
  <c r="A3312" i="17"/>
  <c r="A3311" i="17"/>
  <c r="A3310" i="17"/>
  <c r="A3309" i="17"/>
  <c r="A3308" i="17"/>
  <c r="A3307" i="17"/>
  <c r="A3306" i="17"/>
  <c r="A3305" i="17"/>
  <c r="A3304" i="17"/>
  <c r="A3303" i="17"/>
  <c r="A3302" i="17"/>
  <c r="A3301" i="17"/>
  <c r="A3300" i="17"/>
  <c r="A3299" i="17"/>
  <c r="A3298" i="17"/>
  <c r="A3297" i="17"/>
  <c r="A3296" i="17"/>
  <c r="A3295" i="17"/>
  <c r="A3294" i="17"/>
  <c r="A3293" i="17"/>
  <c r="A3292" i="17"/>
  <c r="A3291" i="17"/>
  <c r="A3290" i="17"/>
  <c r="A3289" i="17"/>
  <c r="A3288" i="17"/>
  <c r="A3287" i="17"/>
  <c r="A3286" i="17"/>
  <c r="A3285" i="17"/>
  <c r="A3284" i="17"/>
  <c r="A3283" i="17"/>
  <c r="A3282" i="17"/>
  <c r="A3281" i="17"/>
  <c r="A3280" i="17"/>
  <c r="A3279" i="17"/>
  <c r="A3278" i="17"/>
  <c r="A3277" i="17"/>
  <c r="A3276" i="17"/>
  <c r="A3275" i="17"/>
  <c r="A3274" i="17"/>
  <c r="A3273" i="17"/>
  <c r="A3272" i="17"/>
  <c r="A3271" i="17"/>
  <c r="A3270" i="17"/>
  <c r="A3269" i="17"/>
  <c r="A3268" i="17"/>
  <c r="A3267" i="17"/>
  <c r="A3266" i="17"/>
  <c r="A3265" i="17"/>
  <c r="A3264" i="17"/>
  <c r="A3263" i="17"/>
  <c r="A3262" i="17"/>
  <c r="A3261" i="17"/>
  <c r="A3260" i="17"/>
  <c r="A3259" i="17"/>
  <c r="A3258" i="17"/>
  <c r="A3257" i="17"/>
  <c r="A3256" i="17"/>
  <c r="A3255" i="17"/>
  <c r="A3254" i="17"/>
  <c r="A3253" i="17"/>
  <c r="A3252" i="17"/>
  <c r="A3251" i="17"/>
  <c r="A3250" i="17"/>
  <c r="A3249" i="17"/>
  <c r="A3248" i="17"/>
  <c r="A3247" i="17"/>
  <c r="A3246" i="17"/>
  <c r="A3245" i="17"/>
  <c r="A3244" i="17"/>
  <c r="A3243" i="17"/>
  <c r="A3242" i="17"/>
  <c r="A3241" i="17"/>
  <c r="A3240" i="17"/>
  <c r="A3239" i="17"/>
  <c r="A3238" i="17"/>
  <c r="A3237" i="17"/>
  <c r="A3236" i="17"/>
  <c r="A3235" i="17"/>
  <c r="A3234" i="17"/>
  <c r="A3233" i="17"/>
  <c r="A3232" i="17"/>
  <c r="A3231" i="17"/>
  <c r="A3230" i="17"/>
  <c r="A3229" i="17"/>
  <c r="A3228" i="17"/>
  <c r="A3227" i="17"/>
  <c r="A3226" i="17"/>
  <c r="A3225" i="17"/>
  <c r="A3224" i="17"/>
  <c r="A3223" i="17"/>
  <c r="A3222" i="17"/>
  <c r="A3221" i="17"/>
  <c r="A3220" i="17"/>
  <c r="A3219" i="17"/>
  <c r="A3218" i="17"/>
  <c r="A3217" i="17"/>
  <c r="A3216" i="17"/>
  <c r="A3215" i="17"/>
  <c r="A3214" i="17"/>
  <c r="A3213" i="17"/>
  <c r="A3212" i="17"/>
  <c r="A3211" i="17"/>
  <c r="A3210" i="17"/>
  <c r="A3209" i="17"/>
  <c r="A3208" i="17"/>
  <c r="A3207" i="17"/>
  <c r="A3206" i="17"/>
  <c r="A3205" i="17"/>
  <c r="A3204" i="17"/>
  <c r="A3203" i="17"/>
  <c r="A3202" i="17"/>
  <c r="A3201" i="17"/>
  <c r="A3200" i="17"/>
  <c r="A3199" i="17"/>
  <c r="A3198" i="17"/>
  <c r="A3197" i="17"/>
  <c r="A3196" i="17"/>
  <c r="A3195" i="17"/>
  <c r="A3194" i="17"/>
  <c r="A3193" i="17"/>
  <c r="A3192" i="17"/>
  <c r="A3191" i="17"/>
  <c r="A3190" i="17"/>
  <c r="A3189" i="17"/>
  <c r="A3188" i="17"/>
  <c r="A3187" i="17"/>
  <c r="A3186" i="17"/>
  <c r="A3185" i="17"/>
  <c r="A3184" i="17"/>
  <c r="A3183" i="17"/>
  <c r="A3182" i="17"/>
  <c r="A3181" i="17"/>
  <c r="A3180" i="17"/>
  <c r="A3179" i="17"/>
  <c r="A3178" i="17"/>
  <c r="A3177" i="17"/>
  <c r="A3176" i="17"/>
  <c r="A3175" i="17"/>
  <c r="A3174" i="17"/>
  <c r="A3173" i="17"/>
  <c r="A3172" i="17"/>
  <c r="A3171" i="17"/>
  <c r="A3170" i="17"/>
  <c r="A3169" i="17"/>
  <c r="A3168" i="17"/>
  <c r="A3167" i="17"/>
  <c r="A3166" i="17"/>
  <c r="A3165" i="17"/>
  <c r="A3164" i="17"/>
  <c r="A3163" i="17"/>
  <c r="A3162" i="17"/>
  <c r="A3161" i="17"/>
  <c r="A3160" i="17"/>
  <c r="A3159" i="17"/>
  <c r="A3158" i="17"/>
  <c r="A3157" i="17"/>
  <c r="A3156" i="17"/>
  <c r="A3155" i="17"/>
  <c r="A3154" i="17"/>
  <c r="A3153" i="17"/>
  <c r="A3152" i="17"/>
  <c r="A3151" i="17"/>
  <c r="A3150" i="17"/>
  <c r="A3149" i="17"/>
  <c r="A3148" i="17"/>
  <c r="A3147" i="17"/>
  <c r="A3146" i="17"/>
  <c r="A3145" i="17"/>
  <c r="A3144" i="17"/>
  <c r="A3143" i="17"/>
  <c r="A3142" i="17"/>
  <c r="A3141" i="17"/>
  <c r="A3140" i="17"/>
  <c r="A3139" i="17"/>
  <c r="A3138" i="17"/>
  <c r="A3137" i="17"/>
  <c r="A3136" i="17"/>
  <c r="A3135" i="17"/>
  <c r="A3134" i="17"/>
  <c r="A3133" i="17"/>
  <c r="A3132" i="17"/>
  <c r="A3131" i="17"/>
  <c r="A3130" i="17"/>
  <c r="A3129" i="17"/>
  <c r="A3128" i="17"/>
  <c r="A3127" i="17"/>
  <c r="A3126" i="17"/>
  <c r="A3125" i="17"/>
  <c r="A3124" i="17"/>
  <c r="A3123" i="17"/>
  <c r="A3122" i="17"/>
  <c r="A3121" i="17"/>
  <c r="A3120" i="17"/>
  <c r="A3119" i="17"/>
  <c r="A3118" i="17"/>
  <c r="A3117" i="17"/>
  <c r="A3116" i="17"/>
  <c r="A3115" i="17"/>
  <c r="A3114" i="17"/>
  <c r="A3113" i="17"/>
  <c r="A3112" i="17"/>
  <c r="A3111" i="17"/>
  <c r="A3110" i="17"/>
  <c r="A3109" i="17"/>
  <c r="A3108" i="17"/>
  <c r="A3107" i="17"/>
  <c r="A3106" i="17"/>
  <c r="A3105" i="17"/>
  <c r="A3104" i="17"/>
  <c r="A3103" i="17"/>
  <c r="A3102" i="17"/>
  <c r="A3101" i="17"/>
  <c r="A3100" i="17"/>
  <c r="A3099" i="17"/>
  <c r="A3098" i="17"/>
  <c r="A3097" i="17"/>
  <c r="A3096" i="17"/>
  <c r="A3095" i="17"/>
  <c r="A3094" i="17"/>
  <c r="A3093" i="17"/>
  <c r="A3092" i="17"/>
  <c r="A3091" i="17"/>
  <c r="A3090" i="17"/>
  <c r="A3089" i="17"/>
  <c r="A3088" i="17"/>
  <c r="A3087" i="17"/>
  <c r="A3086" i="17"/>
  <c r="A3085" i="17"/>
  <c r="A3084" i="17"/>
  <c r="A3083" i="17"/>
  <c r="A3082" i="17"/>
  <c r="A3081" i="17"/>
  <c r="A3080" i="17"/>
  <c r="A3079" i="17"/>
  <c r="A3078" i="17"/>
  <c r="A3077" i="17"/>
  <c r="A3076" i="17"/>
  <c r="A3075" i="17"/>
  <c r="A3074" i="17"/>
  <c r="A3073" i="17"/>
  <c r="A3072" i="17"/>
  <c r="A3071" i="17"/>
  <c r="A3070" i="17"/>
  <c r="A3069" i="17"/>
  <c r="A3068" i="17"/>
  <c r="A3067" i="17"/>
  <c r="A3066" i="17"/>
  <c r="A3065" i="17"/>
  <c r="A3064" i="17"/>
  <c r="A3063" i="17"/>
  <c r="A3062" i="17"/>
  <c r="A3061" i="17"/>
  <c r="A3060" i="17"/>
  <c r="A3059" i="17"/>
  <c r="A3058" i="17"/>
  <c r="A3057" i="17"/>
  <c r="A3056" i="17"/>
  <c r="A3055" i="17"/>
  <c r="A3054" i="17"/>
  <c r="A3053" i="17"/>
  <c r="A3052" i="17"/>
  <c r="A3051" i="17"/>
  <c r="A3050" i="17"/>
  <c r="A3049" i="17"/>
  <c r="A3048" i="17"/>
  <c r="A3047" i="17"/>
  <c r="A3046" i="17"/>
  <c r="A3045" i="17"/>
  <c r="A3044" i="17"/>
  <c r="A3043" i="17"/>
  <c r="A3042" i="17"/>
  <c r="A3041" i="17"/>
  <c r="A3040" i="17"/>
  <c r="A3039" i="17"/>
  <c r="A3038" i="17"/>
  <c r="A3037" i="17"/>
  <c r="A3036" i="17"/>
  <c r="A3035" i="17"/>
  <c r="A3034" i="17"/>
  <c r="A3033" i="17"/>
  <c r="A3032" i="17"/>
  <c r="A3031" i="17"/>
  <c r="A3030" i="17"/>
  <c r="A3029" i="17"/>
  <c r="A3028" i="17"/>
  <c r="A3027" i="17"/>
  <c r="A3026" i="17"/>
  <c r="A3025" i="17"/>
  <c r="A3024" i="17"/>
  <c r="A3023" i="17"/>
  <c r="A3022" i="17"/>
  <c r="A3021" i="17"/>
  <c r="A3020" i="17"/>
  <c r="A3019" i="17"/>
  <c r="A3018" i="17"/>
  <c r="A3017" i="17"/>
  <c r="A3016" i="17"/>
  <c r="A3015" i="17"/>
  <c r="A3014" i="17"/>
  <c r="A3013" i="17"/>
  <c r="A3012" i="17"/>
  <c r="A3011" i="17"/>
  <c r="A3010" i="17"/>
  <c r="A3009" i="17"/>
  <c r="A3008" i="17"/>
  <c r="A3007" i="17"/>
  <c r="A3006" i="17"/>
  <c r="A3005" i="17"/>
  <c r="A3004" i="17"/>
  <c r="A3003" i="17"/>
  <c r="A3002" i="17"/>
  <c r="A3001" i="17"/>
  <c r="A3000" i="17"/>
  <c r="A2999" i="17"/>
  <c r="A2998" i="17"/>
  <c r="A2997" i="17"/>
  <c r="A2996" i="17"/>
  <c r="A2995" i="17"/>
  <c r="A2994" i="17"/>
  <c r="A2993" i="17"/>
  <c r="A2992" i="17"/>
  <c r="A2991" i="17"/>
  <c r="A2990" i="17"/>
  <c r="A2989" i="17"/>
  <c r="A2988" i="17"/>
  <c r="A2987" i="17"/>
  <c r="A2986" i="17"/>
  <c r="A2985" i="17"/>
  <c r="A2984" i="17"/>
  <c r="A2983" i="17"/>
  <c r="A2982" i="17"/>
  <c r="A2981" i="17"/>
  <c r="A2980" i="17"/>
  <c r="A2979" i="17"/>
  <c r="A2978" i="17"/>
  <c r="A2977" i="17"/>
  <c r="A2976" i="17"/>
  <c r="A2975" i="17"/>
  <c r="A2974" i="17"/>
  <c r="A2973" i="17"/>
  <c r="A2972" i="17"/>
  <c r="A2971" i="17"/>
  <c r="A2970" i="17"/>
  <c r="A2969" i="17"/>
  <c r="A2968" i="17"/>
  <c r="A2967" i="17"/>
  <c r="A2966" i="17"/>
  <c r="A2965" i="17"/>
  <c r="A2964" i="17"/>
  <c r="A2963" i="17"/>
  <c r="A2962" i="17"/>
  <c r="A2961" i="17"/>
  <c r="A2960" i="17"/>
  <c r="A2959" i="17"/>
  <c r="A2958" i="17"/>
  <c r="A2957" i="17"/>
  <c r="A2956" i="17"/>
  <c r="A2955" i="17"/>
  <c r="A2954" i="17"/>
  <c r="A2953" i="17"/>
  <c r="A2952" i="17"/>
  <c r="A2951" i="17"/>
  <c r="A2950" i="17"/>
  <c r="A2949" i="17"/>
  <c r="A2948" i="17"/>
  <c r="A2947" i="17"/>
  <c r="A2946" i="17"/>
  <c r="A2945" i="17"/>
  <c r="A2944" i="17"/>
  <c r="A2943" i="17"/>
  <c r="A2942" i="17"/>
  <c r="A2941" i="17"/>
  <c r="A2940" i="17"/>
  <c r="A2939" i="17"/>
  <c r="A2938" i="17"/>
  <c r="A2937" i="17"/>
  <c r="A2936" i="17"/>
  <c r="A2935" i="17"/>
  <c r="A2934" i="17"/>
  <c r="A2933" i="17"/>
  <c r="A2932" i="17"/>
  <c r="A2931" i="17"/>
  <c r="A2930" i="17"/>
  <c r="A2929" i="17"/>
  <c r="A2928" i="17"/>
  <c r="A2927" i="17"/>
  <c r="A2926" i="17"/>
  <c r="A2925" i="17"/>
  <c r="A2924" i="17"/>
  <c r="A2923" i="17"/>
  <c r="A2922" i="17"/>
  <c r="A2921" i="17"/>
  <c r="A2920" i="17"/>
  <c r="A2919" i="17"/>
  <c r="A2918" i="17"/>
  <c r="A2917" i="17"/>
  <c r="A2916" i="17"/>
  <c r="A2915" i="17"/>
  <c r="A2914" i="17"/>
  <c r="A2913" i="17"/>
  <c r="A2912" i="17"/>
  <c r="A2911" i="17"/>
  <c r="A2910" i="17"/>
  <c r="A2909" i="17"/>
  <c r="A2908" i="17"/>
  <c r="A2907" i="17"/>
  <c r="A2906" i="17"/>
  <c r="A2905" i="17"/>
  <c r="A2904" i="17"/>
  <c r="A2903" i="17"/>
  <c r="A2902" i="17"/>
  <c r="A2901" i="17"/>
  <c r="A2900" i="17"/>
  <c r="A2899" i="17"/>
  <c r="A2898" i="17"/>
  <c r="A2897" i="17"/>
  <c r="A2896" i="17"/>
  <c r="A2895" i="17"/>
  <c r="A2894" i="17"/>
  <c r="A2893" i="17"/>
  <c r="A2892" i="17"/>
  <c r="A2891" i="17"/>
  <c r="A2890" i="17"/>
  <c r="A2889" i="17"/>
  <c r="A2888" i="17"/>
  <c r="A2887" i="17"/>
  <c r="A2886" i="17"/>
  <c r="A2885" i="17"/>
  <c r="A2884" i="17"/>
  <c r="A2883" i="17"/>
  <c r="A2882" i="17"/>
  <c r="A2881" i="17"/>
  <c r="A2880" i="17"/>
  <c r="A2879" i="17"/>
  <c r="A2878" i="17"/>
  <c r="A2877" i="17"/>
  <c r="A2876" i="17"/>
  <c r="A2875" i="17"/>
  <c r="A2874" i="17"/>
  <c r="A2873" i="17"/>
  <c r="A2872" i="17"/>
  <c r="A2871" i="17"/>
  <c r="A2870" i="17"/>
  <c r="A2869" i="17"/>
  <c r="A2868" i="17"/>
  <c r="A2867" i="17"/>
  <c r="A2866" i="17"/>
  <c r="A2865" i="17"/>
  <c r="A2864" i="17"/>
  <c r="A2863" i="17"/>
  <c r="A2862" i="17"/>
  <c r="A2861" i="17"/>
  <c r="A2860" i="17"/>
  <c r="A2859" i="17"/>
  <c r="A2858" i="17"/>
  <c r="A2857" i="17"/>
  <c r="A2856" i="17"/>
  <c r="A2855" i="17"/>
  <c r="A2854" i="17"/>
  <c r="A2853" i="17"/>
  <c r="A2852" i="17"/>
  <c r="A2851" i="17"/>
  <c r="A2850" i="17"/>
  <c r="A2849" i="17"/>
  <c r="A2848" i="17"/>
  <c r="A2847" i="17"/>
  <c r="A2846" i="17"/>
  <c r="A2845" i="17"/>
  <c r="A2844" i="17"/>
  <c r="A2843" i="17"/>
  <c r="A2842" i="17"/>
  <c r="A2841" i="17"/>
  <c r="A2840" i="17"/>
  <c r="A2839" i="17"/>
  <c r="A2838" i="17"/>
  <c r="A2837" i="17"/>
  <c r="A2836" i="17"/>
  <c r="A2835" i="17"/>
  <c r="A2834" i="17"/>
  <c r="A2833" i="17"/>
  <c r="A2832" i="17"/>
  <c r="A2831" i="17"/>
  <c r="A2830" i="17"/>
  <c r="A2829" i="17"/>
  <c r="A2828" i="17"/>
  <c r="A2827" i="17"/>
  <c r="A2826" i="17"/>
  <c r="A2825" i="17"/>
  <c r="A2824" i="17"/>
  <c r="A2823" i="17"/>
  <c r="A2822" i="17"/>
  <c r="A2821" i="17"/>
  <c r="A2820" i="17"/>
  <c r="A2819" i="17"/>
  <c r="A2818" i="17"/>
  <c r="A2817" i="17"/>
  <c r="A2816" i="17"/>
  <c r="A2815" i="17"/>
  <c r="A2814" i="17"/>
  <c r="A2813" i="17"/>
  <c r="A2812" i="17"/>
  <c r="A2811" i="17"/>
  <c r="A2810" i="17"/>
  <c r="A2809" i="17"/>
  <c r="A2808" i="17"/>
  <c r="A2807" i="17"/>
  <c r="A2806" i="17"/>
  <c r="A2805" i="17"/>
  <c r="A2804" i="17"/>
  <c r="A2803" i="17"/>
  <c r="A2802" i="17"/>
  <c r="A2801" i="17"/>
  <c r="A2800" i="17"/>
  <c r="A2799" i="17"/>
  <c r="A2798" i="17"/>
  <c r="A2797" i="17"/>
  <c r="A2796" i="17"/>
  <c r="A2795" i="17"/>
  <c r="A2794" i="17"/>
  <c r="A2793" i="17"/>
  <c r="A2792" i="17"/>
  <c r="A2791" i="17"/>
  <c r="A2790" i="17"/>
  <c r="A2789" i="17"/>
  <c r="A2788" i="17"/>
  <c r="A2787" i="17"/>
  <c r="A2786" i="17"/>
  <c r="A2785" i="17"/>
  <c r="A2784" i="17"/>
  <c r="A2783" i="17"/>
  <c r="A2782" i="17"/>
  <c r="A2781" i="17"/>
  <c r="A2780" i="17"/>
  <c r="A2779" i="17"/>
  <c r="A2778" i="17"/>
  <c r="A2777" i="17"/>
  <c r="A2776" i="17"/>
  <c r="A2775" i="17"/>
  <c r="A2774" i="17"/>
  <c r="A2773" i="17"/>
  <c r="A2772" i="17"/>
  <c r="A2771" i="17"/>
  <c r="A2770" i="17"/>
  <c r="A2769" i="17"/>
  <c r="A2768" i="17"/>
  <c r="A2767" i="17"/>
  <c r="A2766" i="17"/>
  <c r="A2765" i="17"/>
  <c r="A2764" i="17"/>
  <c r="A2763" i="17"/>
  <c r="A2762" i="17"/>
  <c r="A2761" i="17"/>
  <c r="A2760" i="17"/>
  <c r="A2759" i="17"/>
  <c r="A2758" i="17"/>
  <c r="A2757" i="17"/>
  <c r="A2756" i="17"/>
  <c r="A2755" i="17"/>
  <c r="A2754" i="17"/>
  <c r="A2753" i="17"/>
  <c r="A2752" i="17"/>
  <c r="A2751" i="17"/>
  <c r="A2750" i="17"/>
  <c r="A2749" i="17"/>
  <c r="A2748" i="17"/>
  <c r="A2747" i="17"/>
  <c r="A2746" i="17"/>
  <c r="A2745" i="17"/>
  <c r="A2744" i="17"/>
  <c r="A2743" i="17"/>
  <c r="A2742" i="17"/>
  <c r="A2741" i="17"/>
  <c r="A2740" i="17"/>
  <c r="A2739" i="17"/>
  <c r="A2738" i="17"/>
  <c r="A2737" i="17"/>
  <c r="A2736" i="17"/>
  <c r="A2735" i="17"/>
  <c r="A2734" i="17"/>
  <c r="A2733" i="17"/>
  <c r="A2732" i="17"/>
  <c r="A2731" i="17"/>
  <c r="A2730" i="17"/>
  <c r="A2729" i="17"/>
  <c r="A2728" i="17"/>
  <c r="A2727" i="17"/>
  <c r="A2726" i="17"/>
  <c r="A2725" i="17"/>
  <c r="A2724" i="17"/>
  <c r="A2723" i="17"/>
  <c r="A2722" i="17"/>
  <c r="A2721" i="17"/>
  <c r="A2720" i="17"/>
  <c r="A2719" i="17"/>
  <c r="A2718" i="17"/>
  <c r="A2717" i="17"/>
  <c r="A2716" i="17"/>
  <c r="A2715" i="17"/>
  <c r="A2714" i="17"/>
  <c r="A2713" i="17"/>
  <c r="A2712" i="17"/>
  <c r="A2711" i="17"/>
  <c r="A2710" i="17"/>
  <c r="A2709" i="17"/>
  <c r="A2708" i="17"/>
  <c r="A2707" i="17"/>
  <c r="A2706" i="17"/>
  <c r="A2705" i="17"/>
  <c r="A2704" i="17"/>
  <c r="A2703" i="17"/>
  <c r="A2702" i="17"/>
  <c r="A2701" i="17"/>
  <c r="A2700" i="17"/>
  <c r="A2699" i="17"/>
  <c r="A2698" i="17"/>
  <c r="A2697" i="17"/>
  <c r="A2696" i="17"/>
  <c r="A2695" i="17"/>
  <c r="A2694" i="17"/>
  <c r="A2693" i="17"/>
  <c r="A2692" i="17"/>
  <c r="A2691" i="17"/>
  <c r="A2690" i="17"/>
  <c r="A2689" i="17"/>
  <c r="A2688" i="17"/>
  <c r="A2687" i="17"/>
  <c r="A2686" i="17"/>
  <c r="A2685" i="17"/>
  <c r="A2684" i="17"/>
  <c r="A2683" i="17"/>
  <c r="A2682" i="17"/>
  <c r="A2681" i="17"/>
  <c r="A2680" i="17"/>
  <c r="A2679" i="17"/>
  <c r="A2678" i="17"/>
  <c r="A2677" i="17"/>
  <c r="A2676" i="17"/>
  <c r="A2675" i="17"/>
  <c r="A2674" i="17"/>
  <c r="A2673" i="17"/>
  <c r="A2672" i="17"/>
  <c r="A2671" i="17"/>
  <c r="A2670" i="17"/>
  <c r="A2669" i="17"/>
  <c r="A2668" i="17"/>
  <c r="A2667" i="17"/>
  <c r="A2666" i="17"/>
  <c r="A2665" i="17"/>
  <c r="A2664" i="17"/>
  <c r="A2663" i="17"/>
  <c r="A2662" i="17"/>
  <c r="A2661" i="17"/>
  <c r="A2660" i="17"/>
  <c r="A2659" i="17"/>
  <c r="A2658" i="17"/>
  <c r="A2657" i="17"/>
  <c r="A2656" i="17"/>
  <c r="A2655" i="17"/>
  <c r="A2654" i="17"/>
  <c r="A2653" i="17"/>
  <c r="A2652" i="17"/>
  <c r="A2651" i="17"/>
  <c r="A2650" i="17"/>
  <c r="A2649" i="17"/>
  <c r="A2648" i="17"/>
  <c r="A2647" i="17"/>
  <c r="A2646" i="17"/>
  <c r="A2645" i="17"/>
  <c r="A2644" i="17"/>
  <c r="A2643" i="17"/>
  <c r="A2642" i="17"/>
  <c r="A2641" i="17"/>
  <c r="A2640" i="17"/>
  <c r="A2639" i="17"/>
  <c r="A2638" i="17"/>
  <c r="A2637" i="17"/>
  <c r="A2636" i="17"/>
  <c r="A2635" i="17"/>
  <c r="A2634" i="17"/>
  <c r="A2633" i="17"/>
  <c r="A2632" i="17"/>
  <c r="A2631" i="17"/>
  <c r="A2630" i="17"/>
  <c r="A2629" i="17"/>
  <c r="A2628" i="17"/>
  <c r="A2627" i="17"/>
  <c r="A2626" i="17"/>
  <c r="A2625" i="17"/>
  <c r="A2624" i="17"/>
  <c r="A2623" i="17"/>
  <c r="A2622" i="17"/>
  <c r="A2621" i="17"/>
  <c r="A2620" i="17"/>
  <c r="A2619" i="17"/>
  <c r="A2618" i="17"/>
  <c r="A2617" i="17"/>
  <c r="A2616" i="17"/>
  <c r="A2615" i="17"/>
  <c r="A2614" i="17"/>
  <c r="A2613" i="17"/>
  <c r="A2612" i="17"/>
  <c r="A2611" i="17"/>
  <c r="A2610" i="17"/>
  <c r="A2609" i="17"/>
  <c r="A2608" i="17"/>
  <c r="A2607" i="17"/>
  <c r="A2606" i="17"/>
  <c r="A2605" i="17"/>
  <c r="A2604" i="17"/>
  <c r="A2603" i="17"/>
  <c r="A2602" i="17"/>
  <c r="A2601" i="17"/>
  <c r="A2600" i="17"/>
  <c r="A2599" i="17"/>
  <c r="A2598" i="17"/>
  <c r="A2597" i="17"/>
  <c r="A2596" i="17"/>
  <c r="A2595" i="17"/>
  <c r="A2594" i="17"/>
  <c r="A2593" i="17"/>
  <c r="A2592" i="17"/>
  <c r="A2591" i="17"/>
  <c r="A2590" i="17"/>
  <c r="A2589" i="17"/>
  <c r="A2588" i="17"/>
  <c r="A2587" i="17"/>
  <c r="A2586" i="17"/>
  <c r="A2585" i="17"/>
  <c r="A2584" i="17"/>
  <c r="A2583" i="17"/>
  <c r="A2582" i="17"/>
  <c r="A2581" i="17"/>
  <c r="A2580" i="17"/>
  <c r="A2579" i="17"/>
  <c r="A2578" i="17"/>
  <c r="A2577" i="17"/>
  <c r="A2576" i="17"/>
  <c r="A2575" i="17"/>
  <c r="A2574" i="17"/>
  <c r="A2573" i="17"/>
  <c r="A2572" i="17"/>
  <c r="A2571" i="17"/>
  <c r="A2570" i="17"/>
  <c r="A2569" i="17"/>
  <c r="A2568" i="17"/>
  <c r="A2567" i="17"/>
  <c r="A2566" i="17"/>
  <c r="A2565" i="17"/>
  <c r="A2564" i="17"/>
  <c r="A2563" i="17"/>
  <c r="A2562" i="17"/>
  <c r="A2561" i="17"/>
  <c r="A2560" i="17"/>
  <c r="A2559" i="17"/>
  <c r="A2558" i="17"/>
  <c r="A2557" i="17"/>
  <c r="A2556" i="17"/>
  <c r="A2555" i="17"/>
  <c r="A2554" i="17"/>
  <c r="A2553" i="17"/>
  <c r="A2552" i="17"/>
  <c r="A2551" i="17"/>
  <c r="A2550" i="17"/>
  <c r="A2549" i="17"/>
  <c r="A2548" i="17"/>
  <c r="A2547" i="17"/>
  <c r="A2546" i="17"/>
  <c r="A2545" i="17"/>
  <c r="A2544" i="17"/>
  <c r="A2543" i="17"/>
  <c r="A2542" i="17"/>
  <c r="A2541" i="17"/>
  <c r="A2540" i="17"/>
  <c r="A2539" i="17"/>
  <c r="A2538" i="17"/>
  <c r="A2537" i="17"/>
  <c r="A2536" i="17"/>
  <c r="A2535" i="17"/>
  <c r="A2534" i="17"/>
  <c r="A2533" i="17"/>
  <c r="A2532" i="17"/>
  <c r="A2531" i="17"/>
  <c r="A2530" i="17"/>
  <c r="A2529" i="17"/>
  <c r="A2528" i="17"/>
  <c r="A2527" i="17"/>
  <c r="A2526" i="17"/>
  <c r="A2525" i="17"/>
  <c r="A2524" i="17"/>
  <c r="A2523" i="17"/>
  <c r="A2522" i="17"/>
  <c r="A2521" i="17"/>
  <c r="A2520" i="17"/>
  <c r="A2519" i="17"/>
  <c r="A2518" i="17"/>
  <c r="A2517" i="17"/>
  <c r="A2516" i="17"/>
  <c r="A2515" i="17"/>
  <c r="A2514" i="17"/>
  <c r="A2513" i="17"/>
  <c r="A2512" i="17"/>
  <c r="A2511" i="17"/>
  <c r="A2510" i="17"/>
  <c r="A2509" i="17"/>
  <c r="A2508" i="17"/>
  <c r="A2507" i="17"/>
  <c r="A2506" i="17"/>
  <c r="A2505" i="17"/>
  <c r="A2504" i="17"/>
  <c r="A2503" i="17"/>
  <c r="A2502" i="17"/>
  <c r="A2501" i="17"/>
  <c r="A2500" i="17"/>
  <c r="A2499" i="17"/>
  <c r="A2498" i="17"/>
  <c r="A2497" i="17"/>
  <c r="A2496" i="17"/>
  <c r="A2495" i="17"/>
  <c r="A2494" i="17"/>
  <c r="A2493" i="17"/>
  <c r="A2492" i="17"/>
  <c r="A2491" i="17"/>
  <c r="A2490" i="17"/>
  <c r="A2489" i="17"/>
  <c r="A2488" i="17"/>
  <c r="A2487" i="17"/>
  <c r="A2486" i="17"/>
  <c r="A2485" i="17"/>
  <c r="A2484" i="17"/>
  <c r="A2483" i="17"/>
  <c r="A2482" i="17"/>
  <c r="A2481" i="17"/>
  <c r="A2480" i="17"/>
  <c r="A2479" i="17"/>
  <c r="A2478" i="17"/>
  <c r="A2477" i="17"/>
  <c r="A2476" i="17"/>
  <c r="A2475" i="17"/>
  <c r="A2474" i="17"/>
  <c r="A2473" i="17"/>
  <c r="A2472" i="17"/>
  <c r="A2471" i="17"/>
  <c r="A2470" i="17"/>
  <c r="A2469" i="17"/>
  <c r="A2468" i="17"/>
  <c r="A2467" i="17"/>
  <c r="A2466" i="17"/>
  <c r="A2465" i="17"/>
  <c r="A2464" i="17"/>
  <c r="A2463" i="17"/>
  <c r="A2462" i="17"/>
  <c r="A2461" i="17"/>
  <c r="A2460" i="17"/>
  <c r="A2459" i="17"/>
  <c r="A2458" i="17"/>
  <c r="A2457" i="17"/>
  <c r="A2456" i="17"/>
  <c r="A2455" i="17"/>
  <c r="A2454" i="17"/>
  <c r="A2453" i="17"/>
  <c r="A2452" i="17"/>
  <c r="A2451" i="17"/>
  <c r="A2450" i="17"/>
  <c r="A2449" i="17"/>
  <c r="A2448" i="17"/>
  <c r="A2447" i="17"/>
  <c r="A2446" i="17"/>
  <c r="A2445" i="17"/>
  <c r="A2444" i="17"/>
  <c r="A2443" i="17"/>
  <c r="A2442" i="17"/>
  <c r="A2441" i="17"/>
  <c r="A2440" i="17"/>
  <c r="A2439" i="17"/>
  <c r="A2438" i="17"/>
  <c r="A2437" i="17"/>
  <c r="A2436" i="17"/>
  <c r="A2435" i="17"/>
  <c r="A2434" i="17"/>
  <c r="A2433" i="17"/>
  <c r="A2432" i="17"/>
  <c r="A2431" i="17"/>
  <c r="A2430" i="17"/>
  <c r="A2429" i="17"/>
  <c r="A2428" i="17"/>
  <c r="A2427" i="17"/>
  <c r="A2426" i="17"/>
  <c r="A2425" i="17"/>
  <c r="A2424" i="17"/>
  <c r="A2423" i="17"/>
  <c r="A2422" i="17"/>
  <c r="A2421" i="17"/>
  <c r="A2420" i="17"/>
  <c r="A2419" i="17"/>
  <c r="A2418" i="17"/>
  <c r="A2417" i="17"/>
  <c r="A2416" i="17"/>
  <c r="A2415" i="17"/>
  <c r="A2414" i="17"/>
  <c r="A2413" i="17"/>
  <c r="A2412" i="17"/>
  <c r="A2411" i="17"/>
  <c r="A2410" i="17"/>
  <c r="A2409" i="17"/>
  <c r="A2408" i="17"/>
  <c r="A2407" i="17"/>
  <c r="A2406" i="17"/>
  <c r="A2405" i="17"/>
  <c r="A2404" i="17"/>
  <c r="A2403" i="17"/>
  <c r="A2402" i="17"/>
  <c r="A2401" i="17"/>
  <c r="A2400" i="17"/>
  <c r="A2399" i="17"/>
  <c r="A2398" i="17"/>
  <c r="A2397" i="17"/>
  <c r="A2396" i="17"/>
  <c r="A2395" i="17"/>
  <c r="A2394" i="17"/>
  <c r="A2393" i="17"/>
  <c r="A2392" i="17"/>
  <c r="A2391" i="17"/>
  <c r="A2390" i="17"/>
  <c r="A2389" i="17"/>
  <c r="A2388" i="17"/>
  <c r="A2387" i="17"/>
  <c r="A2386" i="17"/>
  <c r="A2385" i="17"/>
  <c r="A2384" i="17"/>
  <c r="A2383" i="17"/>
  <c r="A2382" i="17"/>
  <c r="A2381" i="17"/>
  <c r="A2380" i="17"/>
  <c r="A2379" i="17"/>
  <c r="A2378" i="17"/>
  <c r="A2377" i="17"/>
  <c r="A2376" i="17"/>
  <c r="A2375" i="17"/>
  <c r="A2374" i="17"/>
  <c r="A2373" i="17"/>
  <c r="A2372" i="17"/>
  <c r="A2371" i="17"/>
  <c r="A2370" i="17"/>
  <c r="A2369" i="17"/>
  <c r="A2368" i="17"/>
  <c r="A2367" i="17"/>
  <c r="A2366" i="17"/>
  <c r="A2365" i="17"/>
  <c r="A2364" i="17"/>
  <c r="A2363" i="17"/>
  <c r="A2362" i="17"/>
  <c r="A2361" i="17"/>
  <c r="A2360" i="17"/>
  <c r="A2359" i="17"/>
  <c r="A2358" i="17"/>
  <c r="A2357" i="17"/>
  <c r="A2356" i="17"/>
  <c r="A2355" i="17"/>
  <c r="A2354" i="17"/>
  <c r="A2353" i="17"/>
  <c r="A2352" i="17"/>
  <c r="A2351" i="17"/>
  <c r="A2350" i="17"/>
  <c r="A2349" i="17"/>
  <c r="A2348" i="17"/>
  <c r="A2347" i="17"/>
  <c r="A2346" i="17"/>
  <c r="A2345" i="17"/>
  <c r="A2344" i="17"/>
  <c r="A2343" i="17"/>
  <c r="A2342" i="17"/>
  <c r="A2341" i="17"/>
  <c r="A2340" i="17"/>
  <c r="A2339" i="17"/>
  <c r="A2338" i="17"/>
  <c r="A2337" i="17"/>
  <c r="A2336" i="17"/>
  <c r="A2335" i="17"/>
  <c r="A2334" i="17"/>
  <c r="A2333" i="17"/>
  <c r="A2332" i="17"/>
  <c r="A2331" i="17"/>
  <c r="A2330" i="17"/>
  <c r="A2329" i="17"/>
  <c r="A2328" i="17"/>
  <c r="A2327" i="17"/>
  <c r="A2326" i="17"/>
  <c r="A2325" i="17"/>
  <c r="A2324" i="17"/>
  <c r="A2323" i="17"/>
  <c r="A2322" i="17"/>
  <c r="A2321" i="17"/>
  <c r="A2320" i="17"/>
  <c r="A2319" i="17"/>
  <c r="A2318" i="17"/>
  <c r="A2317" i="17"/>
  <c r="A2316" i="17"/>
  <c r="A2315" i="17"/>
  <c r="A2314" i="17"/>
  <c r="A2313" i="17"/>
  <c r="A2312" i="17"/>
  <c r="A2311" i="17"/>
  <c r="A2310" i="17"/>
  <c r="A2309" i="17"/>
  <c r="A2308" i="17"/>
  <c r="A2307" i="17"/>
  <c r="A2306" i="17"/>
  <c r="A2305" i="17"/>
  <c r="A2304" i="17"/>
  <c r="A2303" i="17"/>
  <c r="A2302" i="17"/>
  <c r="A2301" i="17"/>
  <c r="A2300" i="17"/>
  <c r="A2299" i="17"/>
  <c r="A2298" i="17"/>
  <c r="A2297" i="17"/>
  <c r="A2296" i="17"/>
  <c r="A2295" i="17"/>
  <c r="A2294" i="17"/>
  <c r="A2293" i="17"/>
  <c r="A2292" i="17"/>
  <c r="A2291" i="17"/>
  <c r="A2290" i="17"/>
  <c r="A2289" i="17"/>
  <c r="A2288" i="17"/>
  <c r="A2287" i="17"/>
  <c r="A2286" i="17"/>
  <c r="A2285" i="17"/>
  <c r="A2284" i="17"/>
  <c r="A2283" i="17"/>
  <c r="A2282" i="17"/>
  <c r="A2281" i="17"/>
  <c r="A2280" i="17"/>
  <c r="A2279" i="17"/>
  <c r="A2278" i="17"/>
  <c r="A2277" i="17"/>
  <c r="A2276" i="17"/>
  <c r="A2275" i="17"/>
  <c r="A2274" i="17"/>
  <c r="A2273" i="17"/>
  <c r="A2272" i="17"/>
  <c r="A2271" i="17"/>
  <c r="A2270" i="17"/>
  <c r="A2269" i="17"/>
  <c r="A2268" i="17"/>
  <c r="A2267" i="17"/>
  <c r="A2266" i="17"/>
  <c r="A2265" i="17"/>
  <c r="A2264" i="17"/>
  <c r="A2263" i="17"/>
  <c r="A2262" i="17"/>
  <c r="A2261" i="17"/>
  <c r="A2260" i="17"/>
  <c r="A2259" i="17"/>
  <c r="A2258" i="17"/>
  <c r="A2257" i="17"/>
  <c r="A2256" i="17"/>
  <c r="A2255" i="17"/>
  <c r="A2254" i="17"/>
  <c r="A2253" i="17"/>
  <c r="A2252" i="17"/>
  <c r="A2251" i="17"/>
  <c r="A2250" i="17"/>
  <c r="A2249" i="17"/>
  <c r="A2248" i="17"/>
  <c r="A2247" i="17"/>
  <c r="A2246" i="17"/>
  <c r="A2245" i="17"/>
  <c r="A2244" i="17"/>
  <c r="A2243" i="17"/>
  <c r="A2242" i="17"/>
  <c r="A2241" i="17"/>
  <c r="A2240" i="17"/>
  <c r="A2239" i="17"/>
  <c r="A2238" i="17"/>
  <c r="A2237" i="17"/>
  <c r="A2236" i="17"/>
  <c r="A2235" i="17"/>
  <c r="A2234" i="17"/>
  <c r="A2233" i="17"/>
  <c r="A2232" i="17"/>
  <c r="A2231" i="17"/>
  <c r="A2230" i="17"/>
  <c r="A2229" i="17"/>
  <c r="A2228" i="17"/>
  <c r="A2227" i="17"/>
  <c r="A2226" i="17"/>
  <c r="A2225" i="17"/>
  <c r="A2224" i="17"/>
  <c r="A2223" i="17"/>
  <c r="A2222" i="17"/>
  <c r="A2221" i="17"/>
  <c r="A2220" i="17"/>
  <c r="A2219" i="17"/>
  <c r="A2218" i="17"/>
  <c r="A2217" i="17"/>
  <c r="A2216" i="17"/>
  <c r="A2215" i="17"/>
  <c r="A2214" i="17"/>
  <c r="A2213" i="17"/>
  <c r="A2212" i="17"/>
  <c r="A2211" i="17"/>
  <c r="A2210" i="17"/>
  <c r="A2209" i="17"/>
  <c r="A2208" i="17"/>
  <c r="A2207" i="17"/>
  <c r="A2206" i="17"/>
  <c r="A2205" i="17"/>
  <c r="A2204" i="17"/>
  <c r="A2203" i="17"/>
  <c r="A2202" i="17"/>
  <c r="A2201" i="17"/>
  <c r="A2200" i="17"/>
  <c r="A2199" i="17"/>
  <c r="A2198" i="17"/>
  <c r="A2197" i="17"/>
  <c r="A2196" i="17"/>
  <c r="A2195" i="17"/>
  <c r="A2194" i="17"/>
  <c r="A2193" i="17"/>
  <c r="A2192" i="17"/>
  <c r="A2191" i="17"/>
  <c r="A2190" i="17"/>
  <c r="A2189" i="17"/>
  <c r="A2188" i="17"/>
  <c r="A2187" i="17"/>
  <c r="A2186" i="17"/>
  <c r="A2185" i="17"/>
  <c r="A2184" i="17"/>
  <c r="A2183" i="17"/>
  <c r="A2182" i="17"/>
  <c r="A2181" i="17"/>
  <c r="A2180" i="17"/>
  <c r="A2179" i="17"/>
  <c r="A2178" i="17"/>
  <c r="A2177" i="17"/>
  <c r="A2176" i="17"/>
  <c r="A2175" i="17"/>
  <c r="A2174" i="17"/>
  <c r="A2173" i="17"/>
  <c r="A2172" i="17"/>
  <c r="A2171" i="17"/>
  <c r="A2170" i="17"/>
  <c r="A2169" i="17"/>
  <c r="A2168" i="17"/>
  <c r="A2167" i="17"/>
  <c r="A2166" i="17"/>
  <c r="A2165" i="17"/>
  <c r="A2164" i="17"/>
  <c r="A2163" i="17"/>
  <c r="A2162" i="17"/>
  <c r="A2161" i="17"/>
  <c r="A2160" i="17"/>
  <c r="A2159" i="17"/>
  <c r="A2158" i="17"/>
  <c r="A2157" i="17"/>
  <c r="A2156" i="17"/>
  <c r="A2155" i="17"/>
  <c r="A2154" i="17"/>
  <c r="A2153" i="17"/>
  <c r="A2152" i="17"/>
  <c r="A2151" i="17"/>
  <c r="A2150" i="17"/>
  <c r="A2149" i="17"/>
  <c r="A2148" i="17"/>
  <c r="A2147" i="17"/>
  <c r="A2146" i="17"/>
  <c r="A2145" i="17"/>
  <c r="A2144" i="17"/>
  <c r="A2143" i="17"/>
  <c r="A2142" i="17"/>
  <c r="A2141" i="17"/>
  <c r="A2140" i="17"/>
  <c r="A2139" i="17"/>
  <c r="A2138" i="17"/>
  <c r="A2137" i="17"/>
  <c r="A2136" i="17"/>
  <c r="A2135" i="17"/>
  <c r="A2134" i="17"/>
  <c r="A2133" i="17"/>
  <c r="A2132" i="17"/>
  <c r="A2131" i="17"/>
  <c r="A2130" i="17"/>
  <c r="A2129" i="17"/>
  <c r="A2128" i="17"/>
  <c r="A2127" i="17"/>
  <c r="A2126" i="17"/>
  <c r="A2125" i="17"/>
  <c r="A2124" i="17"/>
  <c r="A2123" i="17"/>
  <c r="A2122" i="17"/>
  <c r="A2121" i="17"/>
  <c r="A2120" i="17"/>
  <c r="A2119" i="17"/>
  <c r="A2118" i="17"/>
  <c r="A2117" i="17"/>
  <c r="A2116" i="17"/>
  <c r="A2115" i="17"/>
  <c r="A2114" i="17"/>
  <c r="A2113" i="17"/>
  <c r="A2112" i="17"/>
  <c r="A2111" i="17"/>
  <c r="A2110" i="17"/>
  <c r="A2109" i="17"/>
  <c r="A2108" i="17"/>
  <c r="A2107" i="17"/>
  <c r="A2106" i="17"/>
  <c r="A2105" i="17"/>
  <c r="A2104" i="17"/>
  <c r="A2103" i="17"/>
  <c r="A2102" i="17"/>
  <c r="A2101" i="17"/>
  <c r="A2100" i="17"/>
  <c r="A2099" i="17"/>
  <c r="A2098" i="17"/>
  <c r="A2097" i="17"/>
  <c r="A2096" i="17"/>
  <c r="A2095" i="17"/>
  <c r="A2094" i="17"/>
  <c r="A2093" i="17"/>
  <c r="A2092" i="17"/>
  <c r="A2091" i="17"/>
  <c r="A2090" i="17"/>
  <c r="A2089" i="17"/>
  <c r="A2088" i="17"/>
  <c r="A2087" i="17"/>
  <c r="A2086" i="17"/>
  <c r="A2085" i="17"/>
  <c r="A2084" i="17"/>
  <c r="A2083" i="17"/>
  <c r="A2082" i="17"/>
  <c r="A2081" i="17"/>
  <c r="A2080" i="17"/>
  <c r="A2079" i="17"/>
  <c r="A2078" i="17"/>
  <c r="A2077" i="17"/>
  <c r="A2076" i="17"/>
  <c r="A2075" i="17"/>
  <c r="A2074" i="17"/>
  <c r="A2073" i="17"/>
  <c r="A2072" i="17"/>
  <c r="A2071" i="17"/>
  <c r="A2070" i="17"/>
  <c r="A2069" i="17"/>
  <c r="A2068" i="17"/>
  <c r="A2067" i="17"/>
  <c r="A2066" i="17"/>
  <c r="A2065" i="17"/>
  <c r="A2064" i="17"/>
  <c r="A2063" i="17"/>
  <c r="A2062" i="17"/>
  <c r="A2061" i="17"/>
  <c r="A2060" i="17"/>
  <c r="A2059" i="17"/>
  <c r="A2058" i="17"/>
  <c r="A2057" i="17"/>
  <c r="A2056" i="17"/>
  <c r="A2055" i="17"/>
  <c r="A2054" i="17"/>
  <c r="A2053" i="17"/>
  <c r="A2052" i="17"/>
  <c r="A2051" i="17"/>
  <c r="A2050" i="17"/>
  <c r="A2049" i="17"/>
  <c r="A2048" i="17"/>
  <c r="A2047" i="17"/>
  <c r="A2046" i="17"/>
  <c r="A2045" i="17"/>
  <c r="A2044" i="17"/>
  <c r="A2043" i="17"/>
  <c r="A2042" i="17"/>
  <c r="A2041" i="17"/>
  <c r="A2040" i="17"/>
  <c r="A2039" i="17"/>
  <c r="A2038" i="17"/>
  <c r="A2037" i="17"/>
  <c r="A2036" i="17"/>
  <c r="A2035" i="17"/>
  <c r="A2034" i="17"/>
  <c r="A2033" i="17"/>
  <c r="A2032" i="17"/>
  <c r="A2031" i="17"/>
  <c r="A2030" i="17"/>
  <c r="A2029" i="17"/>
  <c r="A2028" i="17"/>
  <c r="A2027" i="17"/>
  <c r="A2026" i="17"/>
  <c r="A2025" i="17"/>
  <c r="A2024" i="17"/>
  <c r="A2023" i="17"/>
  <c r="A2022" i="17"/>
  <c r="A2021" i="17"/>
  <c r="A2020" i="17"/>
  <c r="A2019" i="17"/>
  <c r="A2018" i="17"/>
  <c r="A2017" i="17"/>
  <c r="A2016" i="17"/>
  <c r="A2015" i="17"/>
  <c r="A2014" i="17"/>
  <c r="A2013" i="17"/>
  <c r="A2012" i="17"/>
  <c r="A2011" i="17"/>
  <c r="A2010" i="17"/>
  <c r="A2009" i="17"/>
  <c r="A2008" i="17"/>
  <c r="A2007" i="17"/>
  <c r="A2006" i="17"/>
  <c r="A2005" i="17"/>
  <c r="A2004" i="17"/>
  <c r="A2003" i="17"/>
  <c r="A2002" i="17"/>
  <c r="A2001" i="17"/>
  <c r="A2000" i="17"/>
  <c r="A1999" i="17"/>
  <c r="A1998" i="17"/>
  <c r="A1997" i="17"/>
  <c r="A1996" i="17"/>
  <c r="A1995" i="17"/>
  <c r="A1994" i="17"/>
  <c r="A1993" i="17"/>
  <c r="A1992" i="17"/>
  <c r="A1991" i="17"/>
  <c r="A1990" i="17"/>
  <c r="A1989" i="17"/>
  <c r="A1988" i="17"/>
  <c r="A1987" i="17"/>
  <c r="A1986" i="17"/>
  <c r="A1985" i="17"/>
  <c r="A1984" i="17"/>
  <c r="A1983" i="17"/>
  <c r="A1982" i="17"/>
  <c r="A1981" i="17"/>
  <c r="A1980" i="17"/>
  <c r="A1979" i="17"/>
  <c r="A1978" i="17"/>
  <c r="A1977" i="17"/>
  <c r="A1976" i="17"/>
  <c r="A1975" i="17"/>
  <c r="A1974" i="17"/>
  <c r="A1973" i="17"/>
  <c r="A1972" i="17"/>
  <c r="A1971" i="17"/>
  <c r="A1970" i="17"/>
  <c r="A1969" i="17"/>
  <c r="A1968" i="17"/>
  <c r="A1967" i="17"/>
  <c r="A1966" i="17"/>
  <c r="A1965" i="17"/>
  <c r="A1964" i="17"/>
  <c r="A1963" i="17"/>
  <c r="A1962" i="17"/>
  <c r="A1961" i="17"/>
  <c r="A1960" i="17"/>
  <c r="A1959" i="17"/>
  <c r="A1958" i="17"/>
  <c r="A1957" i="17"/>
  <c r="A1956" i="17"/>
  <c r="A1955" i="17"/>
  <c r="A1954" i="17"/>
  <c r="A1953" i="17"/>
  <c r="A1952" i="17"/>
  <c r="A1951" i="17"/>
  <c r="A1950" i="17"/>
  <c r="A1949" i="17"/>
  <c r="A1948" i="17"/>
  <c r="A1947" i="17"/>
  <c r="A1946" i="17"/>
  <c r="A1945" i="17"/>
  <c r="A1944" i="17"/>
  <c r="A1943" i="17"/>
  <c r="A1942" i="17"/>
  <c r="A1941" i="17"/>
  <c r="A1940" i="17"/>
  <c r="A1939" i="17"/>
  <c r="A1938" i="17"/>
  <c r="A1937" i="17"/>
  <c r="A1936" i="17"/>
  <c r="A1935" i="17"/>
  <c r="A1934" i="17"/>
  <c r="A1933" i="17"/>
  <c r="A1932" i="17"/>
  <c r="A1931" i="17"/>
  <c r="A1930" i="17"/>
  <c r="A1929" i="17"/>
  <c r="A1928" i="17"/>
  <c r="A1927" i="17"/>
  <c r="A1926" i="17"/>
  <c r="A1925" i="17"/>
  <c r="A1924" i="17"/>
  <c r="A1923" i="17"/>
  <c r="A1922" i="17"/>
  <c r="A1921" i="17"/>
  <c r="A1920" i="17"/>
  <c r="A1919" i="17"/>
  <c r="A1918" i="17"/>
  <c r="A1917" i="17"/>
  <c r="A1916" i="17"/>
  <c r="A1915" i="17"/>
  <c r="A1914" i="17"/>
  <c r="A1913" i="17"/>
  <c r="A1912" i="17"/>
  <c r="A1911" i="17"/>
  <c r="A1910" i="17"/>
  <c r="A1909" i="17"/>
  <c r="A1908" i="17"/>
  <c r="A1907" i="17"/>
  <c r="A1906" i="17"/>
  <c r="A1905" i="17"/>
  <c r="A1904" i="17"/>
  <c r="A1903" i="17"/>
  <c r="A1902" i="17"/>
  <c r="A1901" i="17"/>
  <c r="A1900" i="17"/>
  <c r="A1899" i="17"/>
  <c r="A1898" i="17"/>
  <c r="A1897" i="17"/>
  <c r="A1896" i="17"/>
  <c r="A1895" i="17"/>
  <c r="A1894" i="17"/>
  <c r="A1893" i="17"/>
  <c r="A1892" i="17"/>
  <c r="A1891" i="17"/>
  <c r="A1890" i="17"/>
  <c r="A1889" i="17"/>
  <c r="A1888" i="17"/>
  <c r="A1887" i="17"/>
  <c r="A1886" i="17"/>
  <c r="A1885" i="17"/>
  <c r="A1884" i="17"/>
  <c r="A1883" i="17"/>
  <c r="A1882" i="17"/>
  <c r="A1881" i="17"/>
  <c r="A1880" i="17"/>
  <c r="A1879" i="17"/>
  <c r="A1878" i="17"/>
  <c r="A1877" i="17"/>
  <c r="A1876" i="17"/>
  <c r="A1875" i="17"/>
  <c r="A1874" i="17"/>
  <c r="A1873" i="17"/>
  <c r="A1872" i="17"/>
  <c r="A1871" i="17"/>
  <c r="A1870" i="17"/>
  <c r="A1869" i="17"/>
  <c r="A1868" i="17"/>
  <c r="A1867" i="17"/>
  <c r="A1866" i="17"/>
  <c r="A1865" i="17"/>
  <c r="A1864" i="17"/>
  <c r="A1863" i="17"/>
  <c r="A1862" i="17"/>
  <c r="A1861" i="17"/>
  <c r="A1860" i="17"/>
  <c r="A1859" i="17"/>
  <c r="A1858" i="17"/>
  <c r="A1857" i="17"/>
  <c r="A1856" i="17"/>
  <c r="A1855" i="17"/>
  <c r="A1854" i="17"/>
  <c r="A1853" i="17"/>
  <c r="A1852" i="17"/>
  <c r="A1851" i="17"/>
  <c r="A1850" i="17"/>
  <c r="A1849" i="17"/>
  <c r="A1848" i="17"/>
  <c r="A1847" i="17"/>
  <c r="A1846" i="17"/>
  <c r="A1845" i="17"/>
  <c r="A1844" i="17"/>
  <c r="A1843" i="17"/>
  <c r="A1842" i="17"/>
  <c r="A1841" i="17"/>
  <c r="A1840" i="17"/>
  <c r="A1839" i="17"/>
  <c r="A1838" i="17"/>
  <c r="A1837" i="17"/>
  <c r="A1836" i="17"/>
  <c r="A1835" i="17"/>
  <c r="A1834" i="17"/>
  <c r="A1833" i="17"/>
  <c r="A1832" i="17"/>
  <c r="A1831" i="17"/>
  <c r="A1830" i="17"/>
  <c r="A1829" i="17"/>
  <c r="A1828" i="17"/>
  <c r="A1827" i="17"/>
  <c r="A1826" i="17"/>
  <c r="A1825" i="17"/>
  <c r="A1824" i="17"/>
  <c r="A1823" i="17"/>
  <c r="A1822" i="17"/>
  <c r="A1821" i="17"/>
  <c r="A1820" i="17"/>
  <c r="A1819" i="17"/>
  <c r="A1818" i="17"/>
  <c r="A1817" i="17"/>
  <c r="A1816" i="17"/>
  <c r="A1815" i="17"/>
  <c r="A1814" i="17"/>
  <c r="A1813" i="17"/>
  <c r="A1812" i="17"/>
  <c r="A1811" i="17"/>
  <c r="A1810" i="17"/>
  <c r="A1809" i="17"/>
  <c r="A1808" i="17"/>
  <c r="A1807" i="17"/>
  <c r="A1806" i="17"/>
  <c r="A1805" i="17"/>
  <c r="A1804" i="17"/>
  <c r="A1803" i="17"/>
  <c r="A1802" i="17"/>
  <c r="A1801" i="17"/>
  <c r="A1800" i="17"/>
  <c r="A1799" i="17"/>
  <c r="A1798" i="17"/>
  <c r="A1797" i="17"/>
  <c r="A1796" i="17"/>
  <c r="A1795" i="17"/>
  <c r="A1794" i="17"/>
  <c r="A1793" i="17"/>
  <c r="A1792" i="17"/>
  <c r="A1791" i="17"/>
  <c r="A1790" i="17"/>
  <c r="A1789" i="17"/>
  <c r="A1788" i="17"/>
  <c r="A1787" i="17"/>
  <c r="A1786" i="17"/>
  <c r="A1785" i="17"/>
  <c r="A1784" i="17"/>
  <c r="A1783" i="17"/>
  <c r="A1782" i="17"/>
  <c r="A1781" i="17"/>
  <c r="A1780" i="17"/>
  <c r="A1779" i="17"/>
  <c r="A1778" i="17"/>
  <c r="A1777" i="17"/>
  <c r="A1776" i="17"/>
  <c r="A1775" i="17"/>
  <c r="A1774" i="17"/>
  <c r="A1773" i="17"/>
  <c r="A1772" i="17"/>
  <c r="A1771" i="17"/>
  <c r="A1770" i="17"/>
  <c r="A1769" i="17"/>
  <c r="A1768" i="17"/>
  <c r="A1767" i="17"/>
  <c r="A1766" i="17"/>
  <c r="A1765" i="17"/>
  <c r="A1764" i="17"/>
  <c r="A1763" i="17"/>
  <c r="A1762" i="17"/>
  <c r="A1761" i="17"/>
  <c r="A1760" i="17"/>
  <c r="A1759" i="17"/>
  <c r="A1758" i="17"/>
  <c r="A1757" i="17"/>
  <c r="A1756" i="17"/>
  <c r="A1755" i="17"/>
  <c r="A1754" i="17"/>
  <c r="A1753" i="17"/>
  <c r="A1752" i="17"/>
  <c r="A1751" i="17"/>
  <c r="A1750" i="17"/>
  <c r="A1749" i="17"/>
  <c r="A1748" i="17"/>
  <c r="A1747" i="17"/>
  <c r="A1746" i="17"/>
  <c r="A1745" i="17"/>
  <c r="A1744" i="17"/>
  <c r="A1743" i="17"/>
  <c r="A1742" i="17"/>
  <c r="A1741" i="17"/>
  <c r="A1740" i="17"/>
  <c r="A1739" i="17"/>
  <c r="A1738" i="17"/>
  <c r="A1737" i="17"/>
  <c r="A1736" i="17"/>
  <c r="A1735" i="17"/>
  <c r="A1734" i="17"/>
  <c r="A1733" i="17"/>
  <c r="A1732" i="17"/>
  <c r="A1731" i="17"/>
  <c r="A1730" i="17"/>
  <c r="A1729" i="17"/>
  <c r="A1728" i="17"/>
  <c r="A1727" i="17"/>
  <c r="A1726" i="17"/>
  <c r="A1725" i="17"/>
  <c r="A1724" i="17"/>
  <c r="A1723" i="17"/>
  <c r="A1722" i="17"/>
  <c r="A1721" i="17"/>
  <c r="A1720" i="17"/>
  <c r="A1719" i="17"/>
  <c r="A1718" i="17"/>
  <c r="A1717" i="17"/>
  <c r="A1716" i="17"/>
  <c r="A1715" i="17"/>
  <c r="A1714" i="17"/>
  <c r="A1713" i="17"/>
  <c r="A1712" i="17"/>
  <c r="A1711" i="17"/>
  <c r="A1710" i="17"/>
  <c r="A1709" i="17"/>
  <c r="A1708" i="17"/>
  <c r="A1707" i="17"/>
  <c r="A1706" i="17"/>
  <c r="A1705" i="17"/>
  <c r="A1704" i="17"/>
  <c r="A1703" i="17"/>
  <c r="A1702" i="17"/>
  <c r="A1701" i="17"/>
  <c r="A1700" i="17"/>
  <c r="A1699" i="17"/>
  <c r="A1698" i="17"/>
  <c r="A1697" i="17"/>
  <c r="A1696" i="17"/>
  <c r="A1695" i="17"/>
  <c r="A1694" i="17"/>
  <c r="A1693" i="17"/>
  <c r="A1692" i="17"/>
  <c r="A1691" i="17"/>
  <c r="A1690" i="17"/>
  <c r="A1689" i="17"/>
  <c r="A1688" i="17"/>
  <c r="A1687" i="17"/>
  <c r="A1686" i="17"/>
  <c r="A1685" i="17"/>
  <c r="A1684" i="17"/>
  <c r="A1683" i="17"/>
  <c r="A1682" i="17"/>
  <c r="A1681" i="17"/>
  <c r="A1680" i="17"/>
  <c r="A1679" i="17"/>
  <c r="A1678" i="17"/>
  <c r="A1677" i="17"/>
  <c r="A1676" i="17"/>
  <c r="A1675" i="17"/>
  <c r="A1674" i="17"/>
  <c r="A1673" i="17"/>
  <c r="A1672" i="17"/>
  <c r="A1671" i="17"/>
  <c r="A1670" i="17"/>
  <c r="A1669" i="17"/>
  <c r="A1668" i="17"/>
  <c r="A1667" i="17"/>
  <c r="A1666" i="17"/>
  <c r="A1665" i="17"/>
  <c r="A1664" i="17"/>
  <c r="A1663" i="17"/>
  <c r="A1662" i="17"/>
  <c r="A1661" i="17"/>
  <c r="A1660" i="17"/>
  <c r="A1659" i="17"/>
  <c r="A1658" i="17"/>
  <c r="A1657" i="17"/>
  <c r="A1656" i="17"/>
  <c r="A1655" i="17"/>
  <c r="A1654" i="17"/>
  <c r="A1653" i="17"/>
  <c r="A1652" i="17"/>
  <c r="A1651" i="17"/>
  <c r="A1650" i="17"/>
  <c r="A1649" i="17"/>
  <c r="A1648" i="17"/>
  <c r="A1647" i="17"/>
  <c r="A1646" i="17"/>
  <c r="A1645" i="17"/>
  <c r="A1644" i="17"/>
  <c r="A1643" i="17"/>
  <c r="A1642" i="17"/>
  <c r="A1641" i="17"/>
  <c r="A1640" i="17"/>
  <c r="A1639" i="17"/>
  <c r="A1638" i="17"/>
  <c r="A1637" i="17"/>
  <c r="A1636" i="17"/>
  <c r="A1635" i="17"/>
  <c r="A1634" i="17"/>
  <c r="A1633" i="17"/>
  <c r="A1632" i="17"/>
  <c r="A1631" i="17"/>
  <c r="A1630" i="17"/>
  <c r="A1629" i="17"/>
  <c r="A1628" i="17"/>
  <c r="A1627" i="17"/>
  <c r="A1626" i="17"/>
  <c r="A1625" i="17"/>
  <c r="A1624" i="17"/>
  <c r="A1623" i="17"/>
  <c r="A1622" i="17"/>
  <c r="A1621" i="17"/>
  <c r="A1620" i="17"/>
  <c r="A1619" i="17"/>
  <c r="A1618" i="17"/>
  <c r="A1617" i="17"/>
  <c r="A1616" i="17"/>
  <c r="A1615" i="17"/>
  <c r="A1614" i="17"/>
  <c r="A1613" i="17"/>
  <c r="A1612" i="17"/>
  <c r="A1611" i="17"/>
  <c r="A1610" i="17"/>
  <c r="A1609" i="17"/>
  <c r="A1608" i="17"/>
  <c r="A1607" i="17"/>
  <c r="A1606" i="17"/>
  <c r="A1605" i="17"/>
  <c r="A1604" i="17"/>
  <c r="A1603" i="17"/>
  <c r="A1602" i="17"/>
  <c r="A1601" i="17"/>
  <c r="A1600" i="17"/>
  <c r="A1599" i="17"/>
  <c r="A1598" i="17"/>
  <c r="A1597" i="17"/>
  <c r="A1596" i="17"/>
  <c r="A1595" i="17"/>
  <c r="A1594" i="17"/>
  <c r="A1593" i="17"/>
  <c r="A1592" i="17"/>
  <c r="A1591" i="17"/>
  <c r="A1590" i="17"/>
  <c r="A1589" i="17"/>
  <c r="A1588" i="17"/>
  <c r="A1587" i="17"/>
  <c r="A1586" i="17"/>
  <c r="A1585" i="17"/>
  <c r="A1584" i="17"/>
  <c r="A1583" i="17"/>
  <c r="A1582" i="17"/>
  <c r="A1581" i="17"/>
  <c r="A1580" i="17"/>
  <c r="A1579" i="17"/>
  <c r="A1578" i="17"/>
  <c r="A1577" i="17"/>
  <c r="A1576" i="17"/>
  <c r="A1575" i="17"/>
  <c r="A1574" i="17"/>
  <c r="A1573" i="17"/>
  <c r="A1572" i="17"/>
  <c r="A1571" i="17"/>
  <c r="A1570" i="17"/>
  <c r="A1569" i="17"/>
  <c r="A1568" i="17"/>
  <c r="A1567" i="17"/>
  <c r="A1566" i="17"/>
  <c r="A1565" i="17"/>
  <c r="A1564" i="17"/>
  <c r="A1563" i="17"/>
  <c r="A1562" i="17"/>
  <c r="A1561" i="17"/>
  <c r="A1560" i="17"/>
  <c r="A1559" i="17"/>
  <c r="A1558" i="17"/>
  <c r="A1557" i="17"/>
  <c r="A1556" i="17"/>
  <c r="A1555" i="17"/>
  <c r="A1554" i="17"/>
  <c r="A1553" i="17"/>
  <c r="A1552" i="17"/>
  <c r="A1551" i="17"/>
  <c r="A1550" i="17"/>
  <c r="A1549" i="17"/>
  <c r="A1548" i="17"/>
  <c r="A1547" i="17"/>
  <c r="A1546" i="17"/>
  <c r="A1545" i="17"/>
  <c r="A1544" i="17"/>
  <c r="A1543" i="17"/>
  <c r="A1542" i="17"/>
  <c r="A1541" i="17"/>
  <c r="A1540" i="17"/>
  <c r="A1539" i="17"/>
  <c r="A1538" i="17"/>
  <c r="A1537" i="17"/>
  <c r="A1536" i="17"/>
  <c r="A1535" i="17"/>
  <c r="A1534" i="17"/>
  <c r="A1533" i="17"/>
  <c r="A1532" i="17"/>
  <c r="A1531" i="17"/>
  <c r="A1530" i="17"/>
  <c r="A1529" i="17"/>
  <c r="A1528" i="17"/>
  <c r="A1527" i="17"/>
  <c r="A1526" i="17"/>
  <c r="A1525" i="17"/>
  <c r="A1524" i="17"/>
  <c r="A1523" i="17"/>
  <c r="A1522" i="17"/>
  <c r="A1521" i="17"/>
  <c r="A1520" i="17"/>
  <c r="A1519" i="17"/>
  <c r="A1518" i="17"/>
  <c r="A1517" i="17"/>
  <c r="A1516" i="17"/>
  <c r="A1515" i="17"/>
  <c r="A1514" i="17"/>
  <c r="A1513" i="17"/>
  <c r="A1512" i="17"/>
  <c r="A1511" i="17"/>
  <c r="A1510" i="17"/>
  <c r="A1509" i="17"/>
  <c r="A1508" i="17"/>
  <c r="A1507" i="17"/>
  <c r="A1506" i="17"/>
  <c r="A1505" i="17"/>
  <c r="A1504" i="17"/>
  <c r="A1503" i="17"/>
  <c r="A1502" i="17"/>
  <c r="A1501" i="17"/>
  <c r="A1500" i="17"/>
  <c r="A1499" i="17"/>
  <c r="A1498" i="17"/>
  <c r="A1497" i="17"/>
  <c r="A1496" i="17"/>
  <c r="A1495" i="17"/>
  <c r="A1494" i="17"/>
  <c r="A1493" i="17"/>
  <c r="A1492" i="17"/>
  <c r="A1491" i="17"/>
  <c r="A1490" i="17"/>
  <c r="A1489" i="17"/>
  <c r="A1488" i="17"/>
  <c r="A1487" i="17"/>
  <c r="A1486" i="17"/>
  <c r="A1485" i="17"/>
  <c r="A1484" i="17"/>
  <c r="A1483" i="17"/>
  <c r="A1482" i="17"/>
  <c r="A1481" i="17"/>
  <c r="A1480" i="17"/>
  <c r="A1479" i="17"/>
  <c r="A1478" i="17"/>
  <c r="A1477" i="17"/>
  <c r="A1476" i="17"/>
  <c r="A1475" i="17"/>
  <c r="A1474" i="17"/>
  <c r="A1473" i="17"/>
  <c r="A1472" i="17"/>
  <c r="A1471" i="17"/>
  <c r="A1470" i="17"/>
  <c r="A1469" i="17"/>
  <c r="A1468" i="17"/>
  <c r="A1467" i="17"/>
  <c r="A1466" i="17"/>
  <c r="A1465" i="17"/>
  <c r="A1464" i="17"/>
  <c r="A1463" i="17"/>
  <c r="A1462" i="17"/>
  <c r="A1461" i="17"/>
  <c r="A1460" i="17"/>
  <c r="A1459" i="17"/>
  <c r="A1458" i="17"/>
  <c r="A1457" i="17"/>
  <c r="A1456" i="17"/>
  <c r="A1455" i="17"/>
  <c r="A1454" i="17"/>
  <c r="A1453" i="17"/>
  <c r="A1452" i="17"/>
  <c r="A1451" i="17"/>
  <c r="A1450" i="17"/>
  <c r="A1449" i="17"/>
  <c r="A1448" i="17"/>
  <c r="A1447" i="17"/>
  <c r="A1446" i="17"/>
  <c r="A1445" i="17"/>
  <c r="A1444" i="17"/>
  <c r="A1443" i="17"/>
  <c r="A1442" i="17"/>
  <c r="A1441" i="17"/>
  <c r="A1440" i="17"/>
  <c r="A1439" i="17"/>
  <c r="A1438" i="17"/>
  <c r="A1437" i="17"/>
  <c r="A1436" i="17"/>
  <c r="A1435" i="17"/>
  <c r="A1434" i="17"/>
  <c r="A1433" i="17"/>
  <c r="A1432" i="17"/>
  <c r="A1431" i="17"/>
  <c r="A1430" i="17"/>
  <c r="A1429" i="17"/>
  <c r="A1428" i="17"/>
  <c r="A1427" i="17"/>
  <c r="A1426" i="17"/>
  <c r="A1425" i="17"/>
  <c r="A1424" i="17"/>
  <c r="A1423" i="17"/>
  <c r="A1422" i="17"/>
  <c r="A1421" i="17"/>
  <c r="A1420" i="17"/>
  <c r="A1419" i="17"/>
  <c r="A1418" i="17"/>
  <c r="A1417" i="17"/>
  <c r="A1416" i="17"/>
  <c r="A1415" i="17"/>
  <c r="A1414" i="17"/>
  <c r="A1413" i="17"/>
  <c r="A1412" i="17"/>
  <c r="A1411" i="17"/>
  <c r="A1410" i="17"/>
  <c r="A1409" i="17"/>
  <c r="A1408" i="17"/>
  <c r="A1407" i="17"/>
  <c r="A1406" i="17"/>
  <c r="A1405" i="17"/>
  <c r="A1404" i="17"/>
  <c r="A1403" i="17"/>
  <c r="A1402" i="17"/>
  <c r="A1401" i="17"/>
  <c r="A1400" i="17"/>
  <c r="A1399" i="17"/>
  <c r="A1398" i="17"/>
  <c r="A1397" i="17"/>
  <c r="A1396" i="17"/>
  <c r="A1395" i="17"/>
  <c r="A1394" i="17"/>
  <c r="A1393" i="17"/>
  <c r="A1392" i="17"/>
  <c r="A1391" i="17"/>
  <c r="A1390" i="17"/>
  <c r="A1389" i="17"/>
  <c r="A1388" i="17"/>
  <c r="A1387" i="17"/>
  <c r="A1386" i="17"/>
  <c r="A1385" i="17"/>
  <c r="A1384" i="17"/>
  <c r="A1383" i="17"/>
  <c r="A1382" i="17"/>
  <c r="A1381" i="17"/>
  <c r="A1380" i="17"/>
  <c r="A1379" i="17"/>
  <c r="A1378" i="17"/>
  <c r="A1377" i="17"/>
  <c r="A1376" i="17"/>
  <c r="A1375" i="17"/>
  <c r="A1374" i="17"/>
  <c r="A1373" i="17"/>
  <c r="A1372" i="17"/>
  <c r="A1371" i="17"/>
  <c r="A1370" i="17"/>
  <c r="A1369" i="17"/>
  <c r="A1368" i="17"/>
  <c r="A1367" i="17"/>
  <c r="A1366" i="17"/>
  <c r="A1365" i="17"/>
  <c r="A1364" i="17"/>
  <c r="A1363" i="17"/>
  <c r="A1362" i="17"/>
  <c r="A1361" i="17"/>
  <c r="A1360" i="17"/>
  <c r="A1359" i="17"/>
  <c r="A1358" i="17"/>
  <c r="A1357" i="17"/>
  <c r="A1356" i="17"/>
  <c r="A1355" i="17"/>
  <c r="A1354" i="17"/>
  <c r="A1353" i="17"/>
  <c r="A1352" i="17"/>
  <c r="A1351" i="17"/>
  <c r="A1350" i="17"/>
  <c r="A1349" i="17"/>
  <c r="A1348" i="17"/>
  <c r="A1347" i="17"/>
  <c r="A1346" i="17"/>
  <c r="A1345" i="17"/>
  <c r="A1344" i="17"/>
  <c r="A1343" i="17"/>
  <c r="A1342" i="17"/>
  <c r="A1341" i="17"/>
  <c r="A1340" i="17"/>
  <c r="A1339" i="17"/>
  <c r="A1338" i="17"/>
  <c r="A1337" i="17"/>
  <c r="A1336" i="17"/>
  <c r="A1335" i="17"/>
  <c r="A1334" i="17"/>
  <c r="A1333" i="17"/>
  <c r="A1332" i="17"/>
  <c r="A1331" i="17"/>
  <c r="A1330" i="17"/>
  <c r="A1329" i="17"/>
  <c r="A1328" i="17"/>
  <c r="A1327" i="17"/>
  <c r="A1326" i="17"/>
  <c r="A1325" i="17"/>
  <c r="A1324" i="17"/>
  <c r="A1323" i="17"/>
  <c r="A1322" i="17"/>
  <c r="A1321" i="17"/>
  <c r="A1320" i="17"/>
  <c r="A1319" i="17"/>
  <c r="A1318" i="17"/>
  <c r="A1317" i="17"/>
  <c r="A1316" i="17"/>
  <c r="A1315" i="17"/>
  <c r="A1314" i="17"/>
  <c r="A1313" i="17"/>
  <c r="A1312" i="17"/>
  <c r="A1311" i="17"/>
  <c r="A1310" i="17"/>
  <c r="A1309" i="17"/>
  <c r="A1308" i="17"/>
  <c r="A1307" i="17"/>
  <c r="A1306" i="17"/>
  <c r="A1305" i="17"/>
  <c r="A1304" i="17"/>
  <c r="A1303" i="17"/>
  <c r="A1302" i="17"/>
  <c r="A1301" i="17"/>
  <c r="A1300" i="17"/>
  <c r="A1299" i="17"/>
  <c r="A1298" i="17"/>
  <c r="A1297" i="17"/>
  <c r="A1296" i="17"/>
  <c r="A1295" i="17"/>
  <c r="A1294" i="17"/>
  <c r="A1293" i="17"/>
  <c r="A1292" i="17"/>
  <c r="A1291" i="17"/>
  <c r="A1290" i="17"/>
  <c r="A1289" i="17"/>
  <c r="A1288" i="17"/>
  <c r="A1287" i="17"/>
  <c r="A1286" i="17"/>
  <c r="A1285" i="17"/>
  <c r="A1284" i="17"/>
  <c r="A1283" i="17"/>
  <c r="A1282" i="17"/>
  <c r="A1281" i="17"/>
  <c r="A1280" i="17"/>
  <c r="A1279" i="17"/>
  <c r="A1278" i="17"/>
  <c r="A1277" i="17"/>
  <c r="A1276" i="17"/>
  <c r="A1275" i="17"/>
  <c r="A1274" i="17"/>
  <c r="A1273" i="17"/>
  <c r="A1272" i="17"/>
  <c r="A1271" i="17"/>
  <c r="A1270" i="17"/>
  <c r="A1269" i="17"/>
  <c r="A1268" i="17"/>
  <c r="A1267" i="17"/>
  <c r="A1266" i="17"/>
  <c r="A1265" i="17"/>
  <c r="A1264" i="17"/>
  <c r="A1263" i="17"/>
  <c r="A1262" i="17"/>
  <c r="A1261" i="17"/>
  <c r="A1260" i="17"/>
  <c r="A1259" i="17"/>
  <c r="A1258" i="17"/>
  <c r="A1257" i="17"/>
  <c r="A1256" i="17"/>
  <c r="A1255" i="17"/>
  <c r="A1254" i="17"/>
  <c r="A1253" i="17"/>
  <c r="A1252" i="17"/>
  <c r="A1251" i="17"/>
  <c r="A1250" i="17"/>
  <c r="A1249" i="17"/>
  <c r="A1248" i="17"/>
  <c r="A1247" i="17"/>
  <c r="A1246" i="17"/>
  <c r="A1245" i="17"/>
  <c r="A1244" i="17"/>
  <c r="A1243" i="17"/>
  <c r="A1242" i="17"/>
  <c r="A1241" i="17"/>
  <c r="A1240" i="17"/>
  <c r="A1239" i="17"/>
  <c r="A1238" i="17"/>
  <c r="A1237" i="17"/>
  <c r="A1236" i="17"/>
  <c r="A1235" i="17"/>
  <c r="A1234" i="17"/>
  <c r="A1233" i="17"/>
  <c r="A1232" i="17"/>
  <c r="A1231" i="17"/>
  <c r="A1230" i="17"/>
  <c r="A1229" i="17"/>
  <c r="A1228" i="17"/>
  <c r="A1227" i="17"/>
  <c r="A1226" i="17"/>
  <c r="A1225" i="17"/>
  <c r="A1224" i="17"/>
  <c r="A1223" i="17"/>
  <c r="A1222" i="17"/>
  <c r="A1221" i="17"/>
  <c r="A1220" i="17"/>
  <c r="A1219" i="17"/>
  <c r="A1218" i="17"/>
  <c r="A1217" i="17"/>
  <c r="A1216" i="17"/>
  <c r="A1215" i="17"/>
  <c r="A1214" i="17"/>
  <c r="A1213" i="17"/>
  <c r="A1212" i="17"/>
  <c r="A1211" i="17"/>
  <c r="A1210" i="17"/>
  <c r="A1209" i="17"/>
  <c r="A1208" i="17"/>
  <c r="A1207" i="17"/>
  <c r="A1206" i="17"/>
  <c r="A1205" i="17"/>
  <c r="A1204" i="17"/>
  <c r="A1203" i="17"/>
  <c r="A1202" i="17"/>
  <c r="A1201" i="17"/>
  <c r="A1200" i="17"/>
  <c r="A1199" i="17"/>
  <c r="A1198" i="17"/>
  <c r="A1197" i="17"/>
  <c r="A1196" i="17"/>
  <c r="A1195" i="17"/>
  <c r="A1194" i="17"/>
  <c r="A1193" i="17"/>
  <c r="A1192" i="17"/>
  <c r="A1191" i="17"/>
  <c r="A1190" i="17"/>
  <c r="A1189" i="17"/>
  <c r="A1188" i="17"/>
  <c r="A1187" i="17"/>
  <c r="A1186" i="17"/>
  <c r="A1185" i="17"/>
  <c r="A1184" i="17"/>
  <c r="A1183" i="17"/>
  <c r="A1182" i="17"/>
  <c r="A1181" i="17"/>
  <c r="A1180" i="17"/>
  <c r="A1179" i="17"/>
  <c r="A1178" i="17"/>
  <c r="A1177" i="17"/>
  <c r="A1176" i="17"/>
  <c r="A1175" i="17"/>
  <c r="A1174" i="17"/>
  <c r="A1173" i="17"/>
  <c r="A1172" i="17"/>
  <c r="A1171" i="17"/>
  <c r="A1170" i="17"/>
  <c r="A1169" i="17"/>
  <c r="A1168" i="17"/>
  <c r="A1167" i="17"/>
  <c r="A1166" i="17"/>
  <c r="A1165" i="17"/>
  <c r="A1164" i="17"/>
  <c r="A1163" i="17"/>
  <c r="A1162" i="17"/>
  <c r="A1161" i="17"/>
  <c r="A1160" i="17"/>
  <c r="A1159" i="17"/>
  <c r="A1158" i="17"/>
  <c r="A1157" i="17"/>
  <c r="A1156" i="17"/>
  <c r="A1155" i="17"/>
  <c r="A1154" i="17"/>
  <c r="A1153" i="17"/>
  <c r="A1152" i="17"/>
  <c r="A1151" i="17"/>
  <c r="A1150" i="17"/>
  <c r="A1149" i="17"/>
  <c r="A1148" i="17"/>
  <c r="A1147" i="17"/>
  <c r="A1146" i="17"/>
  <c r="A1145" i="17"/>
  <c r="A1144" i="17"/>
  <c r="A1143" i="17"/>
  <c r="A1142" i="17"/>
  <c r="A1141" i="17"/>
  <c r="A1140" i="17"/>
  <c r="A1139" i="17"/>
  <c r="A1138" i="17"/>
  <c r="A1137" i="17"/>
  <c r="A1136" i="17"/>
  <c r="A1135" i="17"/>
  <c r="A1134" i="17"/>
  <c r="A1133" i="17"/>
  <c r="A1132" i="17"/>
  <c r="A1131" i="17"/>
  <c r="A1130" i="17"/>
  <c r="A1129" i="17"/>
  <c r="A1128" i="17"/>
  <c r="A1127" i="17"/>
  <c r="A1126" i="17"/>
  <c r="A1125" i="17"/>
  <c r="A1124" i="17"/>
  <c r="A1123" i="17"/>
  <c r="A1122" i="17"/>
  <c r="A1121" i="17"/>
  <c r="A1120" i="17"/>
  <c r="A1119" i="17"/>
  <c r="A1118" i="17"/>
  <c r="A1117" i="17"/>
  <c r="A1116" i="17"/>
  <c r="A1115" i="17"/>
  <c r="A1114" i="17"/>
  <c r="A1113" i="17"/>
  <c r="A1112" i="17"/>
  <c r="A1111" i="17"/>
  <c r="A1110" i="17"/>
  <c r="A1109" i="17"/>
  <c r="A1108" i="17"/>
  <c r="A1107" i="17"/>
  <c r="A1106" i="17"/>
  <c r="A1105" i="17"/>
  <c r="A1104" i="17"/>
  <c r="A1103" i="17"/>
  <c r="A1102" i="17"/>
  <c r="A1101" i="17"/>
  <c r="A1100" i="17"/>
  <c r="A1099" i="17"/>
  <c r="A1098" i="17"/>
  <c r="A1097" i="17"/>
  <c r="A1096" i="17"/>
  <c r="A1095" i="17"/>
  <c r="A1094" i="17"/>
  <c r="A1093" i="17"/>
  <c r="A1092" i="17"/>
  <c r="A1091" i="17"/>
  <c r="A1090" i="17"/>
  <c r="A1089" i="17"/>
  <c r="A1088" i="17"/>
  <c r="A1087" i="17"/>
  <c r="A1086" i="17"/>
  <c r="A1085" i="17"/>
  <c r="A1084" i="17"/>
  <c r="A1083" i="17"/>
  <c r="A1082" i="17"/>
  <c r="A1081" i="17"/>
  <c r="A1080" i="17"/>
  <c r="A1079" i="17"/>
  <c r="A1078" i="17"/>
  <c r="A1077" i="17"/>
  <c r="A1076" i="17"/>
  <c r="A1075" i="17"/>
  <c r="A1074" i="17"/>
  <c r="A1073" i="17"/>
  <c r="A1072" i="17"/>
  <c r="A1071" i="17"/>
  <c r="A1070" i="17"/>
  <c r="A1069" i="17"/>
  <c r="A1068" i="17"/>
  <c r="A1067" i="17"/>
  <c r="A1066" i="17"/>
  <c r="A1065" i="17"/>
  <c r="A1064" i="17"/>
  <c r="A1063" i="17"/>
  <c r="A1062" i="17"/>
  <c r="A1061" i="17"/>
  <c r="A1060" i="17"/>
  <c r="A1059" i="17"/>
  <c r="A1058" i="17"/>
  <c r="A1057" i="17"/>
  <c r="A1056" i="17"/>
  <c r="A1055" i="17"/>
  <c r="A1054" i="17"/>
  <c r="A1053" i="17"/>
  <c r="A1052" i="17"/>
  <c r="A1051" i="17"/>
  <c r="A1050" i="17"/>
  <c r="A1049" i="17"/>
  <c r="A1048" i="17"/>
  <c r="A1047" i="17"/>
  <c r="A1046" i="17"/>
  <c r="A1045" i="17"/>
  <c r="A1044" i="17"/>
  <c r="A1043" i="17"/>
  <c r="A1042" i="17"/>
  <c r="A1041" i="17"/>
  <c r="A1040" i="17"/>
  <c r="A1039" i="17"/>
  <c r="A1038" i="17"/>
  <c r="A1037" i="17"/>
  <c r="A1036" i="17"/>
  <c r="A1035" i="17"/>
  <c r="A1034" i="17"/>
  <c r="A1033" i="17"/>
  <c r="A1032" i="17"/>
  <c r="A1031" i="17"/>
  <c r="A1030" i="17"/>
  <c r="A1029" i="17"/>
  <c r="A1028" i="17"/>
  <c r="A1027" i="17"/>
  <c r="A1026" i="17"/>
  <c r="A1025" i="17"/>
  <c r="A1024" i="17"/>
  <c r="A1023" i="17"/>
  <c r="A1022" i="17"/>
  <c r="A1021" i="17"/>
  <c r="A1020" i="17"/>
  <c r="A1019" i="17"/>
  <c r="A1018" i="17"/>
  <c r="A1017" i="17"/>
  <c r="A1016" i="17"/>
  <c r="A1015" i="17"/>
  <c r="A1014" i="17"/>
  <c r="A1013" i="17"/>
  <c r="A1012" i="17"/>
  <c r="A1011" i="17"/>
  <c r="A1010" i="17"/>
  <c r="A1009" i="17"/>
  <c r="A1008" i="17"/>
  <c r="A1007" i="17"/>
  <c r="A1006" i="17"/>
  <c r="A1005" i="17"/>
  <c r="A1004" i="17"/>
  <c r="A1003" i="17"/>
  <c r="A1002" i="17"/>
  <c r="A1001" i="17"/>
  <c r="A1000" i="17"/>
  <c r="A999" i="17"/>
  <c r="A998" i="17"/>
  <c r="A997" i="17"/>
  <c r="A996" i="17"/>
  <c r="A995" i="17"/>
  <c r="A994" i="17"/>
  <c r="A993" i="17"/>
  <c r="A992" i="17"/>
  <c r="A991" i="17"/>
  <c r="A990" i="17"/>
  <c r="A989" i="17"/>
  <c r="A988" i="17"/>
  <c r="A987" i="17"/>
  <c r="A986" i="17"/>
  <c r="A985" i="17"/>
  <c r="A984" i="17"/>
  <c r="A983" i="17"/>
  <c r="A982" i="17"/>
  <c r="A981" i="17"/>
  <c r="A980" i="17"/>
  <c r="A979" i="17"/>
  <c r="A978" i="17"/>
  <c r="A977" i="17"/>
  <c r="A976" i="17"/>
  <c r="A975" i="17"/>
  <c r="A97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F2" i="18" l="1"/>
  <c r="AH27" i="1"/>
  <c r="H18" i="26" s="1"/>
  <c r="AH28" i="1"/>
  <c r="AF3" i="30"/>
  <c r="N307" i="28"/>
  <c r="N39" i="28" s="1"/>
  <c r="F71" i="18"/>
  <c r="F817" i="18"/>
  <c r="F678" i="18"/>
  <c r="F882" i="18"/>
  <c r="F863" i="18"/>
  <c r="F810" i="18"/>
  <c r="F881" i="18"/>
  <c r="F858" i="18"/>
  <c r="F839" i="18"/>
  <c r="F809" i="18"/>
  <c r="F777" i="18"/>
  <c r="F726" i="18"/>
  <c r="F647" i="18"/>
  <c r="F391" i="18"/>
  <c r="F98" i="18"/>
  <c r="F842" i="18"/>
  <c r="F785" i="18"/>
  <c r="F841" i="18"/>
  <c r="F135" i="18"/>
  <c r="F879" i="18"/>
  <c r="F857" i="18"/>
  <c r="F834" i="18"/>
  <c r="F802" i="18"/>
  <c r="F770" i="18"/>
  <c r="F713" i="18"/>
  <c r="F611" i="18"/>
  <c r="F354" i="18"/>
  <c r="F34" i="18"/>
  <c r="F464" i="18"/>
  <c r="F778" i="18"/>
  <c r="F874" i="18"/>
  <c r="F855" i="18"/>
  <c r="F833" i="18"/>
  <c r="F801" i="18"/>
  <c r="F769" i="18"/>
  <c r="F710" i="18"/>
  <c r="F610" i="18"/>
  <c r="F318" i="18"/>
  <c r="F427" i="18"/>
  <c r="F873" i="18"/>
  <c r="F850" i="18"/>
  <c r="F826" i="18"/>
  <c r="F794" i="18"/>
  <c r="F761" i="18"/>
  <c r="F697" i="18"/>
  <c r="F574" i="18"/>
  <c r="F281" i="18"/>
  <c r="F171" i="18"/>
  <c r="F648" i="18"/>
  <c r="F871" i="18"/>
  <c r="F849" i="18"/>
  <c r="F825" i="18"/>
  <c r="F793" i="18"/>
  <c r="F758" i="18"/>
  <c r="F694" i="18"/>
  <c r="F537" i="18"/>
  <c r="F245" i="18"/>
  <c r="F865" i="18"/>
  <c r="F742" i="18"/>
  <c r="F729" i="18"/>
  <c r="F866" i="18"/>
  <c r="F847" i="18"/>
  <c r="F818" i="18"/>
  <c r="F786" i="18"/>
  <c r="F745" i="18"/>
  <c r="F681" i="18"/>
  <c r="F501" i="18"/>
  <c r="F208" i="18"/>
  <c r="F880" i="18"/>
  <c r="F872" i="18"/>
  <c r="F864" i="18"/>
  <c r="F856" i="18"/>
  <c r="F848" i="18"/>
  <c r="F840" i="18"/>
  <c r="F832" i="18"/>
  <c r="F824" i="18"/>
  <c r="F816" i="18"/>
  <c r="F808" i="18"/>
  <c r="F800" i="18"/>
  <c r="F792" i="18"/>
  <c r="F784" i="18"/>
  <c r="F776" i="18"/>
  <c r="F768" i="18"/>
  <c r="F756" i="18"/>
  <c r="F740" i="18"/>
  <c r="F724" i="18"/>
  <c r="F708" i="18"/>
  <c r="F692" i="18"/>
  <c r="F675" i="18"/>
  <c r="F639" i="18"/>
  <c r="F602" i="18"/>
  <c r="F566" i="18"/>
  <c r="F529" i="18"/>
  <c r="F493" i="18"/>
  <c r="F456" i="18"/>
  <c r="F419" i="18"/>
  <c r="F383" i="18"/>
  <c r="F346" i="18"/>
  <c r="F310" i="18"/>
  <c r="F273" i="18"/>
  <c r="F237" i="18"/>
  <c r="F200" i="18"/>
  <c r="F163" i="18"/>
  <c r="F127" i="18"/>
  <c r="F90" i="18"/>
  <c r="F25" i="18"/>
  <c r="F831" i="18"/>
  <c r="F823" i="18"/>
  <c r="F815" i="18"/>
  <c r="F807" i="18"/>
  <c r="F799" i="18"/>
  <c r="F791" i="18"/>
  <c r="F783" i="18"/>
  <c r="F775" i="18"/>
  <c r="F767" i="18"/>
  <c r="F755" i="18"/>
  <c r="F739" i="18"/>
  <c r="F723" i="18"/>
  <c r="F707" i="18"/>
  <c r="F691" i="18"/>
  <c r="F674" i="18"/>
  <c r="F638" i="18"/>
  <c r="F601" i="18"/>
  <c r="F565" i="18"/>
  <c r="F528" i="18"/>
  <c r="F491" i="18"/>
  <c r="F455" i="18"/>
  <c r="F418" i="18"/>
  <c r="F382" i="18"/>
  <c r="F345" i="18"/>
  <c r="F309" i="18"/>
  <c r="F272" i="18"/>
  <c r="F235" i="18"/>
  <c r="F199" i="18"/>
  <c r="F162" i="18"/>
  <c r="F126" i="18"/>
  <c r="F89" i="18"/>
  <c r="F16" i="18"/>
  <c r="F878" i="18"/>
  <c r="F870" i="18"/>
  <c r="F862" i="18"/>
  <c r="F854" i="18"/>
  <c r="F846" i="18"/>
  <c r="F838" i="18"/>
  <c r="F830" i="18"/>
  <c r="F822" i="18"/>
  <c r="F814" i="18"/>
  <c r="F806" i="18"/>
  <c r="F798" i="18"/>
  <c r="F790" i="18"/>
  <c r="F782" i="18"/>
  <c r="F774" i="18"/>
  <c r="F766" i="18"/>
  <c r="F753" i="18"/>
  <c r="F737" i="18"/>
  <c r="F721" i="18"/>
  <c r="F705" i="18"/>
  <c r="F689" i="18"/>
  <c r="F666" i="18"/>
  <c r="F630" i="18"/>
  <c r="F593" i="18"/>
  <c r="F557" i="18"/>
  <c r="F520" i="18"/>
  <c r="F483" i="18"/>
  <c r="F447" i="18"/>
  <c r="F410" i="18"/>
  <c r="F374" i="18"/>
  <c r="F337" i="18"/>
  <c r="F301" i="18"/>
  <c r="F264" i="18"/>
  <c r="F227" i="18"/>
  <c r="F191" i="18"/>
  <c r="F154" i="18"/>
  <c r="F118" i="18"/>
  <c r="F80" i="18"/>
  <c r="F7" i="18"/>
  <c r="F877" i="18"/>
  <c r="F869" i="18"/>
  <c r="F861" i="18"/>
  <c r="F853" i="18"/>
  <c r="F845" i="18"/>
  <c r="F837" i="18"/>
  <c r="F829" i="18"/>
  <c r="F821" i="18"/>
  <c r="F813" i="18"/>
  <c r="F805" i="18"/>
  <c r="F797" i="18"/>
  <c r="F789" i="18"/>
  <c r="F781" i="18"/>
  <c r="F773" i="18"/>
  <c r="F765" i="18"/>
  <c r="F750" i="18"/>
  <c r="F734" i="18"/>
  <c r="F718" i="18"/>
  <c r="F702" i="18"/>
  <c r="F686" i="18"/>
  <c r="F665" i="18"/>
  <c r="F629" i="18"/>
  <c r="F592" i="18"/>
  <c r="F555" i="18"/>
  <c r="F519" i="18"/>
  <c r="F482" i="18"/>
  <c r="F446" i="18"/>
  <c r="F409" i="18"/>
  <c r="F373" i="18"/>
  <c r="F336" i="18"/>
  <c r="F299" i="18"/>
  <c r="F263" i="18"/>
  <c r="F226" i="18"/>
  <c r="F190" i="18"/>
  <c r="F153" i="18"/>
  <c r="F117" i="18"/>
  <c r="F4" i="18"/>
  <c r="F12" i="18"/>
  <c r="F20" i="18"/>
  <c r="F28" i="18"/>
  <c r="F36" i="18"/>
  <c r="F44" i="18"/>
  <c r="F52" i="18"/>
  <c r="F60" i="18"/>
  <c r="F68" i="18"/>
  <c r="F76" i="18"/>
  <c r="F84" i="18"/>
  <c r="F92" i="18"/>
  <c r="F100" i="18"/>
  <c r="F108" i="18"/>
  <c r="F116" i="18"/>
  <c r="F124" i="18"/>
  <c r="F132" i="18"/>
  <c r="F140" i="18"/>
  <c r="F148" i="18"/>
  <c r="F156" i="18"/>
  <c r="F164" i="18"/>
  <c r="F172" i="18"/>
  <c r="F180" i="18"/>
  <c r="F188" i="18"/>
  <c r="F196" i="18"/>
  <c r="F204" i="18"/>
  <c r="F212" i="18"/>
  <c r="F220" i="18"/>
  <c r="F228" i="18"/>
  <c r="F236" i="18"/>
  <c r="F244" i="18"/>
  <c r="F252" i="18"/>
  <c r="F260" i="18"/>
  <c r="F268" i="18"/>
  <c r="F276" i="18"/>
  <c r="F284" i="18"/>
  <c r="F292" i="18"/>
  <c r="F300" i="18"/>
  <c r="F308" i="18"/>
  <c r="F316" i="18"/>
  <c r="F324" i="18"/>
  <c r="F332" i="18"/>
  <c r="F340" i="18"/>
  <c r="F348" i="18"/>
  <c r="F356" i="18"/>
  <c r="F364" i="18"/>
  <c r="F372" i="18"/>
  <c r="F380" i="18"/>
  <c r="F388" i="18"/>
  <c r="F396" i="18"/>
  <c r="F404" i="18"/>
  <c r="F412" i="18"/>
  <c r="F420" i="18"/>
  <c r="F428" i="18"/>
  <c r="F436" i="18"/>
  <c r="F444" i="18"/>
  <c r="F452" i="18"/>
  <c r="F460" i="18"/>
  <c r="F468" i="18"/>
  <c r="F476" i="18"/>
  <c r="F484" i="18"/>
  <c r="F492" i="18"/>
  <c r="F500" i="18"/>
  <c r="F508" i="18"/>
  <c r="F516" i="18"/>
  <c r="F524" i="18"/>
  <c r="F532" i="18"/>
  <c r="F540" i="18"/>
  <c r="F548" i="18"/>
  <c r="F556" i="18"/>
  <c r="F564" i="18"/>
  <c r="F572" i="18"/>
  <c r="F580" i="18"/>
  <c r="F588" i="18"/>
  <c r="F596" i="18"/>
  <c r="F604" i="18"/>
  <c r="F612" i="18"/>
  <c r="F620" i="18"/>
  <c r="F628" i="18"/>
  <c r="F636" i="18"/>
  <c r="F644" i="18"/>
  <c r="F652" i="18"/>
  <c r="F660" i="18"/>
  <c r="F668" i="18"/>
  <c r="F676" i="18"/>
  <c r="F8" i="18"/>
  <c r="F17" i="18"/>
  <c r="F26" i="18"/>
  <c r="F35" i="18"/>
  <c r="F45" i="18"/>
  <c r="F54" i="18"/>
  <c r="F63" i="18"/>
  <c r="F72" i="18"/>
  <c r="F81" i="18"/>
  <c r="F9" i="18"/>
  <c r="F18" i="18"/>
  <c r="F27" i="18"/>
  <c r="F37" i="18"/>
  <c r="F46" i="18"/>
  <c r="F55" i="18"/>
  <c r="F64" i="18"/>
  <c r="F73" i="18"/>
  <c r="F82" i="18"/>
  <c r="F91" i="18"/>
  <c r="F101" i="18"/>
  <c r="F110" i="18"/>
  <c r="F119" i="18"/>
  <c r="F128" i="18"/>
  <c r="F137" i="18"/>
  <c r="F146" i="18"/>
  <c r="F155" i="18"/>
  <c r="F165" i="18"/>
  <c r="F174" i="18"/>
  <c r="F183" i="18"/>
  <c r="F192" i="18"/>
  <c r="F201" i="18"/>
  <c r="F210" i="18"/>
  <c r="F219" i="18"/>
  <c r="F229" i="18"/>
  <c r="F238" i="18"/>
  <c r="F247" i="18"/>
  <c r="F256" i="18"/>
  <c r="F265" i="18"/>
  <c r="F274" i="18"/>
  <c r="F283" i="18"/>
  <c r="F293" i="18"/>
  <c r="F302" i="18"/>
  <c r="F311" i="18"/>
  <c r="F320" i="18"/>
  <c r="F329" i="18"/>
  <c r="F338" i="18"/>
  <c r="F347" i="18"/>
  <c r="F357" i="18"/>
  <c r="F366" i="18"/>
  <c r="F375" i="18"/>
  <c r="F384" i="18"/>
  <c r="F393" i="18"/>
  <c r="F402" i="18"/>
  <c r="F411" i="18"/>
  <c r="F421" i="18"/>
  <c r="F430" i="18"/>
  <c r="F439" i="18"/>
  <c r="F448" i="18"/>
  <c r="F457" i="18"/>
  <c r="F466" i="18"/>
  <c r="F475" i="18"/>
  <c r="F485" i="18"/>
  <c r="F494" i="18"/>
  <c r="F503" i="18"/>
  <c r="F512" i="18"/>
  <c r="F521" i="18"/>
  <c r="F530" i="18"/>
  <c r="F539" i="18"/>
  <c r="F549" i="18"/>
  <c r="F558" i="18"/>
  <c r="F567" i="18"/>
  <c r="F576" i="18"/>
  <c r="F585" i="18"/>
  <c r="F594" i="18"/>
  <c r="F603" i="18"/>
  <c r="F613" i="18"/>
  <c r="F622" i="18"/>
  <c r="F631" i="18"/>
  <c r="F640" i="18"/>
  <c r="F649" i="18"/>
  <c r="F658" i="18"/>
  <c r="F667" i="18"/>
  <c r="F677" i="18"/>
  <c r="F685" i="18"/>
  <c r="F693" i="18"/>
  <c r="F701" i="18"/>
  <c r="F709" i="18"/>
  <c r="F717" i="18"/>
  <c r="F725" i="18"/>
  <c r="F733" i="18"/>
  <c r="F741" i="18"/>
  <c r="F749" i="18"/>
  <c r="F757" i="18"/>
  <c r="F10" i="18"/>
  <c r="F19" i="18"/>
  <c r="F29" i="18"/>
  <c r="F38" i="18"/>
  <c r="F47" i="18"/>
  <c r="F56" i="18"/>
  <c r="F65" i="18"/>
  <c r="F74" i="18"/>
  <c r="F83" i="18"/>
  <c r="F93" i="18"/>
  <c r="F102" i="18"/>
  <c r="F111" i="18"/>
  <c r="F120" i="18"/>
  <c r="F129" i="18"/>
  <c r="F138" i="18"/>
  <c r="F147" i="18"/>
  <c r="F157" i="18"/>
  <c r="F166" i="18"/>
  <c r="F175" i="18"/>
  <c r="F184" i="18"/>
  <c r="F193" i="18"/>
  <c r="F202" i="18"/>
  <c r="F211" i="18"/>
  <c r="F221" i="18"/>
  <c r="F230" i="18"/>
  <c r="F239" i="18"/>
  <c r="F248" i="18"/>
  <c r="F257" i="18"/>
  <c r="F266" i="18"/>
  <c r="F275" i="18"/>
  <c r="F285" i="18"/>
  <c r="F294" i="18"/>
  <c r="F303" i="18"/>
  <c r="F312" i="18"/>
  <c r="F321" i="18"/>
  <c r="F330" i="18"/>
  <c r="F339" i="18"/>
  <c r="F349" i="18"/>
  <c r="F358" i="18"/>
  <c r="F367" i="18"/>
  <c r="F376" i="18"/>
  <c r="F385" i="18"/>
  <c r="F394" i="18"/>
  <c r="F403" i="18"/>
  <c r="F413" i="18"/>
  <c r="F422" i="18"/>
  <c r="F431" i="18"/>
  <c r="F440" i="18"/>
  <c r="F449" i="18"/>
  <c r="F458" i="18"/>
  <c r="F467" i="18"/>
  <c r="F477" i="18"/>
  <c r="F486" i="18"/>
  <c r="F495" i="18"/>
  <c r="F504" i="18"/>
  <c r="F513" i="18"/>
  <c r="F522" i="18"/>
  <c r="F531" i="18"/>
  <c r="F541" i="18"/>
  <c r="F550" i="18"/>
  <c r="F559" i="18"/>
  <c r="F568" i="18"/>
  <c r="F577" i="18"/>
  <c r="F586" i="18"/>
  <c r="F595" i="18"/>
  <c r="F605" i="18"/>
  <c r="F614" i="18"/>
  <c r="F623" i="18"/>
  <c r="F632" i="18"/>
  <c r="F641" i="18"/>
  <c r="F650" i="18"/>
  <c r="F659" i="18"/>
  <c r="F669" i="18"/>
  <c r="F11" i="18"/>
  <c r="F21" i="18"/>
  <c r="F30" i="18"/>
  <c r="F39" i="18"/>
  <c r="F48" i="18"/>
  <c r="F57" i="18"/>
  <c r="F66" i="18"/>
  <c r="F75" i="18"/>
  <c r="F85" i="18"/>
  <c r="F94" i="18"/>
  <c r="F103" i="18"/>
  <c r="F112" i="18"/>
  <c r="F121" i="18"/>
  <c r="F130" i="18"/>
  <c r="F139" i="18"/>
  <c r="F149" i="18"/>
  <c r="F158" i="18"/>
  <c r="F167" i="18"/>
  <c r="F176" i="18"/>
  <c r="F185" i="18"/>
  <c r="F194" i="18"/>
  <c r="F203" i="18"/>
  <c r="F213" i="18"/>
  <c r="F222" i="18"/>
  <c r="F231" i="18"/>
  <c r="F240" i="18"/>
  <c r="F249" i="18"/>
  <c r="F258" i="18"/>
  <c r="F267" i="18"/>
  <c r="F277" i="18"/>
  <c r="F286" i="18"/>
  <c r="F295" i="18"/>
  <c r="F304" i="18"/>
  <c r="F313" i="18"/>
  <c r="F322" i="18"/>
  <c r="F331" i="18"/>
  <c r="F341" i="18"/>
  <c r="F350" i="18"/>
  <c r="F359" i="18"/>
  <c r="F368" i="18"/>
  <c r="F377" i="18"/>
  <c r="F386" i="18"/>
  <c r="F395" i="18"/>
  <c r="F405" i="18"/>
  <c r="F414" i="18"/>
  <c r="F423" i="18"/>
  <c r="F432" i="18"/>
  <c r="F441" i="18"/>
  <c r="F450" i="18"/>
  <c r="F459" i="18"/>
  <c r="F469" i="18"/>
  <c r="F478" i="18"/>
  <c r="F487" i="18"/>
  <c r="F496" i="18"/>
  <c r="F505" i="18"/>
  <c r="F514" i="18"/>
  <c r="F523" i="18"/>
  <c r="F533" i="18"/>
  <c r="F542" i="18"/>
  <c r="F551" i="18"/>
  <c r="F560" i="18"/>
  <c r="F569" i="18"/>
  <c r="F578" i="18"/>
  <c r="F587" i="18"/>
  <c r="F597" i="18"/>
  <c r="F606" i="18"/>
  <c r="F615" i="18"/>
  <c r="F624" i="18"/>
  <c r="F633" i="18"/>
  <c r="F642" i="18"/>
  <c r="F651" i="18"/>
  <c r="F661" i="18"/>
  <c r="F670" i="18"/>
  <c r="F679" i="18"/>
  <c r="F687" i="18"/>
  <c r="F695" i="18"/>
  <c r="F703" i="18"/>
  <c r="F711" i="18"/>
  <c r="F719" i="18"/>
  <c r="F727" i="18"/>
  <c r="F735" i="18"/>
  <c r="F743" i="18"/>
  <c r="F751" i="18"/>
  <c r="F759" i="18"/>
  <c r="F3" i="18"/>
  <c r="F13" i="18"/>
  <c r="F22" i="18"/>
  <c r="F31" i="18"/>
  <c r="F40" i="18"/>
  <c r="F49" i="18"/>
  <c r="F58" i="18"/>
  <c r="F67" i="18"/>
  <c r="F77" i="18"/>
  <c r="F86" i="18"/>
  <c r="F95" i="18"/>
  <c r="F104" i="18"/>
  <c r="F113" i="18"/>
  <c r="F122" i="18"/>
  <c r="F131" i="18"/>
  <c r="F141" i="18"/>
  <c r="F150" i="18"/>
  <c r="F159" i="18"/>
  <c r="F168" i="18"/>
  <c r="F177" i="18"/>
  <c r="F186" i="18"/>
  <c r="F195" i="18"/>
  <c r="F205" i="18"/>
  <c r="F214" i="18"/>
  <c r="F223" i="18"/>
  <c r="F232" i="18"/>
  <c r="F241" i="18"/>
  <c r="F250" i="18"/>
  <c r="F259" i="18"/>
  <c r="F269" i="18"/>
  <c r="F278" i="18"/>
  <c r="F287" i="18"/>
  <c r="F296" i="18"/>
  <c r="F305" i="18"/>
  <c r="F314" i="18"/>
  <c r="F323" i="18"/>
  <c r="F333" i="18"/>
  <c r="F342" i="18"/>
  <c r="F351" i="18"/>
  <c r="F360" i="18"/>
  <c r="F369" i="18"/>
  <c r="F378" i="18"/>
  <c r="F387" i="18"/>
  <c r="F397" i="18"/>
  <c r="F406" i="18"/>
  <c r="F415" i="18"/>
  <c r="F424" i="18"/>
  <c r="F433" i="18"/>
  <c r="F442" i="18"/>
  <c r="F451" i="18"/>
  <c r="F461" i="18"/>
  <c r="F470" i="18"/>
  <c r="F479" i="18"/>
  <c r="F488" i="18"/>
  <c r="F497" i="18"/>
  <c r="F506" i="18"/>
  <c r="F515" i="18"/>
  <c r="F525" i="18"/>
  <c r="F534" i="18"/>
  <c r="F543" i="18"/>
  <c r="F552" i="18"/>
  <c r="F561" i="18"/>
  <c r="F570" i="18"/>
  <c r="F579" i="18"/>
  <c r="F589" i="18"/>
  <c r="F598" i="18"/>
  <c r="F607" i="18"/>
  <c r="F616" i="18"/>
  <c r="F625" i="18"/>
  <c r="F634" i="18"/>
  <c r="F643" i="18"/>
  <c r="F653" i="18"/>
  <c r="F662" i="18"/>
  <c r="F671" i="18"/>
  <c r="F680" i="18"/>
  <c r="F688" i="18"/>
  <c r="F696" i="18"/>
  <c r="F704" i="18"/>
  <c r="F712" i="18"/>
  <c r="F720" i="18"/>
  <c r="F728" i="18"/>
  <c r="F736" i="18"/>
  <c r="F744" i="18"/>
  <c r="F752" i="18"/>
  <c r="F760" i="18"/>
  <c r="F5" i="18"/>
  <c r="F14" i="18"/>
  <c r="F23" i="18"/>
  <c r="F32" i="18"/>
  <c r="F41" i="18"/>
  <c r="F50" i="18"/>
  <c r="F59" i="18"/>
  <c r="F69" i="18"/>
  <c r="F78" i="18"/>
  <c r="F87" i="18"/>
  <c r="F96" i="18"/>
  <c r="F105" i="18"/>
  <c r="F114" i="18"/>
  <c r="F123" i="18"/>
  <c r="F133" i="18"/>
  <c r="F142" i="18"/>
  <c r="F151" i="18"/>
  <c r="F160" i="18"/>
  <c r="F169" i="18"/>
  <c r="F178" i="18"/>
  <c r="F187" i="18"/>
  <c r="F197" i="18"/>
  <c r="F206" i="18"/>
  <c r="F215" i="18"/>
  <c r="F224" i="18"/>
  <c r="F233" i="18"/>
  <c r="F242" i="18"/>
  <c r="F251" i="18"/>
  <c r="F261" i="18"/>
  <c r="F270" i="18"/>
  <c r="F279" i="18"/>
  <c r="F288" i="18"/>
  <c r="F297" i="18"/>
  <c r="F306" i="18"/>
  <c r="F315" i="18"/>
  <c r="F325" i="18"/>
  <c r="F334" i="18"/>
  <c r="F343" i="18"/>
  <c r="F352" i="18"/>
  <c r="F361" i="18"/>
  <c r="F370" i="18"/>
  <c r="F379" i="18"/>
  <c r="F389" i="18"/>
  <c r="F398" i="18"/>
  <c r="F407" i="18"/>
  <c r="F416" i="18"/>
  <c r="F425" i="18"/>
  <c r="F434" i="18"/>
  <c r="F443" i="18"/>
  <c r="F453" i="18"/>
  <c r="F462" i="18"/>
  <c r="F471" i="18"/>
  <c r="F480" i="18"/>
  <c r="F489" i="18"/>
  <c r="F498" i="18"/>
  <c r="F507" i="18"/>
  <c r="F517" i="18"/>
  <c r="F526" i="18"/>
  <c r="F535" i="18"/>
  <c r="F544" i="18"/>
  <c r="F553" i="18"/>
  <c r="F562" i="18"/>
  <c r="F571" i="18"/>
  <c r="F581" i="18"/>
  <c r="F590" i="18"/>
  <c r="F599" i="18"/>
  <c r="F608" i="18"/>
  <c r="F617" i="18"/>
  <c r="F626" i="18"/>
  <c r="F635" i="18"/>
  <c r="F645" i="18"/>
  <c r="F654" i="18"/>
  <c r="F663" i="18"/>
  <c r="F672" i="18"/>
  <c r="F6" i="18"/>
  <c r="F15" i="18"/>
  <c r="F24" i="18"/>
  <c r="F33" i="18"/>
  <c r="F42" i="18"/>
  <c r="F51" i="18"/>
  <c r="F61" i="18"/>
  <c r="F70" i="18"/>
  <c r="F79" i="18"/>
  <c r="F88" i="18"/>
  <c r="F97" i="18"/>
  <c r="F106" i="18"/>
  <c r="F115" i="18"/>
  <c r="F125" i="18"/>
  <c r="F134" i="18"/>
  <c r="F143" i="18"/>
  <c r="F152" i="18"/>
  <c r="F161" i="18"/>
  <c r="F170" i="18"/>
  <c r="F179" i="18"/>
  <c r="F189" i="18"/>
  <c r="F198" i="18"/>
  <c r="F207" i="18"/>
  <c r="F216" i="18"/>
  <c r="F225" i="18"/>
  <c r="F234" i="18"/>
  <c r="F243" i="18"/>
  <c r="F253" i="18"/>
  <c r="F262" i="18"/>
  <c r="F271" i="18"/>
  <c r="F280" i="18"/>
  <c r="F289" i="18"/>
  <c r="F298" i="18"/>
  <c r="F307" i="18"/>
  <c r="F317" i="18"/>
  <c r="F326" i="18"/>
  <c r="F335" i="18"/>
  <c r="F344" i="18"/>
  <c r="F353" i="18"/>
  <c r="F362" i="18"/>
  <c r="F371" i="18"/>
  <c r="F381" i="18"/>
  <c r="F390" i="18"/>
  <c r="F399" i="18"/>
  <c r="F408" i="18"/>
  <c r="F417" i="18"/>
  <c r="F426" i="18"/>
  <c r="F435" i="18"/>
  <c r="F445" i="18"/>
  <c r="F454" i="18"/>
  <c r="F463" i="18"/>
  <c r="F472" i="18"/>
  <c r="F481" i="18"/>
  <c r="F490" i="18"/>
  <c r="F499" i="18"/>
  <c r="F509" i="18"/>
  <c r="F518" i="18"/>
  <c r="F527" i="18"/>
  <c r="F536" i="18"/>
  <c r="F545" i="18"/>
  <c r="F554" i="18"/>
  <c r="F563" i="18"/>
  <c r="F573" i="18"/>
  <c r="F582" i="18"/>
  <c r="F591" i="18"/>
  <c r="F600" i="18"/>
  <c r="F609" i="18"/>
  <c r="F618" i="18"/>
  <c r="F627" i="18"/>
  <c r="F637" i="18"/>
  <c r="F646" i="18"/>
  <c r="F655" i="18"/>
  <c r="F664" i="18"/>
  <c r="F673" i="18"/>
  <c r="F682" i="18"/>
  <c r="F690" i="18"/>
  <c r="F698" i="18"/>
  <c r="F706" i="18"/>
  <c r="F714" i="18"/>
  <c r="F722" i="18"/>
  <c r="F730" i="18"/>
  <c r="F738" i="18"/>
  <c r="F746" i="18"/>
  <c r="F754" i="18"/>
  <c r="F762" i="18"/>
  <c r="F876" i="18"/>
  <c r="F868" i="18"/>
  <c r="F860" i="18"/>
  <c r="F852" i="18"/>
  <c r="F844" i="18"/>
  <c r="F836" i="18"/>
  <c r="F828" i="18"/>
  <c r="F820" i="18"/>
  <c r="F812" i="18"/>
  <c r="F804" i="18"/>
  <c r="F796" i="18"/>
  <c r="F788" i="18"/>
  <c r="F780" i="18"/>
  <c r="F772" i="18"/>
  <c r="F764" i="18"/>
  <c r="F748" i="18"/>
  <c r="F732" i="18"/>
  <c r="F716" i="18"/>
  <c r="F700" i="18"/>
  <c r="F684" i="18"/>
  <c r="F657" i="18"/>
  <c r="F621" i="18"/>
  <c r="F584" i="18"/>
  <c r="F547" i="18"/>
  <c r="F511" i="18"/>
  <c r="F474" i="18"/>
  <c r="F438" i="18"/>
  <c r="F401" i="18"/>
  <c r="F365" i="18"/>
  <c r="F328" i="18"/>
  <c r="F291" i="18"/>
  <c r="F255" i="18"/>
  <c r="F218" i="18"/>
  <c r="F182" i="18"/>
  <c r="F145" i="18"/>
  <c r="F109" i="18"/>
  <c r="F62" i="18"/>
  <c r="F875" i="18"/>
  <c r="F867" i="18"/>
  <c r="F859" i="18"/>
  <c r="F851" i="18"/>
  <c r="F843" i="18"/>
  <c r="F835" i="18"/>
  <c r="F827" i="18"/>
  <c r="F819" i="18"/>
  <c r="F811" i="18"/>
  <c r="F803" i="18"/>
  <c r="F795" i="18"/>
  <c r="F787" i="18"/>
  <c r="F779" i="18"/>
  <c r="F771" i="18"/>
  <c r="F763" i="18"/>
  <c r="F747" i="18"/>
  <c r="F731" i="18"/>
  <c r="F715" i="18"/>
  <c r="F699" i="18"/>
  <c r="F683" i="18"/>
  <c r="F656" i="18"/>
  <c r="F619" i="18"/>
  <c r="F583" i="18"/>
  <c r="F546" i="18"/>
  <c r="F510" i="18"/>
  <c r="F473" i="18"/>
  <c r="F437" i="18"/>
  <c r="F400" i="18"/>
  <c r="F363" i="18"/>
  <c r="F327" i="18"/>
  <c r="F290" i="18"/>
  <c r="F254" i="18"/>
  <c r="F217" i="18"/>
  <c r="F181" i="18"/>
  <c r="F144" i="18"/>
  <c r="F107" i="18"/>
  <c r="F53" i="18"/>
  <c r="F575" i="18"/>
  <c r="F538" i="18"/>
  <c r="F502" i="18"/>
  <c r="F465" i="18"/>
  <c r="F429" i="18"/>
  <c r="F392" i="18"/>
  <c r="F355" i="18"/>
  <c r="F319" i="18"/>
  <c r="F282" i="18"/>
  <c r="F246" i="18"/>
  <c r="F209" i="18"/>
  <c r="F173" i="18"/>
  <c r="F136" i="18"/>
  <c r="F99" i="18"/>
  <c r="F43" i="18"/>
  <c r="AH33" i="1" l="1"/>
  <c r="AK29" i="1" l="1"/>
  <c r="AL29" i="1" s="1"/>
  <c r="AK30" i="1"/>
  <c r="AL30" i="1" s="1"/>
  <c r="AK26" i="1"/>
  <c r="AL26" i="1" s="1"/>
  <c r="AK31" i="1"/>
  <c r="AL31" i="1" s="1"/>
  <c r="AK27" i="1"/>
  <c r="AL27" i="1" s="1"/>
  <c r="AK28" i="1"/>
  <c r="AL28" i="1" s="1"/>
  <c r="AK25" i="1"/>
  <c r="AL25" i="1" s="1"/>
  <c r="AL33" i="1" s="1" a="1"/>
  <c r="AL33" i="1" s="1"/>
  <c r="AP10" i="1" s="1"/>
  <c r="W13" i="1"/>
  <c r="H16" i="26"/>
  <c r="X44" i="1" l="1"/>
  <c r="D13" i="26" l="1"/>
  <c r="AU18" i="1"/>
  <c r="H7" i="26" s="1"/>
  <c r="AJ3" i="30" s="1"/>
  <c r="AU17" i="1"/>
  <c r="H6" i="26" s="1"/>
  <c r="AI3" i="30" s="1"/>
  <c r="N310" i="28" l="1"/>
  <c r="O310" i="28" s="1"/>
  <c r="O42" i="28"/>
  <c r="D15" i="26"/>
  <c r="H19" i="26" l="1"/>
  <c r="Z3" i="30" s="1"/>
  <c r="M30" i="28" l="1"/>
  <c r="Q165" i="28"/>
  <c r="P1" i="26"/>
  <c r="AU21" i="1" l="1"/>
  <c r="AA52" i="1" l="1"/>
  <c r="AA54" i="1" s="1" a="1"/>
  <c r="AA54" i="1" s="1"/>
  <c r="X53" i="1"/>
  <c r="D14" i="35" s="1"/>
  <c r="X52" i="1"/>
  <c r="K9" i="35" l="1"/>
  <c r="AA53" i="1" a="1"/>
  <c r="AA53" i="1" s="1"/>
  <c r="K8" i="35" s="1"/>
  <c r="R3" i="30"/>
  <c r="D11" i="26"/>
  <c r="T24" i="1"/>
  <c r="E5" i="10" s="1"/>
  <c r="T25" i="1"/>
  <c r="D5" i="10" s="1"/>
  <c r="I15" i="10" s="1"/>
  <c r="AA58" i="1"/>
  <c r="K6" i="35" s="1"/>
  <c r="D4" i="10" l="1"/>
  <c r="D7" i="10"/>
  <c r="G7" i="10" s="1"/>
  <c r="E1" i="10"/>
  <c r="D5" i="26"/>
  <c r="T26" i="1"/>
  <c r="D6" i="10" l="1"/>
  <c r="D4" i="26"/>
  <c r="U3" i="30" s="1"/>
  <c r="D13" i="35"/>
  <c r="D6" i="26"/>
  <c r="D18" i="35" s="1"/>
  <c r="O33" i="28"/>
  <c r="N3" i="30"/>
  <c r="R18" i="28"/>
  <c r="X15" i="28" s="1"/>
  <c r="D7" i="26"/>
  <c r="I13" i="10"/>
  <c r="I9" i="10"/>
  <c r="I14" i="10"/>
  <c r="I11" i="10"/>
  <c r="I10" i="10"/>
  <c r="I12" i="10"/>
  <c r="I8" i="10"/>
  <c r="I7" i="10"/>
  <c r="N24" i="28" l="1"/>
  <c r="D6" i="35"/>
  <c r="Q153" i="28"/>
  <c r="Q148" i="28" s="1"/>
  <c r="Y25" i="28"/>
  <c r="X23" i="28" s="1"/>
  <c r="N33" i="28" s="1"/>
  <c r="AC3" i="30"/>
  <c r="P150" i="28" l="1"/>
  <c r="P149" i="28"/>
  <c r="N18" i="28"/>
  <c r="X20" i="28" s="1"/>
  <c r="S3" i="30"/>
  <c r="D12" i="26"/>
  <c r="N21" i="28" l="1"/>
  <c r="I16" i="26"/>
  <c r="N30" i="28" l="1"/>
  <c r="P2" i="26"/>
  <c r="AA3" i="30"/>
  <c r="H21" i="26"/>
  <c r="W14" i="1"/>
  <c r="W15" i="1" s="1"/>
  <c r="AQ100" i="1" l="1"/>
  <c r="AQ92" i="1"/>
  <c r="AQ84" i="1"/>
  <c r="AQ76" i="1"/>
  <c r="AQ68" i="1"/>
  <c r="AQ67" i="1"/>
  <c r="AQ62" i="1"/>
  <c r="AQ54" i="1"/>
  <c r="AQ46" i="1"/>
  <c r="AQ36" i="1"/>
  <c r="AQ28" i="1"/>
  <c r="AQ20" i="1"/>
  <c r="W3" i="30"/>
  <c r="AQ38" i="1"/>
  <c r="AQ103" i="1"/>
  <c r="AQ79" i="1"/>
  <c r="AQ41" i="1"/>
  <c r="AQ23" i="1"/>
  <c r="AQ97" i="1"/>
  <c r="AQ89" i="1"/>
  <c r="AQ81" i="1"/>
  <c r="AQ73" i="1"/>
  <c r="AQ65" i="1"/>
  <c r="AQ59" i="1"/>
  <c r="AQ51" i="1"/>
  <c r="AQ43" i="1"/>
  <c r="AQ33" i="1"/>
  <c r="AQ25" i="1"/>
  <c r="AQ17" i="1"/>
  <c r="AQ22" i="1"/>
  <c r="AQ39" i="1"/>
  <c r="AQ31" i="1"/>
  <c r="AQ102" i="1"/>
  <c r="AQ94" i="1"/>
  <c r="AQ86" i="1"/>
  <c r="AQ78" i="1"/>
  <c r="AQ70" i="1"/>
  <c r="AQ64" i="1"/>
  <c r="AQ56" i="1"/>
  <c r="AQ48" i="1"/>
  <c r="AQ40" i="1"/>
  <c r="AQ30" i="1"/>
  <c r="AQ29" i="1"/>
  <c r="AQ104" i="1"/>
  <c r="AQ99" i="1"/>
  <c r="AQ91" i="1"/>
  <c r="AQ83" i="1"/>
  <c r="AQ75" i="1"/>
  <c r="AQ66" i="1"/>
  <c r="AQ63" i="1"/>
  <c r="AQ61" i="1"/>
  <c r="AQ53" i="1"/>
  <c r="AQ45" i="1"/>
  <c r="AQ35" i="1"/>
  <c r="AQ27" i="1"/>
  <c r="AQ19" i="1"/>
  <c r="AQ16" i="1"/>
  <c r="AQ55" i="1"/>
  <c r="AQ21" i="1"/>
  <c r="AQ87" i="1"/>
  <c r="AQ96" i="1"/>
  <c r="AQ88" i="1"/>
  <c r="AQ80" i="1"/>
  <c r="AQ72" i="1"/>
  <c r="AQ58" i="1"/>
  <c r="AQ50" i="1"/>
  <c r="AQ42" i="1"/>
  <c r="AQ32" i="1"/>
  <c r="AQ24" i="1"/>
  <c r="AQ47" i="1"/>
  <c r="AQ37" i="1"/>
  <c r="AQ95" i="1"/>
  <c r="AQ57" i="1"/>
  <c r="AQ49" i="1"/>
  <c r="AQ15" i="1"/>
  <c r="AQ101" i="1"/>
  <c r="AQ93" i="1"/>
  <c r="AQ85" i="1"/>
  <c r="AQ77" i="1"/>
  <c r="AQ69" i="1"/>
  <c r="AQ98" i="1"/>
  <c r="AQ90" i="1"/>
  <c r="AQ82" i="1"/>
  <c r="AQ74" i="1"/>
  <c r="AQ60" i="1"/>
  <c r="AQ52" i="1"/>
  <c r="AQ44" i="1"/>
  <c r="AQ34" i="1"/>
  <c r="AQ26" i="1"/>
  <c r="AQ18" i="1"/>
  <c r="AQ71" i="1"/>
  <c r="H22" i="26"/>
  <c r="D25" i="26"/>
  <c r="T153" i="28" s="1"/>
  <c r="O24" i="28" s="1"/>
  <c r="S165" i="28"/>
  <c r="U165" i="28" s="1"/>
  <c r="S169" i="28" s="1"/>
  <c r="D16" i="10"/>
  <c r="G16" i="10" s="1"/>
  <c r="G6" i="10"/>
  <c r="G17" i="10" s="1"/>
  <c r="G30" i="10" l="1"/>
  <c r="H30" i="10" s="1"/>
  <c r="I6" i="10"/>
  <c r="G31" i="10"/>
  <c r="H31" i="10" s="1"/>
  <c r="I16" i="10"/>
  <c r="G25" i="10"/>
  <c r="G18" i="10"/>
  <c r="I17" i="10"/>
  <c r="I18" i="10" l="1"/>
  <c r="I20" i="10" s="1"/>
  <c r="G20" i="10"/>
  <c r="H18" i="10" l="1"/>
  <c r="G26" i="10"/>
  <c r="H25" i="10"/>
  <c r="G29" i="10"/>
  <c r="H29" i="10" s="1"/>
  <c r="AP11" i="1"/>
  <c r="X3" i="30"/>
  <c r="D66" i="10"/>
  <c r="D71" i="10" s="1"/>
  <c r="AQ3" i="30" s="1"/>
  <c r="D58" i="10"/>
  <c r="D63" i="10" s="1"/>
  <c r="AP3" i="30" s="1"/>
  <c r="D34" i="10"/>
  <c r="D39" i="10" s="1"/>
  <c r="H8" i="10"/>
  <c r="D42" i="10"/>
  <c r="D47" i="10" s="1"/>
  <c r="AN3" i="30" s="1"/>
  <c r="H13" i="10"/>
  <c r="D26" i="10"/>
  <c r="D31" i="10" s="1"/>
  <c r="AM3" i="30" s="1"/>
  <c r="H7" i="10"/>
  <c r="H11" i="10"/>
  <c r="H10" i="10"/>
  <c r="D50" i="10"/>
  <c r="D55" i="10" s="1"/>
  <c r="AO3" i="30" s="1"/>
  <c r="H12" i="10"/>
  <c r="H14" i="10"/>
  <c r="H9" i="10"/>
  <c r="H15" i="10"/>
  <c r="G21" i="10"/>
  <c r="H16" i="10"/>
  <c r="H6" i="10"/>
  <c r="H17" i="10"/>
  <c r="D32" i="26" l="1"/>
  <c r="H26" i="10"/>
  <c r="G27" i="10"/>
  <c r="H27" i="10" s="1"/>
  <c r="D31" i="26"/>
  <c r="T155" i="28" s="1"/>
  <c r="N27" i="28" s="1"/>
  <c r="AL3" i="30"/>
  <c r="AU24" i="1"/>
  <c r="AU22" i="1"/>
  <c r="AU23" i="1"/>
  <c r="AP14" i="1"/>
  <c r="AQ14" i="1" l="1"/>
  <c r="AR14" i="1" s="1"/>
  <c r="AP15" i="1" l="1"/>
  <c r="AR15" i="1"/>
  <c r="AR16" i="1" l="1"/>
  <c r="AP16" i="1"/>
  <c r="AR17" i="1" l="1"/>
  <c r="AP17" i="1"/>
  <c r="AP18" i="1" l="1"/>
  <c r="AR18" i="1"/>
  <c r="AR19" i="1" l="1"/>
  <c r="AP19" i="1"/>
  <c r="AR20" i="1" l="1"/>
  <c r="AP20" i="1"/>
  <c r="AR21" i="1" l="1"/>
  <c r="AP21" i="1"/>
  <c r="AP22" i="1" l="1"/>
  <c r="AR22" i="1"/>
  <c r="AR23" i="1" l="1"/>
  <c r="AP23" i="1"/>
  <c r="AR24" i="1" l="1"/>
  <c r="AP24" i="1"/>
  <c r="AR25" i="1" l="1"/>
  <c r="AP25" i="1"/>
  <c r="AP26" i="1" l="1"/>
  <c r="AR26" i="1"/>
  <c r="AR27" i="1" l="1"/>
  <c r="AP27" i="1"/>
  <c r="AR28" i="1" l="1"/>
  <c r="AP28" i="1"/>
  <c r="AR29" i="1" l="1"/>
  <c r="AP29" i="1"/>
  <c r="AP30" i="1" l="1"/>
  <c r="AR30" i="1"/>
  <c r="AR31" i="1" l="1"/>
  <c r="AP31" i="1"/>
  <c r="AR32" i="1" l="1"/>
  <c r="AP32" i="1"/>
  <c r="AR33" i="1" l="1"/>
  <c r="AP33" i="1"/>
  <c r="AP34" i="1" l="1"/>
  <c r="AR34" i="1"/>
  <c r="AR35" i="1" l="1"/>
  <c r="AP35" i="1"/>
  <c r="AR36" i="1" l="1"/>
  <c r="AP36" i="1"/>
  <c r="AR37" i="1" l="1"/>
  <c r="AP37" i="1"/>
  <c r="AP38" i="1" l="1"/>
  <c r="AR38" i="1"/>
  <c r="AR39" i="1" l="1"/>
  <c r="AP39" i="1"/>
  <c r="AU10" i="1" s="1"/>
  <c r="D28" i="26" l="1"/>
  <c r="D27" i="26"/>
  <c r="T160" i="28" s="1"/>
  <c r="AR40" i="1"/>
  <c r="D26" i="26"/>
  <c r="AP40" i="1"/>
  <c r="T163" i="28" l="1"/>
  <c r="O30" i="28"/>
  <c r="AR41" i="1"/>
  <c r="AP41" i="1"/>
  <c r="AP42" i="1" l="1"/>
  <c r="AR42" i="1"/>
  <c r="AP43" i="1" l="1"/>
  <c r="AR43" i="1"/>
  <c r="AR44" i="1" l="1"/>
  <c r="AP44" i="1"/>
  <c r="AR45" i="1" l="1"/>
  <c r="AP45" i="1"/>
  <c r="AP46" i="1" l="1"/>
  <c r="AR46" i="1"/>
  <c r="AP47" i="1" l="1"/>
  <c r="AR47" i="1"/>
  <c r="AR48" i="1" l="1"/>
  <c r="AP48" i="1"/>
  <c r="AR49" i="1" l="1"/>
  <c r="AP49" i="1"/>
  <c r="AP50" i="1" l="1"/>
  <c r="AR50" i="1"/>
  <c r="AP51" i="1" l="1"/>
  <c r="AR51" i="1"/>
  <c r="AR52" i="1" l="1"/>
  <c r="AP52" i="1"/>
  <c r="AR53" i="1" l="1"/>
  <c r="AP53" i="1"/>
  <c r="AP54" i="1" l="1"/>
  <c r="AR54" i="1"/>
  <c r="AP55" i="1" l="1"/>
  <c r="AR55" i="1"/>
  <c r="AR56" i="1" l="1"/>
  <c r="AP56" i="1"/>
  <c r="AR57" i="1" l="1"/>
  <c r="AP57" i="1"/>
  <c r="AP58" i="1" l="1"/>
  <c r="AR58" i="1"/>
  <c r="AP59" i="1" l="1"/>
  <c r="AR59" i="1"/>
  <c r="AR60" i="1" l="1"/>
  <c r="AP60" i="1"/>
  <c r="AP61" i="1" l="1"/>
  <c r="AR61" i="1"/>
  <c r="AP62" i="1" l="1"/>
  <c r="AR62" i="1"/>
  <c r="AP63" i="1" l="1"/>
  <c r="AR63" i="1"/>
  <c r="AR64" i="1" l="1"/>
  <c r="AP64" i="1"/>
  <c r="AR65" i="1" l="1"/>
  <c r="AP65" i="1"/>
  <c r="AP66" i="1" l="1"/>
  <c r="AR66" i="1"/>
  <c r="AP67" i="1" l="1"/>
  <c r="AR67" i="1"/>
  <c r="AR68" i="1" l="1"/>
  <c r="AP68" i="1"/>
  <c r="AR69" i="1" l="1"/>
  <c r="AP69" i="1"/>
  <c r="AP70" i="1" l="1"/>
  <c r="AR70" i="1"/>
  <c r="AP71" i="1" l="1"/>
  <c r="AR71" i="1"/>
  <c r="AR72" i="1" l="1"/>
  <c r="AP72" i="1"/>
  <c r="AR73" i="1" l="1"/>
  <c r="AP73" i="1"/>
  <c r="AP74" i="1" l="1"/>
  <c r="AR74" i="1"/>
  <c r="AP75" i="1" l="1"/>
  <c r="AR75" i="1"/>
  <c r="AR76" i="1" l="1"/>
  <c r="AP76" i="1"/>
  <c r="AR77" i="1" l="1"/>
  <c r="AP77" i="1"/>
  <c r="AP78" i="1" l="1"/>
  <c r="AR78" i="1"/>
  <c r="AP79" i="1" l="1"/>
  <c r="AR79" i="1"/>
  <c r="AR80" i="1" l="1"/>
  <c r="AP80" i="1"/>
  <c r="AR81" i="1" l="1"/>
  <c r="AP81" i="1"/>
  <c r="AP82" i="1" l="1"/>
  <c r="AR82" i="1"/>
  <c r="AP83" i="1" l="1"/>
  <c r="AR83" i="1"/>
  <c r="AR84" i="1" l="1"/>
  <c r="AP84" i="1"/>
  <c r="AR85" i="1" l="1"/>
  <c r="AP85" i="1"/>
  <c r="AP86" i="1" l="1"/>
  <c r="AR86" i="1"/>
  <c r="AP87" i="1" l="1"/>
  <c r="AR87" i="1"/>
  <c r="AR88" i="1" l="1"/>
  <c r="AP88" i="1"/>
  <c r="AR89" i="1" l="1"/>
  <c r="AP89" i="1"/>
  <c r="AP90" i="1" l="1"/>
  <c r="AR90" i="1"/>
  <c r="AP91" i="1" l="1"/>
  <c r="AR91" i="1"/>
  <c r="AR92" i="1" l="1"/>
  <c r="AP92" i="1"/>
  <c r="AR93" i="1" l="1"/>
  <c r="AP93" i="1"/>
  <c r="AP94" i="1" l="1"/>
  <c r="AR94" i="1"/>
  <c r="AP95" i="1" l="1"/>
  <c r="AR95" i="1"/>
  <c r="AR96" i="1" l="1"/>
  <c r="AP96" i="1"/>
  <c r="AR97" i="1" l="1"/>
  <c r="AP97" i="1"/>
  <c r="AP98" i="1" l="1"/>
  <c r="AR98" i="1"/>
  <c r="AP99" i="1" l="1"/>
  <c r="AR99" i="1"/>
  <c r="AR100" i="1" l="1"/>
  <c r="AP100" i="1"/>
  <c r="AP101" i="1" l="1"/>
  <c r="AR101" i="1"/>
  <c r="AP102" i="1" l="1"/>
  <c r="AR102" i="1"/>
  <c r="AP103" i="1" l="1"/>
  <c r="AR103" i="1"/>
  <c r="AR104" i="1" l="1"/>
  <c r="AU11" i="1" s="1" a="1"/>
  <c r="AU11" i="1" s="1"/>
  <c r="AP104" i="1"/>
  <c r="AU13" i="1" l="1"/>
  <c r="AB3" i="30" s="1"/>
  <c r="AW10" i="1"/>
  <c r="AX10" i="1" l="1"/>
  <c r="AY10" i="1" s="1"/>
  <c r="AZ10" i="1" s="1"/>
  <c r="AU12" i="1"/>
  <c r="O27" i="28" l="1"/>
  <c r="D29" i="26"/>
  <c r="T158" i="28" l="1"/>
  <c r="V158" i="28" s="1"/>
  <c r="Y3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tc={A9571886-937B-4C80-8B0E-1C037879238E}</author>
    <author>CAROLINE LOPES GRATIVAL</author>
    <author>tc={393C1384-2990-4BD2-9893-98C9A563CB0A}</author>
  </authors>
  <commentList>
    <comment ref="AQ13" authorId="0" shapeId="0" xr:uid="{A9571886-937B-4C80-8B0E-1C037879238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presente nada mais é que o valor de um montante do futuro trazido para o momento atual</t>
      </text>
    </comment>
    <comment ref="D15" authorId="1" shapeId="0" xr:uid="{B89967F1-B920-4F04-B977-C1417A7E04DC}">
      <text>
        <r>
          <rPr>
            <sz val="10"/>
            <color rgb="FF000000"/>
            <rFont val="Calibri"/>
            <family val="2"/>
          </rPr>
          <t>ICMS NÃO AUTOMATICO, VER NA FATURA O ICMS DA CONCESSIONÁRIA</t>
        </r>
        <r>
          <rPr>
            <sz val="10"/>
            <color rgb="FF000000"/>
            <rFont val="Tahoma"/>
            <family val="2"/>
          </rPr>
          <t>.</t>
        </r>
      </text>
    </comment>
    <comment ref="D20" authorId="1" shapeId="0" xr:uid="{BE562113-05F2-2746-8436-0E69F424D3A4}">
      <text>
        <r>
          <rPr>
            <sz val="10"/>
            <color rgb="FF000000"/>
            <rFont val="Calibri"/>
            <family val="2"/>
          </rPr>
          <t xml:space="preserve">QUANTO MAIOR O NUMERO DE UC’s MENOR O CONSUMO INSTANTANEO, CASO FOR AUTO CONSUMO REMOTO COLOCAR 0%
</t>
        </r>
      </text>
    </comment>
    <comment ref="D22" authorId="1" shapeId="0" xr:uid="{C070BE1E-6E4E-9B4E-90BA-2A911E99C7E5}">
      <text>
        <r>
          <rPr>
            <sz val="10"/>
            <color rgb="FF000000"/>
            <rFont val="Calibri"/>
            <family val="2"/>
          </rPr>
          <t xml:space="preserve">Adicionar valores somados de iluminação publica BT ( caso forem iguais, multiplicar pelo numero de UC’s BT
</t>
        </r>
      </text>
    </comment>
    <comment ref="D23" authorId="1" shapeId="0" xr:uid="{E2590940-7B76-3346-BB23-4FB109778355}">
      <text>
        <r>
          <rPr>
            <sz val="10"/>
            <color rgb="FF000000"/>
            <rFont val="Calibri"/>
            <family val="2"/>
          </rPr>
          <t xml:space="preserve">NUMERO DE UNIDADES CONSUMIDORAS BAIXA TENSÃO
</t>
        </r>
      </text>
    </comment>
    <comment ref="AU24" authorId="2" shapeId="0" xr:uid="{393C1384-2990-4BD2-9893-98C9A563CB0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ROI PARA 25 ANOS</t>
      </text>
    </comment>
    <comment ref="D41" authorId="1" shapeId="0" xr:uid="{D000DB75-522E-0440-AB5C-E80BD08EF376}">
      <text>
        <r>
          <rPr>
            <sz val="10"/>
            <color rgb="FF000000"/>
            <rFont val="Calibri"/>
            <family val="2"/>
          </rPr>
          <t xml:space="preserve">ADICIONAR NA MÉDIA GERAL UM VALOR DE KWH (CASO O CLIENTE PEÇA OU TENHA PREVISÃO DE AUMENTO DE CONSUMO)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CAROLINE LOPES GRATIVAL</author>
    <author>tc={AF58BB19-87BC-474A-8D2C-1A3B36E51804}</author>
    <author/>
  </authors>
  <commentList>
    <comment ref="D5" authorId="0" shapeId="0" xr:uid="{33F48628-4D28-CD4A-9016-6A332B7107C9}">
      <text>
        <r>
          <rPr>
            <b/>
            <sz val="10"/>
            <color rgb="FF000000"/>
            <rFont val="Tahoma"/>
            <family val="2"/>
          </rPr>
          <t>CAROLINE LOPES GRATIVAL: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MUDAR NA PAGINA DE DADOS INICIAIS</t>
        </r>
      </text>
    </comment>
    <comment ref="D9" authorId="1" shapeId="0" xr:uid="{AF58BB19-87BC-474A-8D2C-1A3B36E5180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OS VALORES DA ALDO DIVIDIDO POR 0,95</t>
      </text>
    </comment>
    <comment ref="AP19" authorId="2" shapeId="0" xr:uid="{00000000-0006-0000-0300-000001000000}">
      <text>
        <r>
          <rPr>
            <sz val="11"/>
            <color rgb="FF000000"/>
            <rFont val="Calibri"/>
            <family val="2"/>
          </rPr>
          <t>======
ID#AAAADGQEOvo
    (2019-06-17 15:08:11)
PEGAR RELATÓRIO DA CONCESSIONÁRIA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tc={AC8BCEDC-1A1B-4782-A7C2-49CD72B0820D}</author>
  </authors>
  <commentList>
    <comment ref="E3" authorId="0" shapeId="0" xr:uid="{AC8BCEDC-1A1B-4782-A7C2-49CD72B0820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Observação: No Power Bi da Aneel os valores estão na unidade MWh, para passar para kWh deve ser dividido por mil, conforme está sendo aplicado nesse coluna.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<sst xmlns="http://schemas.openxmlformats.org/spreadsheetml/2006/main" count="13614" uniqueCount="6356">
  <si>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</si>
  <si>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</si>
  <si>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</si>
  <si>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</si>
  <si>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</si>
  <si>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</si>
  <si>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</si>
  <si>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</si>
  <si>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</si>
  <si>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</si>
  <si>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</si>
  <si>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</si>
  <si>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Investimento Inicial</t>
  </si>
  <si>
    <t>Economia Anual</t>
  </si>
  <si>
    <t>Numero de Módulos</t>
  </si>
  <si>
    <t>Considerações</t>
  </si>
  <si>
    <t>Taxa de Desconto</t>
  </si>
  <si>
    <t>Inflação da Energia Elétrica</t>
  </si>
  <si>
    <t>Ano</t>
  </si>
  <si>
    <t>TIR</t>
  </si>
  <si>
    <t>Média</t>
  </si>
  <si>
    <t>Sujeira</t>
  </si>
  <si>
    <t>Variação</t>
  </si>
  <si>
    <t>1% - 10%</t>
  </si>
  <si>
    <t>5% - 20%</t>
  </si>
  <si>
    <t>Dados</t>
  </si>
  <si>
    <t>Valor (R$)</t>
  </si>
  <si>
    <t>Escopo de Fornecimento</t>
  </si>
  <si>
    <t>Financiamento</t>
  </si>
  <si>
    <t>Valor a ser financiado</t>
  </si>
  <si>
    <t>Numero de Parcelas por Mês</t>
  </si>
  <si>
    <t>Taxa de juros ao Mês</t>
  </si>
  <si>
    <t>Valor do Financiamento</t>
  </si>
  <si>
    <t>Geração Anual (kWh)</t>
  </si>
  <si>
    <t>Entradas</t>
  </si>
  <si>
    <t>Payback (Anos)</t>
  </si>
  <si>
    <t>KM Rodados</t>
  </si>
  <si>
    <t>Resultado Financeiro</t>
  </si>
  <si>
    <t>Resultado Ambiental</t>
  </si>
  <si>
    <t>Arvores Poupadas</t>
  </si>
  <si>
    <t>CO2 Evitados</t>
  </si>
  <si>
    <t>Percentual (%)</t>
  </si>
  <si>
    <t>PIS</t>
  </si>
  <si>
    <t>COFINS</t>
  </si>
  <si>
    <t>ICMS</t>
  </si>
  <si>
    <t>Potência (kWp)</t>
  </si>
  <si>
    <t>Área total (m²)</t>
  </si>
  <si>
    <t>Valores</t>
  </si>
  <si>
    <t>Economia de Energia (Mensal)</t>
  </si>
  <si>
    <t>Valor do Investimento</t>
  </si>
  <si>
    <t>Payback Descontado (Anos)</t>
  </si>
  <si>
    <t>TE</t>
  </si>
  <si>
    <t>TUSD</t>
  </si>
  <si>
    <t>AM</t>
  </si>
  <si>
    <t>Estado</t>
  </si>
  <si>
    <t>ESPIRITO SANTO</t>
  </si>
  <si>
    <t>Vitoria</t>
  </si>
  <si>
    <t>STATE</t>
  </si>
  <si>
    <t>NAME</t>
  </si>
  <si>
    <t>LON</t>
  </si>
  <si>
    <t>LAT</t>
  </si>
  <si>
    <t>ANNUAL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</si>
  <si>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</si>
  <si>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</si>
  <si>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</si>
  <si>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</si>
  <si>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</si>
  <si>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</si>
  <si>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</si>
  <si>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</si>
  <si>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</si>
  <si>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</si>
  <si>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</si>
  <si>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</si>
  <si>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ACRE</t>
  </si>
  <si>
    <t>Acrelândia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</si>
  <si>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</si>
  <si>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</si>
  <si>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</si>
  <si>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</si>
  <si>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</si>
  <si>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</si>
  <si>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</si>
  <si>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</si>
  <si>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</si>
  <si>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</si>
  <si>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</si>
  <si>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</si>
  <si>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Acre</t>
  </si>
  <si>
    <t>Porto Walter</t>
  </si>
  <si>
    <t>Rio Branco</t>
  </si>
  <si>
    <t>Rodrigues Alves</t>
  </si>
  <si>
    <t>Santa Rosa do Purus</t>
  </si>
  <si>
    <t>Sena Madureira</t>
  </si>
  <si>
    <t>Senador Guiomard</t>
  </si>
  <si>
    <t>Tarauacá</t>
  </si>
  <si>
    <t>Xapuri</t>
  </si>
  <si>
    <t>ALAGOAS</t>
  </si>
  <si>
    <t>Água Branca</t>
  </si>
  <si>
    <t>Anadia</t>
  </si>
  <si>
    <t>Arapiraca</t>
  </si>
  <si>
    <t>Atalaia</t>
  </si>
  <si>
    <t>Barra de Santo Antônio</t>
  </si>
  <si>
    <t>Barra de São Miguel</t>
  </si>
  <si>
    <t>Batalha</t>
  </si>
  <si>
    <t>Belém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</si>
  <si>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</si>
  <si>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</si>
  <si>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</si>
  <si>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</si>
  <si>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</si>
  <si>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</si>
  <si>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</si>
  <si>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</si>
  <si>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</si>
  <si>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</si>
  <si>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</si>
  <si>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</si>
  <si>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</si>
  <si>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</si>
  <si>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</si>
  <si>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</si>
  <si>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</si>
  <si>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</si>
  <si>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</si>
  <si>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</si>
  <si>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</si>
  <si>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</si>
  <si>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</si>
  <si>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</si>
  <si>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</si>
  <si>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</si>
  <si>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</si>
  <si>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</si>
  <si>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-36.77</t>
  </si>
  <si>
    <t>Jacaré dos Homens</t>
  </si>
  <si>
    <t>Jacuípe</t>
  </si>
  <si>
    <t>Japaratinga</t>
  </si>
  <si>
    <t>Jaramataia</t>
  </si>
  <si>
    <t>Jequiá da Praia</t>
  </si>
  <si>
    <t>Joaquim Gomes</t>
  </si>
  <si>
    <t>Jundiá</t>
  </si>
  <si>
    <t>Junqueiro</t>
  </si>
  <si>
    <t>Lagoa da Canoa</t>
  </si>
  <si>
    <t>Limoeiro de Anadia</t>
  </si>
  <si>
    <t>Maceió</t>
  </si>
  <si>
    <t>Major Isidoro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</si>
  <si>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</si>
  <si>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</si>
  <si>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</si>
  <si>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</si>
  <si>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</si>
  <si>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</si>
  <si>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</si>
  <si>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</si>
  <si>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</si>
  <si>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</si>
  <si>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</si>
  <si>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</si>
  <si>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</si>
  <si>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</si>
  <si>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-36.76</t>
  </si>
  <si>
    <t>Olho d'Água Grande</t>
  </si>
  <si>
    <t>Olivença</t>
  </si>
  <si>
    <t>Ouro Branco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</si>
  <si>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</si>
  <si>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</si>
  <si>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</si>
  <si>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</si>
  <si>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</si>
  <si>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</si>
  <si>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</si>
  <si>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</si>
  <si>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</si>
  <si>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Pilar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</si>
  <si>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</si>
  <si>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</si>
  <si>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</si>
  <si>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</si>
  <si>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</si>
  <si>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</si>
  <si>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</si>
  <si>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</si>
  <si>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</si>
  <si>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</si>
  <si>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</si>
  <si>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</si>
  <si>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</si>
  <si>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</si>
  <si>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</si>
  <si>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</si>
  <si>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</si>
  <si>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</si>
  <si>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</si>
  <si>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</si>
  <si>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</si>
  <si>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</si>
  <si>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</si>
  <si>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</si>
  <si>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</si>
  <si>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</si>
  <si>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Viçosa</t>
  </si>
  <si>
    <t>AMAPA</t>
  </si>
  <si>
    <t>Amapá</t>
  </si>
  <si>
    <t>Calçoene</t>
  </si>
  <si>
    <t>Cutias</t>
  </si>
  <si>
    <t>0.969</t>
  </si>
  <si>
    <t>Ferreira Gomes</t>
  </si>
  <si>
    <t>0.8569</t>
  </si>
  <si>
    <t>Itaubal</t>
  </si>
  <si>
    <t>0.6056</t>
  </si>
  <si>
    <t>Laranjal do Jari</t>
  </si>
  <si>
    <t>-0.8379</t>
  </si>
  <si>
    <t>Macapá</t>
  </si>
  <si>
    <t>0.0342</t>
  </si>
  <si>
    <t>Mazagão</t>
  </si>
  <si>
    <t>-0.1137</t>
  </si>
  <si>
    <t>Oiapoque</t>
  </si>
  <si>
    <t>Pedra Branca do Amaparí</t>
  </si>
  <si>
    <t>0.7771</t>
  </si>
  <si>
    <t>Porto Grande</t>
  </si>
  <si>
    <t>0.708</t>
  </si>
  <si>
    <t>Pracuúba</t>
  </si>
  <si>
    <t>Santana</t>
  </si>
  <si>
    <t>-0.0458</t>
  </si>
  <si>
    <t>Serra do Navio</t>
  </si>
  <si>
    <t>0.901</t>
  </si>
  <si>
    <t>Tartarugalzinho</t>
  </si>
  <si>
    <t>Vitória do Jari</t>
  </si>
  <si>
    <t>-0.9296</t>
  </si>
  <si>
    <t>AMAZONAS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</si>
  <si>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</si>
  <si>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</si>
  <si>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</si>
  <si>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</si>
  <si>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</si>
  <si>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</si>
  <si>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</si>
  <si>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</si>
  <si>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-0.9837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</si>
  <si>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</si>
  <si>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</si>
  <si>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</si>
  <si>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</si>
  <si>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</si>
  <si>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</si>
  <si>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</si>
  <si>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</si>
  <si>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</si>
  <si>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</si>
  <si>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</si>
  <si>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</si>
  <si>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</si>
  <si>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</si>
  <si>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</si>
  <si>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</si>
  <si>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</si>
  <si>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</si>
  <si>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</si>
  <si>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</si>
  <si>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</si>
  <si>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</si>
  <si>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</si>
  <si>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</si>
  <si>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</si>
  <si>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</si>
  <si>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</si>
  <si>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</si>
  <si>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</si>
  <si>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</si>
  <si>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</si>
  <si>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</si>
  <si>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</si>
  <si>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</si>
  <si>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</si>
  <si>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</si>
  <si>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</si>
  <si>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</si>
  <si>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</si>
  <si>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</si>
  <si>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</si>
  <si>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</si>
  <si>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-0.1195</t>
  </si>
  <si>
    <t>Santo Antônio do Içá</t>
  </si>
  <si>
    <t>São Gabriel da Cachoeira</t>
  </si>
  <si>
    <t>São Paulo de Olivença</t>
  </si>
  <si>
    <t>-0.4112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</si>
  <si>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</si>
  <si>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</si>
  <si>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</si>
  <si>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</si>
  <si>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</si>
  <si>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</si>
  <si>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</si>
  <si>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</si>
  <si>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</si>
  <si>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BAHIA</t>
  </si>
  <si>
    <t>Ã‰rico Cardoso</t>
  </si>
  <si>
    <t>Ãgua Fria</t>
  </si>
  <si>
    <t>AbaÃ­ra</t>
  </si>
  <si>
    <t>Acajutiba</t>
  </si>
  <si>
    <t>Adustina</t>
  </si>
  <si>
    <t>Aiquara</t>
  </si>
  <si>
    <t>Alagoinhas</t>
  </si>
  <si>
    <t>Almadina</t>
  </si>
  <si>
    <t>Amargosa</t>
  </si>
  <si>
    <t>AndaraÃ­</t>
  </si>
  <si>
    <t>Andorinha</t>
  </si>
  <si>
    <t>Angical</t>
  </si>
  <si>
    <t>Anguera</t>
  </si>
  <si>
    <t>Antas</t>
  </si>
  <si>
    <t>Apuarema</t>
  </si>
  <si>
    <t>Aracatu</t>
  </si>
  <si>
    <t>Araci</t>
  </si>
  <si>
    <t>Aramari</t>
  </si>
  <si>
    <t>Arataca</t>
  </si>
  <si>
    <t>AratuÃ­pe</t>
  </si>
  <si>
    <t>Aurelino Leal</t>
  </si>
  <si>
    <t>Baixa Grande</t>
  </si>
  <si>
    <t>Barra</t>
  </si>
  <si>
    <t>Barra da Estiva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</si>
  <si>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</si>
  <si>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</si>
  <si>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</si>
  <si>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</si>
  <si>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</si>
  <si>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</si>
  <si>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</si>
  <si>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</si>
  <si>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</si>
  <si>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</si>
  <si>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</si>
  <si>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</si>
  <si>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</si>
  <si>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</si>
  <si>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Bonito</t>
  </si>
  <si>
    <t>Boquira</t>
  </si>
  <si>
    <t>Brumado</t>
  </si>
  <si>
    <t>Buerarema</t>
  </si>
  <si>
    <t>Buritirama</t>
  </si>
  <si>
    <t>Caatiba</t>
  </si>
  <si>
    <t>Cachoeira</t>
  </si>
  <si>
    <t>Caetanos</t>
  </si>
  <si>
    <t>-40.91</t>
  </si>
  <si>
    <t>Cafarnaum</t>
  </si>
  <si>
    <t>Cairu</t>
  </si>
  <si>
    <t>Camacan</t>
  </si>
  <si>
    <t>Camamu</t>
  </si>
  <si>
    <t>Campo Alegre de Lourdes</t>
  </si>
  <si>
    <t>Campo Formoso</t>
  </si>
  <si>
    <t>Canarana</t>
  </si>
  <si>
    <t>Canavieiras</t>
  </si>
  <si>
    <t>Candeal</t>
  </si>
  <si>
    <t>Candeias</t>
  </si>
  <si>
    <t>Candiba</t>
  </si>
  <si>
    <t>Canudos</t>
  </si>
  <si>
    <t>Capela do Alto Alegre</t>
  </si>
  <si>
    <t>Capim Grosso</t>
  </si>
  <si>
    <t>CaraÃ­bas</t>
  </si>
  <si>
    <t>Caravelas</t>
  </si>
  <si>
    <t>-39.26</t>
  </si>
  <si>
    <t>Cardeal da Silva</t>
  </si>
  <si>
    <t>Carinhanha</t>
  </si>
  <si>
    <t>Casa Nova</t>
  </si>
  <si>
    <t>Castro Alves</t>
  </si>
  <si>
    <t>Catu</t>
  </si>
  <si>
    <t>Caturama</t>
  </si>
  <si>
    <t>Central</t>
  </si>
  <si>
    <t>Coaraci</t>
  </si>
  <si>
    <t>Cocos</t>
  </si>
  <si>
    <t>Conde</t>
  </si>
  <si>
    <t>Cordeiros</t>
  </si>
  <si>
    <t>Coribe</t>
  </si>
  <si>
    <t>Correntina</t>
  </si>
  <si>
    <t>Cotegipe</t>
  </si>
  <si>
    <t>Cruz das Almas</t>
  </si>
  <si>
    <t>Dias d'Ãvila</t>
  </si>
  <si>
    <t>Dom BasÃ­lio</t>
  </si>
  <si>
    <t>Dom Macedo Costa</t>
  </si>
  <si>
    <t>ElÃ­sio Medrado</t>
  </si>
  <si>
    <t>Encruzilhada</t>
  </si>
  <si>
    <t>Entre Rios</t>
  </si>
  <si>
    <t>Esplanada</t>
  </si>
  <si>
    <t>Euclides da Cunha</t>
  </si>
  <si>
    <t>Feira da Mata</t>
  </si>
  <si>
    <t>Feira de Santana</t>
  </si>
  <si>
    <t>Firmino Alves</t>
  </si>
  <si>
    <t>Floresta Azul</t>
  </si>
  <si>
    <t>Formosa do Rio Preto</t>
  </si>
  <si>
    <t>Gandu</t>
  </si>
  <si>
    <t>Gentio do Ouro</t>
  </si>
  <si>
    <t>Gongogi</t>
  </si>
  <si>
    <t>Governador Mangabeira</t>
  </si>
  <si>
    <t>Guajeru</t>
  </si>
  <si>
    <t>Guanambi</t>
  </si>
  <si>
    <t>Guaratinga</t>
  </si>
  <si>
    <t>IbicaraÃ­</t>
  </si>
  <si>
    <t>Ibicoara</t>
  </si>
  <si>
    <t>IbicuÃ­</t>
  </si>
  <si>
    <t>Ibipeba</t>
  </si>
  <si>
    <t>Ibipitanga</t>
  </si>
  <si>
    <t>Ibiquera</t>
  </si>
  <si>
    <t>Ibirapitanga</t>
  </si>
  <si>
    <t>Ibirataia</t>
  </si>
  <si>
    <t>Ibitiara</t>
  </si>
  <si>
    <t>Ibotirama</t>
  </si>
  <si>
    <t>Ichu</t>
  </si>
  <si>
    <t>-13.77</t>
  </si>
  <si>
    <t>IguaÃ­</t>
  </si>
  <si>
    <t>Inhambupe</t>
  </si>
  <si>
    <t>Ipupiara</t>
  </si>
  <si>
    <t>Irajuba</t>
  </si>
  <si>
    <t>Iramaia</t>
  </si>
  <si>
    <t>Iraquara</t>
  </si>
  <si>
    <t>Itabela</t>
  </si>
  <si>
    <t>Itaberaba</t>
  </si>
  <si>
    <t>Itabuna</t>
  </si>
  <si>
    <t>Itagi</t>
  </si>
  <si>
    <t>Itagimirim</t>
  </si>
  <si>
    <t>ItajuÃ­pe</t>
  </si>
  <si>
    <t>Itamaraju</t>
  </si>
  <si>
    <t>Itamari</t>
  </si>
  <si>
    <t>Itanagra</t>
  </si>
  <si>
    <t>Itaparica</t>
  </si>
  <si>
    <t>Itapebi</t>
  </si>
  <si>
    <t>Itapetinga</t>
  </si>
  <si>
    <t>Itapicuru</t>
  </si>
  <si>
    <t>Itapitanga</t>
  </si>
  <si>
    <t>Itaquara</t>
  </si>
  <si>
    <t>Itarantim</t>
  </si>
  <si>
    <t>Itatim</t>
  </si>
  <si>
    <t>Jaborandi</t>
  </si>
  <si>
    <t>Jacaraci</t>
  </si>
  <si>
    <t>Jacobina</t>
  </si>
  <si>
    <t>Jaguaquara</t>
  </si>
  <si>
    <t>Jaguarari</t>
  </si>
  <si>
    <t>Jaguaripe</t>
  </si>
  <si>
    <t>JandaÃ­ra</t>
  </si>
  <si>
    <t>Jeremoabo</t>
  </si>
  <si>
    <t>Juazeiro</t>
  </si>
  <si>
    <t>Jussara</t>
  </si>
  <si>
    <t>Jussari</t>
  </si>
  <si>
    <t>Jussiape</t>
  </si>
  <si>
    <t>Lafaiete Coutinho</t>
  </si>
  <si>
    <t>Lagoa Real</t>
  </si>
  <si>
    <t>Laje</t>
  </si>
  <si>
    <t>Lajedinho</t>
  </si>
  <si>
    <t>Lajedo do Tabocal</t>
  </si>
  <si>
    <t>Lauro de Freitas</t>
  </si>
  <si>
    <t>LicÃ­nio de Almeida</t>
  </si>
  <si>
    <t>Livramento de Nossa Senhora</t>
  </si>
  <si>
    <t>Macajuba</t>
  </si>
  <si>
    <t>Macarani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</si>
  <si>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</si>
  <si>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</si>
  <si>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</si>
  <si>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</si>
  <si>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</si>
  <si>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</si>
  <si>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</si>
  <si>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Maragogipe</t>
  </si>
  <si>
    <t>MarcionÃ­lio Souza</t>
  </si>
  <si>
    <t>Mascote</t>
  </si>
  <si>
    <t>Matina</t>
  </si>
  <si>
    <t>Medeiros Neto</t>
  </si>
  <si>
    <t>Miguel Calmon</t>
  </si>
  <si>
    <t>Milagres</t>
  </si>
  <si>
    <t>Mirangaba</t>
  </si>
  <si>
    <t>Mirante</t>
  </si>
  <si>
    <t>Monte Santo</t>
  </si>
  <si>
    <t>Mortugaba</t>
  </si>
  <si>
    <t>Mucuri</t>
  </si>
  <si>
    <t>Mulungu do Morro</t>
  </si>
  <si>
    <t>Mundo Novo</t>
  </si>
  <si>
    <t>Muniz Ferreira</t>
  </si>
  <si>
    <t>Muritiba</t>
  </si>
  <si>
    <t>-12.62</t>
  </si>
  <si>
    <t>MutuÃ­pe</t>
  </si>
  <si>
    <t>Nordestina</t>
  </si>
  <si>
    <t>Nova Itarana</t>
  </si>
  <si>
    <t>Nova Soure</t>
  </si>
  <si>
    <t>Novo Horizonte</t>
  </si>
  <si>
    <t>Novo Triunfo</t>
  </si>
  <si>
    <t>Olindina</t>
  </si>
  <si>
    <t>Oliveira dos Brejinhos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</si>
  <si>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</si>
  <si>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</si>
  <si>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</si>
  <si>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</si>
  <si>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</si>
  <si>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</si>
  <si>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</si>
  <si>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Pedro Alexandre</t>
  </si>
  <si>
    <t>PindaÃ­</t>
  </si>
  <si>
    <t>Pintadas</t>
  </si>
  <si>
    <t>PiraÃ­ do Norte</t>
  </si>
  <si>
    <t>Piritiba</t>
  </si>
  <si>
    <t>Planaltino</t>
  </si>
  <si>
    <t>Planalto</t>
  </si>
  <si>
    <t>Pojuca</t>
  </si>
  <si>
    <t>Ponto Novo</t>
  </si>
  <si>
    <t>Porto Seguro</t>
  </si>
  <si>
    <t>Prado</t>
  </si>
  <si>
    <t>Presidente Dutra</t>
  </si>
  <si>
    <t>Presidente Tancredo Neves</t>
  </si>
  <si>
    <t>Queimadas</t>
  </si>
  <si>
    <t>Quijingue</t>
  </si>
  <si>
    <t>Quixabeira</t>
  </si>
  <si>
    <t>Rafael Jambeiro</t>
  </si>
  <si>
    <t>Remanso</t>
  </si>
  <si>
    <t>Riacho de Santana</t>
  </si>
  <si>
    <t>Ribeira do Amparo</t>
  </si>
  <si>
    <t>Ribeira do Pombal</t>
  </si>
  <si>
    <t>Rio de Contas</t>
  </si>
  <si>
    <t>Rio do Pires</t>
  </si>
  <si>
    <t>Rio Real</t>
  </si>
  <si>
    <t>Rodelas</t>
  </si>
  <si>
    <t>Ruy Barbosa</t>
  </si>
  <si>
    <t>Salinas da Margarida</t>
  </si>
  <si>
    <t>Salvador</t>
  </si>
  <si>
    <t>Santa BrÃ­gida</t>
  </si>
  <si>
    <t>Santa Luzia</t>
  </si>
  <si>
    <t>Santa Teresinha</t>
  </si>
  <si>
    <t>Santaluz</t>
  </si>
  <si>
    <t>Santo Amaro</t>
  </si>
  <si>
    <t>SÃ­tio do Mato</t>
  </si>
  <si>
    <t>SÃ­tio do Quinto</t>
  </si>
  <si>
    <t>Saubara</t>
  </si>
  <si>
    <t>Seabra</t>
  </si>
  <si>
    <t>Senhor do Bonfim</t>
  </si>
  <si>
    <t>Serra do Ramalho</t>
  </si>
  <si>
    <t>Serra Dourada</t>
  </si>
  <si>
    <t>Serra Preta</t>
  </si>
  <si>
    <t>Serrinha</t>
  </si>
  <si>
    <t>Sobradinho</t>
  </si>
  <si>
    <t>Souto Soares</t>
  </si>
  <si>
    <t>Tabocas do Brejo Velho</t>
  </si>
  <si>
    <t>Tanque Novo</t>
  </si>
  <si>
    <t>Tanquinho</t>
  </si>
  <si>
    <t>Teixeira de Freitas</t>
  </si>
  <si>
    <t>Teodoro Sampaio</t>
  </si>
  <si>
    <t>Terra Nova</t>
  </si>
  <si>
    <t>Tremedal</t>
  </si>
  <si>
    <t>Tucano</t>
  </si>
  <si>
    <t>UbaÃ­ra</t>
  </si>
  <si>
    <t>Ubaitaba</t>
  </si>
  <si>
    <t>UibaÃ­</t>
  </si>
  <si>
    <t>Umburanas</t>
  </si>
  <si>
    <t>Una</t>
  </si>
  <si>
    <t>Urandi</t>
  </si>
  <si>
    <t>Utinga</t>
  </si>
  <si>
    <t>Valente</t>
  </si>
  <si>
    <t>Varzedo</t>
  </si>
  <si>
    <t>Vera Cruz</t>
  </si>
  <si>
    <t>Vereda</t>
  </si>
  <si>
    <t>Wagner</t>
  </si>
  <si>
    <t>Wanderley</t>
  </si>
  <si>
    <t>Xique-Xique</t>
  </si>
  <si>
    <t>CEARA</t>
  </si>
  <si>
    <t>Abaiara</t>
  </si>
  <si>
    <t>Acarape</t>
  </si>
  <si>
    <t>Acopiara</t>
  </si>
  <si>
    <t>Aiuaba</t>
  </si>
  <si>
    <t>Altaneira</t>
  </si>
  <si>
    <t>Alto Santo</t>
  </si>
  <si>
    <t>Amontada</t>
  </si>
  <si>
    <t>Antonina do Norte</t>
  </si>
  <si>
    <t>Aquiraz</t>
  </si>
  <si>
    <t>Aracati</t>
  </si>
  <si>
    <t>Aracoiaba</t>
  </si>
  <si>
    <t>Araripe</t>
  </si>
  <si>
    <t>Aratuba</t>
  </si>
  <si>
    <t>Arneiroz</t>
  </si>
  <si>
    <t>Aurora</t>
  </si>
  <si>
    <t>Baixio</t>
  </si>
  <si>
    <t>Barbalha</t>
  </si>
  <si>
    <t>Barreira</t>
  </si>
  <si>
    <t>Barro</t>
  </si>
  <si>
    <t>Barroquinha</t>
  </si>
  <si>
    <t>Beberibe</t>
  </si>
  <si>
    <t>Bela Cruz</t>
  </si>
  <si>
    <t>Boa Viagem</t>
  </si>
  <si>
    <t>Brejo Santo</t>
  </si>
  <si>
    <t>Camocim</t>
  </si>
  <si>
    <t>Campos Sales</t>
  </si>
  <si>
    <t>Capistrano</t>
  </si>
  <si>
    <t>Caridade</t>
  </si>
  <si>
    <t>Carnaubal</t>
  </si>
  <si>
    <t>Cascavel</t>
  </si>
  <si>
    <t>Catarina</t>
  </si>
  <si>
    <t>Catunda</t>
  </si>
  <si>
    <t>Caucaia</t>
  </si>
  <si>
    <t>Cedro</t>
  </si>
  <si>
    <t>Chaval</t>
  </si>
  <si>
    <t>Chorozinho</t>
  </si>
  <si>
    <t>Crato</t>
  </si>
  <si>
    <t>Cruz</t>
  </si>
  <si>
    <t>Deputado Irapuan Pinheiro</t>
  </si>
  <si>
    <t>Farias Brito</t>
  </si>
  <si>
    <t>Forquilha</t>
  </si>
  <si>
    <t>Fortaleza</t>
  </si>
  <si>
    <t>Fortim</t>
  </si>
  <si>
    <t>Frecheirinha</t>
  </si>
  <si>
    <t>General Sampaio</t>
  </si>
  <si>
    <t>Granja</t>
  </si>
  <si>
    <t>Granjeiro</t>
  </si>
  <si>
    <t>GroaÃ­ras</t>
  </si>
  <si>
    <t>Guaraciaba do Norte</t>
  </si>
  <si>
    <t>Guaramiranga</t>
  </si>
  <si>
    <t>-4.41</t>
  </si>
  <si>
    <t>Horizonte</t>
  </si>
  <si>
    <t>Ibaretama</t>
  </si>
  <si>
    <t>Ibiapina</t>
  </si>
  <si>
    <t>Ibicuitinga</t>
  </si>
  <si>
    <t>IcapuÃ­</t>
  </si>
  <si>
    <t>Iguatu</t>
  </si>
  <si>
    <t>Ipaporanga</t>
  </si>
  <si>
    <t>Ipaumirim</t>
  </si>
  <si>
    <t>Ipu</t>
  </si>
  <si>
    <t>Ipueiras</t>
  </si>
  <si>
    <t>Iracema</t>
  </si>
  <si>
    <t>Itaitinga</t>
  </si>
  <si>
    <t>Itapipoca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</si>
  <si>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</si>
  <si>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</si>
  <si>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</si>
  <si>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</si>
  <si>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</si>
  <si>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</si>
  <si>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</si>
  <si>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</si>
  <si>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</si>
  <si>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</si>
  <si>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Lavras da Mangabeira</t>
  </si>
  <si>
    <t>Limoeiro do Norte</t>
  </si>
  <si>
    <t>Madalena</t>
  </si>
  <si>
    <t>Maranguape</t>
  </si>
  <si>
    <t>Marco</t>
  </si>
  <si>
    <t>Mauriti</t>
  </si>
  <si>
    <t>Meruoca</t>
  </si>
  <si>
    <t>MiraÃ­ma</t>
  </si>
  <si>
    <t>Monsenhor Tabosa</t>
  </si>
  <si>
    <t>Morada Nova</t>
  </si>
  <si>
    <t>Morrinhos</t>
  </si>
  <si>
    <t>Mucambo</t>
  </si>
  <si>
    <t>Mulungu</t>
  </si>
  <si>
    <t>Nova Olinda</t>
  </si>
  <si>
    <t>Nova Russas</t>
  </si>
  <si>
    <t>Novo Oriente</t>
  </si>
  <si>
    <t>Ocara</t>
  </si>
  <si>
    <t>Pacajus</t>
  </si>
  <si>
    <t>Pacatuba</t>
  </si>
  <si>
    <t>Pacoti</t>
  </si>
  <si>
    <t>Palhano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</si>
  <si>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</si>
  <si>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</si>
  <si>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</si>
  <si>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</si>
  <si>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</si>
  <si>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</si>
  <si>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</si>
  <si>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</si>
  <si>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</si>
  <si>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</si>
  <si>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</si>
  <si>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</si>
  <si>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</si>
  <si>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</si>
  <si>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</si>
  <si>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Quixeramobim</t>
  </si>
  <si>
    <t>Reriutaba</t>
  </si>
  <si>
    <t>Russas</t>
  </si>
  <si>
    <t>Saboeiro</t>
  </si>
  <si>
    <t>Salitre</t>
  </si>
  <si>
    <t>Santana do Cariri</t>
  </si>
  <si>
    <t>Senador Pompeu</t>
  </si>
  <si>
    <t>Sobral</t>
  </si>
  <si>
    <t>Tabuleiro do Norte</t>
  </si>
  <si>
    <t>Tamboril</t>
  </si>
  <si>
    <t>Tarrafas</t>
  </si>
  <si>
    <t>-3.73</t>
  </si>
  <si>
    <t>Trairi</t>
  </si>
  <si>
    <t>Tururu</t>
  </si>
  <si>
    <t>-39.43</t>
  </si>
  <si>
    <t>Ubajara</t>
  </si>
  <si>
    <t>Umari</t>
  </si>
  <si>
    <t>Umirim</t>
  </si>
  <si>
    <t>Uruburetama</t>
  </si>
  <si>
    <t>Uruoca</t>
  </si>
  <si>
    <t>Varjota</t>
  </si>
  <si>
    <t>DISTRITO FEDERAL</t>
  </si>
  <si>
    <t>BrasÃ­lia</t>
  </si>
  <si>
    <t>Afonso Claudio</t>
  </si>
  <si>
    <t>Agua Doce do Norte</t>
  </si>
  <si>
    <t>Aguia Branca</t>
  </si>
  <si>
    <t>Alegre</t>
  </si>
  <si>
    <t>Alfredo Chaves</t>
  </si>
  <si>
    <t>Alto Rio Novo</t>
  </si>
  <si>
    <t>Anchieta</t>
  </si>
  <si>
    <t>Apiaca</t>
  </si>
  <si>
    <t>Aracruz</t>
  </si>
  <si>
    <t>Atilio Vivacqua</t>
  </si>
  <si>
    <t>Baixo Guandu</t>
  </si>
  <si>
    <t>Barra de São Francisco</t>
  </si>
  <si>
    <t>Boa Esperança</t>
  </si>
  <si>
    <t>Bom Jesus do Norte</t>
  </si>
  <si>
    <t>Brejetuba</t>
  </si>
  <si>
    <t>-20.15</t>
  </si>
  <si>
    <t>Cachoeiro de Itapemirim</t>
  </si>
  <si>
    <t>Cariacica</t>
  </si>
  <si>
    <t>Castelo</t>
  </si>
  <si>
    <t>Colatina</t>
  </si>
  <si>
    <t>Conceicao da Barra</t>
  </si>
  <si>
    <t>Conceicao do Castelo</t>
  </si>
  <si>
    <t>Divino São Lourenço</t>
  </si>
  <si>
    <t>Domingos Martins</t>
  </si>
  <si>
    <t>Dores do Rio Preto</t>
  </si>
  <si>
    <t>Ecoporanga</t>
  </si>
  <si>
    <t>Fundao</t>
  </si>
  <si>
    <t>Governador Lindenberg</t>
  </si>
  <si>
    <t>Guaçui</t>
  </si>
  <si>
    <t>Guarapari</t>
  </si>
  <si>
    <t>Ibatiba</t>
  </si>
  <si>
    <t>Ibiracu</t>
  </si>
  <si>
    <t>Ibitirama</t>
  </si>
  <si>
    <t>Iconha</t>
  </si>
  <si>
    <t>Irupi</t>
  </si>
  <si>
    <t>Itaguacu</t>
  </si>
  <si>
    <t>Itapemirim</t>
  </si>
  <si>
    <t>-21.01</t>
  </si>
  <si>
    <t>Itarana</t>
  </si>
  <si>
    <t>Iuna</t>
  </si>
  <si>
    <t>Jaguare</t>
  </si>
  <si>
    <t>Jeronimo Monteiro</t>
  </si>
  <si>
    <t>Joao Neiva</t>
  </si>
  <si>
    <t>Laranja da Terra</t>
  </si>
  <si>
    <t>Linhares</t>
  </si>
  <si>
    <t>Mantenopolis</t>
  </si>
  <si>
    <t>Marataizes</t>
  </si>
  <si>
    <t>Marechal Floriano</t>
  </si>
  <si>
    <t>Marilandia</t>
  </si>
  <si>
    <t>Mimoso do Sul</t>
  </si>
  <si>
    <t>Montanha</t>
  </si>
  <si>
    <t>Mucurici</t>
  </si>
  <si>
    <t>Muniz Freire</t>
  </si>
  <si>
    <t>Muqui</t>
  </si>
  <si>
    <t>Nova Venecia</t>
  </si>
  <si>
    <t>Pancas</t>
  </si>
  <si>
    <t>Pedro Canario</t>
  </si>
  <si>
    <t>Pinheiros</t>
  </si>
  <si>
    <t>Piuma</t>
  </si>
  <si>
    <t>Ponto Belo</t>
  </si>
  <si>
    <t>Presidente Kennedy</t>
  </si>
  <si>
    <t>Rio Bananal</t>
  </si>
  <si>
    <t>Rio Novo do Sul</t>
  </si>
  <si>
    <t>Santa Leopoldina</t>
  </si>
  <si>
    <t>Santa Maria de Jequitiba</t>
  </si>
  <si>
    <t>Santa Teresa</t>
  </si>
  <si>
    <t>São Domingos do Norte</t>
  </si>
  <si>
    <t>São Gabriel da Palha</t>
  </si>
  <si>
    <t>São Jose do Calçados</t>
  </si>
  <si>
    <t>São Mateus</t>
  </si>
  <si>
    <t>São Roque do Canã</t>
  </si>
  <si>
    <t>Serra</t>
  </si>
  <si>
    <t>Sooretama</t>
  </si>
  <si>
    <t>Vargem Alta</t>
  </si>
  <si>
    <t>Venda Nova do Imigrante</t>
  </si>
  <si>
    <t>Viana</t>
  </si>
  <si>
    <t>Vila Pavao</t>
  </si>
  <si>
    <t>Vila Valerio</t>
  </si>
  <si>
    <t>Vila Velha</t>
  </si>
  <si>
    <t>GOIAS</t>
  </si>
  <si>
    <t>Ãgua Limpa</t>
  </si>
  <si>
    <t>Alto Horizonte</t>
  </si>
  <si>
    <t>-14.14</t>
  </si>
  <si>
    <t>Alvorada do Norte</t>
  </si>
  <si>
    <t>Amaralina</t>
  </si>
  <si>
    <t>Americano do Brasil</t>
  </si>
  <si>
    <t>-16.62</t>
  </si>
  <si>
    <t>Anhanguera</t>
  </si>
  <si>
    <t>Anicuns</t>
  </si>
  <si>
    <t>Aparecida do Rio Doce</t>
  </si>
  <si>
    <t>Araguapaz</t>
  </si>
  <si>
    <t>Baliza</t>
  </si>
  <si>
    <t>Brazabrantes</t>
  </si>
  <si>
    <t>Buriti Alegre</t>
  </si>
  <si>
    <t>Cabeceiras</t>
  </si>
  <si>
    <t>Cachoeira Alta</t>
  </si>
  <si>
    <t>Cachoeira Dourada</t>
  </si>
  <si>
    <t>Caldas Novas</t>
  </si>
  <si>
    <t>Caldazinha</t>
  </si>
  <si>
    <t>Campinorte</t>
  </si>
  <si>
    <t>Campos Belos</t>
  </si>
  <si>
    <t>Campos Verdes</t>
  </si>
  <si>
    <t>Carmo do Rio Verde</t>
  </si>
  <si>
    <t>CaturaÃ­</t>
  </si>
  <si>
    <t>Cavalcante</t>
  </si>
  <si>
    <t>Ceres</t>
  </si>
  <si>
    <t>Cezarina</t>
  </si>
  <si>
    <t>Cidade Ocidental</t>
  </si>
  <si>
    <t>Colinas do Sul</t>
  </si>
  <si>
    <t>CorumbaÃ­ba</t>
  </si>
  <si>
    <t>Cristalina</t>
  </si>
  <si>
    <t>CromÃ­nia</t>
  </si>
  <si>
    <t>Cumari</t>
  </si>
  <si>
    <t>Diorama</t>
  </si>
  <si>
    <t>Edealina</t>
  </si>
  <si>
    <t>Estrela do Norte</t>
  </si>
  <si>
    <t>Faina</t>
  </si>
  <si>
    <t>Fazenda Nova</t>
  </si>
  <si>
    <t>-16.18</t>
  </si>
  <si>
    <t>Formosa</t>
  </si>
  <si>
    <t>Formoso</t>
  </si>
  <si>
    <t>Goiandira</t>
  </si>
  <si>
    <t>Goianira</t>
  </si>
  <si>
    <t>Goiatuba</t>
  </si>
  <si>
    <t>GuaraÃ­ta</t>
  </si>
  <si>
    <t>Guarinos</t>
  </si>
  <si>
    <t>HeitoraÃ­</t>
  </si>
  <si>
    <t>Hidrolina</t>
  </si>
  <si>
    <t>Iaciara</t>
  </si>
  <si>
    <t>Indiara</t>
  </si>
  <si>
    <t>Inhumas</t>
  </si>
  <si>
    <t>Ipameri</t>
  </si>
  <si>
    <t>ItaberaÃ­</t>
  </si>
  <si>
    <t>Itaguari</t>
  </si>
  <si>
    <t>Itaguaru</t>
  </si>
  <si>
    <t>Itapaci</t>
  </si>
  <si>
    <t>Itapuranga</t>
  </si>
  <si>
    <t>Itumbiara</t>
  </si>
  <si>
    <t>Jandaia</t>
  </si>
  <si>
    <t>JataÃ­</t>
  </si>
  <si>
    <t>Jaupaci</t>
  </si>
  <si>
    <t>Lagoa Santa</t>
  </si>
  <si>
    <t>Mairipotaba</t>
  </si>
  <si>
    <t>MambaÃ­</t>
  </si>
  <si>
    <t>Mara Rosa</t>
  </si>
  <si>
    <t>Mineiros</t>
  </si>
  <si>
    <t>Montividiu</t>
  </si>
  <si>
    <t>Montividiu do Norte</t>
  </si>
  <si>
    <t>Nova Aurora</t>
  </si>
  <si>
    <t>Nova Roma</t>
  </si>
  <si>
    <t>Nova Veneza</t>
  </si>
  <si>
    <t>Novo Brasil</t>
  </si>
  <si>
    <t>Novo Gama</t>
  </si>
  <si>
    <t>Novo Planalto</t>
  </si>
  <si>
    <t>Orizona</t>
  </si>
  <si>
    <t>Ouvidor</t>
  </si>
  <si>
    <t>Padre Bernardo</t>
  </si>
  <si>
    <t>Palmelo</t>
  </si>
  <si>
    <t>Paranaiguara</t>
  </si>
  <si>
    <t>Piracanjuba</t>
  </si>
  <si>
    <t>Pires do Rio</t>
  </si>
  <si>
    <t>Planaltina</t>
  </si>
  <si>
    <t>Pontalina</t>
  </si>
  <si>
    <t>Porangatu</t>
  </si>
  <si>
    <t>Posse</t>
  </si>
  <si>
    <t>Professor Jamil</t>
  </si>
  <si>
    <t>Rialma</t>
  </si>
  <si>
    <t>Rio Quente</t>
  </si>
  <si>
    <t>Rio Verde</t>
  </si>
  <si>
    <t>Rubiataba</t>
  </si>
  <si>
    <t>Santa Isabel</t>
  </si>
  <si>
    <t>Santa Rita do Araguaia</t>
  </si>
  <si>
    <t>Santa Rita do Novo Destino</t>
  </si>
  <si>
    <t>SÃ­tio d'Abadia</t>
  </si>
  <si>
    <t>Senador Canedo</t>
  </si>
  <si>
    <t>Trindade</t>
  </si>
  <si>
    <t>Trombas</t>
  </si>
  <si>
    <t>Uirapuru</t>
  </si>
  <si>
    <t>-49.14</t>
  </si>
  <si>
    <t>Uruana</t>
  </si>
  <si>
    <t>UrutaÃ­</t>
  </si>
  <si>
    <t>Vila Boa</t>
  </si>
  <si>
    <t>Vila PropÃ­cio</t>
  </si>
  <si>
    <t>MARANHÃO</t>
  </si>
  <si>
    <t>Afonso Cunha</t>
  </si>
  <si>
    <t>Aldeias Altas</t>
  </si>
  <si>
    <t>Alto ParnaÃ­ba</t>
  </si>
  <si>
    <t>Anajatuba</t>
  </si>
  <si>
    <t>Anapurus</t>
  </si>
  <si>
    <t>Araioses</t>
  </si>
  <si>
    <t>Arame</t>
  </si>
  <si>
    <t>Arari</t>
  </si>
  <si>
    <t>Bacabal</t>
  </si>
  <si>
    <t>Bacabeira</t>
  </si>
  <si>
    <t>Bacuri</t>
  </si>
  <si>
    <t>-45.14</t>
  </si>
  <si>
    <t>Bacurituba</t>
  </si>
  <si>
    <t>Balsas</t>
  </si>
  <si>
    <t>Barra do Corda</t>
  </si>
  <si>
    <t>Barreirinhas</t>
  </si>
  <si>
    <t>Benedito Leite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</si>
  <si>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</si>
  <si>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</si>
  <si>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</si>
  <si>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</si>
  <si>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</si>
  <si>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</si>
  <si>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</si>
  <si>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</si>
  <si>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</si>
  <si>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</si>
  <si>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</si>
  <si>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</si>
  <si>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Cajari</t>
  </si>
  <si>
    <t>Cantanhede</t>
  </si>
  <si>
    <t>Capinzal do Norte</t>
  </si>
  <si>
    <t>Carolina</t>
  </si>
  <si>
    <t>Carutapera</t>
  </si>
  <si>
    <t>Caxias</t>
  </si>
  <si>
    <t>Cedral</t>
  </si>
  <si>
    <t>Centro do Guilherme</t>
  </si>
  <si>
    <t>Chapadinha</t>
  </si>
  <si>
    <t>Coelho Neto</t>
  </si>
  <si>
    <t>Colinas</t>
  </si>
  <si>
    <t>Cururupu</t>
  </si>
  <si>
    <t>Dom Pedro</t>
  </si>
  <si>
    <t>Duque Bacelar</t>
  </si>
  <si>
    <t>Estreito</t>
  </si>
  <si>
    <t>Formosa da Serra Negra</t>
  </si>
  <si>
    <t>Fortaleza dos Nogueiras</t>
  </si>
  <si>
    <t>Fortuna</t>
  </si>
  <si>
    <t>Godofredo Viana</t>
  </si>
  <si>
    <t>Governador Archer</t>
  </si>
  <si>
    <t>Governador Luiz Rocha</t>
  </si>
  <si>
    <t>Governador Newton Bello</t>
  </si>
  <si>
    <t>Governador Nunes Freire</t>
  </si>
  <si>
    <t>Humberto de Campos</t>
  </si>
  <si>
    <t>Icatu</t>
  </si>
  <si>
    <t>Imperatriz</t>
  </si>
  <si>
    <t>Itapecuru Mirim</t>
  </si>
  <si>
    <t>Jenipapo dos Vieiras</t>
  </si>
  <si>
    <t>Lago da Pedra</t>
  </si>
  <si>
    <t>Lago do Junco</t>
  </si>
  <si>
    <t>Lago dos Rodrigues</t>
  </si>
  <si>
    <t>Lago Verde</t>
  </si>
  <si>
    <t>Lagoa do Mato</t>
  </si>
  <si>
    <t>Lajeado Novo</t>
  </si>
  <si>
    <t>Lima Campos</t>
  </si>
  <si>
    <t>Loreto</t>
  </si>
  <si>
    <t>LuÃ­s Domingues</t>
  </si>
  <si>
    <t>Mata Roma</t>
  </si>
  <si>
    <t>-3.62</t>
  </si>
  <si>
    <t>Matinha</t>
  </si>
  <si>
    <t>Mirador</t>
  </si>
  <si>
    <t>Miranda do Norte</t>
  </si>
  <si>
    <t>Mirinzal</t>
  </si>
  <si>
    <t>-45.25</t>
  </si>
  <si>
    <t>Montes Altos</t>
  </si>
  <si>
    <t>Morros</t>
  </si>
  <si>
    <t>Nina Rodrigues</t>
  </si>
  <si>
    <t>Nova Colinas</t>
  </si>
  <si>
    <t>Nova Iorque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</si>
  <si>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</si>
  <si>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</si>
  <si>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</si>
  <si>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</si>
  <si>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</si>
  <si>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</si>
  <si>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</si>
  <si>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Penalva</t>
  </si>
  <si>
    <t>Peri Mirim</t>
  </si>
  <si>
    <t>Pinheiro</t>
  </si>
  <si>
    <t>Pio XII</t>
  </si>
  <si>
    <t>Pirapemas</t>
  </si>
  <si>
    <t>Porto Franco</t>
  </si>
  <si>
    <t>Presidente Juscelino</t>
  </si>
  <si>
    <t>Presidente Sarney</t>
  </si>
  <si>
    <t>Presidente Vargas</t>
  </si>
  <si>
    <t>Primeira Cruz</t>
  </si>
  <si>
    <t>Raposa</t>
  </si>
  <si>
    <t>Ribamar Fiquene</t>
  </si>
  <si>
    <t>SambaÃ­ba</t>
  </si>
  <si>
    <t>Santa Helena</t>
  </si>
  <si>
    <t>Santa Rita</t>
  </si>
  <si>
    <t>SÃ­tio Novo</t>
  </si>
  <si>
    <t>Satubinha</t>
  </si>
  <si>
    <t>Senador Alexandre Costa</t>
  </si>
  <si>
    <t>-5.26</t>
  </si>
  <si>
    <t>Senador La Rocque</t>
  </si>
  <si>
    <t>Sucupira do Norte</t>
  </si>
  <si>
    <t>Tasso Fragoso</t>
  </si>
  <si>
    <t>Timbiras</t>
  </si>
  <si>
    <t>Timon</t>
  </si>
  <si>
    <t>Trizidela do Vale</t>
  </si>
  <si>
    <t>Tuntum</t>
  </si>
  <si>
    <t>Urbano Santos</t>
  </si>
  <si>
    <t>Vargem Grande</t>
  </si>
  <si>
    <t>Vila Nova dos MartÃ­rios</t>
  </si>
  <si>
    <t>Vitorino Freire</t>
  </si>
  <si>
    <t>MATO GROSSO</t>
  </si>
  <si>
    <t>Ãgua Boa</t>
  </si>
  <si>
    <t>Acorizal</t>
  </si>
  <si>
    <t>Alta Floresta</t>
  </si>
  <si>
    <t>Alto Araguaia</t>
  </si>
  <si>
    <t>Alto Boa Vista</t>
  </si>
  <si>
    <t>Alto Paraguai</t>
  </si>
  <si>
    <t>Alto Taquari</t>
  </si>
  <si>
    <t>Araguaiana</t>
  </si>
  <si>
    <t>Araguainha</t>
  </si>
  <si>
    <t>Araputanga</t>
  </si>
  <si>
    <t>Barra do Bugres</t>
  </si>
  <si>
    <t>Bom Jesus do Araguaia</t>
  </si>
  <si>
    <t>Brasnorte</t>
  </si>
  <si>
    <t>Campo Novo do Parecis</t>
  </si>
  <si>
    <t>Campo Verde</t>
  </si>
  <si>
    <t>Canabrava do Norte</t>
  </si>
  <si>
    <t>-11.05</t>
  </si>
  <si>
    <t>-52.27</t>
  </si>
  <si>
    <t>Carlinda</t>
  </si>
  <si>
    <t>Castanheira</t>
  </si>
  <si>
    <t>Cocalinho</t>
  </si>
  <si>
    <t>ColÃ­der</t>
  </si>
  <si>
    <t>Colniza</t>
  </si>
  <si>
    <t>Comodoro</t>
  </si>
  <si>
    <t>Confresa</t>
  </si>
  <si>
    <t>Conquista D'Oeste</t>
  </si>
  <si>
    <t>Denise</t>
  </si>
  <si>
    <t>Diamantino</t>
  </si>
  <si>
    <t>Dom Aquino</t>
  </si>
  <si>
    <t>Feliz Natal</t>
  </si>
  <si>
    <t>General Carneiro</t>
  </si>
  <si>
    <t>Guiratinga</t>
  </si>
  <si>
    <t>IndiavaÃ­</t>
  </si>
  <si>
    <t>Ipiranga do Norte</t>
  </si>
  <si>
    <t>Itiquira</t>
  </si>
  <si>
    <t>Jaciara</t>
  </si>
  <si>
    <t>Jangada</t>
  </si>
  <si>
    <t>Jauru</t>
  </si>
  <si>
    <t>JuÃ­na</t>
  </si>
  <si>
    <t>Juara</t>
  </si>
  <si>
    <t>Juruena</t>
  </si>
  <si>
    <t>Juscimeira</t>
  </si>
  <si>
    <t>Lambari D'Oeste</t>
  </si>
  <si>
    <t>Lucas do Rio Verde</t>
  </si>
  <si>
    <t>Luciara</t>
  </si>
  <si>
    <t>Mirassol d'Oeste</t>
  </si>
  <si>
    <t>Nobres</t>
  </si>
  <si>
    <t>Nossa Senhora do Livramento</t>
  </si>
  <si>
    <t>Nova Bandeirantes</t>
  </si>
  <si>
    <t>Nova Guarita</t>
  </si>
  <si>
    <t>Nova Lacerda</t>
  </si>
  <si>
    <t>Nova Monte Verde</t>
  </si>
  <si>
    <t>Nova Mutum</t>
  </si>
  <si>
    <t>Nova OlÃ­mpia</t>
  </si>
  <si>
    <t>Nova Santa Helena</t>
  </si>
  <si>
    <t>Nova Xavantina</t>
  </si>
  <si>
    <t>Novo Horizonte do Norte</t>
  </si>
  <si>
    <t>Novo Mundo</t>
  </si>
  <si>
    <t>ParanaÃ­ta</t>
  </si>
  <si>
    <t>Paranatinga</t>
  </si>
  <si>
    <t>Pedra Preta</t>
  </si>
  <si>
    <t>Peixoto de Azevedo</t>
  </si>
  <si>
    <t>Planalto da Serra</t>
  </si>
  <si>
    <t>Pontal do Araguaia</t>
  </si>
  <si>
    <t>Ponte Branca</t>
  </si>
  <si>
    <t>Pontes e Lacerda</t>
  </si>
  <si>
    <t>Porto Alegre do Norte</t>
  </si>
  <si>
    <t>Porto Estrela</t>
  </si>
  <si>
    <t>Primavera do Leste</t>
  </si>
  <si>
    <t>Santa Carmem</t>
  </si>
  <si>
    <t>Santa Cruz do Xingu</t>
  </si>
  <si>
    <t>Santa Rita do Trivelato</t>
  </si>
  <si>
    <t>Santa Terezinha</t>
  </si>
  <si>
    <t>Santo Afonso</t>
  </si>
  <si>
    <t>Sapezal</t>
  </si>
  <si>
    <t>Serra Nova Dourada</t>
  </si>
  <si>
    <t>Sinop</t>
  </si>
  <si>
    <t>Sorriso</t>
  </si>
  <si>
    <t>Tapurah</t>
  </si>
  <si>
    <t>Terra Nova do Norte</t>
  </si>
  <si>
    <t>Tesouro</t>
  </si>
  <si>
    <t>Vera</t>
  </si>
  <si>
    <t>Vila Bela da SantÃ­ssima Trindade</t>
  </si>
  <si>
    <t>Vila Rica</t>
  </si>
  <si>
    <t>MATO GROSSO DO SUL</t>
  </si>
  <si>
    <t>Ãgua Clara</t>
  </si>
  <si>
    <t>Amambai</t>
  </si>
  <si>
    <t>Aparecida do Taboado</t>
  </si>
  <si>
    <t>Aquidauana</t>
  </si>
  <si>
    <t>Aral Moreira</t>
  </si>
  <si>
    <t>Bandeirantes</t>
  </si>
  <si>
    <t>Bataguassu</t>
  </si>
  <si>
    <t>Bela Vista</t>
  </si>
  <si>
    <t>Bodoquena</t>
  </si>
  <si>
    <t>Caracol</t>
  </si>
  <si>
    <t>Corguinho</t>
  </si>
  <si>
    <t>Coronel Sapucaia</t>
  </si>
  <si>
    <t>Costa Rica</t>
  </si>
  <si>
    <t>Coxim</t>
  </si>
  <si>
    <t>Douradina</t>
  </si>
  <si>
    <t>-22.04</t>
  </si>
  <si>
    <t>Dourados</t>
  </si>
  <si>
    <t>Eldorado</t>
  </si>
  <si>
    <t>Guia Lopes da Laguna</t>
  </si>
  <si>
    <t>Iguatemi</t>
  </si>
  <si>
    <t>ItaquiraÃ­</t>
  </si>
  <si>
    <t>Ivinhema</t>
  </si>
  <si>
    <t>Jaraguari</t>
  </si>
  <si>
    <t>JateÃ­</t>
  </si>
  <si>
    <t>Juti</t>
  </si>
  <si>
    <t>Maracaju</t>
  </si>
  <si>
    <t>Miranda</t>
  </si>
  <si>
    <t>NaviraÃ­</t>
  </si>
  <si>
    <t>Nioaque</t>
  </si>
  <si>
    <t>Nova Alvorada do Sul</t>
  </si>
  <si>
    <t>Nova Andradina</t>
  </si>
  <si>
    <t>Novo Horizonte do Sul</t>
  </si>
  <si>
    <t>ParanaÃ­ba</t>
  </si>
  <si>
    <t>Paranhos</t>
  </si>
  <si>
    <t>Pedro Gomes</t>
  </si>
  <si>
    <t>Porto Murtinho</t>
  </si>
  <si>
    <t>Ribas do Rio Pardo</t>
  </si>
  <si>
    <t>Rio Brilhante</t>
  </si>
  <si>
    <t>Rio Negro</t>
  </si>
  <si>
    <t>Rio Verde de Mato Grosso</t>
  </si>
  <si>
    <t>Rochedo</t>
  </si>
  <si>
    <t>Santa Rita do Pardo</t>
  </si>
  <si>
    <t>SelvÃ­ria</t>
  </si>
  <si>
    <t>Sete Quedas</t>
  </si>
  <si>
    <t>Sonora</t>
  </si>
  <si>
    <t>Tacuru</t>
  </si>
  <si>
    <t>Taquarussu</t>
  </si>
  <si>
    <t>Terenos</t>
  </si>
  <si>
    <t>Vicentina</t>
  </si>
  <si>
    <t>MINAS GERAIS</t>
  </si>
  <si>
    <t>Ãgua Comprida</t>
  </si>
  <si>
    <t>Abadia dos Dourados</t>
  </si>
  <si>
    <t>Abre Campo</t>
  </si>
  <si>
    <t>Acaiaca</t>
  </si>
  <si>
    <t>Aguanil</t>
  </si>
  <si>
    <t>Aiuruoca</t>
  </si>
  <si>
    <t>Alagoa</t>
  </si>
  <si>
    <t>Albertina</t>
  </si>
  <si>
    <t>Alfenas</t>
  </si>
  <si>
    <t>Alfredo Vasconcelos</t>
  </si>
  <si>
    <t>Almenara</t>
  </si>
  <si>
    <t>Alpercata</t>
  </si>
  <si>
    <t>Alterosa</t>
  </si>
  <si>
    <t>Alto Rio Doce</t>
  </si>
  <si>
    <t>Alvarenga</t>
  </si>
  <si>
    <t>Alvorada de Minas</t>
  </si>
  <si>
    <t>Amparo do Serra</t>
  </si>
  <si>
    <t>Andradas</t>
  </si>
  <si>
    <t>-22.07</t>
  </si>
  <si>
    <t>Aracitaba</t>
  </si>
  <si>
    <t>Araguari</t>
  </si>
  <si>
    <t>Arantina</t>
  </si>
  <si>
    <t>Araponga</t>
  </si>
  <si>
    <t>Arceburgo</t>
  </si>
  <si>
    <t>Arcos</t>
  </si>
  <si>
    <t>Areado</t>
  </si>
  <si>
    <t>Argirita</t>
  </si>
  <si>
    <t>Aricanduva</t>
  </si>
  <si>
    <t>Arinos</t>
  </si>
  <si>
    <t>Astolfo Dutra</t>
  </si>
  <si>
    <t>Augusto de Lima</t>
  </si>
  <si>
    <t>Baependi</t>
  </si>
  <si>
    <t>Baldim</t>
  </si>
  <si>
    <t>BambuÃ­</t>
  </si>
  <si>
    <t>Bandeira</t>
  </si>
  <si>
    <t>Bandeira do Sul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</si>
  <si>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</si>
  <si>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</si>
  <si>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</si>
  <si>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</si>
  <si>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</si>
  <si>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</si>
  <si>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</si>
  <si>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</si>
  <si>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</si>
  <si>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Berizal</t>
  </si>
  <si>
    <t>Betim</t>
  </si>
  <si>
    <t>Bias Fortes</t>
  </si>
  <si>
    <t>Bicas</t>
  </si>
  <si>
    <t>Biquinhas</t>
  </si>
  <si>
    <t>Bocaina de Minas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</si>
  <si>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</si>
  <si>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</si>
  <si>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</si>
  <si>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</si>
  <si>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</si>
  <si>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</si>
  <si>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Bom Sucesso</t>
  </si>
  <si>
    <t>Bonfim</t>
  </si>
  <si>
    <t>Bonito de Minas</t>
  </si>
  <si>
    <t>Borda da Mata</t>
  </si>
  <si>
    <t>Botelhos</t>
  </si>
  <si>
    <t>Botumirim</t>
  </si>
  <si>
    <t>BrasÃ­lia de Minas</t>
  </si>
  <si>
    <t>Brumadinho</t>
  </si>
  <si>
    <t>Bugre</t>
  </si>
  <si>
    <t>Buritis</t>
  </si>
  <si>
    <t>Buritizeiro</t>
  </si>
  <si>
    <t>Cabeceira Grande</t>
  </si>
  <si>
    <t>Cabo Verde</t>
  </si>
  <si>
    <t>Cachoeira da Prata</t>
  </si>
  <si>
    <t>Cachoeira de Minas</t>
  </si>
  <si>
    <t>Caiana</t>
  </si>
  <si>
    <t>Cajuri</t>
  </si>
  <si>
    <t>Caldas</t>
  </si>
  <si>
    <t>Camacho</t>
  </si>
  <si>
    <t>Camanducaia</t>
  </si>
  <si>
    <t>CambuÃ­</t>
  </si>
  <si>
    <t>Cambuquira</t>
  </si>
  <si>
    <t>-45.29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</si>
  <si>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</si>
  <si>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</si>
  <si>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</si>
  <si>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</si>
  <si>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</si>
  <si>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</si>
  <si>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</si>
  <si>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</si>
  <si>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 Verde</t>
  </si>
  <si>
    <t>Cantagalo</t>
  </si>
  <si>
    <t>Capela Nova</t>
  </si>
  <si>
    <t>Capelinha</t>
  </si>
  <si>
    <t>Capetinga</t>
  </si>
  <si>
    <t>Capim Branco</t>
  </si>
  <si>
    <t>Caputira</t>
  </si>
  <si>
    <t>CaraÃ­</t>
  </si>
  <si>
    <t>CaranaÃ­ba</t>
  </si>
  <si>
    <t>CarandaÃ­</t>
  </si>
  <si>
    <t>Carangola</t>
  </si>
  <si>
    <t>Caratinga</t>
  </si>
  <si>
    <t>Carbonita</t>
  </si>
  <si>
    <t>Carlos Chagas</t>
  </si>
  <si>
    <t>-20.54</t>
  </si>
  <si>
    <t>Carmo da Cachoeira</t>
  </si>
  <si>
    <t>Carmo da Mata</t>
  </si>
  <si>
    <t>Carmo de Minas</t>
  </si>
  <si>
    <t>Carmo do Cajuru</t>
  </si>
  <si>
    <t>Carmo do ParanaÃ­ba</t>
  </si>
  <si>
    <t>Carmo do Rio Claro</t>
  </si>
  <si>
    <t>Carneirinho</t>
  </si>
  <si>
    <t>Carrancas</t>
  </si>
  <si>
    <t>Carvalhos</t>
  </si>
  <si>
    <t>Casa Grande</t>
  </si>
  <si>
    <t>Cascalho Rico</t>
  </si>
  <si>
    <t>Cataguases</t>
  </si>
  <si>
    <t>-42.69</t>
  </si>
  <si>
    <t>Catas Altas</t>
  </si>
  <si>
    <t>Catas Altas da Noruega</t>
  </si>
  <si>
    <t>Catuji</t>
  </si>
  <si>
    <t>Catuti</t>
  </si>
  <si>
    <t>Caxambu</t>
  </si>
  <si>
    <t>Central de Minas</t>
  </si>
  <si>
    <t>Centralina</t>
  </si>
  <si>
    <t>Chapada do Norte</t>
  </si>
  <si>
    <t>Chiador</t>
  </si>
  <si>
    <t>Claraval</t>
  </si>
  <si>
    <t>-17.08</t>
  </si>
  <si>
    <t>Coimbra</t>
  </si>
  <si>
    <t>Coluna</t>
  </si>
  <si>
    <t>-42.84</t>
  </si>
  <si>
    <t>Comendador Gomes</t>
  </si>
  <si>
    <t>Comercinho</t>
  </si>
  <si>
    <t>-45.8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</si>
  <si>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</si>
  <si>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</si>
  <si>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</si>
  <si>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</si>
  <si>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</si>
  <si>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</si>
  <si>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</si>
  <si>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Contagem</t>
  </si>
  <si>
    <t>Coqueiral</t>
  </si>
  <si>
    <t>Cordisburgo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</si>
  <si>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</si>
  <si>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</si>
  <si>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</si>
  <si>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</si>
  <si>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</si>
  <si>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</si>
  <si>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</si>
  <si>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Cristais</t>
  </si>
  <si>
    <t>Cristiano Otoni</t>
  </si>
  <si>
    <t>Cristina</t>
  </si>
  <si>
    <t>CruzÃ­lia</t>
  </si>
  <si>
    <t>Cruzeiro da Fortaleza</t>
  </si>
  <si>
    <t>Cuparaque</t>
  </si>
  <si>
    <t>Curral de Dentro</t>
  </si>
  <si>
    <t>Curvelo</t>
  </si>
  <si>
    <t>Datas</t>
  </si>
  <si>
    <t>Delfim Moreira</t>
  </si>
  <si>
    <t>Delta</t>
  </si>
  <si>
    <t>Descoberto</t>
  </si>
  <si>
    <t>Desterro de Entre Rios</t>
  </si>
  <si>
    <t>Desterro do Melo</t>
  </si>
  <si>
    <t>Diamantina</t>
  </si>
  <si>
    <t>Diogo de Vasconcelos</t>
  </si>
  <si>
    <t>DionÃ­sio</t>
  </si>
  <si>
    <t>Divino</t>
  </si>
  <si>
    <t>Divino das Laranjeiras</t>
  </si>
  <si>
    <t>Divisa Alegre</t>
  </si>
  <si>
    <t>Divisa Nova</t>
  </si>
  <si>
    <t>Dom Bosco</t>
  </si>
  <si>
    <t>Dom Cavati</t>
  </si>
  <si>
    <t>Dom Joaquim</t>
  </si>
  <si>
    <t>Dores de Campos</t>
  </si>
  <si>
    <t>Dores do Turvo</t>
  </si>
  <si>
    <t>Douradoquara</t>
  </si>
  <si>
    <t>Engenheiro Caldas</t>
  </si>
  <si>
    <t>Engenheiro Navarro</t>
  </si>
  <si>
    <t>Entre Folhas</t>
  </si>
  <si>
    <t>Entre Rios de Minas</t>
  </si>
  <si>
    <t>Esmeraldas</t>
  </si>
  <si>
    <t>EspÃ­rito Santo do Dourado</t>
  </si>
  <si>
    <t>Espera Feliz</t>
  </si>
  <si>
    <t>Espinosa</t>
  </si>
  <si>
    <t>Estiva</t>
  </si>
  <si>
    <t>Estrela Dalva</t>
  </si>
  <si>
    <t>-45.79</t>
  </si>
  <si>
    <t>Estrela do Sul</t>
  </si>
  <si>
    <t>Extrema</t>
  </si>
  <si>
    <t>Fama</t>
  </si>
  <si>
    <t>Faria Lemos</t>
  </si>
  <si>
    <t>FelÃ­cio dos Santos</t>
  </si>
  <si>
    <t>Felisburgo</t>
  </si>
  <si>
    <t>Fernandes Tourinho</t>
  </si>
  <si>
    <t>Ferros</t>
  </si>
  <si>
    <t>Fervedouro</t>
  </si>
  <si>
    <t>Florestal</t>
  </si>
  <si>
    <t>Formiga</t>
  </si>
  <si>
    <t>Fortaleza de Minas</t>
  </si>
  <si>
    <t>Fortuna de Minas</t>
  </si>
  <si>
    <t>-17.96</t>
  </si>
  <si>
    <t>Francisco Dumont</t>
  </si>
  <si>
    <t>-43.49</t>
  </si>
  <si>
    <t>Frei Gaspar</t>
  </si>
  <si>
    <t>Frei Lagonegro</t>
  </si>
  <si>
    <t>Fronteira</t>
  </si>
  <si>
    <t>Fronteira dos Vales</t>
  </si>
  <si>
    <t>Fruta de Leite</t>
  </si>
  <si>
    <t>Frutal</t>
  </si>
  <si>
    <t>Gameleiras</t>
  </si>
  <si>
    <t>Goiabeira</t>
  </si>
  <si>
    <t>Gonzaga</t>
  </si>
  <si>
    <t>Gouveia</t>
  </si>
  <si>
    <t>Governador Valadares</t>
  </si>
  <si>
    <t>Grupiara</t>
  </si>
  <si>
    <t>Guaraciaba</t>
  </si>
  <si>
    <t>Guaraciama</t>
  </si>
  <si>
    <t>Guarani</t>
  </si>
  <si>
    <t>Guarda-Mor</t>
  </si>
  <si>
    <t>Guidoval</t>
  </si>
  <si>
    <t>Guiricema</t>
  </si>
  <si>
    <t>Heliodora</t>
  </si>
  <si>
    <t>Iapu</t>
  </si>
  <si>
    <t>Ibertioga</t>
  </si>
  <si>
    <t>IbiaÃ­</t>
  </si>
  <si>
    <t>Ibiracatu</t>
  </si>
  <si>
    <t>Ibiraci</t>
  </si>
  <si>
    <t>Ibituruna</t>
  </si>
  <si>
    <t>IcaraÃ­ de Minas</t>
  </si>
  <si>
    <t>Igaratinga</t>
  </si>
  <si>
    <t>Iguatama</t>
  </si>
  <si>
    <t>Ijaci</t>
  </si>
  <si>
    <t>IlicÃ­nea</t>
  </si>
  <si>
    <t>Inconfidentes</t>
  </si>
  <si>
    <t>Indaiabira</t>
  </si>
  <si>
    <t>IngaÃ­</t>
  </si>
  <si>
    <t>Inhapim</t>
  </si>
  <si>
    <t>Inimutaba</t>
  </si>
  <si>
    <t>Ipaba</t>
  </si>
  <si>
    <t>Ipanema</t>
  </si>
  <si>
    <t>Ipatinga</t>
  </si>
  <si>
    <t>IraÃ­ de Minas</t>
  </si>
  <si>
    <t>Itabira</t>
  </si>
  <si>
    <t>Itabirinha</t>
  </si>
  <si>
    <t>Itabirito</t>
  </si>
  <si>
    <t>Itacambira</t>
  </si>
  <si>
    <t>Itacarambi</t>
  </si>
  <si>
    <t>Itaguara</t>
  </si>
  <si>
    <t>-41.67</t>
  </si>
  <si>
    <t>Itamarandiba</t>
  </si>
  <si>
    <t>Itamarati de Minas</t>
  </si>
  <si>
    <t>Itambacuri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</si>
  <si>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</si>
  <si>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</si>
  <si>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</si>
  <si>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</si>
  <si>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</si>
  <si>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</si>
  <si>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</si>
  <si>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</si>
  <si>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Itaverava</t>
  </si>
  <si>
    <t>Itinga</t>
  </si>
  <si>
    <t>Itueta</t>
  </si>
  <si>
    <t>Ituiutaba</t>
  </si>
  <si>
    <t>Itumirim</t>
  </si>
  <si>
    <t>Iturama</t>
  </si>
  <si>
    <t>Itutinga</t>
  </si>
  <si>
    <t>JaÃ­ba</t>
  </si>
  <si>
    <t>Jaboticatubas</t>
  </si>
  <si>
    <t>Jacinto</t>
  </si>
  <si>
    <t>JacuÃ­</t>
  </si>
  <si>
    <t>Jacutinga</t>
  </si>
  <si>
    <t>Jampruca</t>
  </si>
  <si>
    <t>JaparaÃ­ba</t>
  </si>
  <si>
    <t>Japonvar</t>
  </si>
  <si>
    <t>Jeceaba</t>
  </si>
  <si>
    <t>Jenipapo de Minas</t>
  </si>
  <si>
    <t>Jequeri</t>
  </si>
  <si>
    <t>JequitaÃ­</t>
  </si>
  <si>
    <t>Jequitinhonha</t>
  </si>
  <si>
    <t>JoaÃ­ma</t>
  </si>
  <si>
    <t>Joaquim FelÃ­cio</t>
  </si>
  <si>
    <t>-18.22</t>
  </si>
  <si>
    <t>Juatuba</t>
  </si>
  <si>
    <t>Juiz de Fora</t>
  </si>
  <si>
    <t>-21.76</t>
  </si>
  <si>
    <t>Juramento</t>
  </si>
  <si>
    <t>Juruaia</t>
  </si>
  <si>
    <t>JuvenÃ­lia</t>
  </si>
  <si>
    <t>-44.16</t>
  </si>
  <si>
    <t>Ladainha</t>
  </si>
  <si>
    <t>Lagamar</t>
  </si>
  <si>
    <t>Lagoa da Prata</t>
  </si>
  <si>
    <t>Lagoa dos Patos</t>
  </si>
  <si>
    <t>Lagoa Dourada</t>
  </si>
  <si>
    <t>Lagoa Formosa</t>
  </si>
  <si>
    <t>Lagoa Grande</t>
  </si>
  <si>
    <t>-43.89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</si>
  <si>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</si>
  <si>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</si>
  <si>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</si>
  <si>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</si>
  <si>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</si>
  <si>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</si>
  <si>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</si>
  <si>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</si>
  <si>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</si>
  <si>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</si>
  <si>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</si>
  <si>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</si>
  <si>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</si>
  <si>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</si>
  <si>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</si>
  <si>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</si>
  <si>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</si>
  <si>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</si>
  <si>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</si>
  <si>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</si>
  <si>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</si>
  <si>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Manhumirim</t>
  </si>
  <si>
    <t>Mantena</t>
  </si>
  <si>
    <t>Mar de Espanha</t>
  </si>
  <si>
    <t>Maravilhas</t>
  </si>
  <si>
    <t>Mariana</t>
  </si>
  <si>
    <t>Marilac</t>
  </si>
  <si>
    <t>Martinho Campos</t>
  </si>
  <si>
    <t>Martins Soares</t>
  </si>
  <si>
    <t>Mata Verde</t>
  </si>
  <si>
    <t>Mateus Leme</t>
  </si>
  <si>
    <t>Mathias Lobato</t>
  </si>
  <si>
    <t>Matias Barbosa</t>
  </si>
  <si>
    <t>Matias Cardoso</t>
  </si>
  <si>
    <t>Mato Verde</t>
  </si>
  <si>
    <t>Matozinhos</t>
  </si>
  <si>
    <t>Matutina</t>
  </si>
  <si>
    <t>Medeiros</t>
  </si>
  <si>
    <t>Medina</t>
  </si>
  <si>
    <t>Mendes Pimentel</t>
  </si>
  <si>
    <t>Mesquita</t>
  </si>
  <si>
    <t>Minas Novas</t>
  </si>
  <si>
    <t>Minduri</t>
  </si>
  <si>
    <t>MiraÃ­</t>
  </si>
  <si>
    <t>Mirabela</t>
  </si>
  <si>
    <t>Miradouro</t>
  </si>
  <si>
    <t>Moeda</t>
  </si>
  <si>
    <t>Moema</t>
  </si>
  <si>
    <t>Monjolos</t>
  </si>
  <si>
    <t>Monsenhor Paulo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</si>
  <si>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</si>
  <si>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</si>
  <si>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</si>
  <si>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</si>
  <si>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</si>
  <si>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</si>
  <si>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Montes Claros</t>
  </si>
  <si>
    <t>Montezuma</t>
  </si>
  <si>
    <t>Morada Nova de Minas</t>
  </si>
  <si>
    <t>Morro do Pilar</t>
  </si>
  <si>
    <t>Munhoz</t>
  </si>
  <si>
    <t>Mutum</t>
  </si>
  <si>
    <t>Muzambinho</t>
  </si>
  <si>
    <t>Nacip Raydan</t>
  </si>
  <si>
    <t>Nanuque</t>
  </si>
  <si>
    <t>Naque</t>
  </si>
  <si>
    <t>Nazareno</t>
  </si>
  <si>
    <t>Nepomuceno</t>
  </si>
  <si>
    <t>Ninheira</t>
  </si>
  <si>
    <t>-15.32</t>
  </si>
  <si>
    <t>Nova Era</t>
  </si>
  <si>
    <t>Nova Lima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</si>
  <si>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</si>
  <si>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</si>
  <si>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</si>
  <si>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</si>
  <si>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</si>
  <si>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</si>
  <si>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</si>
  <si>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OlÃ­mpio Noronha</t>
  </si>
  <si>
    <t>Olaria</t>
  </si>
  <si>
    <t>Olhos-d'Ãgua</t>
  </si>
  <si>
    <t>Oliveira</t>
  </si>
  <si>
    <t>Oliveira Fortes</t>
  </si>
  <si>
    <t>Ouro Fino</t>
  </si>
  <si>
    <t>Ouro Preto</t>
  </si>
  <si>
    <t>-20.38</t>
  </si>
  <si>
    <t>Ouro Verde de Minas</t>
  </si>
  <si>
    <t>Padre Carvalho</t>
  </si>
  <si>
    <t>Padre ParaÃ­so</t>
  </si>
  <si>
    <t>Pai Pedro</t>
  </si>
  <si>
    <t>Paineiras</t>
  </si>
  <si>
    <t>Pains</t>
  </si>
  <si>
    <t>Paiva</t>
  </si>
  <si>
    <t>Palma</t>
  </si>
  <si>
    <t>Papagaios</t>
  </si>
  <si>
    <t>Paracatu</t>
  </si>
  <si>
    <t>Paraopeba</t>
  </si>
  <si>
    <t>Passa Quatro</t>
  </si>
  <si>
    <t>Passa Tempo</t>
  </si>
  <si>
    <t>Passa-Vinte</t>
  </si>
  <si>
    <t>Passos</t>
  </si>
  <si>
    <t>Patis</t>
  </si>
  <si>
    <t>Patos de Minas</t>
  </si>
  <si>
    <t>PatrocÃ­nio</t>
  </si>
  <si>
    <t>Paulistas</t>
  </si>
  <si>
    <t>Pedra Azul</t>
  </si>
  <si>
    <t>Pedra Bonita</t>
  </si>
  <si>
    <t>Pedra do Anta</t>
  </si>
  <si>
    <t>Pedra Dourada</t>
  </si>
  <si>
    <t>Pedralva</t>
  </si>
  <si>
    <t>Pedras de Maria da Cruz</t>
  </si>
  <si>
    <t>Pedro Leopoldo</t>
  </si>
  <si>
    <t>Pedro Teixeira</t>
  </si>
  <si>
    <t>Pequeri</t>
  </si>
  <si>
    <t>Pequi</t>
  </si>
  <si>
    <t>-45.09</t>
  </si>
  <si>
    <t>Perdizes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</si>
  <si>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</si>
  <si>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</si>
  <si>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</si>
  <si>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</si>
  <si>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</si>
  <si>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</si>
  <si>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</si>
  <si>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</si>
  <si>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Pingo-d'Ãgua</t>
  </si>
  <si>
    <t>Piracema</t>
  </si>
  <si>
    <t>Pirajuba</t>
  </si>
  <si>
    <t>Piranga</t>
  </si>
  <si>
    <t>Piranguinho</t>
  </si>
  <si>
    <t>Pirapetinga</t>
  </si>
  <si>
    <t>Pirapora</t>
  </si>
  <si>
    <t>Pitangui</t>
  </si>
  <si>
    <t>-44.89</t>
  </si>
  <si>
    <t>Piumhi</t>
  </si>
  <si>
    <t>Planura</t>
  </si>
  <si>
    <t>Pocrane</t>
  </si>
  <si>
    <t>Ponte Nova</t>
  </si>
  <si>
    <t>Ponto Chique</t>
  </si>
  <si>
    <t>Ponto dos Volantes</t>
  </si>
  <si>
    <t>Porteirinha</t>
  </si>
  <si>
    <t>Porto Firme</t>
  </si>
  <si>
    <t>Pouso Alegre</t>
  </si>
  <si>
    <t>Pouso Alto</t>
  </si>
  <si>
    <t>Prados</t>
  </si>
  <si>
    <t>Prata</t>
  </si>
  <si>
    <t>Pratinha</t>
  </si>
  <si>
    <t>Presidente Bernardes</t>
  </si>
  <si>
    <t>Presidente Kubitschek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</si>
  <si>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</si>
  <si>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</si>
  <si>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</si>
  <si>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</si>
  <si>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</si>
  <si>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</si>
  <si>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</si>
  <si>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</si>
  <si>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</si>
  <si>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</si>
  <si>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</si>
  <si>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</si>
  <si>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Rio Acima</t>
  </si>
  <si>
    <t>Rio Casca</t>
  </si>
  <si>
    <t>Rio do Prado</t>
  </si>
  <si>
    <t>Rio Doce</t>
  </si>
  <si>
    <t>Rio Espera</t>
  </si>
  <si>
    <t>Rio Manso</t>
  </si>
  <si>
    <t>Rio Novo</t>
  </si>
  <si>
    <t>Rio ParanaÃ­ba</t>
  </si>
  <si>
    <t>Rio Pardo de Minas</t>
  </si>
  <si>
    <t>Rio Piracicaba</t>
  </si>
  <si>
    <t>Rio Pomba</t>
  </si>
  <si>
    <t>-43.17</t>
  </si>
  <si>
    <t>Rio Preto</t>
  </si>
  <si>
    <t>Rio Vermelho</t>
  </si>
  <si>
    <t>Rochedo de Minas</t>
  </si>
  <si>
    <t>Rodeiro</t>
  </si>
  <si>
    <t>Romaria</t>
  </si>
  <si>
    <t>Rubelita</t>
  </si>
  <si>
    <t>Rubim</t>
  </si>
  <si>
    <t>Sacramento</t>
  </si>
  <si>
    <t>-19.87</t>
  </si>
  <si>
    <t>Salinas</t>
  </si>
  <si>
    <t>Salto da Divisa</t>
  </si>
  <si>
    <t>-42.14</t>
  </si>
  <si>
    <t>Santa Cruz de Minas</t>
  </si>
  <si>
    <t>Santa Cruz de Salinas</t>
  </si>
  <si>
    <t>Santa Cruz do Escalvado</t>
  </si>
  <si>
    <t>Santa Helena de Minas</t>
  </si>
  <si>
    <t>Santa Juliana</t>
  </si>
  <si>
    <t>-43.85</t>
  </si>
  <si>
    <t>Santa Margarida</t>
  </si>
  <si>
    <t>Santa Maria de Itabira</t>
  </si>
  <si>
    <t>Santa Maria do Salto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</si>
  <si>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</si>
  <si>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</si>
  <si>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</si>
  <si>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</si>
  <si>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</si>
  <si>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SapucaÃ­</t>
  </si>
  <si>
    <t>Santa Rosa da Serra</t>
  </si>
  <si>
    <t>Santana da Vargem</t>
  </si>
  <si>
    <t>Santana de Cataguases</t>
  </si>
  <si>
    <t>Santana de Pirapama</t>
  </si>
  <si>
    <t>Santana do Deserto</t>
  </si>
  <si>
    <t>Santana do ParaÃ­so</t>
  </si>
  <si>
    <t>Santana do Riacho</t>
  </si>
  <si>
    <t>Santana dos Montes</t>
  </si>
  <si>
    <t>Santos Dumont</t>
  </si>
  <si>
    <t>SapucaÃ­-Mirim</t>
  </si>
  <si>
    <t>Sarzedo</t>
  </si>
  <si>
    <t>Sem-Peixe</t>
  </si>
  <si>
    <t>Senador Amaral</t>
  </si>
  <si>
    <t>Senador Cortes</t>
  </si>
  <si>
    <t>Senador Firmino</t>
  </si>
  <si>
    <t>Senhora de Oliveira</t>
  </si>
  <si>
    <t>Senhora do Porto</t>
  </si>
  <si>
    <t>Sericita</t>
  </si>
  <si>
    <t>Seritinga</t>
  </si>
  <si>
    <t>Serra Azul de Minas</t>
  </si>
  <si>
    <t>Serra da Saudade</t>
  </si>
  <si>
    <t>Serra do Salitre</t>
  </si>
  <si>
    <t>Serrania</t>
  </si>
  <si>
    <t>Serranos</t>
  </si>
  <si>
    <t>Serro</t>
  </si>
  <si>
    <t>Sete Lagoas</t>
  </si>
  <si>
    <t>Setubinha</t>
  </si>
  <si>
    <t>Soledade de Minas</t>
  </si>
  <si>
    <t>Tabuleiro</t>
  </si>
  <si>
    <t>Taiobeiras</t>
  </si>
  <si>
    <t>Taparuba</t>
  </si>
  <si>
    <t>Tapira</t>
  </si>
  <si>
    <t>TapiraÃ­</t>
  </si>
  <si>
    <t>Tarumirim</t>
  </si>
  <si>
    <t>-17.86</t>
  </si>
  <si>
    <t>Teixeiras</t>
  </si>
  <si>
    <t>Tiradentes</t>
  </si>
  <si>
    <t>Tiros</t>
  </si>
  <si>
    <t>Tocantins</t>
  </si>
  <si>
    <t>Tocos do Moji</t>
  </si>
  <si>
    <t>Toledo</t>
  </si>
  <si>
    <t>Tombos</t>
  </si>
  <si>
    <t>Tumiritinga</t>
  </si>
  <si>
    <t>Tupaciguara</t>
  </si>
  <si>
    <t>Turmalina</t>
  </si>
  <si>
    <t>UbaÃ­</t>
  </si>
  <si>
    <t>Ubaporanga</t>
  </si>
  <si>
    <t>Uberaba</t>
  </si>
  <si>
    <t>Umburatiba</t>
  </si>
  <si>
    <t>UnaÃ­</t>
  </si>
  <si>
    <t>-19.53</t>
  </si>
  <si>
    <t>Uruana de Minas</t>
  </si>
  <si>
    <t>Urucuia</t>
  </si>
  <si>
    <t>Vargem Alegre</t>
  </si>
  <si>
    <t>Vargem Bonita</t>
  </si>
  <si>
    <t>Vargem Grande do Rio Pardo</t>
  </si>
  <si>
    <t>Varginha</t>
  </si>
  <si>
    <t>Vazante</t>
  </si>
  <si>
    <t>VerÃ­ssimo</t>
  </si>
  <si>
    <t>Veredinha</t>
  </si>
  <si>
    <t>Vermelho Novo</t>
  </si>
  <si>
    <t>Vespasiano</t>
  </si>
  <si>
    <t>Vieiras</t>
  </si>
  <si>
    <t>VirgÃ­nia</t>
  </si>
  <si>
    <t>Virgem da Lapa</t>
  </si>
  <si>
    <t>Visconde do Rio Branco</t>
  </si>
  <si>
    <t>Volta Grande</t>
  </si>
  <si>
    <t>Wenceslau Braz</t>
  </si>
  <si>
    <t>PARA</t>
  </si>
  <si>
    <t>Ã“bidos</t>
  </si>
  <si>
    <t>Ãgua Azul do Norte</t>
  </si>
  <si>
    <t>Abaetetuba</t>
  </si>
  <si>
    <t>Abel Figueiredo</t>
  </si>
  <si>
    <t>-0.1552</t>
  </si>
  <si>
    <t>Alenquer</t>
  </si>
  <si>
    <t>Almeirim</t>
  </si>
  <si>
    <t>Altamira</t>
  </si>
  <si>
    <t>-0.9972</t>
  </si>
  <si>
    <t>Ananindeua</t>
  </si>
  <si>
    <t>Anapu</t>
  </si>
  <si>
    <t>Aveiro</t>
  </si>
  <si>
    <t>Bagre</t>
  </si>
  <si>
    <t>Bannach</t>
  </si>
  <si>
    <t>Barcarena</t>
  </si>
  <si>
    <t>Belterra</t>
  </si>
  <si>
    <t>Benevides</t>
  </si>
  <si>
    <t>Bom Jesus do Tocantins</t>
  </si>
  <si>
    <t>Brasil Novo</t>
  </si>
  <si>
    <t>Brejo Grande do Araguaia</t>
  </si>
  <si>
    <t>Breu Branco</t>
  </si>
  <si>
    <t>Breves</t>
  </si>
  <si>
    <t>Bujaru</t>
  </si>
  <si>
    <t>Cachoeira do Arari</t>
  </si>
  <si>
    <t>Capanema</t>
  </si>
  <si>
    <t>Castanhal</t>
  </si>
  <si>
    <t>Chaves</t>
  </si>
  <si>
    <t>-0.1645</t>
  </si>
  <si>
    <t>Colares</t>
  </si>
  <si>
    <t>-0.9328</t>
  </si>
  <si>
    <t>Cumaru do Norte</t>
  </si>
  <si>
    <t>Curralinho</t>
  </si>
  <si>
    <t>-0.7336</t>
  </si>
  <si>
    <t>Dom Eliseu</t>
  </si>
  <si>
    <t>Faro</t>
  </si>
  <si>
    <t>Floresta do Araguaia</t>
  </si>
  <si>
    <t>Inhangapi</t>
  </si>
  <si>
    <t>Irituia</t>
  </si>
  <si>
    <t>Itaituba</t>
  </si>
  <si>
    <t>Itupiranga</t>
  </si>
  <si>
    <t>Jacareacanga</t>
  </si>
  <si>
    <t>Juruti</t>
  </si>
  <si>
    <t>Limoeiro do Ajuru</t>
  </si>
  <si>
    <t>-0.7975</t>
  </si>
  <si>
    <t>-0.7715</t>
  </si>
  <si>
    <t>Marapanim</t>
  </si>
  <si>
    <t>-0.7114</t>
  </si>
  <si>
    <t>Marituba</t>
  </si>
  <si>
    <t>Mocajuba</t>
  </si>
  <si>
    <t>Moju</t>
  </si>
  <si>
    <t>MojuÃ­ dos Campos</t>
  </si>
  <si>
    <t>Monte Alegre</t>
  </si>
  <si>
    <t>Nova Ipixuna</t>
  </si>
  <si>
    <t>Nova Timboteua</t>
  </si>
  <si>
    <t>Novo Progresso</t>
  </si>
  <si>
    <t>Novo Repartimento</t>
  </si>
  <si>
    <t>Paragominas</t>
  </si>
  <si>
    <t>Parauapebas</t>
  </si>
  <si>
    <t>Pau D'Arco</t>
  </si>
  <si>
    <t>Peixe-Boi</t>
  </si>
  <si>
    <t>Placas</t>
  </si>
  <si>
    <t>Ponta de Pedras</t>
  </si>
  <si>
    <t>Portel</t>
  </si>
  <si>
    <t>Porto de Moz</t>
  </si>
  <si>
    <t>Prainha</t>
  </si>
  <si>
    <t>Primavera</t>
  </si>
  <si>
    <t>-0.9458</t>
  </si>
  <si>
    <t>Quatipuru</t>
  </si>
  <si>
    <t>-0.8948</t>
  </si>
  <si>
    <t>Rio Maria</t>
  </si>
  <si>
    <t>-0.7481</t>
  </si>
  <si>
    <t>-0.8513</t>
  </si>
  <si>
    <t>-0.7806</t>
  </si>
  <si>
    <t>-0.6314</t>
  </si>
  <si>
    <t>Salvaterra</t>
  </si>
  <si>
    <t>-0.7588</t>
  </si>
  <si>
    <t>Santa Cruz do Arari</t>
  </si>
  <si>
    <t>-0.6614</t>
  </si>
  <si>
    <t>Santa Maria das Barreiras</t>
  </si>
  <si>
    <t>Santana do Araguaia</t>
  </si>
  <si>
    <t>-54.7</t>
  </si>
  <si>
    <t>-0.929</t>
  </si>
  <si>
    <t>Sapucaia</t>
  </si>
  <si>
    <t>Soure</t>
  </si>
  <si>
    <t>-0.7237</t>
  </si>
  <si>
    <t>Terra Alta</t>
  </si>
  <si>
    <t>Terra Santa</t>
  </si>
  <si>
    <t>Tracuateua</t>
  </si>
  <si>
    <t>TucuruÃ­</t>
  </si>
  <si>
    <t>Vigia</t>
  </si>
  <si>
    <t>-0.8616</t>
  </si>
  <si>
    <t>Viseu</t>
  </si>
  <si>
    <t>Xinguara</t>
  </si>
  <si>
    <t>PARAIBA</t>
  </si>
  <si>
    <t>Ãgua Branca</t>
  </si>
  <si>
    <t>Aguiar</t>
  </si>
  <si>
    <t>Alagoa Grande</t>
  </si>
  <si>
    <t>Alagoa Nova</t>
  </si>
  <si>
    <t>Alagoinha</t>
  </si>
  <si>
    <t>Alcantil</t>
  </si>
  <si>
    <t>Alhandra</t>
  </si>
  <si>
    <t>Amparo</t>
  </si>
  <si>
    <t>Aparecida</t>
  </si>
  <si>
    <t>Arara</t>
  </si>
  <si>
    <t>Araruna</t>
  </si>
  <si>
    <t>Areia</t>
  </si>
  <si>
    <t>Areial</t>
  </si>
  <si>
    <t>Aroeiras</t>
  </si>
  <si>
    <t>Bananeiras</t>
  </si>
  <si>
    <t>Barra de Santa Rosa</t>
  </si>
  <si>
    <t>Barra de Santana</t>
  </si>
  <si>
    <t>Bayeux</t>
  </si>
  <si>
    <t>Bernardino Batista</t>
  </si>
  <si>
    <t>Boa Ventura</t>
  </si>
  <si>
    <t>Boa Vista</t>
  </si>
  <si>
    <t>Bom Jesus</t>
  </si>
  <si>
    <t>Borborema</t>
  </si>
  <si>
    <t>Brejo do Cruz</t>
  </si>
  <si>
    <t>Brejo dos Santos</t>
  </si>
  <si>
    <t>Cabaceiras</t>
  </si>
  <si>
    <t>Cabedelo</t>
  </si>
  <si>
    <t>Cachoeira dos Ãndios</t>
  </si>
  <si>
    <t>Cacimba de Areia</t>
  </si>
  <si>
    <t>Cacimba de Dentro</t>
  </si>
  <si>
    <t>Cacimbas</t>
  </si>
  <si>
    <t>Cajazeiras</t>
  </si>
  <si>
    <t>Cajazeirinhas</t>
  </si>
  <si>
    <t>Campina Grande</t>
  </si>
  <si>
    <t>Capim</t>
  </si>
  <si>
    <t>Carrapateira</t>
  </si>
  <si>
    <t>Casserengue</t>
  </si>
  <si>
    <t>-6.78</t>
  </si>
  <si>
    <t>Catingueira</t>
  </si>
  <si>
    <t>-7.42</t>
  </si>
  <si>
    <t>Condado</t>
  </si>
  <si>
    <t>Congo</t>
  </si>
  <si>
    <t>Coremas</t>
  </si>
  <si>
    <t>Coxixola</t>
  </si>
  <si>
    <t>Cruz do EspÃ­rito Santo</t>
  </si>
  <si>
    <t>Cubati</t>
  </si>
  <si>
    <t>Cuitegi</t>
  </si>
  <si>
    <t>Curral de Cima</t>
  </si>
  <si>
    <t>Curral Velho</t>
  </si>
  <si>
    <t>Desterro</t>
  </si>
  <si>
    <t>Diamante</t>
  </si>
  <si>
    <t>Duas Estradas</t>
  </si>
  <si>
    <t>Emas</t>
  </si>
  <si>
    <t>Fagundes</t>
  </si>
  <si>
    <t>Frei Martinho</t>
  </si>
  <si>
    <t>Gado Bravo</t>
  </si>
  <si>
    <t>Guarabira</t>
  </si>
  <si>
    <t>Ibiara</t>
  </si>
  <si>
    <t>-7.48</t>
  </si>
  <si>
    <t>Igaracy</t>
  </si>
  <si>
    <t>Imaculada</t>
  </si>
  <si>
    <t>Itabaiana</t>
  </si>
  <si>
    <t>Itaporanga</t>
  </si>
  <si>
    <t>Itapororoca</t>
  </si>
  <si>
    <t>Itatuba</t>
  </si>
  <si>
    <t>Joca Claudino</t>
  </si>
  <si>
    <t>Juazeirinho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</si>
  <si>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</si>
  <si>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</si>
  <si>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</si>
  <si>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</si>
  <si>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</si>
  <si>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</si>
  <si>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</si>
  <si>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</si>
  <si>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</si>
  <si>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Malta</t>
  </si>
  <si>
    <t>Mamanguape</t>
  </si>
  <si>
    <t>ManaÃ­ra</t>
  </si>
  <si>
    <t>Mari</t>
  </si>
  <si>
    <t>Massaranduba</t>
  </si>
  <si>
    <t>Mataraca</t>
  </si>
  <si>
    <t>Matinhas</t>
  </si>
  <si>
    <t>Mato Grosso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</si>
  <si>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</si>
  <si>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</si>
  <si>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</si>
  <si>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</si>
  <si>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</si>
  <si>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</si>
  <si>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</si>
  <si>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</si>
  <si>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d'Ãgua</t>
  </si>
  <si>
    <t>Olivedos</t>
  </si>
  <si>
    <t>Ouro Velho</t>
  </si>
  <si>
    <t>Parari</t>
  </si>
  <si>
    <t>Passagem</t>
  </si>
  <si>
    <t>Patos</t>
  </si>
  <si>
    <t>Paulista</t>
  </si>
  <si>
    <t>Pedra Lavrada</t>
  </si>
  <si>
    <t>Pedras de Fogo</t>
  </si>
  <si>
    <t>PicuÃ­</t>
  </si>
  <si>
    <t>-36.35</t>
  </si>
  <si>
    <t>Pirpirituba</t>
  </si>
  <si>
    <t>Pitimbu</t>
  </si>
  <si>
    <t>Pocinhos</t>
  </si>
  <si>
    <t>Pombal</t>
  </si>
  <si>
    <t>Princesa Isabel</t>
  </si>
  <si>
    <t>Quixaba</t>
  </si>
  <si>
    <t>RemÃ­gio</t>
  </si>
  <si>
    <t>Riacho dos Cavalos</t>
  </si>
  <si>
    <t>Rio Tinto</t>
  </si>
  <si>
    <t>Salgadinho</t>
  </si>
  <si>
    <t>Santa CecÃ­lia</t>
  </si>
  <si>
    <t>Santa Cruz</t>
  </si>
  <si>
    <t>Santana de Mangueira</t>
  </si>
  <si>
    <t>Santana dos Garrotes</t>
  </si>
  <si>
    <t>Serra Branca</t>
  </si>
  <si>
    <t>Serra da Raiz</t>
  </si>
  <si>
    <t>Serra Grande</t>
  </si>
  <si>
    <t>Serra Redonda</t>
  </si>
  <si>
    <t>Serraria</t>
  </si>
  <si>
    <t>Sobrado</t>
  </si>
  <si>
    <t>Soledade</t>
  </si>
  <si>
    <t>Sousa</t>
  </si>
  <si>
    <t>Tacima</t>
  </si>
  <si>
    <t>Tavares</t>
  </si>
  <si>
    <t>Teixeira</t>
  </si>
  <si>
    <t>Triunfo</t>
  </si>
  <si>
    <t>Umbuzeiro</t>
  </si>
  <si>
    <t>Vista Serrana</t>
  </si>
  <si>
    <t>PARANÁ</t>
  </si>
  <si>
    <t>Ã‚ngulo</t>
  </si>
  <si>
    <t>Agudos do Sul</t>
  </si>
  <si>
    <t>Alto ParaÃ­so</t>
  </si>
  <si>
    <t>Alto Piquiri</t>
  </si>
  <si>
    <t>Alvorada do Sul</t>
  </si>
  <si>
    <t>Anahy</t>
  </si>
  <si>
    <t>Antonina</t>
  </si>
  <si>
    <t>Apucarana</t>
  </si>
  <si>
    <t>Arapongas</t>
  </si>
  <si>
    <t>Arapoti</t>
  </si>
  <si>
    <t>Ariranha do IvaÃ­</t>
  </si>
  <si>
    <t>AssaÃ­</t>
  </si>
  <si>
    <t>Assis Chateaubriand</t>
  </si>
  <si>
    <t>Astorga</t>
  </si>
  <si>
    <t>Balsa Nova</t>
  </si>
  <si>
    <t>Barbosa Ferraz</t>
  </si>
  <si>
    <t>Bela Vista da Caroba</t>
  </si>
  <si>
    <t>Bela Vista do ParaÃ­so</t>
  </si>
  <si>
    <t>Bituruna</t>
  </si>
  <si>
    <t>Boa Vista da Aparecida</t>
  </si>
  <si>
    <t>Bom Jesus do Sul</t>
  </si>
  <si>
    <t>Bom Sucesso do Sul</t>
  </si>
  <si>
    <t>Braganey</t>
  </si>
  <si>
    <t>Cafeara</t>
  </si>
  <si>
    <t>Cafezal do Sul</t>
  </si>
  <si>
    <t>Cambira</t>
  </si>
  <si>
    <t>Campina da Lagoa</t>
  </si>
  <si>
    <t>Campina Grande do Sul</t>
  </si>
  <si>
    <t>Campo Bonito</t>
  </si>
  <si>
    <t>Campo do Tenente</t>
  </si>
  <si>
    <t>Campo Largo</t>
  </si>
  <si>
    <t>Campo Magro</t>
  </si>
  <si>
    <t>CarambeÃ­</t>
  </si>
  <si>
    <t>Castro</t>
  </si>
  <si>
    <t>Catanduvas</t>
  </si>
  <si>
    <t>Cerro Azul</t>
  </si>
  <si>
    <t>Chopinzinho</t>
  </si>
  <si>
    <t>Cianorte</t>
  </si>
  <si>
    <t>Colombo</t>
  </si>
  <si>
    <t>Colorado</t>
  </si>
  <si>
    <t>Congonhinhas</t>
  </si>
  <si>
    <t>Conselheiro Mairinck</t>
  </si>
  <si>
    <t>Contenda</t>
  </si>
  <si>
    <t>Coronel Domingos Soares</t>
  </si>
  <si>
    <t>Coronel Vivida</t>
  </si>
  <si>
    <t>CorumbataÃ­ do Sul</t>
  </si>
  <si>
    <t>Cruz Machado</t>
  </si>
  <si>
    <t>Cruzeiro do Oeste</t>
  </si>
  <si>
    <t>Cruzmaltina</t>
  </si>
  <si>
    <t>Curitiba</t>
  </si>
  <si>
    <t>Diamante do Norte</t>
  </si>
  <si>
    <t>-52.86</t>
  </si>
  <si>
    <t>Diamante do Sul</t>
  </si>
  <si>
    <t>Diamante D'Oeste</t>
  </si>
  <si>
    <t>Dois Vizinhos</t>
  </si>
  <si>
    <t>Doutor Camargo</t>
  </si>
  <si>
    <t>Doutor Ulysses</t>
  </si>
  <si>
    <t>Entre Rios do Oeste</t>
  </si>
  <si>
    <t>Farol</t>
  </si>
  <si>
    <t>Faxinal</t>
  </si>
  <si>
    <t>Fazenda Rio Grande</t>
  </si>
  <si>
    <t>Fernandes Pinheiro</t>
  </si>
  <si>
    <t>Figueira</t>
  </si>
  <si>
    <t>Flor da Serra do Sul</t>
  </si>
  <si>
    <t>FloraÃ­</t>
  </si>
  <si>
    <t>Floresta</t>
  </si>
  <si>
    <t>Formosa do Oeste</t>
  </si>
  <si>
    <t>Francisco Alves</t>
  </si>
  <si>
    <t>Godoy Moreira</t>
  </si>
  <si>
    <t>Goioxim</t>
  </si>
  <si>
    <t>Grandes Rios</t>
  </si>
  <si>
    <t>GuaÃ­ra</t>
  </si>
  <si>
    <t>Guamiranga</t>
  </si>
  <si>
    <t>Guapirama</t>
  </si>
  <si>
    <t>Guaporema</t>
  </si>
  <si>
    <t>Guaraci</t>
  </si>
  <si>
    <t>Guarapuava</t>
  </si>
  <si>
    <t>Guaratuba</t>
  </si>
  <si>
    <t>Ibaiti</t>
  </si>
  <si>
    <t>Ibema</t>
  </si>
  <si>
    <t>IcaraÃ­ma</t>
  </si>
  <si>
    <t>Imbituva</t>
  </si>
  <si>
    <t>Ipiranga</t>
  </si>
  <si>
    <t>Iracema do Oeste</t>
  </si>
  <si>
    <t>Irati</t>
  </si>
  <si>
    <t>Iretama</t>
  </si>
  <si>
    <t>Itapejara d'Oeste</t>
  </si>
  <si>
    <t>IvaÃ­</t>
  </si>
  <si>
    <t>Ivatuba</t>
  </si>
  <si>
    <t>Jaboti</t>
  </si>
  <si>
    <t>Jacarezinho</t>
  </si>
  <si>
    <t>JaguariaÃ­va</t>
  </si>
  <si>
    <t>Jandaia do Sul</t>
  </si>
  <si>
    <t>Japira</t>
  </si>
  <si>
    <t>Jardim Alegre</t>
  </si>
  <si>
    <t>Jardim Olinda</t>
  </si>
  <si>
    <t>Jataizinho</t>
  </si>
  <si>
    <t>JesuÃ­tas</t>
  </si>
  <si>
    <t>JundiaÃ­ do Sul</t>
  </si>
  <si>
    <t>-50.25</t>
  </si>
  <si>
    <t>Juranda</t>
  </si>
  <si>
    <t>Lapa</t>
  </si>
  <si>
    <t>Laranjeiras do Sul</t>
  </si>
  <si>
    <t>-23.08</t>
  </si>
  <si>
    <t>Lindoeste</t>
  </si>
  <si>
    <t>Loanda</t>
  </si>
  <si>
    <t>Lobato</t>
  </si>
  <si>
    <t>Londrina</t>
  </si>
  <si>
    <t>Luiziana</t>
  </si>
  <si>
    <t>Lunardelli</t>
  </si>
  <si>
    <t>Mallet</t>
  </si>
  <si>
    <t>Mandaguari</t>
  </si>
  <si>
    <t>Mandirituba</t>
  </si>
  <si>
    <t>Mangueirinha</t>
  </si>
  <si>
    <t>Manoel Ribas</t>
  </si>
  <si>
    <t>Maria Helena</t>
  </si>
  <si>
    <t>Marialva</t>
  </si>
  <si>
    <t>Marilena</t>
  </si>
  <si>
    <t>Mariluz</t>
  </si>
  <si>
    <t>Marmeleiro</t>
  </si>
  <si>
    <t>Marquinho</t>
  </si>
  <si>
    <t>Marumbi</t>
  </si>
  <si>
    <t>-25.25</t>
  </si>
  <si>
    <t>Matinhos</t>
  </si>
  <si>
    <t>Mato Rico</t>
  </si>
  <si>
    <t>-24.7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</si>
  <si>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</si>
  <si>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</si>
  <si>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</si>
  <si>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</si>
  <si>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</si>
  <si>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</si>
  <si>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</si>
  <si>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Nova Cantu</t>
  </si>
  <si>
    <t>Nova Laranjeiras</t>
  </si>
  <si>
    <t>Nova Londrina</t>
  </si>
  <si>
    <t>Nova Santa Rosa</t>
  </si>
  <si>
    <t>Nova Tebas</t>
  </si>
  <si>
    <t>Novo Itacolomi</t>
  </si>
  <si>
    <t>Ortigueira</t>
  </si>
  <si>
    <t>Ourizona</t>
  </si>
  <si>
    <t>Ouro Verde do Oeste</t>
  </si>
  <si>
    <t>Palmas</t>
  </si>
  <si>
    <t>Palmeira</t>
  </si>
  <si>
    <t>Palmital</t>
  </si>
  <si>
    <t>Palotina</t>
  </si>
  <si>
    <t>ParaÃ­so do Norte</t>
  </si>
  <si>
    <t>Paranacity</t>
  </si>
  <si>
    <t>Paranapoema</t>
  </si>
  <si>
    <t>ParanavaÃ­</t>
  </si>
  <si>
    <t>Pato Bragado</t>
  </si>
  <si>
    <t>Pato Branco</t>
  </si>
  <si>
    <t>Paula Freitas</t>
  </si>
  <si>
    <t>Paulo Frontin</t>
  </si>
  <si>
    <t>Peabiru</t>
  </si>
  <si>
    <t>Perobal</t>
  </si>
  <si>
    <t>Pinhais</t>
  </si>
  <si>
    <t>PiraÃ­ do Sul</t>
  </si>
  <si>
    <t>Piraquara</t>
  </si>
  <si>
    <t>Pitanga</t>
  </si>
  <si>
    <t>Pitangueiras</t>
  </si>
  <si>
    <t>Ponta Grossa</t>
  </si>
  <si>
    <t>Porecatu</t>
  </si>
  <si>
    <t>Porto Amazonas</t>
  </si>
  <si>
    <t>Porto Barreiro</t>
  </si>
  <si>
    <t>Porto Rico</t>
  </si>
  <si>
    <t>Prado Ferreira</t>
  </si>
  <si>
    <t>Pranchita</t>
  </si>
  <si>
    <t>Presidente Castelo Branco</t>
  </si>
  <si>
    <t>Primeiro de Maio</t>
  </si>
  <si>
    <t>Quatro Barras</t>
  </si>
  <si>
    <t>Quatro Pontes</t>
  </si>
  <si>
    <t>Quinta do Sol</t>
  </si>
  <si>
    <t>Quitandinha</t>
  </si>
  <si>
    <t>Rancho Alegre</t>
  </si>
  <si>
    <t>Rancho Alegre D'Oeste</t>
  </si>
  <si>
    <t>Realeza</t>
  </si>
  <si>
    <t>Reserva</t>
  </si>
  <si>
    <t>Rio Azul</t>
  </si>
  <si>
    <t>Rio Bom</t>
  </si>
  <si>
    <t>Rio Branco do IvaÃ­</t>
  </si>
  <si>
    <t>Rio Branco do Sul</t>
  </si>
  <si>
    <t>Roncador</t>
  </si>
  <si>
    <t>Rondon</t>
  </si>
  <si>
    <t>Salgado Filho</t>
  </si>
  <si>
    <t>Salto do Lontra</t>
  </si>
  <si>
    <t>Santa Cruz de Monte Castelo</t>
  </si>
  <si>
    <t>Santa Isabel do IvaÃ­</t>
  </si>
  <si>
    <t>Santa Izabel do Oeste</t>
  </si>
  <si>
    <t>Santa Maria do Oeste</t>
  </si>
  <si>
    <t>-51.87</t>
  </si>
  <si>
    <t>Santa Mariana</t>
  </si>
  <si>
    <t>Santa Tereza do Oeste</t>
  </si>
  <si>
    <t>Santa Terezinha de Itaipu</t>
  </si>
  <si>
    <t>Sapopema</t>
  </si>
  <si>
    <t>Sarandi</t>
  </si>
  <si>
    <t>Sertaneja</t>
  </si>
  <si>
    <t>Siqueira Campos</t>
  </si>
  <si>
    <t>Sulina</t>
  </si>
  <si>
    <t>Tamarana</t>
  </si>
  <si>
    <t>Tamboara</t>
  </si>
  <si>
    <t>Tapejara</t>
  </si>
  <si>
    <t>Teixeira Soares</t>
  </si>
  <si>
    <t>Terra Boa</t>
  </si>
  <si>
    <t>Terra Rica</t>
  </si>
  <si>
    <t>Terra Roxa</t>
  </si>
  <si>
    <t>Tibagi</t>
  </si>
  <si>
    <t>Tijucas do Sul</t>
  </si>
  <si>
    <t>Tomazina</t>
  </si>
  <si>
    <t>Tuneiras do Oeste</t>
  </si>
  <si>
    <t>Turvo</t>
  </si>
  <si>
    <t>Umuarama</t>
  </si>
  <si>
    <t>Uniflor</t>
  </si>
  <si>
    <t>UraÃ­</t>
  </si>
  <si>
    <t>Ventania</t>
  </si>
  <si>
    <t>Vera Cruz do Oeste</t>
  </si>
  <si>
    <t>Virmond</t>
  </si>
  <si>
    <t>Vitorino</t>
  </si>
  <si>
    <t>PERNAMBUCO</t>
  </si>
  <si>
    <t>Ãgua Preta</t>
  </si>
  <si>
    <t>Abreu e Lima</t>
  </si>
  <si>
    <t>Afogados da Ingazeira</t>
  </si>
  <si>
    <t>Agrestina</t>
  </si>
  <si>
    <t>Altinho</t>
  </si>
  <si>
    <t>Amaraji</t>
  </si>
  <si>
    <t>Angelim</t>
  </si>
  <si>
    <t>Araripina</t>
  </si>
  <si>
    <t>Arcoverde</t>
  </si>
  <si>
    <t>Barra de Guabiraba</t>
  </si>
  <si>
    <t>Barreiros</t>
  </si>
  <si>
    <t>Belo Jardim</t>
  </si>
  <si>
    <t>Bezerros</t>
  </si>
  <si>
    <t>Bom Conselho</t>
  </si>
  <si>
    <t>Brejinho</t>
  </si>
  <si>
    <t>Brejo da Madre de Deus</t>
  </si>
  <si>
    <t>BuÃ­que</t>
  </si>
  <si>
    <t>Buenos Aires</t>
  </si>
  <si>
    <t>Cabo de Santo Agostinho</t>
  </si>
  <si>
    <t>Cachoeirinha</t>
  </si>
  <si>
    <t>Calumbi</t>
  </si>
  <si>
    <t>Camaragibe</t>
  </si>
  <si>
    <t>Camutanga</t>
  </si>
  <si>
    <t>Canhotinho</t>
  </si>
  <si>
    <t>Capoeiras</t>
  </si>
  <si>
    <t>CarnaÃ­ba</t>
  </si>
  <si>
    <t>Carnaubeira da Penha</t>
  </si>
  <si>
    <t>Carpina</t>
  </si>
  <si>
    <t>Caruaru</t>
  </si>
  <si>
    <t>Casinhas</t>
  </si>
  <si>
    <t>Catende</t>
  </si>
  <si>
    <t>Correntes</t>
  </si>
  <si>
    <t>Cumaru</t>
  </si>
  <si>
    <t>Cupira</t>
  </si>
  <si>
    <t>Dormentes</t>
  </si>
  <si>
    <t>Escada</t>
  </si>
  <si>
    <t>Exu</t>
  </si>
  <si>
    <t>Feira Nova</t>
  </si>
  <si>
    <t>Ferreiros</t>
  </si>
  <si>
    <t>Flores</t>
  </si>
  <si>
    <t>Frei Miguelinho</t>
  </si>
  <si>
    <t>Gameleira</t>
  </si>
  <si>
    <t>Garanhuns</t>
  </si>
  <si>
    <t>Goiana</t>
  </si>
  <si>
    <t>Granito</t>
  </si>
  <si>
    <t>Iati</t>
  </si>
  <si>
    <t>Ibimirim</t>
  </si>
  <si>
    <t>Ibirajuba</t>
  </si>
  <si>
    <t>Igarassu</t>
  </si>
  <si>
    <t>Iguaracy</t>
  </si>
  <si>
    <t>-8.9</t>
  </si>
  <si>
    <t>Ingazeira</t>
  </si>
  <si>
    <t>Ipojuca</t>
  </si>
  <si>
    <t>Ipubi</t>
  </si>
  <si>
    <t>ItaÃ­ba</t>
  </si>
  <si>
    <t>Itacuruba</t>
  </si>
  <si>
    <t>Itapetim</t>
  </si>
  <si>
    <t>Itapissuma</t>
  </si>
  <si>
    <t>Itaquitinga</t>
  </si>
  <si>
    <t>Jaqueira</t>
  </si>
  <si>
    <t>Joaquim Nabuco</t>
  </si>
  <si>
    <t>Jucati</t>
  </si>
  <si>
    <t>Jupi</t>
  </si>
  <si>
    <t>Jurema</t>
  </si>
  <si>
    <t>Lagoa do Carro</t>
  </si>
  <si>
    <t>Lagoa do Itaenga</t>
  </si>
  <si>
    <t>Lagoa do Ouro</t>
  </si>
  <si>
    <t>Lagoa dos Gatos</t>
  </si>
  <si>
    <t>Lajedo</t>
  </si>
  <si>
    <t>Limoeiro</t>
  </si>
  <si>
    <t>Macaparana</t>
  </si>
  <si>
    <t>-35.45</t>
  </si>
  <si>
    <t>Machados</t>
  </si>
  <si>
    <t>Manari</t>
  </si>
  <si>
    <t>Maraial</t>
  </si>
  <si>
    <t>Mirandiba</t>
  </si>
  <si>
    <t>Moreno</t>
  </si>
  <si>
    <t>Olinda</t>
  </si>
  <si>
    <t>Ouricuri</t>
  </si>
  <si>
    <t>Palmares</t>
  </si>
  <si>
    <t>Palmeirina</t>
  </si>
  <si>
    <t>Panelas</t>
  </si>
  <si>
    <t>Paranatama</t>
  </si>
  <si>
    <t>Parnamirim</t>
  </si>
  <si>
    <t>Passira</t>
  </si>
  <si>
    <t>Paudalho</t>
  </si>
  <si>
    <t>Pedra</t>
  </si>
  <si>
    <t>-8.5</t>
  </si>
  <si>
    <t>Pesqueira</t>
  </si>
  <si>
    <t>-38.29</t>
  </si>
  <si>
    <t>Petrolina</t>
  </si>
  <si>
    <t>Pombos</t>
  </si>
  <si>
    <t>Recife</t>
  </si>
  <si>
    <t>Riacho das Almas</t>
  </si>
  <si>
    <t>-8.51</t>
  </si>
  <si>
    <t>Rio Formoso</t>
  </si>
  <si>
    <t>Salgueiro</t>
  </si>
  <si>
    <t>Santa Cruz da Baixa Verde</t>
  </si>
  <si>
    <t>Santa Cruz do Capibaribe</t>
  </si>
  <si>
    <t>Santa Filomena</t>
  </si>
  <si>
    <t>Santa Maria da Boa Vista</t>
  </si>
  <si>
    <t>Serra Talhada</t>
  </si>
  <si>
    <t>Serrita</t>
  </si>
  <si>
    <t>Surubim</t>
  </si>
  <si>
    <t>Tabira</t>
  </si>
  <si>
    <t>Tacaratu</t>
  </si>
  <si>
    <t>Taquaritinga do Norte</t>
  </si>
  <si>
    <t>Terezinha</t>
  </si>
  <si>
    <t>Toritama</t>
  </si>
  <si>
    <t>Tupanatinga</t>
  </si>
  <si>
    <t>Tuparetama</t>
  </si>
  <si>
    <t>-37.31</t>
  </si>
  <si>
    <t>Venturosa</t>
  </si>
  <si>
    <t>Verdejante</t>
  </si>
  <si>
    <t>Vertentes</t>
  </si>
  <si>
    <t>PIAUI</t>
  </si>
  <si>
    <t>Alagoinha do PiauÃ­</t>
  </si>
  <si>
    <t>Alegrete do PiauÃ­</t>
  </si>
  <si>
    <t>Altos</t>
  </si>
  <si>
    <t>Amarante</t>
  </si>
  <si>
    <t>AnÃ­sio de Abreu</t>
  </si>
  <si>
    <t>Angical do PiauÃ­</t>
  </si>
  <si>
    <t>Aroazes</t>
  </si>
  <si>
    <t>Aroeiras do Itaim</t>
  </si>
  <si>
    <t>Arraial</t>
  </si>
  <si>
    <t>Avelino Lopes</t>
  </si>
  <si>
    <t>Baixa Grande do Ribeiro</t>
  </si>
  <si>
    <t>Barras</t>
  </si>
  <si>
    <t>Barreiras do PiauÃ­</t>
  </si>
  <si>
    <t>Barro Duro</t>
  </si>
  <si>
    <t>Bela Vista do PiauÃ­</t>
  </si>
  <si>
    <t>Beneditinos</t>
  </si>
  <si>
    <t>BertolÃ­nia</t>
  </si>
  <si>
    <t>Boa Hora</t>
  </si>
  <si>
    <t>Bocaina</t>
  </si>
  <si>
    <t>Bom PrincÃ­pio do PiauÃ­</t>
  </si>
  <si>
    <t>Bonfim do PiauÃ­</t>
  </si>
  <si>
    <t>Brasileira</t>
  </si>
  <si>
    <t>Brejo do PiauÃ­</t>
  </si>
  <si>
    <t>Buriti dos Lopes</t>
  </si>
  <si>
    <t>Buriti dos Montes</t>
  </si>
  <si>
    <t>Cabeceiras do PiauÃ­</t>
  </si>
  <si>
    <t>Cajazeiras do PiauÃ­</t>
  </si>
  <si>
    <t>Cajueiro da Praia</t>
  </si>
  <si>
    <t>Campinas do PiauÃ­</t>
  </si>
  <si>
    <t>Campo Alegre do Fidalgo</t>
  </si>
  <si>
    <t>Campo Grande do PiauÃ­</t>
  </si>
  <si>
    <t>Campo Largo do PiauÃ­</t>
  </si>
  <si>
    <t>Campo Maior</t>
  </si>
  <si>
    <t>Canavieira</t>
  </si>
  <si>
    <t>Canto do Buriti</t>
  </si>
  <si>
    <t>Caridade do PiauÃ­</t>
  </si>
  <si>
    <t>Castelo do PiauÃ­</t>
  </si>
  <si>
    <t>Cocal</t>
  </si>
  <si>
    <t>Cocal de Telha</t>
  </si>
  <si>
    <t>Cocal dos Alves</t>
  </si>
  <si>
    <t>Coivaras</t>
  </si>
  <si>
    <t>Corrente</t>
  </si>
  <si>
    <t>Cristino Castro</t>
  </si>
  <si>
    <t>Currais</t>
  </si>
  <si>
    <t>Curral Novo do PiauÃ­</t>
  </si>
  <si>
    <t>Curralinhos</t>
  </si>
  <si>
    <t>Dirceu Arcoverde</t>
  </si>
  <si>
    <t>Dom Expedito Lopes</t>
  </si>
  <si>
    <t>Eliseu Martins</t>
  </si>
  <si>
    <t>Esperantina</t>
  </si>
  <si>
    <t>Fartura do PiauÃ­</t>
  </si>
  <si>
    <t>Flores do PiauÃ­</t>
  </si>
  <si>
    <t>Floresta do PiauÃ­</t>
  </si>
  <si>
    <t>Floriano</t>
  </si>
  <si>
    <t>Francisco Ayres</t>
  </si>
  <si>
    <t>Francisco Macedo</t>
  </si>
  <si>
    <t>Francisco Santos</t>
  </si>
  <si>
    <t>Fronteiras</t>
  </si>
  <si>
    <t>Geminiano</t>
  </si>
  <si>
    <t>Guadalupe</t>
  </si>
  <si>
    <t>Guaribas</t>
  </si>
  <si>
    <t>Ilha Grande</t>
  </si>
  <si>
    <t>Inhuma</t>
  </si>
  <si>
    <t>Ipiranga do PiauÃ­</t>
  </si>
  <si>
    <t>IsaÃ­as Coelho</t>
  </si>
  <si>
    <t>Itaueira</t>
  </si>
  <si>
    <t>Jacobina do PiauÃ­</t>
  </si>
  <si>
    <t>Jardim do Mulato</t>
  </si>
  <si>
    <t>Jerumenha</t>
  </si>
  <si>
    <t>Joaquim Pires</t>
  </si>
  <si>
    <t>Joca Marques</t>
  </si>
  <si>
    <t>Juazeiro do PiauÃ­</t>
  </si>
  <si>
    <t>Lagoa Alegre</t>
  </si>
  <si>
    <t>Lagoa do Barro do PiauÃ­</t>
  </si>
  <si>
    <t>Lagoa do PiauÃ­</t>
  </si>
  <si>
    <t>Lagoa do SÃ­tio</t>
  </si>
  <si>
    <t>Lagoinha do PiauÃ­</t>
  </si>
  <si>
    <t>Landri Sales</t>
  </si>
  <si>
    <t>LuÃ­s Correia</t>
  </si>
  <si>
    <t>Madeiro</t>
  </si>
  <si>
    <t>Manoel EmÃ­dio</t>
  </si>
  <si>
    <t>Marcos Parente</t>
  </si>
  <si>
    <t>Matias OlÃ­mpio</t>
  </si>
  <si>
    <t>Miguel Alves</t>
  </si>
  <si>
    <t>Monsenhor Gil</t>
  </si>
  <si>
    <t>-41.03</t>
  </si>
  <si>
    <t>Monte Alegre do PiauÃ­</t>
  </si>
  <si>
    <t>Murici dos Portelas</t>
  </si>
  <si>
    <t>Nova Santa Rita</t>
  </si>
  <si>
    <t>Novo Oriente do PiauÃ­</t>
  </si>
  <si>
    <t>Oeiras</t>
  </si>
  <si>
    <t>Olho d'Ãgua do PiauÃ­</t>
  </si>
  <si>
    <t>Padre Marcos</t>
  </si>
  <si>
    <t>Paes Landim</t>
  </si>
  <si>
    <t>Palmeira do PiauÃ­</t>
  </si>
  <si>
    <t>Palmeirais</t>
  </si>
  <si>
    <t>ParnaÃ­ba</t>
  </si>
  <si>
    <t>Passagem Franca do PiauÃ­</t>
  </si>
  <si>
    <t>Patos do PiauÃ­</t>
  </si>
  <si>
    <t>Pau D'Arco do PiauÃ­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</si>
  <si>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</si>
  <si>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</si>
  <si>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</si>
  <si>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</si>
  <si>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</si>
  <si>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</si>
  <si>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</si>
  <si>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</si>
  <si>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</si>
  <si>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</si>
  <si>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PiauÃ­</t>
  </si>
  <si>
    <t>Prata do PiauÃ­</t>
  </si>
  <si>
    <t>Queimada Nova</t>
  </si>
  <si>
    <t>Riacho Frio</t>
  </si>
  <si>
    <t>Ribeira do PiauÃ­</t>
  </si>
  <si>
    <t>Rio Grande do PiauÃ­</t>
  </si>
  <si>
    <t>Santa Cruz do PiauÃ­</t>
  </si>
  <si>
    <t>Santa Cruz dos Milagres</t>
  </si>
  <si>
    <t>Santa Luz</t>
  </si>
  <si>
    <t>Santa Rosa do PiauÃ­</t>
  </si>
  <si>
    <t>Santana do PiauÃ­</t>
  </si>
  <si>
    <t>Sigefredo Pacheco</t>
  </si>
  <si>
    <t>SimplÃ­cio Mendes</t>
  </si>
  <si>
    <t>Socorro do PiauÃ­</t>
  </si>
  <si>
    <t>Sussuapara</t>
  </si>
  <si>
    <t>Tamboril do PiauÃ­</t>
  </si>
  <si>
    <t>Tanque do PiauÃ­</t>
  </si>
  <si>
    <t>Teresina</t>
  </si>
  <si>
    <t>Vera Mendes</t>
  </si>
  <si>
    <t>Vila Nova do PiauÃ­</t>
  </si>
  <si>
    <t>Wall Ferraz</t>
  </si>
  <si>
    <t>RIO DE JANEIRO</t>
  </si>
  <si>
    <t>Angra dos Reis</t>
  </si>
  <si>
    <t>Araruama</t>
  </si>
  <si>
    <t>Areal</t>
  </si>
  <si>
    <t>Arraial do Cabo</t>
  </si>
  <si>
    <t>Barra do PiraÃ­</t>
  </si>
  <si>
    <t>Barra Mansa</t>
  </si>
  <si>
    <t>Belford Roxo</t>
  </si>
  <si>
    <t>Bom Jesus do Itabapoana</t>
  </si>
  <si>
    <t>Cabo Frio</t>
  </si>
  <si>
    <t>Cachoeiras de Macacu</t>
  </si>
  <si>
    <t>Cambuci</t>
  </si>
  <si>
    <t>Campos dos Goytacazes</t>
  </si>
  <si>
    <t>Carapebus</t>
  </si>
  <si>
    <t>Cardoso Moreira</t>
  </si>
  <si>
    <t>Carmo</t>
  </si>
  <si>
    <t>Casimiro de Abreu</t>
  </si>
  <si>
    <t>Comendador Levy Gasparian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</si>
  <si>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</si>
  <si>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</si>
  <si>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</si>
  <si>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</si>
  <si>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</si>
  <si>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</si>
  <si>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ItaboraÃ­</t>
  </si>
  <si>
    <t>ItaguaÃ­</t>
  </si>
  <si>
    <t>Italva</t>
  </si>
  <si>
    <t>Itaocara</t>
  </si>
  <si>
    <t>Itaperuna</t>
  </si>
  <si>
    <t>Itatiaia</t>
  </si>
  <si>
    <t>Japeri</t>
  </si>
  <si>
    <t>Macuco</t>
  </si>
  <si>
    <t>Mangaratiba</t>
  </si>
  <si>
    <t>Mendes</t>
  </si>
  <si>
    <t>Miguel Pereira</t>
  </si>
  <si>
    <t>Miracema</t>
  </si>
  <si>
    <t>Natividade</t>
  </si>
  <si>
    <t>Nova Friburgo</t>
  </si>
  <si>
    <t>ParaÃ­ba do Sul</t>
  </si>
  <si>
    <t>Paracambi</t>
  </si>
  <si>
    <t>Paraty</t>
  </si>
  <si>
    <t>Paty do Alferes</t>
  </si>
  <si>
    <t>Pinheiral</t>
  </si>
  <si>
    <t>PiraÃ­</t>
  </si>
  <si>
    <t>Porto Real</t>
  </si>
  <si>
    <t>Quatis</t>
  </si>
  <si>
    <t>Queimados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</si>
  <si>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</si>
  <si>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</si>
  <si>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</si>
  <si>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</si>
  <si>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</si>
  <si>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</si>
  <si>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</si>
  <si>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Saquarema</t>
  </si>
  <si>
    <t>Silva Jardim</t>
  </si>
  <si>
    <t>Sumidouro</t>
  </si>
  <si>
    <t>Trajano de Moraes</t>
  </si>
  <si>
    <t>Varre-Sai</t>
  </si>
  <si>
    <t>Vassouras</t>
  </si>
  <si>
    <t>Volta Redonda</t>
  </si>
  <si>
    <t>RIO GRANDE DO NORTE</t>
  </si>
  <si>
    <t>Ãgua Nova</t>
  </si>
  <si>
    <t>Acari</t>
  </si>
  <si>
    <t>Afonso Bezerra</t>
  </si>
  <si>
    <t>Alexandria</t>
  </si>
  <si>
    <t>Almino Afonso</t>
  </si>
  <si>
    <t>Alto do Rodrigues</t>
  </si>
  <si>
    <t>Angicos</t>
  </si>
  <si>
    <t>Apodi</t>
  </si>
  <si>
    <t>Areia Branca</t>
  </si>
  <si>
    <t>Augusto Severo</t>
  </si>
  <si>
    <t>BaÃ­a Formosa</t>
  </si>
  <si>
    <t>Barcelona</t>
  </si>
  <si>
    <t>Bento Fernandes</t>
  </si>
  <si>
    <t>Campo Redondo</t>
  </si>
  <si>
    <t>Canguaretama</t>
  </si>
  <si>
    <t>Carnaubais</t>
  </si>
  <si>
    <t>-35.42</t>
  </si>
  <si>
    <t>Coronel Ezequiel</t>
  </si>
  <si>
    <t>Cruzeta</t>
  </si>
  <si>
    <t>Currais Novos</t>
  </si>
  <si>
    <t>Doutor Severiano</t>
  </si>
  <si>
    <t>Encanto</t>
  </si>
  <si>
    <t>Equador</t>
  </si>
  <si>
    <t>EspÃ­rito Santo</t>
  </si>
  <si>
    <t>Extremoz</t>
  </si>
  <si>
    <t>Felipe Guerra</t>
  </si>
  <si>
    <t>Fernando Pedroza</t>
  </si>
  <si>
    <t>Francisco Dantas</t>
  </si>
  <si>
    <t>Frutuoso Gomes</t>
  </si>
  <si>
    <t>Galinhos</t>
  </si>
  <si>
    <t>Goianinha</t>
  </si>
  <si>
    <t>Governador Dix-Sept Rosado</t>
  </si>
  <si>
    <t>Grossos</t>
  </si>
  <si>
    <t>Ielmo Marinho</t>
  </si>
  <si>
    <t>Ipueira</t>
  </si>
  <si>
    <t>JanduÃ­s</t>
  </si>
  <si>
    <t>Japi</t>
  </si>
  <si>
    <t>Jardim de Angicos</t>
  </si>
  <si>
    <t>Jardim de Piranhas</t>
  </si>
  <si>
    <t>Jucurutu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</si>
  <si>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</si>
  <si>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</si>
  <si>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</si>
  <si>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</si>
  <si>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</si>
  <si>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</si>
  <si>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</si>
  <si>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LuÃ­s Gomes</t>
  </si>
  <si>
    <t>MacaÃ­ba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</si>
  <si>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</si>
  <si>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</si>
  <si>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</si>
  <si>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</si>
  <si>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</si>
  <si>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</si>
  <si>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</si>
  <si>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</si>
  <si>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NÃ­sia Floresta</t>
  </si>
  <si>
    <t>Natal</t>
  </si>
  <si>
    <t>Nova Cruz</t>
  </si>
  <si>
    <t>Olho-d'Ãgua do Borges</t>
  </si>
  <si>
    <t>Parazinho</t>
  </si>
  <si>
    <t>Parelhas</t>
  </si>
  <si>
    <t>Passa e Fica</t>
  </si>
  <si>
    <t>Patu</t>
  </si>
  <si>
    <t>Pau dos Ferros</t>
  </si>
  <si>
    <t>Pedra Grande</t>
  </si>
  <si>
    <t>Pedro Avelino</t>
  </si>
  <si>
    <t>Pedro Velho</t>
  </si>
  <si>
    <t>Portalegre</t>
  </si>
  <si>
    <t>Porto Alegre</t>
  </si>
  <si>
    <t>Porto do Mangue</t>
  </si>
  <si>
    <t>-36.78</t>
  </si>
  <si>
    <t>Pureza</t>
  </si>
  <si>
    <t>Rafael Fernandes</t>
  </si>
  <si>
    <t>Rafael Godeiro</t>
  </si>
  <si>
    <t>Riacho da Cruz</t>
  </si>
  <si>
    <t>Riachuelo</t>
  </si>
  <si>
    <t>Rio do Fogo</t>
  </si>
  <si>
    <t>Rodolfo Fernandes</t>
  </si>
  <si>
    <t>Santa Maria</t>
  </si>
  <si>
    <t>Santana do Matos</t>
  </si>
  <si>
    <t>-6.77</t>
  </si>
  <si>
    <t>Senador Georgino Avelino</t>
  </si>
  <si>
    <t>Serra Caiada</t>
  </si>
  <si>
    <t>Serra do Mel</t>
  </si>
  <si>
    <t>-37.04</t>
  </si>
  <si>
    <t>Serra Negra do Norte</t>
  </si>
  <si>
    <t>Serrinha dos Pintos</t>
  </si>
  <si>
    <t>Severiano Melo</t>
  </si>
  <si>
    <t>Taboleiro Grande</t>
  </si>
  <si>
    <t>Taipu</t>
  </si>
  <si>
    <t>Tenente Ananias</t>
  </si>
  <si>
    <t>Tenente Laurentino Cruz</t>
  </si>
  <si>
    <t>Tibau</t>
  </si>
  <si>
    <t>Tibau do Sul</t>
  </si>
  <si>
    <t>Touros</t>
  </si>
  <si>
    <t>Triunfo Potiguar</t>
  </si>
  <si>
    <t>Umarizal</t>
  </si>
  <si>
    <t>Upanema</t>
  </si>
  <si>
    <t>Venha-Ver</t>
  </si>
  <si>
    <t>Vila Flor</t>
  </si>
  <si>
    <t>RIO GRANDE DO SUL</t>
  </si>
  <si>
    <t>Ãgua Santa</t>
  </si>
  <si>
    <t>Ãurea</t>
  </si>
  <si>
    <t>Agudo</t>
  </si>
  <si>
    <t>Ajuricaba</t>
  </si>
  <si>
    <t>Alecrim</t>
  </si>
  <si>
    <t>Alegrete</t>
  </si>
  <si>
    <t>Alegria</t>
  </si>
  <si>
    <t>Alpestre</t>
  </si>
  <si>
    <t>Alto Alegre</t>
  </si>
  <si>
    <t>Alto Feliz</t>
  </si>
  <si>
    <t>Alvorada</t>
  </si>
  <si>
    <t>Amaral Ferrador</t>
  </si>
  <si>
    <t>Ametista do Sul</t>
  </si>
  <si>
    <t>Anta Gorda</t>
  </si>
  <si>
    <t>Aratiba</t>
  </si>
  <si>
    <t>Arroio do Meio</t>
  </si>
  <si>
    <t>Arroio do Padre</t>
  </si>
  <si>
    <t>Arroio do Sal</t>
  </si>
  <si>
    <t>-49.89</t>
  </si>
  <si>
    <t>Arroio do Tigre</t>
  </si>
  <si>
    <t>Arroio dos Ratos</t>
  </si>
  <si>
    <t>Arroio Grande</t>
  </si>
  <si>
    <t>Arvorezinha</t>
  </si>
  <si>
    <t>Augusto Pestana</t>
  </si>
  <si>
    <t>Barra do Guarita</t>
  </si>
  <si>
    <t>Barra do QuaraÃ­</t>
  </si>
  <si>
    <t>Barra do Ribeiro</t>
  </si>
  <si>
    <t>Barra do Rio Azul</t>
  </si>
  <si>
    <t>Barra Funda</t>
  </si>
  <si>
    <t>Barros Cassal</t>
  </si>
  <si>
    <t>Benjamin Constant do Sul</t>
  </si>
  <si>
    <t>-52.6</t>
  </si>
  <si>
    <t>Boa Vista do Cadeado</t>
  </si>
  <si>
    <t>Boa Vista do Incra</t>
  </si>
  <si>
    <t>Boa Vista do Sul</t>
  </si>
  <si>
    <t>Bom PrincÃ­pio</t>
  </si>
  <si>
    <t>Bom Progresso</t>
  </si>
  <si>
    <t>Bom Retiro do Sul</t>
  </si>
  <si>
    <t>Bossoroca</t>
  </si>
  <si>
    <t>Bozano</t>
  </si>
  <si>
    <t>Braga</t>
  </si>
  <si>
    <t>Brochier</t>
  </si>
  <si>
    <t>Cacequi</t>
  </si>
  <si>
    <t>Cachoeira do Sul</t>
  </si>
  <si>
    <t>Cacique Doble</t>
  </si>
  <si>
    <t>Camargo</t>
  </si>
  <si>
    <t>Campestre da Serra</t>
  </si>
  <si>
    <t>Campinas do Sul</t>
  </si>
  <si>
    <t>Campo Bom</t>
  </si>
  <si>
    <t>Campo Novo</t>
  </si>
  <si>
    <t>Campos Borges</t>
  </si>
  <si>
    <t>-52.79</t>
  </si>
  <si>
    <t>Candiota</t>
  </si>
  <si>
    <t>Canela</t>
  </si>
  <si>
    <t>Canoas</t>
  </si>
  <si>
    <t>Canudos do Vale</t>
  </si>
  <si>
    <t>Capela de Santana</t>
  </si>
  <si>
    <t>Capivari do Sul</t>
  </si>
  <si>
    <t>Carazinho</t>
  </si>
  <si>
    <t>Carlos Barbosa</t>
  </si>
  <si>
    <t>Carlos Gomes</t>
  </si>
  <si>
    <t>Casca</t>
  </si>
  <si>
    <t>Caseiros</t>
  </si>
  <si>
    <t>CatuÃ­pe</t>
  </si>
  <si>
    <t>Caxias do Sul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</si>
  <si>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</si>
  <si>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</si>
  <si>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</si>
  <si>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</si>
  <si>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</si>
  <si>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</si>
  <si>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</si>
  <si>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</si>
  <si>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</si>
  <si>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ChuÃ­</t>
  </si>
  <si>
    <t>Chuvisca</t>
  </si>
  <si>
    <t>Cidreira</t>
  </si>
  <si>
    <t>CirÃ­aco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</si>
  <si>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</si>
  <si>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</si>
  <si>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</si>
  <si>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</si>
  <si>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</si>
  <si>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</si>
  <si>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</si>
  <si>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-29.27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</si>
  <si>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</si>
  <si>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</si>
  <si>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</si>
  <si>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</si>
  <si>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</si>
  <si>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</si>
  <si>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</si>
  <si>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</si>
  <si>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</si>
  <si>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</si>
  <si>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Lajeados</t>
  </si>
  <si>
    <t>-51.84</t>
  </si>
  <si>
    <t>Dom Feliciano</t>
  </si>
  <si>
    <t>Dom Pedrito</t>
  </si>
  <si>
    <t>Dona Francisca</t>
  </si>
  <si>
    <t>Doutor MaurÃ­cio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</si>
  <si>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</si>
  <si>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</si>
  <si>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</si>
  <si>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</si>
  <si>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</si>
  <si>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</si>
  <si>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Entre-IjuÃ­s</t>
  </si>
  <si>
    <t>-28.36</t>
  </si>
  <si>
    <t>Erebango</t>
  </si>
  <si>
    <t>Erechim</t>
  </si>
  <si>
    <t>Ernestina</t>
  </si>
  <si>
    <t>Erval Grande</t>
  </si>
  <si>
    <t>Erval Seco</t>
  </si>
  <si>
    <t>Esmeralda</t>
  </si>
  <si>
    <t>Espumoso</t>
  </si>
  <si>
    <t>Esteio</t>
  </si>
  <si>
    <t>Estrela</t>
  </si>
  <si>
    <t>Estrela Velha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</si>
  <si>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</si>
  <si>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</si>
  <si>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</si>
  <si>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</si>
  <si>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</si>
  <si>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</si>
  <si>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</si>
  <si>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</si>
  <si>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</si>
  <si>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</si>
  <si>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</si>
  <si>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</si>
  <si>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</si>
  <si>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</si>
  <si>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</si>
  <si>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</si>
  <si>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Gentil</t>
  </si>
  <si>
    <t>Glorinha</t>
  </si>
  <si>
    <t>Gramado</t>
  </si>
  <si>
    <t>Gramado dos Loureiros</t>
  </si>
  <si>
    <t>Gramado Xavier</t>
  </si>
  <si>
    <t>-52.58</t>
  </si>
  <si>
    <t>GravataÃ­</t>
  </si>
  <si>
    <t>GuaÃ­ba</t>
  </si>
  <si>
    <t>Guabiju</t>
  </si>
  <si>
    <t>-51.89</t>
  </si>
  <si>
    <t>Harmonia</t>
  </si>
  <si>
    <t>Herval</t>
  </si>
  <si>
    <t>Herveiras</t>
  </si>
  <si>
    <t>Horizontina</t>
  </si>
  <si>
    <t>Hulha Negra</t>
  </si>
  <si>
    <t>-53.97</t>
  </si>
  <si>
    <t>Ibarama</t>
  </si>
  <si>
    <t>-53.13</t>
  </si>
  <si>
    <t>Ibiraiaras</t>
  </si>
  <si>
    <t>Igrejinha</t>
  </si>
  <si>
    <t>IjuÃ­</t>
  </si>
  <si>
    <t>Imigrante</t>
  </si>
  <si>
    <t>Ipiranga do Sul</t>
  </si>
  <si>
    <t>IraÃ­</t>
  </si>
  <si>
    <t>Itaara</t>
  </si>
  <si>
    <t>-29.61</t>
  </si>
  <si>
    <t>Itacurubi</t>
  </si>
  <si>
    <t>Itapuca</t>
  </si>
  <si>
    <t>Itaqui</t>
  </si>
  <si>
    <t>Itati</t>
  </si>
  <si>
    <t>Itatiba do Sul</t>
  </si>
  <si>
    <t>-29.52</t>
  </si>
  <si>
    <t>Ivoti</t>
  </si>
  <si>
    <t>Jaboticaba</t>
  </si>
  <si>
    <t>Jacuizinho</t>
  </si>
  <si>
    <t>Jaguari</t>
  </si>
  <si>
    <t>Jaquirana</t>
  </si>
  <si>
    <t>Jari</t>
  </si>
  <si>
    <t>Lagoa Bonita do Sul</t>
  </si>
  <si>
    <t>Lagoa Vermelha</t>
  </si>
  <si>
    <t>Lajeado</t>
  </si>
  <si>
    <t>Lajeado do Bugre</t>
  </si>
  <si>
    <t>Lavras do Sul</t>
  </si>
  <si>
    <t>Liberato Salzano</t>
  </si>
  <si>
    <t>Lindolfo Collor</t>
  </si>
  <si>
    <t>Linha Nova</t>
  </si>
  <si>
    <t>Machadinho</t>
  </si>
  <si>
    <t>Mampituba</t>
  </si>
  <si>
    <t>Manoel Viana</t>
  </si>
  <si>
    <t>Marau</t>
  </si>
  <si>
    <t>Marcelino Ramos</t>
  </si>
  <si>
    <t>-51.91</t>
  </si>
  <si>
    <t>Mariana Pimentel</t>
  </si>
  <si>
    <t>Mariano Moro</t>
  </si>
  <si>
    <t>Marques de Souza</t>
  </si>
  <si>
    <t>Mata</t>
  </si>
  <si>
    <t>Mato Castelhano</t>
  </si>
  <si>
    <t>Mato Queimado</t>
  </si>
  <si>
    <t>Maximiliano de Almeida</t>
  </si>
  <si>
    <t>MiraguaÃ­</t>
  </si>
  <si>
    <t>Montauri</t>
  </si>
  <si>
    <t>Monte Alegre dos Campos</t>
  </si>
  <si>
    <t>Monte Belo do Sul</t>
  </si>
  <si>
    <t>Montenegro</t>
  </si>
  <si>
    <t>Morrinhos do Sul</t>
  </si>
  <si>
    <t>Morro Redondo</t>
  </si>
  <si>
    <t>Morro Reuter</t>
  </si>
  <si>
    <t>Mostardas</t>
  </si>
  <si>
    <t>Muliterno</t>
  </si>
  <si>
    <t>Nicolau Vergueiro</t>
  </si>
  <si>
    <t>Nonoai</t>
  </si>
  <si>
    <t>Nova Alvorada</t>
  </si>
  <si>
    <t>Nova Bassano</t>
  </si>
  <si>
    <t>Nova Boa Vista</t>
  </si>
  <si>
    <t>Nova Hartz</t>
  </si>
  <si>
    <t>Nova Palma</t>
  </si>
  <si>
    <t>Nova Prata</t>
  </si>
  <si>
    <t>Nova Ramada</t>
  </si>
  <si>
    <t>Nova Roma do Sul</t>
  </si>
  <si>
    <t>-51.41</t>
  </si>
  <si>
    <t>-51.27</t>
  </si>
  <si>
    <t>Novo Barreiro</t>
  </si>
  <si>
    <t>Novo Cabrais</t>
  </si>
  <si>
    <t>Novo Hamburgo</t>
  </si>
  <si>
    <t>Novo Machado</t>
  </si>
  <si>
    <t>Novo Tiradentes</t>
  </si>
  <si>
    <t>Novo Xingu</t>
  </si>
  <si>
    <t>Paim Filho</t>
  </si>
  <si>
    <t>Palmares do Sul</t>
  </si>
  <si>
    <t>Palmitinho</t>
  </si>
  <si>
    <t>-27.36</t>
  </si>
  <si>
    <t>Panambi</t>
  </si>
  <si>
    <t>Pantano Grande</t>
  </si>
  <si>
    <t>ParaÃ­</t>
  </si>
  <si>
    <t>ParaÃ­so do Sul</t>
  </si>
  <si>
    <t>Pareci Novo</t>
  </si>
  <si>
    <t>Passa Sete</t>
  </si>
  <si>
    <t>Passo do Sobrado</t>
  </si>
  <si>
    <t>Passo Fundo</t>
  </si>
  <si>
    <t>Paulo Bento</t>
  </si>
  <si>
    <t>Paverama</t>
  </si>
  <si>
    <t>Pedras Altas</t>
  </si>
  <si>
    <t>Pelotas</t>
  </si>
  <si>
    <t>Pinhal</t>
  </si>
  <si>
    <t>Pinhal da Serra</t>
  </si>
  <si>
    <t>Pinhal Grande</t>
  </si>
  <si>
    <t>Pinheirinho do Vale</t>
  </si>
  <si>
    <t>Pinheiro Machado</t>
  </si>
  <si>
    <t>Pinto Bandeira</t>
  </si>
  <si>
    <t>Piratini</t>
  </si>
  <si>
    <t>Ponte Preta</t>
  </si>
  <si>
    <t>Porto Lucena</t>
  </si>
  <si>
    <t>-27.58</t>
  </si>
  <si>
    <t>Porto Vera Cruz</t>
  </si>
  <si>
    <t>Porto Xavier</t>
  </si>
  <si>
    <t>Pouso Novo</t>
  </si>
  <si>
    <t>Presidente Lucena</t>
  </si>
  <si>
    <t>Progresso</t>
  </si>
  <si>
    <t>Putinga</t>
  </si>
  <si>
    <t>QuaraÃ­</t>
  </si>
  <si>
    <t>Quevedos</t>
  </si>
  <si>
    <t>Quinze de Novembro</t>
  </si>
  <si>
    <t>Redentora</t>
  </si>
  <si>
    <t>Relvado</t>
  </si>
  <si>
    <t>Rio dos Ãndios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</si>
  <si>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</si>
  <si>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</si>
  <si>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</si>
  <si>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</si>
  <si>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</si>
  <si>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</si>
  <si>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</si>
  <si>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</si>
  <si>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</si>
  <si>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</si>
  <si>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-27.82</t>
  </si>
  <si>
    <t>-51.07</t>
  </si>
  <si>
    <t>Sagrada FamÃ­lia</t>
  </si>
  <si>
    <t>Saldanha Marinho</t>
  </si>
  <si>
    <t>Salto do JacuÃ­</t>
  </si>
  <si>
    <t>Salvador do Sul</t>
  </si>
  <si>
    <t>Sananduva</t>
  </si>
  <si>
    <t>Santa CecÃ­lia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</si>
  <si>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</si>
  <si>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</si>
  <si>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</si>
  <si>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</si>
  <si>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</si>
  <si>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</si>
  <si>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Santana da Boa Vista</t>
  </si>
  <si>
    <t>Sant'Ana do Livramento</t>
  </si>
  <si>
    <t>Santiago</t>
  </si>
  <si>
    <t>Santo Ã‚ngelo</t>
  </si>
  <si>
    <t>Santo Augusto</t>
  </si>
  <si>
    <t>Santo Cristo</t>
  </si>
  <si>
    <t>Santo Expedito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</si>
  <si>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</si>
  <si>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</si>
  <si>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</si>
  <si>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</si>
  <si>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</si>
  <si>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</si>
  <si>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</si>
  <si>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</si>
  <si>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Sete de Setembro</t>
  </si>
  <si>
    <t>Severiano de Almeida</t>
  </si>
  <si>
    <t>Silveira Martins</t>
  </si>
  <si>
    <t>Sinimbu</t>
  </si>
  <si>
    <t>TabaÃ­</t>
  </si>
  <si>
    <t>Tapera</t>
  </si>
  <si>
    <t>Tapes</t>
  </si>
  <si>
    <t>Taquara</t>
  </si>
  <si>
    <t>Taquari</t>
  </si>
  <si>
    <t>Tenente Portela</t>
  </si>
  <si>
    <t>Terra de Areia</t>
  </si>
  <si>
    <t>Tio Hugo</t>
  </si>
  <si>
    <t>Tiradentes do Sul</t>
  </si>
  <si>
    <t>Toropi</t>
  </si>
  <si>
    <t>Torres</t>
  </si>
  <si>
    <t>TramandaÃ­</t>
  </si>
  <si>
    <t>Travesseiro</t>
  </si>
  <si>
    <t>Trindade do Sul</t>
  </si>
  <si>
    <t>Tucunduva</t>
  </si>
  <si>
    <t>Tunas</t>
  </si>
  <si>
    <t>Tupanci do Sul</t>
  </si>
  <si>
    <t>Tupandi</t>
  </si>
  <si>
    <t>Tuparendi</t>
  </si>
  <si>
    <t>Ubiretama</t>
  </si>
  <si>
    <t>Unistalda</t>
  </si>
  <si>
    <t>Uruguaiana</t>
  </si>
  <si>
    <t>Vacaria</t>
  </si>
  <si>
    <t>Vale do Sol</t>
  </si>
  <si>
    <t>Vale Real</t>
  </si>
  <si>
    <t>Vale Verde</t>
  </si>
  <si>
    <t>Vanini</t>
  </si>
  <si>
    <t>Viadutos</t>
  </si>
  <si>
    <t>Vicente Dutra</t>
  </si>
  <si>
    <t>Victor Graeff</t>
  </si>
  <si>
    <t>-52.75</t>
  </si>
  <si>
    <t>Vila Flores</t>
  </si>
  <si>
    <t>Vila Maria</t>
  </si>
  <si>
    <t>Vila Nova do Sul</t>
  </si>
  <si>
    <t>Vista Alegre</t>
  </si>
  <si>
    <t>Vista Alegre do Prata</t>
  </si>
  <si>
    <t>RONDONIA</t>
  </si>
  <si>
    <t>Alta Floresta D'Oeste</t>
  </si>
  <si>
    <t>Alto Alegre dos Parecis</t>
  </si>
  <si>
    <t>Alvorada D'Oeste</t>
  </si>
  <si>
    <t>Ariquemes</t>
  </si>
  <si>
    <t>Cabixi</t>
  </si>
  <si>
    <t>Cacoal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</si>
  <si>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</si>
  <si>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</si>
  <si>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</si>
  <si>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</si>
  <si>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</si>
  <si>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</si>
  <si>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</si>
  <si>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</si>
  <si>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Governador Jorge Teixeira</t>
  </si>
  <si>
    <t>-65.33</t>
  </si>
  <si>
    <t>Jaru</t>
  </si>
  <si>
    <t>Machadinho D'Oeste</t>
  </si>
  <si>
    <t>Ministro Andreazza</t>
  </si>
  <si>
    <t>Mirante da Serra</t>
  </si>
  <si>
    <t>Monte Negro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</si>
  <si>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</si>
  <si>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</si>
  <si>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</si>
  <si>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</si>
  <si>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</si>
  <si>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</si>
  <si>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Rio Crespo</t>
  </si>
  <si>
    <t>Rolim de Moura</t>
  </si>
  <si>
    <t>Santa Luzia D'Oeste</t>
  </si>
  <si>
    <t>Seringueiras</t>
  </si>
  <si>
    <t>Theobroma</t>
  </si>
  <si>
    <t>Vale do Anari</t>
  </si>
  <si>
    <t>Vale do ParaÃ­so</t>
  </si>
  <si>
    <t>Vilhena</t>
  </si>
  <si>
    <t>RORAIMA</t>
  </si>
  <si>
    <t>Amajari</t>
  </si>
  <si>
    <t>CaracaraÃ­</t>
  </si>
  <si>
    <t>Caroebe</t>
  </si>
  <si>
    <t>0.8767</t>
  </si>
  <si>
    <t>MucajaÃ­</t>
  </si>
  <si>
    <t>Normandia</t>
  </si>
  <si>
    <t>Pacaraima</t>
  </si>
  <si>
    <t>0.9396</t>
  </si>
  <si>
    <t>0.9513</t>
  </si>
  <si>
    <t>SANTA CATARINA</t>
  </si>
  <si>
    <t>Ãgua Doce</t>
  </si>
  <si>
    <t>Abdon Batista</t>
  </si>
  <si>
    <t>Abelardo Luz</t>
  </si>
  <si>
    <t>Alfredo Wagner</t>
  </si>
  <si>
    <t>Alto Bela Vista</t>
  </si>
  <si>
    <t>Angelina</t>
  </si>
  <si>
    <t>Anita Garibaldi</t>
  </si>
  <si>
    <t>Araquari</t>
  </si>
  <si>
    <t>Arroio Trinta</t>
  </si>
  <si>
    <t>Arvoredo</t>
  </si>
  <si>
    <t>Ascurra</t>
  </si>
  <si>
    <t>Atalanta</t>
  </si>
  <si>
    <t>-49.63</t>
  </si>
  <si>
    <t>Bandeirante</t>
  </si>
  <si>
    <t>Barra Bonita</t>
  </si>
  <si>
    <t>Barra Velha</t>
  </si>
  <si>
    <t>Bela Vista do Toldo</t>
  </si>
  <si>
    <t>Benedito Novo</t>
  </si>
  <si>
    <t>Blumenau</t>
  </si>
  <si>
    <t>Bocaina do Sul</t>
  </si>
  <si>
    <t>Bom Jardim da Serra</t>
  </si>
  <si>
    <t>Bom Jesus do Oeste</t>
  </si>
  <si>
    <t>Bom Retiro</t>
  </si>
  <si>
    <t>Bombinhas</t>
  </si>
  <si>
    <t>Brusque</t>
  </si>
  <si>
    <t>Caibi</t>
  </si>
  <si>
    <t>Calmon</t>
  </si>
  <si>
    <t>Campo Belo do Sul</t>
  </si>
  <si>
    <t>-50.76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</si>
  <si>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</si>
  <si>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</si>
  <si>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</si>
  <si>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</si>
  <si>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</si>
  <si>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</si>
  <si>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</si>
  <si>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</si>
  <si>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Cocal do Sul</t>
  </si>
  <si>
    <t>Cordilheira Alta</t>
  </si>
  <si>
    <t>Coronel Freitas</t>
  </si>
  <si>
    <t>Coronel Martins</t>
  </si>
  <si>
    <t>Correia Pinto</t>
  </si>
  <si>
    <t>CunhataÃ­</t>
  </si>
  <si>
    <t>Curitibanos</t>
  </si>
  <si>
    <t>Descanso</t>
  </si>
  <si>
    <t>DionÃ­sio Cerqueira</t>
  </si>
  <si>
    <t>Dona Emma</t>
  </si>
  <si>
    <t>Doutor Pedrinho</t>
  </si>
  <si>
    <t>Ermo</t>
  </si>
  <si>
    <t>Erval Velho</t>
  </si>
  <si>
    <t>Faxinal dos Guedes</t>
  </si>
  <si>
    <t>Formosa do Sul</t>
  </si>
  <si>
    <t>Forquilhinha</t>
  </si>
  <si>
    <t>Fraiburgo</t>
  </si>
  <si>
    <t>Garopaba</t>
  </si>
  <si>
    <t>Garuva</t>
  </si>
  <si>
    <t>Gaspar</t>
  </si>
  <si>
    <t>Governador Celso Ramos</t>
  </si>
  <si>
    <t>Gravatal</t>
  </si>
  <si>
    <t>Guabiruba</t>
  </si>
  <si>
    <t>Guaramirim</t>
  </si>
  <si>
    <t>-53.53</t>
  </si>
  <si>
    <t>Herval d'Oeste</t>
  </si>
  <si>
    <t>Ibiam</t>
  </si>
  <si>
    <t>Ibirama</t>
  </si>
  <si>
    <t>Ilhota</t>
  </si>
  <si>
    <t>ImaruÃ­</t>
  </si>
  <si>
    <t>Imbituba</t>
  </si>
  <si>
    <t>Imbuia</t>
  </si>
  <si>
    <t>Indaial</t>
  </si>
  <si>
    <t>Ipira</t>
  </si>
  <si>
    <t>Ipumirim</t>
  </si>
  <si>
    <t>Iraceminha</t>
  </si>
  <si>
    <t>Irani</t>
  </si>
  <si>
    <t>ItajaÃ­</t>
  </si>
  <si>
    <t>Itapema</t>
  </si>
  <si>
    <t>Ituporanga</t>
  </si>
  <si>
    <t>Jacinto Machado</t>
  </si>
  <si>
    <t>Jaguaruna</t>
  </si>
  <si>
    <t>-49.03</t>
  </si>
  <si>
    <t>Joinville</t>
  </si>
  <si>
    <t>Lages</t>
  </si>
  <si>
    <t>Laguna</t>
  </si>
  <si>
    <t>Lajeado Grande</t>
  </si>
  <si>
    <t>Laurentino</t>
  </si>
  <si>
    <t>Lauro Muller</t>
  </si>
  <si>
    <t>Leoberto Leal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</si>
  <si>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</si>
  <si>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</si>
  <si>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</si>
  <si>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</si>
  <si>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</si>
  <si>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</si>
  <si>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</si>
  <si>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Marema</t>
  </si>
  <si>
    <t>Matos Costa</t>
  </si>
  <si>
    <t>Meleiro</t>
  </si>
  <si>
    <t>Mirim Doce</t>
  </si>
  <si>
    <t>Modelo</t>
  </si>
  <si>
    <t>MondaÃ­</t>
  </si>
  <si>
    <t>Monte Carlo</t>
  </si>
  <si>
    <t>Monte Castelo</t>
  </si>
  <si>
    <t>Morro Grande</t>
  </si>
  <si>
    <t>Navegantes</t>
  </si>
  <si>
    <t>Nova Erechim</t>
  </si>
  <si>
    <t>Nova Itaberaba</t>
  </si>
  <si>
    <t>Nova Trento</t>
  </si>
  <si>
    <t>Orleans</t>
  </si>
  <si>
    <t>OtacÃ­lio Costa</t>
  </si>
  <si>
    <t>Ouro</t>
  </si>
  <si>
    <t>Ouro Verde</t>
  </si>
  <si>
    <t>Paial</t>
  </si>
  <si>
    <t>Painel</t>
  </si>
  <si>
    <t>Palma Sola</t>
  </si>
  <si>
    <t>Palmitos</t>
  </si>
  <si>
    <t>Papanduva</t>
  </si>
  <si>
    <t>ParaÃ­so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</si>
  <si>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</si>
  <si>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</si>
  <si>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</si>
  <si>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</si>
  <si>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</si>
  <si>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</si>
  <si>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</si>
  <si>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Pinhalzinho</t>
  </si>
  <si>
    <t>-26.85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</si>
  <si>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</si>
  <si>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</si>
  <si>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</si>
  <si>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</si>
  <si>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</si>
  <si>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</si>
  <si>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</si>
  <si>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</si>
  <si>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Pouso Redondo</t>
  </si>
  <si>
    <t>Praia Grande</t>
  </si>
  <si>
    <t>Presidente Castello Branco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</si>
  <si>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</si>
  <si>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</si>
  <si>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</si>
  <si>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</si>
  <si>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</si>
  <si>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</si>
  <si>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</si>
  <si>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 Sul</t>
  </si>
  <si>
    <t>Rio dos Cedros</t>
  </si>
  <si>
    <t>Rio Fortuna</t>
  </si>
  <si>
    <t>Rio Negrinho</t>
  </si>
  <si>
    <t>Rio Rufino</t>
  </si>
  <si>
    <t>Riqueza</t>
  </si>
  <si>
    <t>Rodeio</t>
  </si>
  <si>
    <t>-26.25</t>
  </si>
  <si>
    <t>Salete</t>
  </si>
  <si>
    <t>Saltinho</t>
  </si>
  <si>
    <t>Salto Veloso</t>
  </si>
  <si>
    <t>Santa Rosa de Lima</t>
  </si>
  <si>
    <t>Santa Rosa do Sul</t>
  </si>
  <si>
    <t>Santa Terezinha do Progresso</t>
  </si>
  <si>
    <t>Santiago do Sul</t>
  </si>
  <si>
    <t>Santo Amaro da Imperatriz</t>
  </si>
  <si>
    <t>Saudades</t>
  </si>
  <si>
    <t>Schroeder</t>
  </si>
  <si>
    <t>Seara</t>
  </si>
  <si>
    <t>Serra Alta</t>
  </si>
  <si>
    <t>Sombrio</t>
  </si>
  <si>
    <t>Sul Brasil</t>
  </si>
  <si>
    <t>Tigrinhos</t>
  </si>
  <si>
    <t>Tijucas</t>
  </si>
  <si>
    <t>Treviso</t>
  </si>
  <si>
    <t>Treze de Maio</t>
  </si>
  <si>
    <t>Treze TÃ­lias</t>
  </si>
  <si>
    <t>Trombudo Central</t>
  </si>
  <si>
    <t>Urubici</t>
  </si>
  <si>
    <t>Urupema</t>
  </si>
  <si>
    <t>Urussanga</t>
  </si>
  <si>
    <t>Vargem</t>
  </si>
  <si>
    <t>Vidal Ramos</t>
  </si>
  <si>
    <t>Videira</t>
  </si>
  <si>
    <t>Vitor Meireles</t>
  </si>
  <si>
    <t>Witmarsum</t>
  </si>
  <si>
    <t>Xavantina</t>
  </si>
  <si>
    <t>Xaxim</t>
  </si>
  <si>
    <t>SÃO PAULO</t>
  </si>
  <si>
    <t>Ã“leo</t>
  </si>
  <si>
    <t>Ãlvares Florence</t>
  </si>
  <si>
    <t>Ãlvares Machado</t>
  </si>
  <si>
    <t>Ãlvaro de Carvalho</t>
  </si>
  <si>
    <t>Adamantina</t>
  </si>
  <si>
    <t>Adolfo</t>
  </si>
  <si>
    <t>AguaÃ­</t>
  </si>
  <si>
    <t>Agudos</t>
  </si>
  <si>
    <t>Alambari</t>
  </si>
  <si>
    <t>Alfredo Marcondes</t>
  </si>
  <si>
    <t>Altair</t>
  </si>
  <si>
    <t>AlumÃ­nio</t>
  </si>
  <si>
    <t>Americana</t>
  </si>
  <si>
    <t>Andradina</t>
  </si>
  <si>
    <t>Angatuba</t>
  </si>
  <si>
    <t>Anhembi</t>
  </si>
  <si>
    <t>Anhumas</t>
  </si>
  <si>
    <t>-22.85</t>
  </si>
  <si>
    <t>Aparecida d'Oeste</t>
  </si>
  <si>
    <t>ApiaÃ­</t>
  </si>
  <si>
    <t>Aramina</t>
  </si>
  <si>
    <t>Arandu</t>
  </si>
  <si>
    <t>ArapeÃ­</t>
  </si>
  <si>
    <t>Araraquara</t>
  </si>
  <si>
    <t>Araras</t>
  </si>
  <si>
    <t>Arco-Ãris</t>
  </si>
  <si>
    <t>Arealva</t>
  </si>
  <si>
    <t>Areias</t>
  </si>
  <si>
    <t>Ariranha</t>
  </si>
  <si>
    <t>Artur Nogueira</t>
  </si>
  <si>
    <t>Assis</t>
  </si>
  <si>
    <t>Atibaia</t>
  </si>
  <si>
    <t>Auriflama</t>
  </si>
  <si>
    <t>AvaÃ­</t>
  </si>
  <si>
    <t>Avanhandava</t>
  </si>
  <si>
    <t>Bady Bassitt</t>
  </si>
  <si>
    <t>Balbinos</t>
  </si>
  <si>
    <t>-21.9</t>
  </si>
  <si>
    <t>Bananal</t>
  </si>
  <si>
    <t>Barbosa</t>
  </si>
  <si>
    <t>Bariri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</si>
  <si>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</si>
  <si>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</si>
  <si>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</si>
  <si>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</si>
  <si>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</si>
  <si>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</si>
  <si>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</si>
  <si>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</si>
  <si>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</si>
  <si>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</si>
  <si>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</si>
  <si>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-46.14</t>
  </si>
  <si>
    <t>Bilac</t>
  </si>
  <si>
    <t>Birigui</t>
  </si>
  <si>
    <t>Biritiba-Mirim</t>
  </si>
  <si>
    <t>Bofete</t>
  </si>
  <si>
    <t>Boituva</t>
  </si>
  <si>
    <t>Borebi</t>
  </si>
  <si>
    <t>Botucatu</t>
  </si>
  <si>
    <t>Brejo Alegre</t>
  </si>
  <si>
    <t>Brodowski</t>
  </si>
  <si>
    <t>Brotas</t>
  </si>
  <si>
    <t>Buri</t>
  </si>
  <si>
    <t>Buritama</t>
  </si>
  <si>
    <t>Buritizal</t>
  </si>
  <si>
    <t>-47.71</t>
  </si>
  <si>
    <t>Cachoeira Paulista</t>
  </si>
  <si>
    <t>Caconde</t>
  </si>
  <si>
    <t>Caiabu</t>
  </si>
  <si>
    <t>Caieiras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</si>
  <si>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</si>
  <si>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</si>
  <si>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</si>
  <si>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</si>
  <si>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</si>
  <si>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</si>
  <si>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</si>
  <si>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Novos Paulista</t>
  </si>
  <si>
    <t>Canas</t>
  </si>
  <si>
    <t>Canitar</t>
  </si>
  <si>
    <t>Capela do Alto</t>
  </si>
  <si>
    <t>Capivari</t>
  </si>
  <si>
    <t>Caraguatatuba</t>
  </si>
  <si>
    <t>CarapicuÃ­ba</t>
  </si>
  <si>
    <t>Cardoso</t>
  </si>
  <si>
    <t>Casa Branca</t>
  </si>
  <si>
    <t>Castilho</t>
  </si>
  <si>
    <t>Catanduva</t>
  </si>
  <si>
    <t>Cerquilho</t>
  </si>
  <si>
    <t>Charqueada</t>
  </si>
  <si>
    <t>Chavantes</t>
  </si>
  <si>
    <t>-49.71</t>
  </si>
  <si>
    <t>Clementina</t>
  </si>
  <si>
    <t>-21.56</t>
  </si>
  <si>
    <t>Colina</t>
  </si>
  <si>
    <t>Conchal</t>
  </si>
  <si>
    <t>Conchas</t>
  </si>
  <si>
    <t>Coroados</t>
  </si>
  <si>
    <t>Coronel Macedo</t>
  </si>
  <si>
    <t>CorumbataÃ­</t>
  </si>
  <si>
    <t>Cosmorama</t>
  </si>
  <si>
    <t>Cotia</t>
  </si>
  <si>
    <t>Cravinhos</t>
  </si>
  <si>
    <t>Cristais Paulista</t>
  </si>
  <si>
    <t>Cruzeiro</t>
  </si>
  <si>
    <t>Cunha</t>
  </si>
  <si>
    <t>Descalvado</t>
  </si>
  <si>
    <t>Diadema</t>
  </si>
  <si>
    <t>Dirce Reis</t>
  </si>
  <si>
    <t>Dobrada</t>
  </si>
  <si>
    <t>Dourado</t>
  </si>
  <si>
    <t>Dracena</t>
  </si>
  <si>
    <t>Duartina</t>
  </si>
  <si>
    <t>Dumont</t>
  </si>
  <si>
    <t>-24.52</t>
  </si>
  <si>
    <t>Elias Fausto</t>
  </si>
  <si>
    <t>Embu das Artes</t>
  </si>
  <si>
    <t>Engenheiro Coelho</t>
  </si>
  <si>
    <t>EspÃ­rito Santo do Pinhal</t>
  </si>
  <si>
    <t>EspÃ­rito Santo do Turvo</t>
  </si>
  <si>
    <t>Estiva Gerbi</t>
  </si>
  <si>
    <t>-51.66</t>
  </si>
  <si>
    <t>Estrela d'Oeste</t>
  </si>
  <si>
    <t>Euclides da Cunha Paulista</t>
  </si>
  <si>
    <t>Fartura</t>
  </si>
  <si>
    <t>Fernando Prestes</t>
  </si>
  <si>
    <t>Ferraz de Vasconcelos</t>
  </si>
  <si>
    <t>Flora Rica</t>
  </si>
  <si>
    <t>FlorÃ­nia</t>
  </si>
  <si>
    <t>Floreal</t>
  </si>
  <si>
    <t>Franca</t>
  </si>
  <si>
    <t>Francisco Morato</t>
  </si>
  <si>
    <t>Franco da Rocha</t>
  </si>
  <si>
    <t>Gabriel Monteiro</t>
  </si>
  <si>
    <t>General Salgado</t>
  </si>
  <si>
    <t>Getulina</t>
  </si>
  <si>
    <t>Guapiara</t>
  </si>
  <si>
    <t>-48.53</t>
  </si>
  <si>
    <t>Guarani d'Oeste</t>
  </si>
  <si>
    <t>Guararapes</t>
  </si>
  <si>
    <t>Guararema</t>
  </si>
  <si>
    <t>GuareÃ­</t>
  </si>
  <si>
    <t>Guariba</t>
  </si>
  <si>
    <t>Guarulhos</t>
  </si>
  <si>
    <t>-20.65</t>
  </si>
  <si>
    <t>Holambra</t>
  </si>
  <si>
    <t>Iacanga</t>
  </si>
  <si>
    <t>-21.89</t>
  </si>
  <si>
    <t>Iacri</t>
  </si>
  <si>
    <t>Iaras</t>
  </si>
  <si>
    <t>Ibirarema</t>
  </si>
  <si>
    <t>Ibitinga</t>
  </si>
  <si>
    <t>Igarapava</t>
  </si>
  <si>
    <t>Iguape</t>
  </si>
  <si>
    <t>Ilha Comprida</t>
  </si>
  <si>
    <t>Ilha Solteira</t>
  </si>
  <si>
    <t>Ilhabela</t>
  </si>
  <si>
    <t>-21.77</t>
  </si>
  <si>
    <t>Indaiatuba</t>
  </si>
  <si>
    <t>Indiana</t>
  </si>
  <si>
    <t>Ipaussu</t>
  </si>
  <si>
    <t>Iporanga</t>
  </si>
  <si>
    <t>Irapuru</t>
  </si>
  <si>
    <t>ItaÃ­</t>
  </si>
  <si>
    <t>Itajobi</t>
  </si>
  <si>
    <t>Itaju</t>
  </si>
  <si>
    <t>Itapecerica da Serra</t>
  </si>
  <si>
    <t>Itapetininga</t>
  </si>
  <si>
    <t>Itapevi</t>
  </si>
  <si>
    <t>Itapira</t>
  </si>
  <si>
    <t>ItapuÃ­</t>
  </si>
  <si>
    <t>Itapura</t>
  </si>
  <si>
    <t>Itaquaquecetuba</t>
  </si>
  <si>
    <t>Itariri</t>
  </si>
  <si>
    <t>Itatiba</t>
  </si>
  <si>
    <t>Itatinga</t>
  </si>
  <si>
    <t>Itirapina</t>
  </si>
  <si>
    <t>Itobi</t>
  </si>
  <si>
    <t>Itu</t>
  </si>
  <si>
    <t>Itupeva</t>
  </si>
  <si>
    <t>Ituverava</t>
  </si>
  <si>
    <t>Jaboticabal</t>
  </si>
  <si>
    <t>JacareÃ­</t>
  </si>
  <si>
    <t>Jaci</t>
  </si>
  <si>
    <t>Jacupiranga</t>
  </si>
  <si>
    <t>Jales</t>
  </si>
  <si>
    <t>Jambeiro</t>
  </si>
  <si>
    <t>Jandira</t>
  </si>
  <si>
    <t>Jarinu</t>
  </si>
  <si>
    <t>Jeriquara</t>
  </si>
  <si>
    <t>-22.25</t>
  </si>
  <si>
    <t>Jumirim</t>
  </si>
  <si>
    <t>JundiaÃ­</t>
  </si>
  <si>
    <t>Juquitiba</t>
  </si>
  <si>
    <t>Lagoinha</t>
  </si>
  <si>
    <t>Laranjal Paulista</t>
  </si>
  <si>
    <t>LavÃ­nia</t>
  </si>
  <si>
    <t>Lavrinhas</t>
  </si>
  <si>
    <t>Leme</t>
  </si>
  <si>
    <t>Limeira</t>
  </si>
  <si>
    <t>Lins</t>
  </si>
  <si>
    <t>Lorena</t>
  </si>
  <si>
    <t>Lourdes</t>
  </si>
  <si>
    <t>Louveira</t>
  </si>
  <si>
    <t>Macatuba</t>
  </si>
  <si>
    <t>Macaubal</t>
  </si>
  <si>
    <t>Magda</t>
  </si>
  <si>
    <t>Mairinque</t>
  </si>
  <si>
    <t>Manduri</t>
  </si>
  <si>
    <t>MaracaÃ­</t>
  </si>
  <si>
    <t>MarÃ­lia</t>
  </si>
  <si>
    <t>Marapoama</t>
  </si>
  <si>
    <t>Meridiano</t>
  </si>
  <si>
    <t>Mira Estrela</t>
  </si>
  <si>
    <t>Miracatu</t>
  </si>
  <si>
    <t>Mirante do Paranapanema</t>
  </si>
  <si>
    <t>Mirassol</t>
  </si>
  <si>
    <t>Mococa</t>
  </si>
  <si>
    <t>Mogi das Cruzes</t>
  </si>
  <si>
    <t>Mogi Mirim</t>
  </si>
  <si>
    <t>Mombuca</t>
  </si>
  <si>
    <t>-20.85</t>
  </si>
  <si>
    <t>Monte Alegre do Sul</t>
  </si>
  <si>
    <t>Monte Alto</t>
  </si>
  <si>
    <t>Monte AprazÃ­vel</t>
  </si>
  <si>
    <t>Monte Azul Paulista</t>
  </si>
  <si>
    <t>Monte Mor</t>
  </si>
  <si>
    <t>Monteiro Lobato</t>
  </si>
  <si>
    <t>Morro Agudo</t>
  </si>
  <si>
    <t>Morungaba</t>
  </si>
  <si>
    <t>-46.79</t>
  </si>
  <si>
    <t>Motuca</t>
  </si>
  <si>
    <t>Murutinga do Sul</t>
  </si>
  <si>
    <t>Nantes</t>
  </si>
  <si>
    <t>Narandiba</t>
  </si>
  <si>
    <t>Natividade da Serra</t>
  </si>
  <si>
    <t>Neves Paulista</t>
  </si>
  <si>
    <t>Nhandeara</t>
  </si>
  <si>
    <t>Nova Campina</t>
  </si>
  <si>
    <t>Nova Castilho</t>
  </si>
  <si>
    <t>Nova Europa</t>
  </si>
  <si>
    <t>Nova Granada</t>
  </si>
  <si>
    <t>Nova Guataporanga</t>
  </si>
  <si>
    <t>Nova Odessa</t>
  </si>
  <si>
    <t>Novais</t>
  </si>
  <si>
    <t>Nuporanga</t>
  </si>
  <si>
    <t>OlÃ­mpia</t>
  </si>
  <si>
    <t>Onda Verde</t>
  </si>
  <si>
    <t>Oriente</t>
  </si>
  <si>
    <t>Osasco</t>
  </si>
  <si>
    <t>Oscar Bressane</t>
  </si>
  <si>
    <t>Osvaldo Cruz</t>
  </si>
  <si>
    <t>Ourinhos</t>
  </si>
  <si>
    <t>Ouroeste</t>
  </si>
  <si>
    <t>Pacaembu</t>
  </si>
  <si>
    <t>Palmares Paulista</t>
  </si>
  <si>
    <t>Palmeira d'Oeste</t>
  </si>
  <si>
    <t>Panorama</t>
  </si>
  <si>
    <t>Paraibuna</t>
  </si>
  <si>
    <t>Paranapanema</t>
  </si>
  <si>
    <t>Pardinho</t>
  </si>
  <si>
    <t>Parisi</t>
  </si>
  <si>
    <t>PatrocÃ­nio Paulista</t>
  </si>
  <si>
    <t>PaulÃ­nia</t>
  </si>
  <si>
    <t>Paulo de Faria</t>
  </si>
  <si>
    <t>Pederneiras</t>
  </si>
  <si>
    <t>Pedra Bela</t>
  </si>
  <si>
    <t>Pedregulho</t>
  </si>
  <si>
    <t>Pedreira</t>
  </si>
  <si>
    <t>Pedrinhas Paulista</t>
  </si>
  <si>
    <t>Pedro de Toledo</t>
  </si>
  <si>
    <t>Pereira Barreto</t>
  </si>
  <si>
    <t>Pereiras</t>
  </si>
  <si>
    <t>PeruÃ­be</t>
  </si>
  <si>
    <t>Piacatu</t>
  </si>
  <si>
    <t>Piedade</t>
  </si>
  <si>
    <t>Pilar do Sul</t>
  </si>
  <si>
    <t>Pindamonhangaba</t>
  </si>
  <si>
    <t>Pindorama</t>
  </si>
  <si>
    <t>Piquerobi</t>
  </si>
  <si>
    <t>Piquete</t>
  </si>
  <si>
    <t>Piracaia</t>
  </si>
  <si>
    <t>Piracicaba</t>
  </si>
  <si>
    <t>Piraju</t>
  </si>
  <si>
    <t>PirajuÃ­</t>
  </si>
  <si>
    <t>Pirangi</t>
  </si>
  <si>
    <t>Pirapora do Bom Jesus</t>
  </si>
  <si>
    <t>Pirapozinho</t>
  </si>
  <si>
    <t>Pirassununga</t>
  </si>
  <si>
    <t>Piratininga</t>
  </si>
  <si>
    <t>Platina</t>
  </si>
  <si>
    <t>Poloni</t>
  </si>
  <si>
    <t>PongaÃ­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</si>
  <si>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</si>
  <si>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</si>
  <si>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</si>
  <si>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</si>
  <si>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</si>
  <si>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</si>
  <si>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</si>
  <si>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</si>
  <si>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</si>
  <si>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</si>
  <si>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Presidente Alves</t>
  </si>
  <si>
    <t>Presidente Prudente</t>
  </si>
  <si>
    <t>Presidente Venceslau</t>
  </si>
  <si>
    <t>Quadra</t>
  </si>
  <si>
    <t>Queiroz</t>
  </si>
  <si>
    <t>Queluz</t>
  </si>
  <si>
    <t>Quintana</t>
  </si>
  <si>
    <t>Rafard</t>
  </si>
  <si>
    <t>Rancharia</t>
  </si>
  <si>
    <t>Registro</t>
  </si>
  <si>
    <t>Restinga</t>
  </si>
  <si>
    <t>Ribeira</t>
  </si>
  <si>
    <t>Rifaina</t>
  </si>
  <si>
    <t>Rio das Pedras</t>
  </si>
  <si>
    <t>Rio Grande da Serra</t>
  </si>
  <si>
    <t>Riversul</t>
  </si>
  <si>
    <t>Rosana</t>
  </si>
  <si>
    <t>-22.58</t>
  </si>
  <si>
    <t>Roseira</t>
  </si>
  <si>
    <t>-50.73</t>
  </si>
  <si>
    <t>-23.19</t>
  </si>
  <si>
    <t>-47.91</t>
  </si>
  <si>
    <t>Sabino</t>
  </si>
  <si>
    <t>Sagres</t>
  </si>
  <si>
    <t>Sales</t>
  </si>
  <si>
    <t>Sales Oliveira</t>
  </si>
  <si>
    <t>Salto</t>
  </si>
  <si>
    <t>Salto de Pirapora</t>
  </si>
  <si>
    <t>Salto Grande</t>
  </si>
  <si>
    <t>Sandovalina</t>
  </si>
  <si>
    <t>Santa Albertina</t>
  </si>
  <si>
    <t>Santa Branca</t>
  </si>
  <si>
    <t>Santa Clara d'Oeste</t>
  </si>
  <si>
    <t>Santa Cruz das Palmeiras</t>
  </si>
  <si>
    <t>Santa Cruz do Rio Pardo</t>
  </si>
  <si>
    <t>Santa Ernestina</t>
  </si>
  <si>
    <t>Santa Gertrudes</t>
  </si>
  <si>
    <t>Santa Maria da Serra</t>
  </si>
  <si>
    <t>Santa Mercedes</t>
  </si>
  <si>
    <t>Santa Rita do Passa Quatro</t>
  </si>
  <si>
    <t>Santa Rita d'Oeste</t>
  </si>
  <si>
    <t>Santa Rosa de Viterbo</t>
  </si>
  <si>
    <t>Santa Salete</t>
  </si>
  <si>
    <t>Santana da Ponte Pensa</t>
  </si>
  <si>
    <t>Santana de ParnaÃ­ba</t>
  </si>
  <si>
    <t>Santo Expedito</t>
  </si>
  <si>
    <t>Santos</t>
  </si>
  <si>
    <t>SarapuÃ­</t>
  </si>
  <si>
    <t>Serra Azul</t>
  </si>
  <si>
    <t>Serra Negra</t>
  </si>
  <si>
    <t>Serrana</t>
  </si>
  <si>
    <t>Sete Barras</t>
  </si>
  <si>
    <t>SeverÃ­nia</t>
  </si>
  <si>
    <t>Silveiras</t>
  </si>
  <si>
    <t>Socorro</t>
  </si>
  <si>
    <t>Sorocaba</t>
  </si>
  <si>
    <t>Sud Mennucci</t>
  </si>
  <si>
    <t>Suzano</t>
  </si>
  <si>
    <t>Taciba</t>
  </si>
  <si>
    <t>-22.39</t>
  </si>
  <si>
    <t>TaguaÃ­</t>
  </si>
  <si>
    <t>Tanabi</t>
  </si>
  <si>
    <t>Tapiratiba</t>
  </si>
  <si>
    <t>Taquaral</t>
  </si>
  <si>
    <t>Taquaritinga</t>
  </si>
  <si>
    <t>Taquarituba</t>
  </si>
  <si>
    <t>TaquarivaÃ­</t>
  </si>
  <si>
    <t>Tarabai</t>
  </si>
  <si>
    <t>TatuÃ­</t>
  </si>
  <si>
    <t>Timburi</t>
  </si>
  <si>
    <t>Torre de Pedra</t>
  </si>
  <si>
    <t>Torrinha</t>
  </si>
  <si>
    <t>Trabiju</t>
  </si>
  <si>
    <t>Tuiuti</t>
  </si>
  <si>
    <t>Tupi Paulista</t>
  </si>
  <si>
    <t>Ubarana</t>
  </si>
  <si>
    <t>Ubatuba</t>
  </si>
  <si>
    <t>Ubirajara</t>
  </si>
  <si>
    <t>Uchoa</t>
  </si>
  <si>
    <t>Uru</t>
  </si>
  <si>
    <t>Valentim Gentil</t>
  </si>
  <si>
    <t>Valinhos</t>
  </si>
  <si>
    <t>ValparaÃ­so</t>
  </si>
  <si>
    <t>Vargem Grande do Sul</t>
  </si>
  <si>
    <t>Vargem Grande Paulista</t>
  </si>
  <si>
    <t>Vinhedo</t>
  </si>
  <si>
    <t>Viradouro</t>
  </si>
  <si>
    <t>Vista Alegre do Alto</t>
  </si>
  <si>
    <t>Votorantim</t>
  </si>
  <si>
    <t>Votuporanga</t>
  </si>
  <si>
    <t>Zacarias</t>
  </si>
  <si>
    <t>SERGIPE</t>
  </si>
  <si>
    <t>Aracaju</t>
  </si>
  <si>
    <t>-10.91</t>
  </si>
  <si>
    <t>Barra dos Coqueiros</t>
  </si>
  <si>
    <t>Boquim</t>
  </si>
  <si>
    <t>Brejo Grande</t>
  </si>
  <si>
    <t>Campo do Brito</t>
  </si>
  <si>
    <t>Canhoba</t>
  </si>
  <si>
    <t>Carira</t>
  </si>
  <si>
    <t>Cumbe</t>
  </si>
  <si>
    <t>Divina Pastora</t>
  </si>
  <si>
    <t>Frei Paulo</t>
  </si>
  <si>
    <t>Gararu</t>
  </si>
  <si>
    <t>General Maynard</t>
  </si>
  <si>
    <t>Graccho Cardoso</t>
  </si>
  <si>
    <t>-10.23</t>
  </si>
  <si>
    <t>Ilha das Flores</t>
  </si>
  <si>
    <t>Indiaroba</t>
  </si>
  <si>
    <t>Itabaianinha</t>
  </si>
  <si>
    <t>Itabi</t>
  </si>
  <si>
    <t>Itaporanga d'Ajuda</t>
  </si>
  <si>
    <t>Japaratuba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</si>
  <si>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</si>
  <si>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</si>
  <si>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</si>
  <si>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</si>
  <si>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</si>
  <si>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</si>
  <si>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</si>
  <si>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</si>
  <si>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</si>
  <si>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Nossa Senhora Aparecida</t>
  </si>
  <si>
    <t>Nossa Senhora das Dores</t>
  </si>
  <si>
    <t>Nossa Senhora de Lourdes</t>
  </si>
  <si>
    <t>Nossa Senhora do Socorro</t>
  </si>
  <si>
    <t>Pedra Mole</t>
  </si>
  <si>
    <t>Pedrinhas</t>
  </si>
  <si>
    <t>Pirambu</t>
  </si>
  <si>
    <t>Porto da Folha</t>
  </si>
  <si>
    <t>Salgado</t>
  </si>
  <si>
    <t>Santa Luzia do Itanhy</t>
  </si>
  <si>
    <t>Santo Amaro das Brotas</t>
  </si>
  <si>
    <t>Siriri</t>
  </si>
  <si>
    <t>Telha</t>
  </si>
  <si>
    <t>Tobias Barreto</t>
  </si>
  <si>
    <t>Tomar do Geru</t>
  </si>
  <si>
    <t>TOCANTINS</t>
  </si>
  <si>
    <t>Almas</t>
  </si>
  <si>
    <t>Angico</t>
  </si>
  <si>
    <t>Aparecida do Rio Negro</t>
  </si>
  <si>
    <t>Aragominas</t>
  </si>
  <si>
    <t>AraguaÃ­na</t>
  </si>
  <si>
    <t>Araguacema</t>
  </si>
  <si>
    <t>Araguatins</t>
  </si>
  <si>
    <t>Arapoema</t>
  </si>
  <si>
    <t>Arraias</t>
  </si>
  <si>
    <t>Aurora do Tocantins</t>
  </si>
  <si>
    <t>Bandeirantes do Tocantins</t>
  </si>
  <si>
    <t>Barra do Ouro</t>
  </si>
  <si>
    <t>Buriti do Tocantins</t>
  </si>
  <si>
    <t>Campos Lindos</t>
  </si>
  <si>
    <t>Cariri do Tocantins</t>
  </si>
  <si>
    <t>Carrasco Bonito</t>
  </si>
  <si>
    <t>Caseara</t>
  </si>
  <si>
    <t>Chapada da Natividade</t>
  </si>
  <si>
    <t>Chapada de Areia</t>
  </si>
  <si>
    <t>Colinas do Tocantins</t>
  </si>
  <si>
    <t>Combinado</t>
  </si>
  <si>
    <t>Formoso do Araguaia</t>
  </si>
  <si>
    <t>Goianorte</t>
  </si>
  <si>
    <t>Goiatins</t>
  </si>
  <si>
    <t>GuaraÃ­</t>
  </si>
  <si>
    <t>Gurupi</t>
  </si>
  <si>
    <t>Itaguatins</t>
  </si>
  <si>
    <t>Itapiratins</t>
  </si>
  <si>
    <t>Juarina</t>
  </si>
  <si>
    <t>Lagoa do Tocantins</t>
  </si>
  <si>
    <t>Lavandeira</t>
  </si>
  <si>
    <t>Lizarda</t>
  </si>
  <si>
    <t>Mateiros</t>
  </si>
  <si>
    <t>-47.51</t>
  </si>
  <si>
    <t>Miracema do Tocantins</t>
  </si>
  <si>
    <t>Miranorte</t>
  </si>
  <si>
    <t>Monte do Carmo</t>
  </si>
  <si>
    <t>Monte Santo do Tocantins</t>
  </si>
  <si>
    <t>Novo Acordo</t>
  </si>
  <si>
    <t>Novo Alegre</t>
  </si>
  <si>
    <t>Novo Jardim</t>
  </si>
  <si>
    <t>-13.04</t>
  </si>
  <si>
    <t>Palmeirante</t>
  </si>
  <si>
    <t>Palmeiras do Tocantins</t>
  </si>
  <si>
    <t>ParaÃ­so do Tocantins</t>
  </si>
  <si>
    <t>Pedro Afonso</t>
  </si>
  <si>
    <t>Peixe</t>
  </si>
  <si>
    <t>Pequizeiro</t>
  </si>
  <si>
    <t>Pindorama do Tocantins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</si>
  <si>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</si>
  <si>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</si>
  <si>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</si>
  <si>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</si>
  <si>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</si>
  <si>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</si>
  <si>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</si>
  <si>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Rio dos Bois</t>
  </si>
  <si>
    <t>Rio Sono</t>
  </si>
  <si>
    <t>Sampaio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</si>
  <si>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</si>
  <si>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</si>
  <si>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</si>
  <si>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</si>
  <si>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</si>
  <si>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SÃ­tio Novo do Tocantins</t>
  </si>
  <si>
    <t>Sucupira</t>
  </si>
  <si>
    <t>Taguatinga</t>
  </si>
  <si>
    <t>Taipas do Tocantins</t>
  </si>
  <si>
    <t>TocantÃ­nia</t>
  </si>
  <si>
    <t>Tupirama</t>
  </si>
  <si>
    <t>Tupiratins</t>
  </si>
  <si>
    <t>Geração Mensal (kWh)</t>
  </si>
  <si>
    <t>Economia Anual (R$)</t>
  </si>
  <si>
    <t>ESTADO</t>
  </si>
  <si>
    <t>CIDADE</t>
  </si>
  <si>
    <t>Distribuidora</t>
  </si>
  <si>
    <t>TARIFA DE CONSUMO (R$/kWh)</t>
  </si>
  <si>
    <t>SP</t>
  </si>
  <si>
    <t>RJ</t>
  </si>
  <si>
    <t>ENF</t>
  </si>
  <si>
    <t>CERCI</t>
  </si>
  <si>
    <t>UF</t>
  </si>
  <si>
    <t>Tarifa Branca - Intermediária</t>
  </si>
  <si>
    <t>Tarifa Branca - Fora ponta</t>
  </si>
  <si>
    <t>Tarifa Branca - Ponta</t>
  </si>
  <si>
    <t>Castro - DIS</t>
  </si>
  <si>
    <t>PR</t>
  </si>
  <si>
    <t>CEGERO</t>
  </si>
  <si>
    <t>SC</t>
  </si>
  <si>
    <t>Codesam</t>
  </si>
  <si>
    <t>Coopera</t>
  </si>
  <si>
    <t>Cersul</t>
  </si>
  <si>
    <t>Cooperaliança</t>
  </si>
  <si>
    <t>Coopercocal</t>
  </si>
  <si>
    <t>Certel</t>
  </si>
  <si>
    <t>RS</t>
  </si>
  <si>
    <t>CPFL Piratininga</t>
  </si>
  <si>
    <t>Ceral DIS</t>
  </si>
  <si>
    <t>Ceraça</t>
  </si>
  <si>
    <t>Ceriluz</t>
  </si>
  <si>
    <t>EBO</t>
  </si>
  <si>
    <t>PB</t>
  </si>
  <si>
    <t>Coprel</t>
  </si>
  <si>
    <t>Celesc-DIS</t>
  </si>
  <si>
    <t>Cooperluz</t>
  </si>
  <si>
    <t>Coopermila</t>
  </si>
  <si>
    <t>DMED</t>
  </si>
  <si>
    <t>MG</t>
  </si>
  <si>
    <t>Cemirim</t>
  </si>
  <si>
    <t>Ienergia</t>
  </si>
  <si>
    <t>Copel-DIS</t>
  </si>
  <si>
    <t>ESS (agrupada)</t>
  </si>
  <si>
    <t>CEEE-D</t>
  </si>
  <si>
    <t>ELFSM</t>
  </si>
  <si>
    <t>ES</t>
  </si>
  <si>
    <t>CEB-DIS</t>
  </si>
  <si>
    <t>DF</t>
  </si>
  <si>
    <t>Cosern</t>
  </si>
  <si>
    <t>RN</t>
  </si>
  <si>
    <t>Cergapa</t>
  </si>
  <si>
    <t>EDP SP</t>
  </si>
  <si>
    <t>MuxEnergia</t>
  </si>
  <si>
    <t>Elektro</t>
  </si>
  <si>
    <t>Enel GO</t>
  </si>
  <si>
    <t>GO</t>
  </si>
  <si>
    <t>Enel SP</t>
  </si>
  <si>
    <t>ESE</t>
  </si>
  <si>
    <t>SE</t>
  </si>
  <si>
    <t>CEA</t>
  </si>
  <si>
    <t>AP</t>
  </si>
  <si>
    <t>Demei</t>
  </si>
  <si>
    <t>CPFL Santa Cruz (agrupada)</t>
  </si>
  <si>
    <t>Cerbranorte</t>
  </si>
  <si>
    <t>EPB</t>
  </si>
  <si>
    <t>Enel CE</t>
  </si>
  <si>
    <t>CE</t>
  </si>
  <si>
    <t>CPFL Paulista</t>
  </si>
  <si>
    <t>EDP ES</t>
  </si>
  <si>
    <t>Cergral</t>
  </si>
  <si>
    <t>COOPERZEM</t>
  </si>
  <si>
    <t>Eletrocar</t>
  </si>
  <si>
    <t>Cocel</t>
  </si>
  <si>
    <t>Cermoful</t>
  </si>
  <si>
    <t>Cersad</t>
  </si>
  <si>
    <t>CERTHIL</t>
  </si>
  <si>
    <t>Cepisa</t>
  </si>
  <si>
    <t>PI</t>
  </si>
  <si>
    <t>Eletroacre</t>
  </si>
  <si>
    <t>AC</t>
  </si>
  <si>
    <t>Uhenpal</t>
  </si>
  <si>
    <t>Creluz-D</t>
  </si>
  <si>
    <t>Chesp</t>
  </si>
  <si>
    <t>Celpe</t>
  </si>
  <si>
    <t>PE</t>
  </si>
  <si>
    <t>Coelba</t>
  </si>
  <si>
    <t>BA</t>
  </si>
  <si>
    <t>Ceron</t>
  </si>
  <si>
    <t>RO</t>
  </si>
  <si>
    <t>Cerej</t>
  </si>
  <si>
    <t>Cerpro</t>
  </si>
  <si>
    <t>Ceal</t>
  </si>
  <si>
    <t>AL</t>
  </si>
  <si>
    <t>Certaja</t>
  </si>
  <si>
    <t>Cedrap</t>
  </si>
  <si>
    <t>Ceripa</t>
  </si>
  <si>
    <t>Cernhe</t>
  </si>
  <si>
    <t>RGE (agrupada)</t>
  </si>
  <si>
    <t>Coorsel</t>
  </si>
  <si>
    <t>COOPERSUL</t>
  </si>
  <si>
    <t>Hidropan</t>
  </si>
  <si>
    <t>Ceris</t>
  </si>
  <si>
    <t>CERFOX</t>
  </si>
  <si>
    <t>Cejama</t>
  </si>
  <si>
    <t>Roraima Energia</t>
  </si>
  <si>
    <t>RR</t>
  </si>
  <si>
    <t>Cemig-D</t>
  </si>
  <si>
    <t>Forcel</t>
  </si>
  <si>
    <t>Sulgipe</t>
  </si>
  <si>
    <t>Certrel</t>
  </si>
  <si>
    <t>EMG</t>
  </si>
  <si>
    <t>CERMC</t>
  </si>
  <si>
    <t>Cemar</t>
  </si>
  <si>
    <t>MA</t>
  </si>
  <si>
    <t>Cermissões</t>
  </si>
  <si>
    <t>CERRP</t>
  </si>
  <si>
    <t>Cerpalo</t>
  </si>
  <si>
    <t>EMT</t>
  </si>
  <si>
    <t>MT</t>
  </si>
  <si>
    <t>EFLJC</t>
  </si>
  <si>
    <t>Creral</t>
  </si>
  <si>
    <t>EMS</t>
  </si>
  <si>
    <t>MS</t>
  </si>
  <si>
    <t>ETO</t>
  </si>
  <si>
    <t>TO</t>
  </si>
  <si>
    <t>Eflul</t>
  </si>
  <si>
    <t>Cergal</t>
  </si>
  <si>
    <t>Light</t>
  </si>
  <si>
    <t>Ceral Anitápolis</t>
  </si>
  <si>
    <t>AmE</t>
  </si>
  <si>
    <t>CERVAM</t>
  </si>
  <si>
    <t>Ceprag</t>
  </si>
  <si>
    <t>Enel RJ</t>
  </si>
  <si>
    <t>Cerim</t>
  </si>
  <si>
    <t>Cetril</t>
  </si>
  <si>
    <t>Celpa</t>
  </si>
  <si>
    <t>PA</t>
  </si>
  <si>
    <t>COOPERNORTE</t>
  </si>
  <si>
    <t>Cedri</t>
  </si>
  <si>
    <t>Cercos</t>
  </si>
  <si>
    <t>Ceral Araruama</t>
  </si>
  <si>
    <t>AME - AM</t>
  </si>
  <si>
    <t>CEA - AM</t>
  </si>
  <si>
    <t>CEAL - AL</t>
  </si>
  <si>
    <t>CEB - DF</t>
  </si>
  <si>
    <t>CELPA - PA</t>
  </si>
  <si>
    <t>CELPE - PE</t>
  </si>
  <si>
    <t>CEMAR - MA</t>
  </si>
  <si>
    <t>CEMIG - MG</t>
  </si>
  <si>
    <t>CEPISA - PI</t>
  </si>
  <si>
    <t>CERCOS - SE</t>
  </si>
  <si>
    <t>CERON - RO</t>
  </si>
  <si>
    <t>CERR - RR</t>
  </si>
  <si>
    <t>COELBA - BA</t>
  </si>
  <si>
    <t>COSERN - RN</t>
  </si>
  <si>
    <t>EBO - PB</t>
  </si>
  <si>
    <t>EDP - ES</t>
  </si>
  <si>
    <t>ELETROACRE - AC</t>
  </si>
  <si>
    <t>ELFSM - ES</t>
  </si>
  <si>
    <t>ENEL - CE</t>
  </si>
  <si>
    <t>ENEL - RJ</t>
  </si>
  <si>
    <t>ENERGISA - MT</t>
  </si>
  <si>
    <t>EPB - PB</t>
  </si>
  <si>
    <t>ESE - SE</t>
  </si>
  <si>
    <t>LIGHT - RJ</t>
  </si>
  <si>
    <t>SULGIPE - SE</t>
  </si>
  <si>
    <t>CPFL - PAULISTA</t>
  </si>
  <si>
    <t>EDP - SP</t>
  </si>
  <si>
    <t>CPFL - PIRATININGA</t>
  </si>
  <si>
    <t>ENEL - SP</t>
  </si>
  <si>
    <t>DISTRIBUIDORA</t>
  </si>
  <si>
    <t>S/ IMPOSTO</t>
  </si>
  <si>
    <t>TOCANTIS</t>
  </si>
  <si>
    <t>Fator de Correção</t>
  </si>
  <si>
    <t xml:space="preserve"> MÉDIA KWH</t>
  </si>
  <si>
    <t xml:space="preserve"> ANUAL KWH</t>
  </si>
  <si>
    <t>CONSUMO INSTANTANEO</t>
  </si>
  <si>
    <t>Consumo TUSD</t>
  </si>
  <si>
    <t>Consumo TE</t>
  </si>
  <si>
    <t>ICMS TUSD</t>
  </si>
  <si>
    <t>ICMS TE</t>
  </si>
  <si>
    <t>QUINTA</t>
  </si>
  <si>
    <t>TOTAL ECONOMIA ANO</t>
  </si>
  <si>
    <t>FATURA SEM SOLAR</t>
  </si>
  <si>
    <t>ECONOMIA SOLAR</t>
  </si>
  <si>
    <t>RESIDUAL FATURA</t>
  </si>
  <si>
    <t>MATERIAL FOTOVOLTAICO</t>
  </si>
  <si>
    <t>PREÇO SERVIÇO POR KWP</t>
  </si>
  <si>
    <t>PREÇO POR KWP</t>
  </si>
  <si>
    <t>LUCRO LIQUIDO</t>
  </si>
  <si>
    <t>COMISSÃO</t>
  </si>
  <si>
    <t>LUCRO BRUTO</t>
  </si>
  <si>
    <t>TOTAL GERAL</t>
  </si>
  <si>
    <t>IMPOSTOS</t>
  </si>
  <si>
    <t>TOTAL DE CUSTOS</t>
  </si>
  <si>
    <t>FORNECEDOR</t>
  </si>
  <si>
    <t>IMPOSTO</t>
  </si>
  <si>
    <t>PREÇO KWP MATERIAL</t>
  </si>
  <si>
    <t>MÊS</t>
  </si>
  <si>
    <t>% Geração x Consumo</t>
  </si>
  <si>
    <t xml:space="preserve">Economia em % </t>
  </si>
  <si>
    <t>Formas de pagamento</t>
  </si>
  <si>
    <t>Economia em 25 Anos</t>
  </si>
  <si>
    <t>AMAPÁ</t>
  </si>
  <si>
    <t>CEA - AP</t>
  </si>
  <si>
    <t>CELG - DF</t>
  </si>
  <si>
    <t>CERAL ARARUAMA - RJ</t>
  </si>
  <si>
    <t>ENF - RJ</t>
  </si>
  <si>
    <t>CERCI - RJ</t>
  </si>
  <si>
    <t>CERES - RJ</t>
  </si>
  <si>
    <t>GOIAIS</t>
  </si>
  <si>
    <t>ENEL - GO</t>
  </si>
  <si>
    <t>ENERGISA - MS</t>
  </si>
  <si>
    <t>COPEL - PR</t>
  </si>
  <si>
    <t>CEEE - RS</t>
  </si>
  <si>
    <t>CELESC - SC</t>
  </si>
  <si>
    <t>TARIFA PERSONALIZADA</t>
  </si>
  <si>
    <t>ELEKTRO - SP</t>
  </si>
  <si>
    <t>CELTINS (ETO) -TO</t>
  </si>
  <si>
    <t>Toneladas CO2 Evitados</t>
  </si>
  <si>
    <t>R$/Wp</t>
  </si>
  <si>
    <t>CONSUMO EM BAIXA TENSÃO</t>
  </si>
  <si>
    <t>TARIFA TUSD BT</t>
  </si>
  <si>
    <t>TARIFA TE BT</t>
  </si>
  <si>
    <t>GERAÇÃO NECESSÁRIA kWh</t>
  </si>
  <si>
    <t>C/ IMPOSTO BT</t>
  </si>
  <si>
    <t>ADIÇÃO NA MÉDIA kWh</t>
  </si>
  <si>
    <t>ILUMINAÇÃO PÚBLICA BT</t>
  </si>
  <si>
    <t>TOTAL FATURA</t>
  </si>
  <si>
    <t xml:space="preserve">TAXA DE ILUMINAÇÃO </t>
  </si>
  <si>
    <t>Celulás que podem ou devem ser mexidas</t>
  </si>
  <si>
    <t>Valor da Fatura Atual</t>
  </si>
  <si>
    <t>Demanda</t>
  </si>
  <si>
    <t>Impostos</t>
  </si>
  <si>
    <t>S/ Solar</t>
  </si>
  <si>
    <t>C/ Solar</t>
  </si>
  <si>
    <t>Fatura Com Energia Solar</t>
  </si>
  <si>
    <t>Fatura Sem Energia Solar</t>
  </si>
  <si>
    <t>Fatura Baixa Tensao</t>
  </si>
  <si>
    <t>Rentabilidade mensal</t>
  </si>
  <si>
    <t>CPFL SC - SP</t>
  </si>
  <si>
    <t>LUCRO BRUTO (R$)</t>
  </si>
  <si>
    <t>Nº Módulos</t>
  </si>
  <si>
    <t>LUCRO  (MARGEM CONTRIBUIÇÃO)</t>
  </si>
  <si>
    <t>Injetado</t>
  </si>
  <si>
    <t>Consumido</t>
  </si>
  <si>
    <t>Área:</t>
  </si>
  <si>
    <t>Fibrocimento/romana</t>
  </si>
  <si>
    <t>Estrutura:</t>
  </si>
  <si>
    <t>email vendedor:</t>
  </si>
  <si>
    <t>Telefone vendedor:</t>
  </si>
  <si>
    <t>Nome do cliente:</t>
  </si>
  <si>
    <t>Nome do vendedor:</t>
  </si>
  <si>
    <t>Nome da empresa:</t>
  </si>
  <si>
    <t>Fluxo de Caixa</t>
  </si>
  <si>
    <t>Informações a Preencher</t>
  </si>
  <si>
    <t xml:space="preserve">Payback completo </t>
  </si>
  <si>
    <t xml:space="preserve">Meses resilientes </t>
  </si>
  <si>
    <t xml:space="preserve">Dias Resilientes </t>
  </si>
  <si>
    <t xml:space="preserve">Meses </t>
  </si>
  <si>
    <t xml:space="preserve">Anos </t>
  </si>
  <si>
    <t xml:space="preserve">Ele te economizará </t>
  </si>
  <si>
    <t>Pelo investimento de</t>
  </si>
  <si>
    <t xml:space="preserve">Payback em anos </t>
  </si>
  <si>
    <t xml:space="preserve">Seu retorno ano é de </t>
  </si>
  <si>
    <t xml:space="preserve">Danig Engenharia Elétrica </t>
  </si>
  <si>
    <t>(11) 942057591</t>
  </si>
  <si>
    <t xml:space="preserve">Daniel Carvalho </t>
  </si>
  <si>
    <t xml:space="preserve">daniel@danigengenhariaeletrica.com </t>
  </si>
  <si>
    <t>São Caetano do Sul</t>
  </si>
  <si>
    <t>Caldeirão Grande</t>
  </si>
  <si>
    <t>Gavião</t>
  </si>
  <si>
    <t>João Dourado</t>
  </si>
  <si>
    <t>Lajedão</t>
  </si>
  <si>
    <t>Lamarão</t>
  </si>
  <si>
    <t>Lapão</t>
  </si>
  <si>
    <t>Mansidão</t>
  </si>
  <si>
    <t>Mata de São João</t>
  </si>
  <si>
    <t>Pedrão</t>
  </si>
  <si>
    <t>Pilão Arcado</t>
  </si>
  <si>
    <t>Riachão das Neves</t>
  </si>
  <si>
    <t>Riachão do JacuÃ­pe</t>
  </si>
  <si>
    <t>Ribeirão do Largo</t>
  </si>
  <si>
    <t>São Domingos</t>
  </si>
  <si>
    <t>São Felipe</t>
  </si>
  <si>
    <t>São Francisco do Conde</t>
  </si>
  <si>
    <t>São Gabriel</t>
  </si>
  <si>
    <t>São Miguel das Matas</t>
  </si>
  <si>
    <t>Sebastião Laranjeiras</t>
  </si>
  <si>
    <t>Missão Velha</t>
  </si>
  <si>
    <t>São Benedito</t>
  </si>
  <si>
    <t>São João do Jaguaribe</t>
  </si>
  <si>
    <t>São LuÃ­s do Curu</t>
  </si>
  <si>
    <t>Catalão</t>
  </si>
  <si>
    <t>Marzagão</t>
  </si>
  <si>
    <t>Porteirão</t>
  </si>
  <si>
    <t>São LuÃ­s de Montes Belos</t>
  </si>
  <si>
    <t>São Luiz do Norte</t>
  </si>
  <si>
    <t>São Miguel do Araguaia</t>
  </si>
  <si>
    <t>São Miguel do Passa Quatro</t>
  </si>
  <si>
    <t>São PatrÃ­cio</t>
  </si>
  <si>
    <t>São Simão</t>
  </si>
  <si>
    <t>Varjão</t>
  </si>
  <si>
    <t>Ãgua Doce do Maranhão</t>
  </si>
  <si>
    <t>Altamira do Maranhão</t>
  </si>
  <si>
    <t>Alto Alegre do Maranhão</t>
  </si>
  <si>
    <t>Amarante do Maranhão</t>
  </si>
  <si>
    <t>Bela Vista do Maranhão</t>
  </si>
  <si>
    <t>Bequimão</t>
  </si>
  <si>
    <t>Campestre do Maranhão</t>
  </si>
  <si>
    <t>Central do Maranhão</t>
  </si>
  <si>
    <t>Centro Novo do Maranhão</t>
  </si>
  <si>
    <t>Feira Nova do Maranhão</t>
  </si>
  <si>
    <t>Fernando Falcão</t>
  </si>
  <si>
    <t>Governador Edison Lobão</t>
  </si>
  <si>
    <t>Itinga do Maranhão</t>
  </si>
  <si>
    <t>João Lisboa</t>
  </si>
  <si>
    <t>Junco do Maranhão</t>
  </si>
  <si>
    <t>Lagoa Grande do Maranhão</t>
  </si>
  <si>
    <t>Maranhãozinho</t>
  </si>
  <si>
    <t>Milagres do Maranhão</t>
  </si>
  <si>
    <t>Nova Olinda do Maranhão</t>
  </si>
  <si>
    <t>Olinda Nova do Maranhão</t>
  </si>
  <si>
    <t>Porto Rico do Maranhão</t>
  </si>
  <si>
    <t>Riachão</t>
  </si>
  <si>
    <t>São Benedito do Rio Preto</t>
  </si>
  <si>
    <t>São Bento</t>
  </si>
  <si>
    <t>São Bernardo</t>
  </si>
  <si>
    <t>São Domingos do Azeitão</t>
  </si>
  <si>
    <t>São Domingos do Maranhão</t>
  </si>
  <si>
    <t>São Francisco do Brejão</t>
  </si>
  <si>
    <t>São Francisco do Maranhão</t>
  </si>
  <si>
    <t>São João Batista</t>
  </si>
  <si>
    <t>São João do ParaÃ­so</t>
  </si>
  <si>
    <t>São João do Soter</t>
  </si>
  <si>
    <t>São João dos Patos</t>
  </si>
  <si>
    <t>São LuÃ­s</t>
  </si>
  <si>
    <t>São LuÃ­s Gonzaga do Maranhão</t>
  </si>
  <si>
    <t>São Mateus do Maranhão</t>
  </si>
  <si>
    <t>São Pedro da Ãgua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</si>
  <si>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</si>
  <si>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</si>
  <si>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</si>
  <si>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</si>
  <si>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</si>
  <si>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Santa Filomena do Maranhão</t>
  </si>
  <si>
    <t>Santana do Maranhão</t>
  </si>
  <si>
    <t>Santo Amaro do Maranhão</t>
  </si>
  <si>
    <t>Serrano do Maranhão</t>
  </si>
  <si>
    <t>Sucupira do Riachão</t>
  </si>
  <si>
    <t>Novo São Joaquim</t>
  </si>
  <si>
    <t>Porto Esperidião</t>
  </si>
  <si>
    <t>Ribeirão Cascalheira</t>
  </si>
  <si>
    <t>Ribeirãozinho</t>
  </si>
  <si>
    <t>São Pedro da Cipa</t>
  </si>
  <si>
    <t>União do Sul</t>
  </si>
  <si>
    <t>Vale de São Domingos</t>
  </si>
  <si>
    <t>Chapadão do Sul</t>
  </si>
  <si>
    <t>Dois Irmãos do Buriti</t>
  </si>
  <si>
    <t>Figueirão</t>
  </si>
  <si>
    <t>São Gabriel do Oeste</t>
  </si>
  <si>
    <t>Barão de Cocais</t>
  </si>
  <si>
    <t>Barão de Monte Alto</t>
  </si>
  <si>
    <t>Bueno Brandão</t>
  </si>
  <si>
    <t>Capitão Andrade</t>
  </si>
  <si>
    <t>Grão Mogol</t>
  </si>
  <si>
    <t>João Monlevade</t>
  </si>
  <si>
    <t>João Pinheiro</t>
  </si>
  <si>
    <t>Monte Sião</t>
  </si>
  <si>
    <t>Nova União</t>
  </si>
  <si>
    <t>Pavão</t>
  </si>
  <si>
    <t>Perdigão</t>
  </si>
  <si>
    <t>Ribeirão das Neves</t>
  </si>
  <si>
    <t>Ribeirão Vermelho</t>
  </si>
  <si>
    <t>São Bento Abade</t>
  </si>
  <si>
    <t>São Domingos das Dores</t>
  </si>
  <si>
    <t>São Domingos do Prata</t>
  </si>
  <si>
    <t>São Francisco</t>
  </si>
  <si>
    <t>São Francisco de Paula</t>
  </si>
  <si>
    <t>São Francisco de Sales</t>
  </si>
  <si>
    <t>São Geraldo</t>
  </si>
  <si>
    <t>São Geraldo da Piedade</t>
  </si>
  <si>
    <t>São Geraldo do Baixio</t>
  </si>
  <si>
    <t>São Gotardo</t>
  </si>
  <si>
    <t>São João da Lagoa</t>
  </si>
  <si>
    <t>São João da Mata</t>
  </si>
  <si>
    <t>São João da Ponte</t>
  </si>
  <si>
    <t>São João del Rei</t>
  </si>
  <si>
    <t>São João do Manteninha</t>
  </si>
  <si>
    <t>São João do Oriente</t>
  </si>
  <si>
    <t>São João do PacuÃ­</t>
  </si>
  <si>
    <t>São João Evangelista</t>
  </si>
  <si>
    <t>São João Nepomuceno</t>
  </si>
  <si>
    <t>São Joaquim de Bicas</t>
  </si>
  <si>
    <t>São Miguel do Anta</t>
  </si>
  <si>
    <t>São Pedro da União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</si>
  <si>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</si>
  <si>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</si>
  <si>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</si>
  <si>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</si>
  <si>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</si>
  <si>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</si>
  <si>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</si>
  <si>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</si>
  <si>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ParaÃ­so</t>
  </si>
  <si>
    <t>São Sebastião do Rio Preto</t>
  </si>
  <si>
    <t>São Sebastião do Rio Verde</t>
  </si>
  <si>
    <t>São Tiago</t>
  </si>
  <si>
    <t>São Vicente de Minas</t>
  </si>
  <si>
    <t>Simão Pereira</t>
  </si>
  <si>
    <t>União de Minas</t>
  </si>
  <si>
    <t>Varjão de Minas</t>
  </si>
  <si>
    <t>Baião</t>
  </si>
  <si>
    <t>Garrafão do Norte</t>
  </si>
  <si>
    <t>São Caetano de Odivelas</t>
  </si>
  <si>
    <t>São Domingos do Araguaia</t>
  </si>
  <si>
    <t>São Domingos do Capim</t>
  </si>
  <si>
    <t>São Geraldo do Araguaia</t>
  </si>
  <si>
    <t>São João da Ponta</t>
  </si>
  <si>
    <t>São João de Pirabas</t>
  </si>
  <si>
    <t>São João do Araguaia</t>
  </si>
  <si>
    <t>São Sebastião da Boa Vista</t>
  </si>
  <si>
    <t>Trairão</t>
  </si>
  <si>
    <t>Algodão de JandaÃ­ra</t>
  </si>
  <si>
    <t>Boqueirão</t>
  </si>
  <si>
    <t>Caldas Brandão</t>
  </si>
  <si>
    <t>Damião</t>
  </si>
  <si>
    <t>Gurjão</t>
  </si>
  <si>
    <t>João Pessoa</t>
  </si>
  <si>
    <t>Riachão do Bacamarte</t>
  </si>
  <si>
    <t>São Bentinho</t>
  </si>
  <si>
    <t>São Domingos do Cariri</t>
  </si>
  <si>
    <t>São João do Cariri</t>
  </si>
  <si>
    <t>São João do Rio do Peixe</t>
  </si>
  <si>
    <t>São João do Tigre</t>
  </si>
  <si>
    <t>São Mamede</t>
  </si>
  <si>
    <t>São Miguel de Taipu</t>
  </si>
  <si>
    <t>São Sebastião do Umbuzeiro</t>
  </si>
  <si>
    <t>Sertãozinho</t>
  </si>
  <si>
    <t>Barracão</t>
  </si>
  <si>
    <t>Boa Ventura de São Roque</t>
  </si>
  <si>
    <t>Campina do Simão</t>
  </si>
  <si>
    <t>Campo Mourão</t>
  </si>
  <si>
    <t>Engenheiro Beltrão</t>
  </si>
  <si>
    <t>Foz do Jordão</t>
  </si>
  <si>
    <t>Francisco Beltrão</t>
  </si>
  <si>
    <t>Pinhão</t>
  </si>
  <si>
    <t>Pinhal de São Bento</t>
  </si>
  <si>
    <t>Pinhalão</t>
  </si>
  <si>
    <t>Ribeirão Claro</t>
  </si>
  <si>
    <t>Ribeirão do Pinhal</t>
  </si>
  <si>
    <t>São Carlos do IvaÃ­</t>
  </si>
  <si>
    <t>São João</t>
  </si>
  <si>
    <t>São João do IvaÃ­</t>
  </si>
  <si>
    <t>São João do Triunfo</t>
  </si>
  <si>
    <t>São Jorge do IvaÃ­</t>
  </si>
  <si>
    <t>São Jorge do PatrocÃ­nio</t>
  </si>
  <si>
    <t>São Jorge d'Oeste</t>
  </si>
  <si>
    <t>São Mateus do Sul</t>
  </si>
  <si>
    <t>São Pedro do IvaÃ­</t>
  </si>
  <si>
    <t>São Sebastião da Amoreira</t>
  </si>
  <si>
    <t>Santa CecÃ­lia do Pavão</t>
  </si>
  <si>
    <t>Brejão</t>
  </si>
  <si>
    <t>Jaboatão dos Guararapes</t>
  </si>
  <si>
    <t>João Alfredo</t>
  </si>
  <si>
    <t>Ribeirão</t>
  </si>
  <si>
    <t>São Benedito do Sul</t>
  </si>
  <si>
    <t>São Bento do Una</t>
  </si>
  <si>
    <t>São Caitano</t>
  </si>
  <si>
    <t>São Joaquim do Monte</t>
  </si>
  <si>
    <t>Solidão</t>
  </si>
  <si>
    <t>Boqueirão do PiauÃ­</t>
  </si>
  <si>
    <t>Caldeirão Grande do PiauÃ­</t>
  </si>
  <si>
    <t>Capitão de Campos</t>
  </si>
  <si>
    <t>Demerval Lobão</t>
  </si>
  <si>
    <t>Domingos Mourão</t>
  </si>
  <si>
    <t>Elesbão Veloso</t>
  </si>
  <si>
    <t>Hugo Napoleão</t>
  </si>
  <si>
    <t>João Costa</t>
  </si>
  <si>
    <t>Lagoa de São Francisco</t>
  </si>
  <si>
    <t>Miguel Leão</t>
  </si>
  <si>
    <t>Milton Brandão</t>
  </si>
  <si>
    <t>São Braz do PiauÃ­</t>
  </si>
  <si>
    <t>São Francisco de Assis do PiauÃ­</t>
  </si>
  <si>
    <t>São Francisco do PiauÃ­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</si>
  <si>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</si>
  <si>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</si>
  <si>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</si>
  <si>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</si>
  <si>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</si>
  <si>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PiauÃ­</t>
  </si>
  <si>
    <t>São Julião</t>
  </si>
  <si>
    <t>São Luis do PiauÃ­</t>
  </si>
  <si>
    <t>São Miguel da Baixa Grande</t>
  </si>
  <si>
    <t>São Miguel do Fidalgo</t>
  </si>
  <si>
    <t>São Miguel do Tapuio</t>
  </si>
  <si>
    <t>São Pedro do PiauÃ­</t>
  </si>
  <si>
    <t>São Raimundo Nonato</t>
  </si>
  <si>
    <t>Sebastião Barros</t>
  </si>
  <si>
    <t>Sebastião Leal</t>
  </si>
  <si>
    <t>União</t>
  </si>
  <si>
    <t>São Francisco de Itabapoana</t>
  </si>
  <si>
    <t>São João da Barra</t>
  </si>
  <si>
    <t>São João de Meriti</t>
  </si>
  <si>
    <t>São Pedro da Aldeia</t>
  </si>
  <si>
    <t>São Sebastião do Alto</t>
  </si>
  <si>
    <t>Coronel João Pessoa</t>
  </si>
  <si>
    <t>João Dias</t>
  </si>
  <si>
    <t>São Bento do Norte</t>
  </si>
  <si>
    <t>São Bento do TrairÃ­</t>
  </si>
  <si>
    <t>São Fernando</t>
  </si>
  <si>
    <t>São Francisco do Oeste</t>
  </si>
  <si>
    <t>São João do Sabugi</t>
  </si>
  <si>
    <t>São Miguel</t>
  </si>
  <si>
    <t>São Miguel do Gostoso</t>
  </si>
  <si>
    <t>São Paulo do Potengi</t>
  </si>
  <si>
    <t>São Pedro</t>
  </si>
  <si>
    <t>São Rafael</t>
  </si>
  <si>
    <t>São Vicente</t>
  </si>
  <si>
    <t>Serra de São Bento</t>
  </si>
  <si>
    <t>Barão</t>
  </si>
  <si>
    <t>Barão de Cotegipe</t>
  </si>
  <si>
    <t>Barão do Triunfo</t>
  </si>
  <si>
    <t>Boqueirão do Leão</t>
  </si>
  <si>
    <t>Capão Bonito do Sul</t>
  </si>
  <si>
    <t>Capão da Canoa</t>
  </si>
  <si>
    <t>Capão do Leão</t>
  </si>
  <si>
    <t>Capitão</t>
  </si>
  <si>
    <t>Dois Irmãos</t>
  </si>
  <si>
    <t>Jaguarão</t>
  </si>
  <si>
    <t>Lagoão</t>
  </si>
  <si>
    <t>Mato Leitão</t>
  </si>
  <si>
    <t>Minas do Leão</t>
  </si>
  <si>
    <t>Não-Me-Toque</t>
  </si>
  <si>
    <t>Pontão</t>
  </si>
  <si>
    <t>Portão</t>
  </si>
  <si>
    <t>Quatro Irmãos</t>
  </si>
  <si>
    <t>São Borja</t>
  </si>
  <si>
    <t>São Domingos do Sul</t>
  </si>
  <si>
    <t>São Francisco de Assis</t>
  </si>
  <si>
    <t>São João da Urtiga</t>
  </si>
  <si>
    <t>São Jorge</t>
  </si>
  <si>
    <t>São Leopoldo</t>
  </si>
  <si>
    <t>São Luiz Gonzaga</t>
  </si>
  <si>
    <t>São Marcos</t>
  </si>
  <si>
    <t>São Martinho</t>
  </si>
  <si>
    <t>São Martinho da Serra</t>
  </si>
  <si>
    <t>São Nicolau</t>
  </si>
  <si>
    <t>São Pedro da Serra</t>
  </si>
  <si>
    <t>São Pedro do Sul</t>
  </si>
  <si>
    <t>São Sebastião do CaÃ­</t>
  </si>
  <si>
    <t>São Valentim</t>
  </si>
  <si>
    <t>São Valentim do Sul</t>
  </si>
  <si>
    <t>São Vendelino</t>
  </si>
  <si>
    <t>São Vicente do Sul</t>
  </si>
  <si>
    <t>Sertão</t>
  </si>
  <si>
    <t>Sertão Santana</t>
  </si>
  <si>
    <t>União da Serra</t>
  </si>
  <si>
    <t>Viamão</t>
  </si>
  <si>
    <t>Espigão D'Oeste</t>
  </si>
  <si>
    <t>São Felipe D'Oeste</t>
  </si>
  <si>
    <t>São João da Baliza</t>
  </si>
  <si>
    <t>São Luiz</t>
  </si>
  <si>
    <t>Capão Alto</t>
  </si>
  <si>
    <t>Chapadão do Lageado</t>
  </si>
  <si>
    <t>Flor do Sertão</t>
  </si>
  <si>
    <t>Galvão</t>
  </si>
  <si>
    <t>Porto União</t>
  </si>
  <si>
    <t>São Bento do Sul</t>
  </si>
  <si>
    <t>São Bernardino</t>
  </si>
  <si>
    <t>São Carlos</t>
  </si>
  <si>
    <t>São Cristovão do Sul</t>
  </si>
  <si>
    <t>São Francisco do Sul</t>
  </si>
  <si>
    <t>São João do Oeste</t>
  </si>
  <si>
    <t>São João do Sul</t>
  </si>
  <si>
    <t>São Joaquim</t>
  </si>
  <si>
    <t>São Ludgero</t>
  </si>
  <si>
    <t>São Miguel da Boa Vista</t>
  </si>
  <si>
    <t>São Miguel do Oeste</t>
  </si>
  <si>
    <t>Sangão</t>
  </si>
  <si>
    <t>Tubarão</t>
  </si>
  <si>
    <t>União do Oeste</t>
  </si>
  <si>
    <t>Vargeão</t>
  </si>
  <si>
    <t>Barão de Antonina</t>
  </si>
  <si>
    <t>Campos do Jordão</t>
  </si>
  <si>
    <t>Capão Bonito</t>
  </si>
  <si>
    <t>Cubatão</t>
  </si>
  <si>
    <t>Fernão</t>
  </si>
  <si>
    <t>Gastão Vidigal</t>
  </si>
  <si>
    <t>Gavião Peixoto</t>
  </si>
  <si>
    <t>João Ramalho</t>
  </si>
  <si>
    <t>Matão</t>
  </si>
  <si>
    <t>Promissão</t>
  </si>
  <si>
    <t>Ribeirão Bonito</t>
  </si>
  <si>
    <t>Ribeirão Branco</t>
  </si>
  <si>
    <t>Ribeirão Corrente</t>
  </si>
  <si>
    <t>Ribeirão do Sul</t>
  </si>
  <si>
    <t>Ribeirão dos Ãndios</t>
  </si>
  <si>
    <t>Ribeirão Grande</t>
  </si>
  <si>
    <t>Ribeirão Pires</t>
  </si>
  <si>
    <t>Ribeirão Preto</t>
  </si>
  <si>
    <t>Rincão</t>
  </si>
  <si>
    <t>São Bento do SapucaÃ­</t>
  </si>
  <si>
    <t>São Bernardo do Campo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</si>
  <si>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</si>
  <si>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</si>
  <si>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</si>
  <si>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</si>
  <si>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</si>
  <si>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LuÃ­z do Paraitinga</t>
  </si>
  <si>
    <t>São Manuel</t>
  </si>
  <si>
    <t>São Miguel Arcanjo</t>
  </si>
  <si>
    <t>São Paulo</t>
  </si>
  <si>
    <t>São Pedro do Turvo</t>
  </si>
  <si>
    <t>São Roque</t>
  </si>
  <si>
    <t>São Sebastião da Grama</t>
  </si>
  <si>
    <t>Salmourão</t>
  </si>
  <si>
    <t>Taboão da Serra</t>
  </si>
  <si>
    <t>União Paulista</t>
  </si>
  <si>
    <t>Amparo de São Francisco</t>
  </si>
  <si>
    <t>Cedro de São João</t>
  </si>
  <si>
    <t>Riachão do Dantas</t>
  </si>
  <si>
    <t>São Miguel do Aleixo</t>
  </si>
  <si>
    <t>Santana do São Francisco</t>
  </si>
  <si>
    <t>Simão Dias</t>
  </si>
  <si>
    <t>Bernardo Sayão</t>
  </si>
  <si>
    <t>Dois Irmãos do Tocantins</t>
  </si>
  <si>
    <t>Fortaleza do Tabocão</t>
  </si>
  <si>
    <t>Lagoa da Confusão</t>
  </si>
  <si>
    <t>São Bento do Tocantins</t>
  </si>
  <si>
    <t>São Miguel do Tocantins</t>
  </si>
  <si>
    <t>São Salvador do Tocantins</t>
  </si>
  <si>
    <t>São Sebastião do Tocantins</t>
  </si>
  <si>
    <t>Abaré</t>
  </si>
  <si>
    <t>Amélia Rodrigues</t>
  </si>
  <si>
    <t>América Dourada</t>
  </si>
  <si>
    <t>Anagé</t>
  </si>
  <si>
    <t>Caém</t>
  </si>
  <si>
    <t>Caculé</t>
  </si>
  <si>
    <t>Caetité</t>
  </si>
  <si>
    <t>Filadélfia</t>
  </si>
  <si>
    <t>Ilhéus</t>
  </si>
  <si>
    <t>Itacaré</t>
  </si>
  <si>
    <t>Itaeté</t>
  </si>
  <si>
    <t>Itambé</t>
  </si>
  <si>
    <t>Itanhém</t>
  </si>
  <si>
    <t>Itapé</t>
  </si>
  <si>
    <t>Jequié</t>
  </si>
  <si>
    <t>Macururé</t>
  </si>
  <si>
    <t>Morro do Chapéu</t>
  </si>
  <si>
    <t>Muquém de São Francisco</t>
  </si>
  <si>
    <t>Nazaré</t>
  </si>
  <si>
    <t>Pé de Serra</t>
  </si>
  <si>
    <t>São Desidério</t>
  </si>
  <si>
    <t>São Félix</t>
  </si>
  <si>
    <t>São Félix do Coribe</t>
  </si>
  <si>
    <t>São José do JacuÃ­pe</t>
  </si>
  <si>
    <t>São Sebastião do Passé</t>
  </si>
  <si>
    <t>Sento Sé</t>
  </si>
  <si>
    <t>Apuiarés</t>
  </si>
  <si>
    <t>Assaré</t>
  </si>
  <si>
    <t>Baturité</t>
  </si>
  <si>
    <t>Canindé</t>
  </si>
  <si>
    <t>Cariré</t>
  </si>
  <si>
    <t>Eusébio</t>
  </si>
  <si>
    <t>Itapajé</t>
  </si>
  <si>
    <t>Quixeré</t>
  </si>
  <si>
    <t>Santa Quitéria</t>
  </si>
  <si>
    <t>Aporé</t>
  </si>
  <si>
    <t>Chapadão do Céu</t>
  </si>
  <si>
    <t>Edéia</t>
  </si>
  <si>
    <t>Goianésia</t>
  </si>
  <si>
    <t>Nova América</t>
  </si>
  <si>
    <t>Alto Alegre do Pindaré</t>
  </si>
  <si>
    <t>Igarapé do Meio</t>
  </si>
  <si>
    <t>Igarapé Grande</t>
  </si>
  <si>
    <t>Pindaré-Mirim</t>
  </si>
  <si>
    <t>Presidente Médici</t>
  </si>
  <si>
    <t>São Félix de Balsas</t>
  </si>
  <si>
    <t>São José de Ribamar</t>
  </si>
  <si>
    <t>São José dos BasÃ­lios</t>
  </si>
  <si>
    <t>Santa Quitéria do Maranhão</t>
  </si>
  <si>
    <t>Zé Doca</t>
  </si>
  <si>
    <t>Nova Nazaré</t>
  </si>
  <si>
    <t>Poconé</t>
  </si>
  <si>
    <t>Poxoréu</t>
  </si>
  <si>
    <t>São Félix do Araguaia</t>
  </si>
  <si>
    <t>São José do Povo</t>
  </si>
  <si>
    <t>São José do Rio Claro</t>
  </si>
  <si>
    <t>São José do Xingu</t>
  </si>
  <si>
    <t>São José dos Quatro Marcos</t>
  </si>
  <si>
    <t>Salto do Céu</t>
  </si>
  <si>
    <t>Torixoréu</t>
  </si>
  <si>
    <t>Angélica</t>
  </si>
  <si>
    <t>Abaeté</t>
  </si>
  <si>
    <t>Aimorés</t>
  </si>
  <si>
    <t>Além ParaÃ­ba</t>
  </si>
  <si>
    <t>Ataléia</t>
  </si>
  <si>
    <t>Caeté</t>
  </si>
  <si>
    <t>Capitão Enéas</t>
  </si>
  <si>
    <t>Carmésia</t>
  </si>
  <si>
    <t>Cedro do Abaeté</t>
  </si>
  <si>
    <t>Chalé</t>
  </si>
  <si>
    <t>Divinésia</t>
  </si>
  <si>
    <t>Dom Silvério</t>
  </si>
  <si>
    <t>Dona Eusébia</t>
  </si>
  <si>
    <t>Durandé</t>
  </si>
  <si>
    <t>Galiléia</t>
  </si>
  <si>
    <t>Guapé</t>
  </si>
  <si>
    <t>Guaranésia</t>
  </si>
  <si>
    <t>Guaxupé</t>
  </si>
  <si>
    <t>Ibirité</t>
  </si>
  <si>
    <t>Igarapé</t>
  </si>
  <si>
    <t>Imbé de Minas</t>
  </si>
  <si>
    <t>Itaipé</t>
  </si>
  <si>
    <t>Itambé do Mato Dentro</t>
  </si>
  <si>
    <t>Joanésia</t>
  </si>
  <si>
    <t>José Raydan</t>
  </si>
  <si>
    <t>Maria da Fé</t>
  </si>
  <si>
    <t>Marliéria</t>
  </si>
  <si>
    <t>Muriaé</t>
  </si>
  <si>
    <t>Natércia</t>
  </si>
  <si>
    <t>Nova Belém</t>
  </si>
  <si>
    <t>Passabém</t>
  </si>
  <si>
    <t>PatrocÃ­nio do Muriaé</t>
  </si>
  <si>
    <t>Pompéu</t>
  </si>
  <si>
    <t>Poté</t>
  </si>
  <si>
    <t>São Félix de Minas</t>
  </si>
  <si>
    <t>São José da Barra</t>
  </si>
  <si>
    <t>São José da Lapa</t>
  </si>
  <si>
    <t>São José da Safira</t>
  </si>
  <si>
    <t>São José da Varginha</t>
  </si>
  <si>
    <t>São José do Alegre</t>
  </si>
  <si>
    <t>São José do Divino</t>
  </si>
  <si>
    <t>São José do Goiabal</t>
  </si>
  <si>
    <t>São José do Jacuri</t>
  </si>
  <si>
    <t>São José do Mantimento</t>
  </si>
  <si>
    <t>São Thomé das Letras</t>
  </si>
  <si>
    <t>Santa Fé de Minas</t>
  </si>
  <si>
    <t>Santana do Garambéu</t>
  </si>
  <si>
    <t>Santana do Jacaré</t>
  </si>
  <si>
    <t>Senador José Bento</t>
  </si>
  <si>
    <t>Senhora dos Remédios</t>
  </si>
  <si>
    <t>Serra dos Aimorés</t>
  </si>
  <si>
    <t>Simonésia</t>
  </si>
  <si>
    <t>Igarapé-Miri</t>
  </si>
  <si>
    <t>Ourém</t>
  </si>
  <si>
    <t>São Félix do Xingu</t>
  </si>
  <si>
    <t>Santarém</t>
  </si>
  <si>
    <t>Santarém Novo</t>
  </si>
  <si>
    <t>Senador José PorfÃ­rio</t>
  </si>
  <si>
    <t>Belém do Brejo do Cruz</t>
  </si>
  <si>
    <t>Bonito de Santa Fé</t>
  </si>
  <si>
    <t>Catolé do Rocha</t>
  </si>
  <si>
    <t>Caturité</t>
  </si>
  <si>
    <t>Cuité</t>
  </si>
  <si>
    <t>Cuité de Mamanguape</t>
  </si>
  <si>
    <t>Gurinhém</t>
  </si>
  <si>
    <t>Maturéia</t>
  </si>
  <si>
    <t>Pedro Régis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</si>
  <si>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</si>
  <si>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</si>
  <si>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</si>
  <si>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</si>
  <si>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</si>
  <si>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</si>
  <si>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</si>
  <si>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</si>
  <si>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</si>
  <si>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</si>
  <si>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Salgado de São Félix</t>
  </si>
  <si>
    <t>Santo André</t>
  </si>
  <si>
    <t>Sapé</t>
  </si>
  <si>
    <t>Sumé</t>
  </si>
  <si>
    <t>Almirante Tamandaré</t>
  </si>
  <si>
    <t>Ampére</t>
  </si>
  <si>
    <t>Barra do Jacaré</t>
  </si>
  <si>
    <t>Céu Azul</t>
  </si>
  <si>
    <t>Cambé</t>
  </si>
  <si>
    <t>Corbélia</t>
  </si>
  <si>
    <t>Enéas Marques</t>
  </si>
  <si>
    <t>Itaguajé</t>
  </si>
  <si>
    <t>Ivaté</t>
  </si>
  <si>
    <t>Kaloré</t>
  </si>
  <si>
    <t>Nova América da Colina</t>
  </si>
  <si>
    <t>Pérola</t>
  </si>
  <si>
    <t>Pérola d'Oeste</t>
  </si>
  <si>
    <t>São José da Boa Vista</t>
  </si>
  <si>
    <t>São José das Palmeiras</t>
  </si>
  <si>
    <t>São José dos Pinhais</t>
  </si>
  <si>
    <t>São Tomé</t>
  </si>
  <si>
    <t>Salto do Itararé</t>
  </si>
  <si>
    <t>Santa Amélia</t>
  </si>
  <si>
    <t>Santa Fé</t>
  </si>
  <si>
    <t>Santana do Itararé</t>
  </si>
  <si>
    <t>Sengés</t>
  </si>
  <si>
    <t>Belém de Maria</t>
  </si>
  <si>
    <t>Belém de São Francisco</t>
  </si>
  <si>
    <t>Caetés</t>
  </si>
  <si>
    <t>Camocim de São Félix</t>
  </si>
  <si>
    <t>Nazaré da Mata</t>
  </si>
  <si>
    <t>São José da Coroa Grande</t>
  </si>
  <si>
    <t>São José do Belmonte</t>
  </si>
  <si>
    <t>São José do Egito</t>
  </si>
  <si>
    <t>Sairé</t>
  </si>
  <si>
    <t>Sirinhaém</t>
  </si>
  <si>
    <t>Tamandaré</t>
  </si>
  <si>
    <t>Tracunhaém</t>
  </si>
  <si>
    <t>Vertente do Lério</t>
  </si>
  <si>
    <t>Xexéu</t>
  </si>
  <si>
    <t>Alvorada do Gurguéia</t>
  </si>
  <si>
    <t>Belém do PiauÃ­</t>
  </si>
  <si>
    <t>Coronel José Dias</t>
  </si>
  <si>
    <t>Gilbués</t>
  </si>
  <si>
    <t>José de Freitas</t>
  </si>
  <si>
    <t>Morro do Chapéu do PiauÃ­</t>
  </si>
  <si>
    <t>Nazaré do PiauÃ­</t>
  </si>
  <si>
    <t>Nossa Senhora de Nazaré</t>
  </si>
  <si>
    <t>Nossa Senhora dos Remédios</t>
  </si>
  <si>
    <t>São Félix do PiauÃ­</t>
  </si>
  <si>
    <t>São José do Peixe</t>
  </si>
  <si>
    <t>São José do PiauÃ­</t>
  </si>
  <si>
    <t>Aperibé</t>
  </si>
  <si>
    <t>Laje do Muriaé</t>
  </si>
  <si>
    <t>Macaé</t>
  </si>
  <si>
    <t>Magé</t>
  </si>
  <si>
    <t>São Fidélis</t>
  </si>
  <si>
    <t>São José do Vale do Rio Preto</t>
  </si>
  <si>
    <t>Seropédica</t>
  </si>
  <si>
    <t>Guamaré</t>
  </si>
  <si>
    <t>José da Penha</t>
  </si>
  <si>
    <t>Lucrécia</t>
  </si>
  <si>
    <t>São José de Mipibu</t>
  </si>
  <si>
    <t>São José do Campestre</t>
  </si>
  <si>
    <t>Almirante Tamandaré do Sul</t>
  </si>
  <si>
    <t>André da Rocha</t>
  </si>
  <si>
    <t>Arambaré</t>
  </si>
  <si>
    <t>Bagé</t>
  </si>
  <si>
    <t>Caibaté</t>
  </si>
  <si>
    <t>Guaporé</t>
  </si>
  <si>
    <t>Imbé</t>
  </si>
  <si>
    <t>Maquiné</t>
  </si>
  <si>
    <t>Nova Bréscia</t>
  </si>
  <si>
    <t>Parobé</t>
  </si>
  <si>
    <t>Picada Café</t>
  </si>
  <si>
    <t>São José do Herval</t>
  </si>
  <si>
    <t>São José do Norte</t>
  </si>
  <si>
    <t>São José do Ouro</t>
  </si>
  <si>
    <t>São José do Sul</t>
  </si>
  <si>
    <t>São José dos Ausentes</t>
  </si>
  <si>
    <t>São Sepé</t>
  </si>
  <si>
    <t>São Valério do Sul</t>
  </si>
  <si>
    <t>Sério</t>
  </si>
  <si>
    <t>Nova Mamoré</t>
  </si>
  <si>
    <t>São Francisco do Guaporé</t>
  </si>
  <si>
    <t>São Miguel do Guaporé</t>
  </si>
  <si>
    <t>Armazém</t>
  </si>
  <si>
    <t>Frei Rogério</t>
  </si>
  <si>
    <t>Ibicaré</t>
  </si>
  <si>
    <t>José Boiteux</t>
  </si>
  <si>
    <t>Lebon Régis</t>
  </si>
  <si>
    <t>São José</t>
  </si>
  <si>
    <t>São José do Cedro</t>
  </si>
  <si>
    <t>São José do Cerrito</t>
  </si>
  <si>
    <t>Timbé do Sul</t>
  </si>
  <si>
    <t>Zortéa</t>
  </si>
  <si>
    <t>Américo Brasiliense</t>
  </si>
  <si>
    <t>Américo de Campos</t>
  </si>
  <si>
    <t>Avaré</t>
  </si>
  <si>
    <t>Barra do Chapéu</t>
  </si>
  <si>
    <t>Bom Sucesso de Itararé</t>
  </si>
  <si>
    <t>Boracéia</t>
  </si>
  <si>
    <t>Cananéia</t>
  </si>
  <si>
    <t>Cerqueira César</t>
  </si>
  <si>
    <t>Glicério</t>
  </si>
  <si>
    <t>Ibaté</t>
  </si>
  <si>
    <t>Icém</t>
  </si>
  <si>
    <t>Itanhaém</t>
  </si>
  <si>
    <t>Itararé</t>
  </si>
  <si>
    <t>Lucélia</t>
  </si>
  <si>
    <t>Lupércio</t>
  </si>
  <si>
    <t>Lutécia</t>
  </si>
  <si>
    <t>Nazaré Paulista</t>
  </si>
  <si>
    <t>Paulicéia</t>
  </si>
  <si>
    <t>Pompéia</t>
  </si>
  <si>
    <t>Rubinéia</t>
  </si>
  <si>
    <t>São José da Bela Vista</t>
  </si>
  <si>
    <t>São José do Barreiro</t>
  </si>
  <si>
    <t>São José do Rio Pardo</t>
  </si>
  <si>
    <t>São José do Rio Preto</t>
  </si>
  <si>
    <t>São José dos Campos</t>
  </si>
  <si>
    <t>Santa Adélia</t>
  </si>
  <si>
    <t>Santa Fé do Sul</t>
  </si>
  <si>
    <t>Sumaré</t>
  </si>
  <si>
    <t>Taubaté</t>
  </si>
  <si>
    <t>Tremembé</t>
  </si>
  <si>
    <t>Canindé de São Francisco</t>
  </si>
  <si>
    <t>Brejinho de Nazaré</t>
  </si>
  <si>
    <t>Colméia</t>
  </si>
  <si>
    <t>Dueré</t>
  </si>
  <si>
    <t>São Félix do Tocantins</t>
  </si>
  <si>
    <t>São Valério da Natividade</t>
  </si>
  <si>
    <t>Santa Fé do Araguaia</t>
  </si>
  <si>
    <t>Antônio Cardoso</t>
  </si>
  <si>
    <t>Itaju do Colônia</t>
  </si>
  <si>
    <t>Rio do Antônio</t>
  </si>
  <si>
    <t>Santo Antônio de Jesus</t>
  </si>
  <si>
    <t>Quixelô</t>
  </si>
  <si>
    <t>Caiapônia</t>
  </si>
  <si>
    <t>Santo Antônio da Barra</t>
  </si>
  <si>
    <t>Santo Antônio do Descoberto</t>
  </si>
  <si>
    <t>Santo Antônio dos Lopes</t>
  </si>
  <si>
    <t>Novo Santo Antônio</t>
  </si>
  <si>
    <t>Santo Antônio do Leste</t>
  </si>
  <si>
    <t>Santo Antônio do Leverger</t>
  </si>
  <si>
    <t>Antônio João</t>
  </si>
  <si>
    <t>Antônio Carlos</t>
  </si>
  <si>
    <t>Antônio Dias</t>
  </si>
  <si>
    <t>Antônio Prado de Minas</t>
  </si>
  <si>
    <t>Cônego Marinho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</si>
  <si>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</si>
  <si>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</si>
  <si>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</si>
  <si>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</si>
  <si>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</si>
  <si>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</si>
  <si>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</si>
  <si>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</si>
  <si>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Riacho de Santo Antônio</t>
  </si>
  <si>
    <t>Altônia</t>
  </si>
  <si>
    <t>Antônio Olinto</t>
  </si>
  <si>
    <t>Capitão Leônidas Marques</t>
  </si>
  <si>
    <t>São Jerônimo da Serra</t>
  </si>
  <si>
    <t>Santa Mônica</t>
  </si>
  <si>
    <t>Santo Antônio da Platina</t>
  </si>
  <si>
    <t>Santo Antônio do ParaÃ­so</t>
  </si>
  <si>
    <t>Santo Antônio do Sudoeste</t>
  </si>
  <si>
    <t>Antônio Almeida</t>
  </si>
  <si>
    <t>Colônia do Gurguéia</t>
  </si>
  <si>
    <t>Colônia do PiauÃ­</t>
  </si>
  <si>
    <t>Santo Antônio de Lisboa</t>
  </si>
  <si>
    <t>Santo Antônio dos Milagres</t>
  </si>
  <si>
    <t>Antônio Martins</t>
  </si>
  <si>
    <t>Santo Antônio</t>
  </si>
  <si>
    <t>Antônio Prado</t>
  </si>
  <si>
    <t>São Jerônimo</t>
  </si>
  <si>
    <t>Santo Antônio da Patrulha</t>
  </si>
  <si>
    <t>Santo Antônio do Palma</t>
  </si>
  <si>
    <t>Santo Antônio do Planalto</t>
  </si>
  <si>
    <t>Teutônia</t>
  </si>
  <si>
    <t>Campo Novo de Rondônia</t>
  </si>
  <si>
    <t>Primavera de Rondônia</t>
  </si>
  <si>
    <t>Agronômica</t>
  </si>
  <si>
    <t>Colômbia</t>
  </si>
  <si>
    <t>LuÃ­s Antônio</t>
  </si>
  <si>
    <t>Macedônia</t>
  </si>
  <si>
    <t>Santo Antônio da Alegria</t>
  </si>
  <si>
    <t>Santo Antônio de Posse</t>
  </si>
  <si>
    <t>Santo Antônio do Jardim</t>
  </si>
  <si>
    <t>Santo Antônio do Pinhal</t>
  </si>
  <si>
    <t>Alcobaça</t>
  </si>
  <si>
    <t>Antônio Gonçalves</t>
  </si>
  <si>
    <t>Araças</t>
  </si>
  <si>
    <t>Barra do Choça</t>
  </si>
  <si>
    <t>Cabaceiras do Paraguaçu</t>
  </si>
  <si>
    <t>Camaçari</t>
  </si>
  <si>
    <t>Cansanção</t>
  </si>
  <si>
    <t>Conceição da Feira</t>
  </si>
  <si>
    <t>Conceição do Almeida</t>
  </si>
  <si>
    <t>Conceição do Coité</t>
  </si>
  <si>
    <t>Conceição do JacuÃ­pe</t>
  </si>
  <si>
    <t>Coração de Maria</t>
  </si>
  <si>
    <t>Iaçu</t>
  </si>
  <si>
    <t>Itaguaçu da Bahia</t>
  </si>
  <si>
    <t>Itiruçu</t>
  </si>
  <si>
    <t>Ituaçu</t>
  </si>
  <si>
    <t>Jucuruçu</t>
  </si>
  <si>
    <t>Nilo Peçanha</t>
  </si>
  <si>
    <t>Nova Redenção</t>
  </si>
  <si>
    <t>Nova Viçosa</t>
  </si>
  <si>
    <t>Ouriçangas</t>
  </si>
  <si>
    <t>Pindobaçu</t>
  </si>
  <si>
    <t>São Gonçalo dos Campos</t>
  </si>
  <si>
    <t>Sapeaçu</t>
  </si>
  <si>
    <t>Tanhaçu</t>
  </si>
  <si>
    <t>Uruçuca</t>
  </si>
  <si>
    <t>Valença</t>
  </si>
  <si>
    <t>Caririaçu</t>
  </si>
  <si>
    <t>Graça</t>
  </si>
  <si>
    <t>Irauçuba</t>
  </si>
  <si>
    <t>Itaiçaba</t>
  </si>
  <si>
    <t>Mombaça</t>
  </si>
  <si>
    <t>Redenção</t>
  </si>
  <si>
    <t>São Gonçalo do Amarante</t>
  </si>
  <si>
    <t>Tejuçuoca</t>
  </si>
  <si>
    <t>Araçu</t>
  </si>
  <si>
    <t>Aragarças</t>
  </si>
  <si>
    <t>Caçu</t>
  </si>
  <si>
    <t>Campinaçu</t>
  </si>
  <si>
    <t>Itauçu</t>
  </si>
  <si>
    <t>Minaçu</t>
  </si>
  <si>
    <t>São João d'Aliança</t>
  </si>
  <si>
    <t>Uruaçu</t>
  </si>
  <si>
    <t>Apicum-Açu</t>
  </si>
  <si>
    <t>Conceição do Lago-Açu</t>
  </si>
  <si>
    <t>Gonçalves Dias</t>
  </si>
  <si>
    <t>Graça Aranha</t>
  </si>
  <si>
    <t>Maracaçumé</t>
  </si>
  <si>
    <t>Monção</t>
  </si>
  <si>
    <t>Paço do Lumiar</t>
  </si>
  <si>
    <t>Poção de Pedras</t>
  </si>
  <si>
    <t>Turiaçu</t>
  </si>
  <si>
    <t>Alto Garças</t>
  </si>
  <si>
    <t>Barão de Melgaço</t>
  </si>
  <si>
    <t>Barra do Garças</t>
  </si>
  <si>
    <t>Cotriguaçu</t>
  </si>
  <si>
    <t>Reserva do Cabaçal</t>
  </si>
  <si>
    <t>Açucena</t>
  </si>
  <si>
    <t>AraçaÃ­</t>
  </si>
  <si>
    <t>AraçuaÃ­</t>
  </si>
  <si>
    <t>Careaçu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</si>
  <si>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</si>
  <si>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</si>
  <si>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</si>
  <si>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</si>
  <si>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</si>
  <si>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</si>
  <si>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Rio Verde</t>
  </si>
  <si>
    <t>Conceição dos Ouros</t>
  </si>
  <si>
    <t>Consolação</t>
  </si>
  <si>
    <t>Coração de Jesus</t>
  </si>
  <si>
    <t>Dom Viçoso</t>
  </si>
  <si>
    <t>Gonçalves</t>
  </si>
  <si>
    <t>Ipiaçu</t>
  </si>
  <si>
    <t>Itatiaiuçu</t>
  </si>
  <si>
    <t>Jaguaraçu</t>
  </si>
  <si>
    <t>José Gonçalves de Minas</t>
  </si>
  <si>
    <t>Manhuaçu</t>
  </si>
  <si>
    <t>Morro da Garça</t>
  </si>
  <si>
    <t>Onça de Pitangui</t>
  </si>
  <si>
    <t>Paraguaçu</t>
  </si>
  <si>
    <t>Peçanha</t>
  </si>
  <si>
    <t>Piranguçu</t>
  </si>
  <si>
    <t>Poço Fundo</t>
  </si>
  <si>
    <t>Poços de Caldas</t>
  </si>
  <si>
    <t>São Gonçalo do Abaeté</t>
  </si>
  <si>
    <t>São Gonçalo do Rio Abaixo</t>
  </si>
  <si>
    <t>São Gonçalo do Rio Preto</t>
  </si>
  <si>
    <t>São Gonçalo do SapucaÃ­</t>
  </si>
  <si>
    <t>São João do Manhuaçu</t>
  </si>
  <si>
    <t>São Lourenço</t>
  </si>
  <si>
    <t>São Pedro do SuaçuÃ­</t>
  </si>
  <si>
    <t>Santa Maria do SuaçuÃ­</t>
  </si>
  <si>
    <t>Santana do Manhuaçu</t>
  </si>
  <si>
    <t>Senador Modestino Gonçalves</t>
  </si>
  <si>
    <t>Taquaraçu de Minas</t>
  </si>
  <si>
    <t>Bragança</t>
  </si>
  <si>
    <t>Capitão Poço</t>
  </si>
  <si>
    <t>Conceição do Araguaia</t>
  </si>
  <si>
    <t>Igarapé-Açu</t>
  </si>
  <si>
    <t>Melgaço</t>
  </si>
  <si>
    <t>Piçarra</t>
  </si>
  <si>
    <t>Tomé-Açu</t>
  </si>
  <si>
    <t>Araçagi</t>
  </si>
  <si>
    <t>Assunção</t>
  </si>
  <si>
    <t>BaÃ­a da Traição</t>
  </si>
  <si>
    <t>Caiçara</t>
  </si>
  <si>
    <t>Conceição</t>
  </si>
  <si>
    <t>Esperança</t>
  </si>
  <si>
    <t>Marcação</t>
  </si>
  <si>
    <t>Poço Dantas</t>
  </si>
  <si>
    <t>Poço de José de Moura</t>
  </si>
  <si>
    <t>Riachão do Poço</t>
  </si>
  <si>
    <t>São Sebastião de Lagoa de Roça</t>
  </si>
  <si>
    <t>Boa Esperança do Iguaçu</t>
  </si>
  <si>
    <t>Cruzeiro do Iguaçu</t>
  </si>
  <si>
    <t>Esperança Nova</t>
  </si>
  <si>
    <t>Espigão Alto do Iguaçu</t>
  </si>
  <si>
    <t>Foz do Iguaçu</t>
  </si>
  <si>
    <t>Guaraniaçu</t>
  </si>
  <si>
    <t>Guaraqueçaba</t>
  </si>
  <si>
    <t>Iguaraçu</t>
  </si>
  <si>
    <t>Itaperuçu</t>
  </si>
  <si>
    <t>Mandaguaçu</t>
  </si>
  <si>
    <t>Nossa Senhora das Graças</t>
  </si>
  <si>
    <t>Nova Aliança do IvaÃ­</t>
  </si>
  <si>
    <t>Nova Esperança</t>
  </si>
  <si>
    <t>Nova Esperança do Sudoeste</t>
  </si>
  <si>
    <t>Nova Prata do Iguaçu</t>
  </si>
  <si>
    <t>Paiçandu</t>
  </si>
  <si>
    <t>Quedas do Iguaçu</t>
  </si>
  <si>
    <t>Rebouças</t>
  </si>
  <si>
    <t>Renascença</t>
  </si>
  <si>
    <t>Reserva do Iguaçu</t>
  </si>
  <si>
    <t>Rio Bonito do Iguaçu</t>
  </si>
  <si>
    <t>São Miguel do Iguaçu</t>
  </si>
  <si>
    <t>São Pedro do Iguaçu</t>
  </si>
  <si>
    <t>Saudade do Iguaçu</t>
  </si>
  <si>
    <t>Aliança</t>
  </si>
  <si>
    <t>Araçoiaba</t>
  </si>
  <si>
    <t>Calçado</t>
  </si>
  <si>
    <t>Poção</t>
  </si>
  <si>
    <t>São Lourenço da Mata</t>
  </si>
  <si>
    <t>Assunção do PiauÃ­</t>
  </si>
  <si>
    <t>Conceição do Canindé</t>
  </si>
  <si>
    <t>Morro Cabeça no Tempo</t>
  </si>
  <si>
    <t>Redenção do Gurguéia</t>
  </si>
  <si>
    <t>Regeneração</t>
  </si>
  <si>
    <t>Ribeiro Gonçalves</t>
  </si>
  <si>
    <t>São Gonçalo do Gurguéia</t>
  </si>
  <si>
    <t>São Gonçalo do PiauÃ­</t>
  </si>
  <si>
    <t>São Lourenço do PiauÃ­</t>
  </si>
  <si>
    <t>UruçuÃ­</t>
  </si>
  <si>
    <t>Valença do PiauÃ­</t>
  </si>
  <si>
    <t>Conceição de Macabu</t>
  </si>
  <si>
    <t>Nova Iguaçu</t>
  </si>
  <si>
    <t>São Gonçalo</t>
  </si>
  <si>
    <t>Açu</t>
  </si>
  <si>
    <t>Caiçara do Norte</t>
  </si>
  <si>
    <t>Caiçara do Rio do Vento</t>
  </si>
  <si>
    <t>Ipanguaçu</t>
  </si>
  <si>
    <t>Poço Branco</t>
  </si>
  <si>
    <t>Bento Gonçalves</t>
  </si>
  <si>
    <t>Caçapava do Sul</t>
  </si>
  <si>
    <t>Canguçu</t>
  </si>
  <si>
    <t>Esperança do Sul</t>
  </si>
  <si>
    <t>Estação</t>
  </si>
  <si>
    <t>Mormaço</t>
  </si>
  <si>
    <t>Muçum</t>
  </si>
  <si>
    <t>Nova Esperança do Sul</t>
  </si>
  <si>
    <t>Pejuçara</t>
  </si>
  <si>
    <t>Poço das Antas</t>
  </si>
  <si>
    <t>São Lourenço do Sul</t>
  </si>
  <si>
    <t>Taquaruçu do Sul</t>
  </si>
  <si>
    <t>Turuçu</t>
  </si>
  <si>
    <t>Biguaçu</t>
  </si>
  <si>
    <t>Braço do Norte</t>
  </si>
  <si>
    <t>Braço do Trombudo</t>
  </si>
  <si>
    <t>Caçador</t>
  </si>
  <si>
    <t>Içara</t>
  </si>
  <si>
    <t>Ipuaçu</t>
  </si>
  <si>
    <t>Joaçaba</t>
  </si>
  <si>
    <t>Morro da Fumaça</t>
  </si>
  <si>
    <t>Palhoça</t>
  </si>
  <si>
    <t>São Lourenço do Oeste</t>
  </si>
  <si>
    <t>Araçariguama</t>
  </si>
  <si>
    <t>Araçatuba</t>
  </si>
  <si>
    <t>Araçoiaba da Serra</t>
  </si>
  <si>
    <t>Boa Esperança do Sul</t>
  </si>
  <si>
    <t>Bragança Paulista</t>
  </si>
  <si>
    <t>Caçapava</t>
  </si>
  <si>
    <t>Embu-Guaçu</t>
  </si>
  <si>
    <t>Garça</t>
  </si>
  <si>
    <t>Guaiçara</t>
  </si>
  <si>
    <t>Guapiaçu</t>
  </si>
  <si>
    <t>GuaraçaÃ­</t>
  </si>
  <si>
    <t>Mendonça</t>
  </si>
  <si>
    <t>Mogi Guaçu</t>
  </si>
  <si>
    <t>Nova Aliança</t>
  </si>
  <si>
    <t>Ocauçu</t>
  </si>
  <si>
    <t>Paraguaçu Paulista</t>
  </si>
  <si>
    <t>Pariquera-Açu</t>
  </si>
  <si>
    <t>Redenção da Serra</t>
  </si>
  <si>
    <t>São Lourenço da Serra</t>
  </si>
  <si>
    <t>Santa Cruz da Conceição</t>
  </si>
  <si>
    <t>Santa Cruz da Esperança</t>
  </si>
  <si>
    <t>Taiaçu</t>
  </si>
  <si>
    <t>Poço Redondo</t>
  </si>
  <si>
    <t>Poço Verde</t>
  </si>
  <si>
    <t>Aliança do Tocantins</t>
  </si>
  <si>
    <t>Araguaçu</t>
  </si>
  <si>
    <t>Conceição do Tocantins</t>
  </si>
  <si>
    <t>Rio da Conceição</t>
  </si>
  <si>
    <t>Brotas de Macaúbas</t>
  </si>
  <si>
    <t>Condeúba</t>
  </si>
  <si>
    <t>Igrapiúna</t>
  </si>
  <si>
    <t>Ipiaú</t>
  </si>
  <si>
    <t>Itiúba</t>
  </si>
  <si>
    <t>Iuiú</t>
  </si>
  <si>
    <t>Jitaúna</t>
  </si>
  <si>
    <t>Macaúbas</t>
  </si>
  <si>
    <t>Maraú</t>
  </si>
  <si>
    <t>Saúde</t>
  </si>
  <si>
    <t>Acaraú</t>
  </si>
  <si>
    <t>Banabuiú</t>
  </si>
  <si>
    <t>Cariús</t>
  </si>
  <si>
    <t>Coreaú</t>
  </si>
  <si>
    <t>Crateús</t>
  </si>
  <si>
    <t>Guaiúba</t>
  </si>
  <si>
    <t>Itapiúna</t>
  </si>
  <si>
    <t>Maracanaú</t>
  </si>
  <si>
    <t>Moraújo</t>
  </si>
  <si>
    <t>Santana do Acaraú</t>
  </si>
  <si>
    <t>Acreúna</t>
  </si>
  <si>
    <t>Jesúpolis</t>
  </si>
  <si>
    <t>Paraúna</t>
  </si>
  <si>
    <t>São João da Paraúna</t>
  </si>
  <si>
    <t>Barão de Grajaú</t>
  </si>
  <si>
    <t>Grajaú</t>
  </si>
  <si>
    <t>Itaipava do Grajaú</t>
  </si>
  <si>
    <t>São João do Carú</t>
  </si>
  <si>
    <t>Campos de Júlio</t>
  </si>
  <si>
    <t>Gaúcha do Norte</t>
  </si>
  <si>
    <t>Itaúba</t>
  </si>
  <si>
    <t>Porto dos Gaúchos</t>
  </si>
  <si>
    <t>Araújos</t>
  </si>
  <si>
    <t>Bocaiúva</t>
  </si>
  <si>
    <t>Braúnas</t>
  </si>
  <si>
    <t>Cachoeira de Pajeú</t>
  </si>
  <si>
    <t>Chapada Gaúcha</t>
  </si>
  <si>
    <t>Ibitiúra de Minas</t>
  </si>
  <si>
    <t>Inhaúma</t>
  </si>
  <si>
    <t>Ipuiúna</t>
  </si>
  <si>
    <t>Itaú de Minas</t>
  </si>
  <si>
    <t>Itaúna</t>
  </si>
  <si>
    <t>Janaúba</t>
  </si>
  <si>
    <t>Piraúba</t>
  </si>
  <si>
    <t>Areia de Baraúnas</t>
  </si>
  <si>
    <t>Baraúna</t>
  </si>
  <si>
    <t>Camalaú</t>
  </si>
  <si>
    <t>Caraúbas</t>
  </si>
  <si>
    <t>Jacaraú</t>
  </si>
  <si>
    <t>Uiraúna</t>
  </si>
  <si>
    <t>Bocaiúva do Sul</t>
  </si>
  <si>
    <t>Cidade Gaúcha</t>
  </si>
  <si>
    <t>Curiúva</t>
  </si>
  <si>
    <t>Imbaú</t>
  </si>
  <si>
    <t>Itaúna do Sul</t>
  </si>
  <si>
    <t>Santa Lúcia</t>
  </si>
  <si>
    <t>Jataúba</t>
  </si>
  <si>
    <t>Timbaúba</t>
  </si>
  <si>
    <t>Caraúbas do PiauÃ­</t>
  </si>
  <si>
    <t>Júlio Borges</t>
  </si>
  <si>
    <t>Pajeú do PiauÃ­</t>
  </si>
  <si>
    <t>Armação dos Búzios</t>
  </si>
  <si>
    <t>Porciúncula</t>
  </si>
  <si>
    <t>Carnaúba dos Dantas</t>
  </si>
  <si>
    <t>Itaú</t>
  </si>
  <si>
    <t>Paraú</t>
  </si>
  <si>
    <t>Timbaúba dos Batistas</t>
  </si>
  <si>
    <t>Getúlio Vargas</t>
  </si>
  <si>
    <t>Júlio de Castilhos</t>
  </si>
  <si>
    <t>Vista Gaúcha</t>
  </si>
  <si>
    <t>Apiúna</t>
  </si>
  <si>
    <t>Camboriú</t>
  </si>
  <si>
    <t>Criciúma</t>
  </si>
  <si>
    <t>Guatambú</t>
  </si>
  <si>
    <t>Presidente Getúlio</t>
  </si>
  <si>
    <t>São João do Itaperiú</t>
  </si>
  <si>
    <t>Braúna</t>
  </si>
  <si>
    <t>Cabreúva</t>
  </si>
  <si>
    <t>Embaúba</t>
  </si>
  <si>
    <t>Ibiúna</t>
  </si>
  <si>
    <t>Inúbia Paulista</t>
  </si>
  <si>
    <t>Ipeúna</t>
  </si>
  <si>
    <t>Jaú</t>
  </si>
  <si>
    <t>Jaguariúna</t>
  </si>
  <si>
    <t>Júlio Mesquita</t>
  </si>
  <si>
    <t>Orindiúva</t>
  </si>
  <si>
    <t>Taiúva</t>
  </si>
  <si>
    <t>Tambaú</t>
  </si>
  <si>
    <t>Turiúba</t>
  </si>
  <si>
    <t>Umbaúba</t>
  </si>
  <si>
    <t>Jaú do Tocantins</t>
  </si>
  <si>
    <t>Brejolândia</t>
  </si>
  <si>
    <t>Cândido Sales</t>
  </si>
  <si>
    <t>Catolândia</t>
  </si>
  <si>
    <t>Cravolândia</t>
  </si>
  <si>
    <t>Ourolândia</t>
  </si>
  <si>
    <t>Presidente Jânio Quadros</t>
  </si>
  <si>
    <t>Retirolândia</t>
  </si>
  <si>
    <t>Serrolândia</t>
  </si>
  <si>
    <t>Teofilândia</t>
  </si>
  <si>
    <t>Teolândia</t>
  </si>
  <si>
    <t>Alcântaras</t>
  </si>
  <si>
    <t>Hidrolândia</t>
  </si>
  <si>
    <t>Abadiânia</t>
  </si>
  <si>
    <t>Adelândia</t>
  </si>
  <si>
    <t>Alexânia</t>
  </si>
  <si>
    <t>Aloândia</t>
  </si>
  <si>
    <t>Aparecida de Goiânia</t>
  </si>
  <si>
    <t>Aragoiânia</t>
  </si>
  <si>
    <t>Aurilândia</t>
  </si>
  <si>
    <t>Britânia</t>
  </si>
  <si>
    <t>Castelândia</t>
  </si>
  <si>
    <t>Damolândia</t>
  </si>
  <si>
    <t>Doverlândia</t>
  </si>
  <si>
    <t>Goiânia</t>
  </si>
  <si>
    <t>Gouvelândia</t>
  </si>
  <si>
    <t>Inaciolândia</t>
  </si>
  <si>
    <t>Israelândia</t>
  </si>
  <si>
    <t>Ivolândia</t>
  </si>
  <si>
    <t>Joviânia</t>
  </si>
  <si>
    <t>Luziânia</t>
  </si>
  <si>
    <t>Maurilândia</t>
  </si>
  <si>
    <t>Mossâmedes</t>
  </si>
  <si>
    <t>Mozarlândia</t>
  </si>
  <si>
    <t>Niquelândia</t>
  </si>
  <si>
    <t>Perolândia</t>
  </si>
  <si>
    <t>Portelândia</t>
  </si>
  <si>
    <t>Sanclerlândia</t>
  </si>
  <si>
    <t>Silvânia</t>
  </si>
  <si>
    <t>Simolândia</t>
  </si>
  <si>
    <t>Turvânia</t>
  </si>
  <si>
    <t>Turvelândia</t>
  </si>
  <si>
    <t>Açailândia</t>
  </si>
  <si>
    <t>Alcântara</t>
  </si>
  <si>
    <t>Cândido Mendes</t>
  </si>
  <si>
    <t>Cidelândia</t>
  </si>
  <si>
    <t>Joselândia</t>
  </si>
  <si>
    <t>Palmeirândia</t>
  </si>
  <si>
    <t>Tufilândia</t>
  </si>
  <si>
    <t>Turilândia</t>
  </si>
  <si>
    <t>Curvelândia</t>
  </si>
  <si>
    <t>Marcelândia</t>
  </si>
  <si>
    <t>Nortelândia</t>
  </si>
  <si>
    <t>Nova Brasilândia</t>
  </si>
  <si>
    <t>Nova Marilândia</t>
  </si>
  <si>
    <t>Rondolândia</t>
  </si>
  <si>
    <t>Anaurilândia</t>
  </si>
  <si>
    <t>Brasilândia</t>
  </si>
  <si>
    <t>Cassilândia</t>
  </si>
  <si>
    <t>Sidrolândia</t>
  </si>
  <si>
    <t>Andrelândia</t>
  </si>
  <si>
    <t>Angelândia</t>
  </si>
  <si>
    <t>Brasilândia de Minas</t>
  </si>
  <si>
    <t>Cipotânea</t>
  </si>
  <si>
    <t>Cordislândia</t>
  </si>
  <si>
    <t>Crucilândia</t>
  </si>
  <si>
    <t>Divinolândia de Minas</t>
  </si>
  <si>
    <t>Ewbank da Câmara</t>
  </si>
  <si>
    <t>Felixlândia</t>
  </si>
  <si>
    <t>Funilândia</t>
  </si>
  <si>
    <t>Glaucilândia</t>
  </si>
  <si>
    <t>Guimarânia</t>
  </si>
  <si>
    <t>Jesuânia</t>
  </si>
  <si>
    <t>Jordânia</t>
  </si>
  <si>
    <t>Luislândia</t>
  </si>
  <si>
    <t>Materlândia</t>
  </si>
  <si>
    <t>Miravânia</t>
  </si>
  <si>
    <t>Montalvânia</t>
  </si>
  <si>
    <t>Natalândia</t>
  </si>
  <si>
    <t>Orizânia</t>
  </si>
  <si>
    <t>Paula Cândido</t>
  </si>
  <si>
    <t>Silveirânia</t>
  </si>
  <si>
    <t>Turvolândia</t>
  </si>
  <si>
    <t>Uberlândia</t>
  </si>
  <si>
    <t>Urucânia</t>
  </si>
  <si>
    <t>Varzelândia</t>
  </si>
  <si>
    <t>Verdelândia</t>
  </si>
  <si>
    <t>Virgolândia</t>
  </si>
  <si>
    <t>Medicilândia</t>
  </si>
  <si>
    <t>Ourilândia do Norte</t>
  </si>
  <si>
    <t>Tailândia</t>
  </si>
  <si>
    <t>Solânea</t>
  </si>
  <si>
    <t>Brasilândia do Sul</t>
  </si>
  <si>
    <t>Cândido de Abreu</t>
  </si>
  <si>
    <t>Cafelândia</t>
  </si>
  <si>
    <t>Clevelândia</t>
  </si>
  <si>
    <t>Itaipulândia</t>
  </si>
  <si>
    <t>Marechal Cândido Rondon</t>
  </si>
  <si>
    <t>Marilândia do Sul</t>
  </si>
  <si>
    <t>Matelândia</t>
  </si>
  <si>
    <t>Ramilândia</t>
  </si>
  <si>
    <t>Rolândia</t>
  </si>
  <si>
    <t>Afrânio</t>
  </si>
  <si>
    <t>Betânia</t>
  </si>
  <si>
    <t>Moreilândia</t>
  </si>
  <si>
    <t>Petrolândia</t>
  </si>
  <si>
    <t>Sertânia</t>
  </si>
  <si>
    <t>Agricolândia</t>
  </si>
  <si>
    <t>Barra D'Alcântara</t>
  </si>
  <si>
    <t>Betânia do PiauÃ­</t>
  </si>
  <si>
    <t>Cristalândia do PiauÃ­</t>
  </si>
  <si>
    <t>Luzilândia</t>
  </si>
  <si>
    <t>Marcolândia</t>
  </si>
  <si>
    <t>Florânia</t>
  </si>
  <si>
    <t>João Câmara</t>
  </si>
  <si>
    <t>Dom Pedro de Alcântara</t>
  </si>
  <si>
    <t>Estância Velha</t>
  </si>
  <si>
    <t>General Câmara</t>
  </si>
  <si>
    <t>Venâncio Aires</t>
  </si>
  <si>
    <t>Vila Lângaro</t>
  </si>
  <si>
    <t>Cacaulândia</t>
  </si>
  <si>
    <t>Nova Brasilândia D'Oeste</t>
  </si>
  <si>
    <t>Agrolândia</t>
  </si>
  <si>
    <t>Romelândia</t>
  </si>
  <si>
    <t>São Pedro de Alcântara</t>
  </si>
  <si>
    <t>Alvinlândia</t>
  </si>
  <si>
    <t>Analândia</t>
  </si>
  <si>
    <t>Cândido Mota</t>
  </si>
  <si>
    <t>Cândido Rodrigues</t>
  </si>
  <si>
    <t>Divinolândia</t>
  </si>
  <si>
    <t>Guzolândia</t>
  </si>
  <si>
    <t>Herculândia</t>
  </si>
  <si>
    <t>Hortolândia</t>
  </si>
  <si>
    <t>Luiziânia</t>
  </si>
  <si>
    <t>Mirassolândia</t>
  </si>
  <si>
    <t>Nova Luzitânia</t>
  </si>
  <si>
    <t>Orlândia</t>
  </si>
  <si>
    <t>Paulistânia</t>
  </si>
  <si>
    <t>Pratânia</t>
  </si>
  <si>
    <t>Riolândia</t>
  </si>
  <si>
    <t>Urânia</t>
  </si>
  <si>
    <t>Estância</t>
  </si>
  <si>
    <t>Abreulândia</t>
  </si>
  <si>
    <t>Babaçulândia</t>
  </si>
  <si>
    <t>Barrolândia</t>
  </si>
  <si>
    <t>Brasilândia do Tocantins</t>
  </si>
  <si>
    <t>Carmolândia</t>
  </si>
  <si>
    <t>Cristalândia</t>
  </si>
  <si>
    <t>Maurilândia do Tocantins</t>
  </si>
  <si>
    <t>Muricilândia</t>
  </si>
  <si>
    <t>Nova Rosalândia</t>
  </si>
  <si>
    <t>Recursolândia</t>
  </si>
  <si>
    <t>Sandolândia</t>
  </si>
  <si>
    <t>Wanderlândia</t>
  </si>
  <si>
    <t>Baianópolis</t>
  </si>
  <si>
    <t>Chorrochó</t>
  </si>
  <si>
    <t>Cipó</t>
  </si>
  <si>
    <t>Crisópolis</t>
  </si>
  <si>
    <t>Cristópolis</t>
  </si>
  <si>
    <t>Glória</t>
  </si>
  <si>
    <t>Heliópolis</t>
  </si>
  <si>
    <t>Itororó</t>
  </si>
  <si>
    <t>Lençóis</t>
  </si>
  <si>
    <t>São José da Vitória</t>
  </si>
  <si>
    <t>Santa Cruz da Vitória</t>
  </si>
  <si>
    <t>Santa Maria da Vitória</t>
  </si>
  <si>
    <t>Santanópolis</t>
  </si>
  <si>
    <t>Vitória da Conquista</t>
  </si>
  <si>
    <t>Choró</t>
  </si>
  <si>
    <t>Icó</t>
  </si>
  <si>
    <t>Martinópole</t>
  </si>
  <si>
    <t>Orós</t>
  </si>
  <si>
    <t>Quiterianópolis</t>
  </si>
  <si>
    <t>Solonópole</t>
  </si>
  <si>
    <t>Amorinópolis</t>
  </si>
  <si>
    <t>Arenópolis</t>
  </si>
  <si>
    <t>Avelinópolis</t>
  </si>
  <si>
    <t>Bonópolis</t>
  </si>
  <si>
    <t>Bonfinópolis</t>
  </si>
  <si>
    <t>Buritinópolis</t>
  </si>
  <si>
    <t>Córrego do Ouro</t>
  </si>
  <si>
    <t>Cristianópolis</t>
  </si>
  <si>
    <t>Damianópolis</t>
  </si>
  <si>
    <t>Davinópolis</t>
  </si>
  <si>
    <t>Firminópolis</t>
  </si>
  <si>
    <t>Guapó</t>
  </si>
  <si>
    <t>Mutunópolis</t>
  </si>
  <si>
    <t>Nerópolis</t>
  </si>
  <si>
    <t>Nova Glória</t>
  </si>
  <si>
    <t>Palminópolis</t>
  </si>
  <si>
    <t>Pirenópolis</t>
  </si>
  <si>
    <t>Quirinópolis</t>
  </si>
  <si>
    <t>Serranópolis</t>
  </si>
  <si>
    <t>Vianópolis</t>
  </si>
  <si>
    <t>Vicentinópolis</t>
  </si>
  <si>
    <t>Cajapió</t>
  </si>
  <si>
    <t>Codó</t>
  </si>
  <si>
    <t>Esperantinópolis</t>
  </si>
  <si>
    <t>Peritoró</t>
  </si>
  <si>
    <t>Tutóia</t>
  </si>
  <si>
    <t>Vitória do Mearim</t>
  </si>
  <si>
    <t>Figueirópolis D'Oeste</t>
  </si>
  <si>
    <t>Glória D'Oeste</t>
  </si>
  <si>
    <t>Rondonópolis</t>
  </si>
  <si>
    <t>Alcinópolis</t>
  </si>
  <si>
    <t>Caarapó</t>
  </si>
  <si>
    <t>Glória de Dourados</t>
  </si>
  <si>
    <t>Alpinópolis</t>
  </si>
  <si>
    <t>Alto Caparaó</t>
  </si>
  <si>
    <t>Alvinópolis</t>
  </si>
  <si>
    <t>Bertópolis</t>
  </si>
  <si>
    <t>Bonfinópolis de Minas</t>
  </si>
  <si>
    <t>Brazópolis</t>
  </si>
  <si>
    <t>Buenópolis</t>
  </si>
  <si>
    <t>Córrego Danta</t>
  </si>
  <si>
    <t>Córrego do Bom Jesus</t>
  </si>
  <si>
    <t>Córrego Fundo</t>
  </si>
  <si>
    <t>Córrego Novo</t>
  </si>
  <si>
    <t>Caetanópolis</t>
  </si>
  <si>
    <t>Caparaó</t>
  </si>
  <si>
    <t>Capinópolis</t>
  </si>
  <si>
    <t>Capitólio</t>
  </si>
  <si>
    <t>Carmópolis de Minas</t>
  </si>
  <si>
    <t>Carvalhópolis</t>
  </si>
  <si>
    <t>Crisólita</t>
  </si>
  <si>
    <t>Delfinópolis</t>
  </si>
  <si>
    <t>Divinópolis</t>
  </si>
  <si>
    <t>Divisópolis</t>
  </si>
  <si>
    <t>Doresópolis</t>
  </si>
  <si>
    <t>Elói Mendes</t>
  </si>
  <si>
    <t>Eugenópolis</t>
  </si>
  <si>
    <t>Franciscópolis</t>
  </si>
  <si>
    <t>Francisco Badaró</t>
  </si>
  <si>
    <t>Indianópolis</t>
  </si>
  <si>
    <t>Josenópolis</t>
  </si>
  <si>
    <t>Marmelópolis</t>
  </si>
  <si>
    <t>Matipó</t>
  </si>
  <si>
    <t>Nova Módica</t>
  </si>
  <si>
    <t>Oratórios</t>
  </si>
  <si>
    <t>Palmópolis</t>
  </si>
  <si>
    <t>Paraisópolis</t>
  </si>
  <si>
    <t>Pedrinópolis</t>
  </si>
  <si>
    <t>Pintópolis</t>
  </si>
  <si>
    <t>São Francisco do Glória</t>
  </si>
  <si>
    <t>São João Batista do Glória</t>
  </si>
  <si>
    <t>Sabinópolis</t>
  </si>
  <si>
    <t>Santa Vitória</t>
  </si>
  <si>
    <t>Santo Hipólito</t>
  </si>
  <si>
    <t>Serranópolis de Minas</t>
  </si>
  <si>
    <t>Silvianópolis</t>
  </si>
  <si>
    <t>Teófilo Otoni</t>
  </si>
  <si>
    <t>Timóteo</t>
  </si>
  <si>
    <t>Virginópolis</t>
  </si>
  <si>
    <t>Curionópolis</t>
  </si>
  <si>
    <t>Rurópolis</t>
  </si>
  <si>
    <t>Salinópolis</t>
  </si>
  <si>
    <t>Ulianópolis</t>
  </si>
  <si>
    <t>Vitória do Xingu</t>
  </si>
  <si>
    <t>Jericó</t>
  </si>
  <si>
    <t>Junco do Seridó</t>
  </si>
  <si>
    <t>Marizópolis</t>
  </si>
  <si>
    <t>Piancó</t>
  </si>
  <si>
    <t>São Vicente do Seridó</t>
  </si>
  <si>
    <t>Tenório</t>
  </si>
  <si>
    <t>Vieirópolis</t>
  </si>
  <si>
    <t>Adrianópolis</t>
  </si>
  <si>
    <t>Borrazópolis</t>
  </si>
  <si>
    <t>Califórnia</t>
  </si>
  <si>
    <t>Candói</t>
  </si>
  <si>
    <t>Carlópolis</t>
  </si>
  <si>
    <t>Cornélio Procópio</t>
  </si>
  <si>
    <t>Flórida</t>
  </si>
  <si>
    <t>Florestópolis</t>
  </si>
  <si>
    <t>Honório Serpa</t>
  </si>
  <si>
    <t>Janiópolis</t>
  </si>
  <si>
    <t>Leópolis</t>
  </si>
  <si>
    <t>Lidianópolis</t>
  </si>
  <si>
    <t>Lupionópolis</t>
  </si>
  <si>
    <t>Manfrinópolis</t>
  </si>
  <si>
    <t>Mariópolis</t>
  </si>
  <si>
    <t>Porto Vitória</t>
  </si>
  <si>
    <t>Prudentópolis</t>
  </si>
  <si>
    <t>Serranópolis do Iguaçu</t>
  </si>
  <si>
    <t>Sertanópolis</t>
  </si>
  <si>
    <t>União da Vitória</t>
  </si>
  <si>
    <t>Bodocó</t>
  </si>
  <si>
    <t>Cabrobó</t>
  </si>
  <si>
    <t>Custódia</t>
  </si>
  <si>
    <t>Orobó</t>
  </si>
  <si>
    <t>Orocó</t>
  </si>
  <si>
    <t>Sanharó</t>
  </si>
  <si>
    <t>Tacaimbó</t>
  </si>
  <si>
    <t>Vitória de Santo Antão</t>
  </si>
  <si>
    <t>Caxingó</t>
  </si>
  <si>
    <t>Francinópolis</t>
  </si>
  <si>
    <t>Itainópolis</t>
  </si>
  <si>
    <t>Jaicós</t>
  </si>
  <si>
    <t>Monsenhor Hipólito</t>
  </si>
  <si>
    <t>Nilópolis</t>
  </si>
  <si>
    <t>Niterói</t>
  </si>
  <si>
    <t>Petrópolis</t>
  </si>
  <si>
    <t>Teresópolis</t>
  </si>
  <si>
    <t>Bodó</t>
  </si>
  <si>
    <t>Caicó</t>
  </si>
  <si>
    <t>Jardim do Seridó</t>
  </si>
  <si>
    <t>Mossoró</t>
  </si>
  <si>
    <t>São José do Seridó</t>
  </si>
  <si>
    <t>Santana do Seridó</t>
  </si>
  <si>
    <t>Senador Elói de Souza</t>
  </si>
  <si>
    <t>Cândido Godói</t>
  </si>
  <si>
    <t>Capão do Cipó</t>
  </si>
  <si>
    <t>Ilópolis</t>
  </si>
  <si>
    <t>Jóia</t>
  </si>
  <si>
    <t>Nova Petrópolis</t>
  </si>
  <si>
    <t>Osório</t>
  </si>
  <si>
    <t>Pedro Osório</t>
  </si>
  <si>
    <t>Pirapó</t>
  </si>
  <si>
    <t>Santa Vitória do Palmar</t>
  </si>
  <si>
    <t>Veranópolis</t>
  </si>
  <si>
    <t>Teixeirópolis</t>
  </si>
  <si>
    <t>Rorainópolis</t>
  </si>
  <si>
    <t>Brunópolis</t>
  </si>
  <si>
    <t>Chapecó</t>
  </si>
  <si>
    <t>Concórdia</t>
  </si>
  <si>
    <t>Florianópolis</t>
  </si>
  <si>
    <t>Irineópolis</t>
  </si>
  <si>
    <t>Itaiópolis</t>
  </si>
  <si>
    <t>Jardinópolis</t>
  </si>
  <si>
    <t>Lacerdópolis</t>
  </si>
  <si>
    <t>Lindóia do Sul</t>
  </si>
  <si>
    <t>Siderópolis</t>
  </si>
  <si>
    <t>Taió</t>
  </si>
  <si>
    <t>Timbó</t>
  </si>
  <si>
    <t>Timbó Grande</t>
  </si>
  <si>
    <t>Altinópolis</t>
  </si>
  <si>
    <t>Areiópolis</t>
  </si>
  <si>
    <t>Cordeirópolis</t>
  </si>
  <si>
    <t>Cosmópolis</t>
  </si>
  <si>
    <t>Dois Córregos</t>
  </si>
  <si>
    <t>Dolcinópolis</t>
  </si>
  <si>
    <t>Emilianópolis</t>
  </si>
  <si>
    <t>Fernandópolis</t>
  </si>
  <si>
    <t>Flórida Paulista</t>
  </si>
  <si>
    <t>Iperó</t>
  </si>
  <si>
    <t>Itaóca</t>
  </si>
  <si>
    <t>Joanópolis</t>
  </si>
  <si>
    <t>Junqueirópolis</t>
  </si>
  <si>
    <t>Lençóis Paulista</t>
  </si>
  <si>
    <t>Lindóia</t>
  </si>
  <si>
    <t>Lucianópolis</t>
  </si>
  <si>
    <t>Marinópolis</t>
  </si>
  <si>
    <t>Martinópolis</t>
  </si>
  <si>
    <t>Mesópolis</t>
  </si>
  <si>
    <t>Miguelópolis</t>
  </si>
  <si>
    <t>Mirandópolis</t>
  </si>
  <si>
    <t>Pedranópolis</t>
  </si>
  <si>
    <t>Pradópolis</t>
  </si>
  <si>
    <t>Regente Feijó</t>
  </si>
  <si>
    <t>Reginópolis</t>
  </si>
  <si>
    <t>Rinópolis</t>
  </si>
  <si>
    <t>Salesópolis</t>
  </si>
  <si>
    <t>Santópolis do AguapeÃ­</t>
  </si>
  <si>
    <t>Sebastianópolis do Sul</t>
  </si>
  <si>
    <t>Vitória Brasil</t>
  </si>
  <si>
    <t>Carmópolis</t>
  </si>
  <si>
    <t>Neópolis</t>
  </si>
  <si>
    <t>Nossa Senhora da Glória</t>
  </si>
  <si>
    <t>Ribeirópolis</t>
  </si>
  <si>
    <t>São Cristóvão</t>
  </si>
  <si>
    <t>Aguiarnópolis</t>
  </si>
  <si>
    <t>Augustinópolis</t>
  </si>
  <si>
    <t>Darcinópolis</t>
  </si>
  <si>
    <t>Dianópolis</t>
  </si>
  <si>
    <t>Divinópolis do Tocantins</t>
  </si>
  <si>
    <t>Figueirópolis</t>
  </si>
  <si>
    <t>Luzinópolis</t>
  </si>
  <si>
    <t>Marianópolis do Tocantins</t>
  </si>
  <si>
    <t>Palmeirópolis</t>
  </si>
  <si>
    <t>Silvanópolis</t>
  </si>
  <si>
    <t>Tocantinópolis</t>
  </si>
  <si>
    <t>Banzaê</t>
  </si>
  <si>
    <t>Ibiassucê</t>
  </si>
  <si>
    <t>Irecê</t>
  </si>
  <si>
    <t>Mucugê</t>
  </si>
  <si>
    <t>Santa Inês</t>
  </si>
  <si>
    <t>Santo Estêvão</t>
  </si>
  <si>
    <t>Ererê</t>
  </si>
  <si>
    <t>Independência</t>
  </si>
  <si>
    <t>Massapê</t>
  </si>
  <si>
    <t>Três Ranchos</t>
  </si>
  <si>
    <t>Governador Eugênio Barros</t>
  </si>
  <si>
    <t>Querência</t>
  </si>
  <si>
    <t>Inocência</t>
  </si>
  <si>
    <t>Três Lagoas</t>
  </si>
  <si>
    <t>Frei Inocêncio</t>
  </si>
  <si>
    <t>Mercês</t>
  </si>
  <si>
    <t>Santa Efigênia de Minas</t>
  </si>
  <si>
    <t>Três Marias</t>
  </si>
  <si>
    <t>Três Pontas</t>
  </si>
  <si>
    <t>Augusto Corrêa</t>
  </si>
  <si>
    <t>Dona Inês</t>
  </si>
  <si>
    <t>Sossêgo</t>
  </si>
  <si>
    <t>Zabelê</t>
  </si>
  <si>
    <t>Fênix</t>
  </si>
  <si>
    <t>Goioerê</t>
  </si>
  <si>
    <t>Mamborê</t>
  </si>
  <si>
    <t>Piên</t>
  </si>
  <si>
    <t>Querência do Norte</t>
  </si>
  <si>
    <t>Telêmaco Borba</t>
  </si>
  <si>
    <t>Verê</t>
  </si>
  <si>
    <t>Xambrê</t>
  </si>
  <si>
    <t>Cortês</t>
  </si>
  <si>
    <t>Vicência</t>
  </si>
  <si>
    <t>Dom Inocêncio</t>
  </si>
  <si>
    <t>Massapê do PiauÃ­</t>
  </si>
  <si>
    <t>Três Rios</t>
  </si>
  <si>
    <t>Arês</t>
  </si>
  <si>
    <t>Pendências</t>
  </si>
  <si>
    <t>Eugênio de Castro</t>
  </si>
  <si>
    <t>Ipê</t>
  </si>
  <si>
    <t>Lagoa dos Três Cantos</t>
  </si>
  <si>
    <t>Restinga Sêca</t>
  </si>
  <si>
    <t>São João do Polêsine</t>
  </si>
  <si>
    <t>São José do Hortêncio</t>
  </si>
  <si>
    <t>Serafina Corrêa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</si>
  <si>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</si>
  <si>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</si>
  <si>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</si>
  <si>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</si>
  <si>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</si>
  <si>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</si>
  <si>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</si>
  <si>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Vespasiano Corrêa</t>
  </si>
  <si>
    <t>Campo Erê</t>
  </si>
  <si>
    <t>Iomerê</t>
  </si>
  <si>
    <t>Três Barras</t>
  </si>
  <si>
    <t>Xanxerê</t>
  </si>
  <si>
    <t>Guaimbê</t>
  </si>
  <si>
    <t>Iepê</t>
  </si>
  <si>
    <t>Igaraçu do Tietê</t>
  </si>
  <si>
    <t>Mineiros do Tietê</t>
  </si>
  <si>
    <t>Nova Independência</t>
  </si>
  <si>
    <t>Tietê</t>
  </si>
  <si>
    <t>Três Fronteiras</t>
  </si>
  <si>
    <t>Urupês</t>
  </si>
  <si>
    <t>Piraquê</t>
  </si>
  <si>
    <t>Botuporã</t>
  </si>
  <si>
    <t>Ibirapuã</t>
  </si>
  <si>
    <t>Igaporã</t>
  </si>
  <si>
    <t>LuÃ­s Eduardo Magalhães</t>
  </si>
  <si>
    <t>Nova Canaã</t>
  </si>
  <si>
    <t>Piatã</t>
  </si>
  <si>
    <t>Ubatã</t>
  </si>
  <si>
    <t>Wenceslau Guimarães</t>
  </si>
  <si>
    <t>Milhã</t>
  </si>
  <si>
    <t>Aruanã</t>
  </si>
  <si>
    <t>Itapirapuã</t>
  </si>
  <si>
    <t>Itarumã</t>
  </si>
  <si>
    <t>Matrinchã</t>
  </si>
  <si>
    <t>Araguanã</t>
  </si>
  <si>
    <t>Guimarães</t>
  </si>
  <si>
    <t>Magalhães de Almeida</t>
  </si>
  <si>
    <t>Olho d'Ãgua das Cunhãs</t>
  </si>
  <si>
    <t>Aripuanã</t>
  </si>
  <si>
    <t>Chapada dos Guimarães</t>
  </si>
  <si>
    <t>Guarantã do Norte</t>
  </si>
  <si>
    <t>Nova Canaã do Norte</t>
  </si>
  <si>
    <t>Nova Ubiratã</t>
  </si>
  <si>
    <t>Tabaporã</t>
  </si>
  <si>
    <t>Batayporã</t>
  </si>
  <si>
    <t>Camapuã</t>
  </si>
  <si>
    <t>Itaporã</t>
  </si>
  <si>
    <t>Japorã</t>
  </si>
  <si>
    <t>Laguna Carapã</t>
  </si>
  <si>
    <t>Ponta Porã</t>
  </si>
  <si>
    <t>Araporã</t>
  </si>
  <si>
    <t>Canaã</t>
  </si>
  <si>
    <t>Couto de Magalhães de Minas</t>
  </si>
  <si>
    <t>Dores de Guanhães</t>
  </si>
  <si>
    <t>Guanhães</t>
  </si>
  <si>
    <t>Gurinhatã</t>
  </si>
  <si>
    <t>Mãe do Rio</t>
  </si>
  <si>
    <t>Magalhães Barata</t>
  </si>
  <si>
    <t>Maracanã</t>
  </si>
  <si>
    <t>Tucumã</t>
  </si>
  <si>
    <t>Caaporã</t>
  </si>
  <si>
    <t>Mãe d'Ãgua</t>
  </si>
  <si>
    <t>Puxinanã</t>
  </si>
  <si>
    <t>Amaporã</t>
  </si>
  <si>
    <t>Arapuã</t>
  </si>
  <si>
    <t>Ibiporã</t>
  </si>
  <si>
    <t>Iporã</t>
  </si>
  <si>
    <t>Ivaiporã</t>
  </si>
  <si>
    <t>Jaguapitã</t>
  </si>
  <si>
    <t>Tupãssi</t>
  </si>
  <si>
    <t>Ubiratã</t>
  </si>
  <si>
    <t>Chã de Alegria</t>
  </si>
  <si>
    <t>Chã Grande</t>
  </si>
  <si>
    <t>Acauã</t>
  </si>
  <si>
    <t>Quissamã</t>
  </si>
  <si>
    <t>Jaçanã</t>
  </si>
  <si>
    <t>Camaquã</t>
  </si>
  <si>
    <t>Cotiporã</t>
  </si>
  <si>
    <t>Ibirapuitã</t>
  </si>
  <si>
    <t>Tupanciretã</t>
  </si>
  <si>
    <t>Itapuã do Oeste</t>
  </si>
  <si>
    <t>Uiramutã</t>
  </si>
  <si>
    <t>Arabutã</t>
  </si>
  <si>
    <t>Cunha Porã</t>
  </si>
  <si>
    <t>Iporã do Oeste</t>
  </si>
  <si>
    <t>Echaporã</t>
  </si>
  <si>
    <t>Guarantã</t>
  </si>
  <si>
    <t>Indiaporã</t>
  </si>
  <si>
    <t>Ipuã</t>
  </si>
  <si>
    <t>Irapuã</t>
  </si>
  <si>
    <t>Itapirapuã Paulista</t>
  </si>
  <si>
    <t>Itirapuã</t>
  </si>
  <si>
    <t>Mairiporã</t>
  </si>
  <si>
    <t>Nipoã</t>
  </si>
  <si>
    <t>Nova Canaã Paulista</t>
  </si>
  <si>
    <t>Paranapuã</t>
  </si>
  <si>
    <t>Parapuã</t>
  </si>
  <si>
    <t>Tabapuã</t>
  </si>
  <si>
    <t>Tarumã</t>
  </si>
  <si>
    <t>Tupã</t>
  </si>
  <si>
    <t>Aquidabã</t>
  </si>
  <si>
    <t>Japoatã</t>
  </si>
  <si>
    <t>Couto Magalhães</t>
  </si>
  <si>
    <t>Itaporã do Tocantins</t>
  </si>
  <si>
    <t>Paranã</t>
  </si>
  <si>
    <t>Talismã</t>
  </si>
  <si>
    <t>Brejões</t>
  </si>
  <si>
    <t>Poções</t>
  </si>
  <si>
    <t>Simões Filho</t>
  </si>
  <si>
    <t>Leopoldo de Bulhões</t>
  </si>
  <si>
    <t>Matões</t>
  </si>
  <si>
    <t>Matões do Norte</t>
  </si>
  <si>
    <t>Claro dos Poções</t>
  </si>
  <si>
    <t>Perdões</t>
  </si>
  <si>
    <t>São João das Missões</t>
  </si>
  <si>
    <t>Três Corações</t>
  </si>
  <si>
    <t>Pilões</t>
  </si>
  <si>
    <t>Pilõezinhos</t>
  </si>
  <si>
    <t>Simões</t>
  </si>
  <si>
    <t>Boa Vista das Missões</t>
  </si>
  <si>
    <t>Campina das Missões</t>
  </si>
  <si>
    <t>Dois Irmãos das Missões</t>
  </si>
  <si>
    <t>Guarani das Missões</t>
  </si>
  <si>
    <t>Muitos Capões</t>
  </si>
  <si>
    <t>Palmeira das Missões</t>
  </si>
  <si>
    <t>São José das Missões</t>
  </si>
  <si>
    <t>São Miguel das Missões</t>
  </si>
  <si>
    <t>São Paulo das Missões</t>
  </si>
  <si>
    <t>São Pedro das Missões</t>
  </si>
  <si>
    <t>Salvador das Missões</t>
  </si>
  <si>
    <t>Santo Antônio das Missões</t>
  </si>
  <si>
    <t>Vitória das Missões</t>
  </si>
  <si>
    <t>Bom Jesus dos Perdões</t>
  </si>
  <si>
    <t>Monções</t>
  </si>
  <si>
    <t>Aporá</t>
  </si>
  <si>
    <t>Canápolis</t>
  </si>
  <si>
    <t>Contendas do Sincorá</t>
  </si>
  <si>
    <t>Coronel João Sá</t>
  </si>
  <si>
    <t>Curaçá</t>
  </si>
  <si>
    <t>Dário Meira</t>
  </si>
  <si>
    <t>Eunápolis</t>
  </si>
  <si>
    <t>Fátima</t>
  </si>
  <si>
    <t>Ibititá</t>
  </si>
  <si>
    <t>Ipecaetá</t>
  </si>
  <si>
    <t>Ipirá</t>
  </si>
  <si>
    <t>Irará</t>
  </si>
  <si>
    <t>Itagibá</t>
  </si>
  <si>
    <t>Ituberá</t>
  </si>
  <si>
    <t>Jiquiriçá</t>
  </si>
  <si>
    <t>Maracás</t>
  </si>
  <si>
    <t>Morpará</t>
  </si>
  <si>
    <t>Nova Fátima</t>
  </si>
  <si>
    <t>Nova Ibiá</t>
  </si>
  <si>
    <t>Piripá</t>
  </si>
  <si>
    <t>Potiraguá</t>
  </si>
  <si>
    <t>Sátiro Dias</t>
  </si>
  <si>
    <t>Santa Bárbara</t>
  </si>
  <si>
    <t>Santa Cruz Cabrália</t>
  </si>
  <si>
    <t>Santa Rita de Cássia</t>
  </si>
  <si>
    <t>Taperoá</t>
  </si>
  <si>
    <t>Tapiramutá</t>
  </si>
  <si>
    <t>Uauá</t>
  </si>
  <si>
    <t>Várzea da Roça</t>
  </si>
  <si>
    <t>Várzea do Poço</t>
  </si>
  <si>
    <t>Várzea Nova</t>
  </si>
  <si>
    <t>Ararendá</t>
  </si>
  <si>
    <t>Croatá</t>
  </si>
  <si>
    <t>Jucás</t>
  </si>
  <si>
    <t>Pacujá</t>
  </si>
  <si>
    <t>Palmácia</t>
  </si>
  <si>
    <t>Quixadá</t>
  </si>
  <si>
    <t>Senador Sá</t>
  </si>
  <si>
    <t>Tauá</t>
  </si>
  <si>
    <t>Tianguá</t>
  </si>
  <si>
    <t>Várzea Alegre</t>
  </si>
  <si>
    <t>Viçosa do Ceará</t>
  </si>
  <si>
    <t>Ãgua Fria de Goiás</t>
  </si>
  <si>
    <t>Abadia de Goiás</t>
  </si>
  <si>
    <t>Alto ParaÃ­so de Goiás</t>
  </si>
  <si>
    <t>Anápolis</t>
  </si>
  <si>
    <t>Bela Vista de Goiás</t>
  </si>
  <si>
    <t>Bom Jardim de Goiás</t>
  </si>
  <si>
    <t>Bom Jesus de Goiás</t>
  </si>
  <si>
    <t>Buriti de Goiás</t>
  </si>
  <si>
    <t>Cachoeira de Goiás</t>
  </si>
  <si>
    <t>Campestre de Goiás</t>
  </si>
  <si>
    <t>Campo Alegre de Goiás</t>
  </si>
  <si>
    <t>Campo Limpo de Goiás</t>
  </si>
  <si>
    <t>Cocalzinho de Goiás</t>
  </si>
  <si>
    <t>Corumbá de Goiás</t>
  </si>
  <si>
    <t>Crixás</t>
  </si>
  <si>
    <t>Divinópolis de Goiás</t>
  </si>
  <si>
    <t>Flores de Goiás</t>
  </si>
  <si>
    <t>Gameleira de Goiás</t>
  </si>
  <si>
    <t>Goiás</t>
  </si>
  <si>
    <t>Goianápolis</t>
  </si>
  <si>
    <t>Guarani de Goiás</t>
  </si>
  <si>
    <t>Ipiranga de Goiás</t>
  </si>
  <si>
    <t>Iporá</t>
  </si>
  <si>
    <t>Itajá</t>
  </si>
  <si>
    <t>Jaraguá</t>
  </si>
  <si>
    <t>Mimoso de Goiás</t>
  </si>
  <si>
    <t>Moiporá</t>
  </si>
  <si>
    <t>Monte Alegre de Goiás</t>
  </si>
  <si>
    <t>Montes Claros de Goiás</t>
  </si>
  <si>
    <t>Morro Agudo de Goiás</t>
  </si>
  <si>
    <t>Nazário</t>
  </si>
  <si>
    <t>Nova Crixás</t>
  </si>
  <si>
    <t>Nova Iguaçu de Goiás</t>
  </si>
  <si>
    <t>Ouro Verde de Goiás</t>
  </si>
  <si>
    <t>Palestina de Goiás</t>
  </si>
  <si>
    <t>Palmeiras de Goiás</t>
  </si>
  <si>
    <t>Panamá</t>
  </si>
  <si>
    <t>Petrolina de Goiás</t>
  </si>
  <si>
    <t>Pilar de Goiás</t>
  </si>
  <si>
    <t>Rianápolis</t>
  </si>
  <si>
    <t>São Francisco de Goiás</t>
  </si>
  <si>
    <t>Santa Bárbara de Goiás</t>
  </si>
  <si>
    <t>Santa Cruz de Goiás</t>
  </si>
  <si>
    <t>Santa Fé de Goiás</t>
  </si>
  <si>
    <t>Santa Helena de Goiás</t>
  </si>
  <si>
    <t>Santa Rosa de Goiás</t>
  </si>
  <si>
    <t>Santa Tereza de Goiás</t>
  </si>
  <si>
    <t>Santa Terezinha de Goiás</t>
  </si>
  <si>
    <t>Santo Antônio de Goiás</t>
  </si>
  <si>
    <t>Taquaral de Goiás</t>
  </si>
  <si>
    <t>Teresina de Goiás</t>
  </si>
  <si>
    <t>Terezópolis de Goiás</t>
  </si>
  <si>
    <t>ValparaÃ­so de Goiás</t>
  </si>
  <si>
    <t>Amapá do Maranhão</t>
  </si>
  <si>
    <t>Axixá</t>
  </si>
  <si>
    <t>Belágua</t>
  </si>
  <si>
    <t>Coroatá</t>
  </si>
  <si>
    <t>Jatobá</t>
  </si>
  <si>
    <t>Marajá do Sena</t>
  </si>
  <si>
    <t>Pedro do Rosário</t>
  </si>
  <si>
    <t>Rosário</t>
  </si>
  <si>
    <t>Santa Luzia do Paruá</t>
  </si>
  <si>
    <t>Apiacás</t>
  </si>
  <si>
    <t>Arenápolis</t>
  </si>
  <si>
    <t>Cáceres</t>
  </si>
  <si>
    <t>Campinápolis</t>
  </si>
  <si>
    <t>Cláudia</t>
  </si>
  <si>
    <t>Cuiabá</t>
  </si>
  <si>
    <t>Itanhangá</t>
  </si>
  <si>
    <t>Matupá</t>
  </si>
  <si>
    <t>Nova Maringá</t>
  </si>
  <si>
    <t>Rosário Oeste</t>
  </si>
  <si>
    <t>Tangará da Serra</t>
  </si>
  <si>
    <t>Várzea Grande</t>
  </si>
  <si>
    <t>Anastácio</t>
  </si>
  <si>
    <t>Corumbá</t>
  </si>
  <si>
    <t>Deodápolis</t>
  </si>
  <si>
    <t>Fátima do Sul</t>
  </si>
  <si>
    <t>Ladário</t>
  </si>
  <si>
    <t>Alto Jequitibá</t>
  </si>
  <si>
    <t>Arapuá</t>
  </si>
  <si>
    <t>Araxá</t>
  </si>
  <si>
    <t>Brás Pires</t>
  </si>
  <si>
    <t>Cássia</t>
  </si>
  <si>
    <t>Campanário</t>
  </si>
  <si>
    <t>Chácara</t>
  </si>
  <si>
    <t>Cláudio</t>
  </si>
  <si>
    <t>Conceição do Pará</t>
  </si>
  <si>
    <t>Cristália</t>
  </si>
  <si>
    <t>Dores do Indaiá</t>
  </si>
  <si>
    <t>Ervália</t>
  </si>
  <si>
    <t>Estrela do Indaiá</t>
  </si>
  <si>
    <t>Francisco Sá</t>
  </si>
  <si>
    <t>Goianá</t>
  </si>
  <si>
    <t>Guarará</t>
  </si>
  <si>
    <t>Ibiá</t>
  </si>
  <si>
    <t>Itajubá</t>
  </si>
  <si>
    <t>Januária</t>
  </si>
  <si>
    <t>Jequitibá</t>
  </si>
  <si>
    <t>Luminárias</t>
  </si>
  <si>
    <t>Mário Campos</t>
  </si>
  <si>
    <t>Maripá de Minas</t>
  </si>
  <si>
    <t>Pará de Minas</t>
  </si>
  <si>
    <t>Pedra do Indaiá</t>
  </si>
  <si>
    <t>Pratápolis</t>
  </si>
  <si>
    <t>Presidente Olegário</t>
  </si>
  <si>
    <t>Ritápolis</t>
  </si>
  <si>
    <t>Rosário da Limeira</t>
  </si>
  <si>
    <t>São Brás do SuaçuÃ­</t>
  </si>
  <si>
    <t>São Gonçalo do Pará</t>
  </si>
  <si>
    <t>São Tomás de Aquino</t>
  </si>
  <si>
    <t>Sabará</t>
  </si>
  <si>
    <t>Santa Bárbara do Leste</t>
  </si>
  <si>
    <t>Santa Bárbara do Monte Verde</t>
  </si>
  <si>
    <t>Santa Bárbara do Tugúrio</t>
  </si>
  <si>
    <t>Sardoá</t>
  </si>
  <si>
    <t>Sobrália</t>
  </si>
  <si>
    <t>Ubá</t>
  </si>
  <si>
    <t>Várzea da Palma</t>
  </si>
  <si>
    <t>Acará</t>
  </si>
  <si>
    <t>Afuá</t>
  </si>
  <si>
    <t>Anajás</t>
  </si>
  <si>
    <t>Aurora do Pará</t>
  </si>
  <si>
    <t>Cachoeira do Piriá</t>
  </si>
  <si>
    <t>Cametá</t>
  </si>
  <si>
    <t>Canaã dos Carajás</t>
  </si>
  <si>
    <t>Concórdia do Pará</t>
  </si>
  <si>
    <t>Curuá</t>
  </si>
  <si>
    <t>Curuçá</t>
  </si>
  <si>
    <t>Eldorado do Carajás</t>
  </si>
  <si>
    <t>Goianésia do Pará</t>
  </si>
  <si>
    <t>Gurupá</t>
  </si>
  <si>
    <t>Ipixuna do Pará</t>
  </si>
  <si>
    <t>Jacundá</t>
  </si>
  <si>
    <t>Marabá</t>
  </si>
  <si>
    <t>Muaná</t>
  </si>
  <si>
    <t>Nova Esperança do Piriá</t>
  </si>
  <si>
    <t>Oeiras do Pará</t>
  </si>
  <si>
    <t>Oriximiná</t>
  </si>
  <si>
    <t>Pacajá</t>
  </si>
  <si>
    <t>Palestina do Pará</t>
  </si>
  <si>
    <t>Rondon do Pará</t>
  </si>
  <si>
    <t>São Francisco do Pará</t>
  </si>
  <si>
    <t>São Miguel do Guamá</t>
  </si>
  <si>
    <t>Santa Bárbara do Pará</t>
  </si>
  <si>
    <t>Santa Izabel do Pará</t>
  </si>
  <si>
    <t>Santa Luzia do Pará</t>
  </si>
  <si>
    <t>Santa Maria do Pará</t>
  </si>
  <si>
    <t>Santo Antônio do Tauá</t>
  </si>
  <si>
    <t>Uruará</t>
  </si>
  <si>
    <t>Ingá</t>
  </si>
  <si>
    <t>Juarez Távora</t>
  </si>
  <si>
    <t>Várzea</t>
  </si>
  <si>
    <t>Abatiá</t>
  </si>
  <si>
    <t>Altamira do Paraná</t>
  </si>
  <si>
    <t>Alto Paraná</t>
  </si>
  <si>
    <t>Andirá</t>
  </si>
  <si>
    <t>Araucária</t>
  </si>
  <si>
    <t>Cambará</t>
  </si>
  <si>
    <t>Centenário do Sul</t>
  </si>
  <si>
    <t>Guairaçá</t>
  </si>
  <si>
    <t>Inácio Martins</t>
  </si>
  <si>
    <t>Inajá</t>
  </si>
  <si>
    <t>Itambaracá</t>
  </si>
  <si>
    <t>Joaquim Távora</t>
  </si>
  <si>
    <t>Maringá</t>
  </si>
  <si>
    <t>Maripá</t>
  </si>
  <si>
    <t>Mauá da Serra</t>
  </si>
  <si>
    <t>Nova Santa Bárbara</t>
  </si>
  <si>
    <t>Paranaguá</t>
  </si>
  <si>
    <t>Planaltina do Paraná</t>
  </si>
  <si>
    <t>Pontal do Paraná</t>
  </si>
  <si>
    <t>Quarto Centenário</t>
  </si>
  <si>
    <t>Quatiguá</t>
  </si>
  <si>
    <t>Rosário do IvaÃ­</t>
  </si>
  <si>
    <t>São João do Caiuá</t>
  </si>
  <si>
    <t>São Manoel do Paraná</t>
  </si>
  <si>
    <t>São Pedro do Paraná</t>
  </si>
  <si>
    <t>Sabáudia</t>
  </si>
  <si>
    <t>Santo Antônio do Caiuá</t>
  </si>
  <si>
    <t>Santo Inácio</t>
  </si>
  <si>
    <t>Três Barras do Paraná</t>
  </si>
  <si>
    <t>Tunas do Paraná</t>
  </si>
  <si>
    <t>Glória do Goitá</t>
  </si>
  <si>
    <t>Gravatá</t>
  </si>
  <si>
    <t>Ilha de Itamaracá</t>
  </si>
  <si>
    <t>Quipapá</t>
  </si>
  <si>
    <t>Saloá</t>
  </si>
  <si>
    <t>Santa Maria do Cambucá</t>
  </si>
  <si>
    <t>Alto Longá</t>
  </si>
  <si>
    <t>Capitão Gervásio Oliveira</t>
  </si>
  <si>
    <t>Curimatá</t>
  </si>
  <si>
    <t>Jatobá do PiauÃ­</t>
  </si>
  <si>
    <t>Nazária</t>
  </si>
  <si>
    <t>Paquetá</t>
  </si>
  <si>
    <t>Parnaguá</t>
  </si>
  <si>
    <t>Santo Inácio do PiauÃ­</t>
  </si>
  <si>
    <t>Várzea Branca</t>
  </si>
  <si>
    <t>Maricá</t>
  </si>
  <si>
    <t>São José de Ubá</t>
  </si>
  <si>
    <t>Santo Antônio de Pádua</t>
  </si>
  <si>
    <t>Tanguá</t>
  </si>
  <si>
    <t>Ceará-Mirim</t>
  </si>
  <si>
    <t>Cerro Corá</t>
  </si>
  <si>
    <t>Januário Cicco</t>
  </si>
  <si>
    <t>Paraná</t>
  </si>
  <si>
    <t>Tangará</t>
  </si>
  <si>
    <t>Aceguá</t>
  </si>
  <si>
    <t>Araricá</t>
  </si>
  <si>
    <t>Balneário Pinhal</t>
  </si>
  <si>
    <t>Boa Vista do Buricá</t>
  </si>
  <si>
    <t>Butiá</t>
  </si>
  <si>
    <t>Cambará do Sul</t>
  </si>
  <si>
    <t>Candelária</t>
  </si>
  <si>
    <t>Caraá</t>
  </si>
  <si>
    <t>Centenário</t>
  </si>
  <si>
    <t>Giruá</t>
  </si>
  <si>
    <t>Ibiaçá</t>
  </si>
  <si>
    <t>Ibirubá</t>
  </si>
  <si>
    <t>Inhacorá</t>
  </si>
  <si>
    <t>Ivorá</t>
  </si>
  <si>
    <t>Maçambará</t>
  </si>
  <si>
    <t>Maratá</t>
  </si>
  <si>
    <t>Nova Araçá</t>
  </si>
  <si>
    <t>Nova Candelária</t>
  </si>
  <si>
    <t>Nova Pádua</t>
  </si>
  <si>
    <t>Porto Mauá</t>
  </si>
  <si>
    <t>Protásio Alves</t>
  </si>
  <si>
    <t>Rosário do Sul</t>
  </si>
  <si>
    <t>São José do Inhacorá</t>
  </si>
  <si>
    <t>São Pedro do Butiá</t>
  </si>
  <si>
    <t>Santa Bárbara do Sul</t>
  </si>
  <si>
    <t>Westfália</t>
  </si>
  <si>
    <t>Xangri-lá</t>
  </si>
  <si>
    <t>Guajará-Mirim</t>
  </si>
  <si>
    <t>Ji-Paraná</t>
  </si>
  <si>
    <t>Urupá</t>
  </si>
  <si>
    <t>Cantá</t>
  </si>
  <si>
    <t>Anitápolis</t>
  </si>
  <si>
    <t>Araranguá</t>
  </si>
  <si>
    <t>Balneário Arroio do Silva</t>
  </si>
  <si>
    <t>Balneário Barra do Sul</t>
  </si>
  <si>
    <t>Balneário Camboriú</t>
  </si>
  <si>
    <t>Balneário Gaivota</t>
  </si>
  <si>
    <t>Balneário Piçarras</t>
  </si>
  <si>
    <t>Balneário Rincão</t>
  </si>
  <si>
    <t>Botuverá</t>
  </si>
  <si>
    <t>Corupá</t>
  </si>
  <si>
    <t>Grão Pará</t>
  </si>
  <si>
    <t>Guarujá do Sul</t>
  </si>
  <si>
    <t>Itá</t>
  </si>
  <si>
    <t>Itapoá</t>
  </si>
  <si>
    <t>Jaborá</t>
  </si>
  <si>
    <t>Jaraguá do Sul</t>
  </si>
  <si>
    <t>Jupiá</t>
  </si>
  <si>
    <t>Maracajá</t>
  </si>
  <si>
    <t>São Bonifácio</t>
  </si>
  <si>
    <t>Tunápolis</t>
  </si>
  <si>
    <t>Arujá</t>
  </si>
  <si>
    <t>Aspásia</t>
  </si>
  <si>
    <t>Bálsamo</t>
  </si>
  <si>
    <t>Borá</t>
  </si>
  <si>
    <t>Cássia dos Coqueiros</t>
  </si>
  <si>
    <t>Cabrália Paulista</t>
  </si>
  <si>
    <t>Caiuá</t>
  </si>
  <si>
    <t>Catiguá</t>
  </si>
  <si>
    <t>Cesário Lange</t>
  </si>
  <si>
    <t>Cruzália</t>
  </si>
  <si>
    <t>Elisiário</t>
  </si>
  <si>
    <t>Gália</t>
  </si>
  <si>
    <t>Guará</t>
  </si>
  <si>
    <t>Guaratinguetá</t>
  </si>
  <si>
    <t>Guarujá</t>
  </si>
  <si>
    <t>Guatapará</t>
  </si>
  <si>
    <t>Ibirá</t>
  </si>
  <si>
    <t>Igaratá</t>
  </si>
  <si>
    <t>Ipiguá</t>
  </si>
  <si>
    <t>Iracemápolis</t>
  </si>
  <si>
    <t>Itápolis</t>
  </si>
  <si>
    <t>Itaberá</t>
  </si>
  <si>
    <t>José Bonifácio</t>
  </si>
  <si>
    <t>Juquiá</t>
  </si>
  <si>
    <t>Marabá Paulista</t>
  </si>
  <si>
    <t>Mariápolis</t>
  </si>
  <si>
    <t>Mauá</t>
  </si>
  <si>
    <t>Mongaguá</t>
  </si>
  <si>
    <t>Penápolis</t>
  </si>
  <si>
    <t>Poá</t>
  </si>
  <si>
    <t>Presidente Epitácio</t>
  </si>
  <si>
    <t>Quatá</t>
  </si>
  <si>
    <t>Rubiácea</t>
  </si>
  <si>
    <t>Santa Bárbara d'Oeste</t>
  </si>
  <si>
    <t>Santo Anastácio</t>
  </si>
  <si>
    <t>Santo Antônio do Aracanguá</t>
  </si>
  <si>
    <t>Sarutaiá</t>
  </si>
  <si>
    <t>Suzanápolis</t>
  </si>
  <si>
    <t>Tejupá</t>
  </si>
  <si>
    <t>Várzea Paulista</t>
  </si>
  <si>
    <t>Arauá</t>
  </si>
  <si>
    <t>Cristinápolis</t>
  </si>
  <si>
    <t>Propriá</t>
  </si>
  <si>
    <t>Rosário do Catete</t>
  </si>
  <si>
    <t>Ananás</t>
  </si>
  <si>
    <t>Axixá do Tocantins</t>
  </si>
  <si>
    <t>Crixás do Tocantins</t>
  </si>
  <si>
    <t>Itacajá</t>
  </si>
  <si>
    <t>Oliveira de Fátima</t>
  </si>
  <si>
    <t>Xambioá</t>
  </si>
  <si>
    <t>Cícero Dantas</t>
  </si>
  <si>
    <t>Águas Lindas de Goiás</t>
  </si>
  <si>
    <t>ParaÃ­so das Águas</t>
  </si>
  <si>
    <t>Águas Formosas</t>
  </si>
  <si>
    <t>Águas Vermelhas</t>
  </si>
  <si>
    <t>Águas Belas</t>
  </si>
  <si>
    <t>Águas de Chapecó</t>
  </si>
  <si>
    <t>Águas Frias</t>
  </si>
  <si>
    <t>Águas Mornas</t>
  </si>
  <si>
    <t>Águas da Prata</t>
  </si>
  <si>
    <t>Águas de Lindóia</t>
  </si>
  <si>
    <t>Águas de São Pedro</t>
  </si>
  <si>
    <t>Águas de Santa Bárbara</t>
  </si>
  <si>
    <t xml:space="preserve">Área quadrada </t>
  </si>
  <si>
    <t xml:space="preserve">Quantidade de Módulos Fotovoltaicos </t>
  </si>
  <si>
    <t>Fator Simultaneidade – Consumido</t>
  </si>
  <si>
    <t>Fator Simultaneidade – Injetado</t>
  </si>
  <si>
    <t>Tarifa com Imposto</t>
  </si>
  <si>
    <t>Degradação 1º ano</t>
  </si>
  <si>
    <t>Reajuste tarifa</t>
  </si>
  <si>
    <t>Geração Ano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</si>
  <si>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</si>
  <si>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</si>
  <si>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</si>
  <si>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</si>
  <si>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</si>
  <si>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</si>
  <si>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</si>
  <si>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</si>
  <si>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</si>
  <si>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</si>
  <si>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</si>
  <si>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</si>
  <si>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EMM ( ENERGIA MÉDIA MENSAL KWH)</t>
  </si>
  <si>
    <t>SOMATÓRIO ANUAL KWH</t>
  </si>
  <si>
    <t>HSP (KWH/M^2.DIA)</t>
  </si>
  <si>
    <t>HSP CORRIGIDO (SUJEIRA)</t>
  </si>
  <si>
    <t xml:space="preserve">POSICIONAMENTO </t>
  </si>
  <si>
    <t xml:space="preserve">PERDAS POR IRRADIAÇÃO </t>
  </si>
  <si>
    <t xml:space="preserve">HSP C/ PERDAS POR IRRADIAÇÃO </t>
  </si>
  <si>
    <t>HSP CORRIGIDO FATOR K</t>
  </si>
  <si>
    <t xml:space="preserve">HSP FINAL </t>
  </si>
  <si>
    <t xml:space="preserve">Média </t>
  </si>
  <si>
    <t>,88,</t>
  </si>
  <si>
    <t>,89,</t>
  </si>
  <si>
    <t>,,81</t>
  </si>
  <si>
    <t>1,,09</t>
  </si>
  <si>
    <t>INC</t>
  </si>
  <si>
    <t xml:space="preserve">LATITUDE INTEIRA </t>
  </si>
  <si>
    <t xml:space="preserve">COORDENADAS GEOGRÁFICAS </t>
  </si>
  <si>
    <t>LATITUDE (°)</t>
  </si>
  <si>
    <t>LONGITUDE (°)</t>
  </si>
  <si>
    <t xml:space="preserve">LATITUDE ONGRID </t>
  </si>
  <si>
    <t>LATITUDE + CORREÇÃO (°)</t>
  </si>
  <si>
    <t>FATOR K</t>
  </si>
  <si>
    <t xml:space="preserve">FATOR K </t>
  </si>
  <si>
    <t xml:space="preserve">HSP  </t>
  </si>
  <si>
    <t xml:space="preserve">POSICIONAMENTO + CORREÇÃO </t>
  </si>
  <si>
    <t>Latitude 0</t>
  </si>
  <si>
    <t>Latitude 1</t>
  </si>
  <si>
    <t>Latitude 2</t>
  </si>
  <si>
    <t>Latitude 3</t>
  </si>
  <si>
    <t>Latitude 4</t>
  </si>
  <si>
    <t>Latitude 5</t>
  </si>
  <si>
    <t>Latitude 6</t>
  </si>
  <si>
    <t>Latitude 7</t>
  </si>
  <si>
    <t>Latitude 8</t>
  </si>
  <si>
    <t>Latitude 9</t>
  </si>
  <si>
    <t>Latitude 10</t>
  </si>
  <si>
    <t>Latitude 11</t>
  </si>
  <si>
    <t>Latitude 12</t>
  </si>
  <si>
    <t>Latitude 13</t>
  </si>
  <si>
    <t>Latitude 14</t>
  </si>
  <si>
    <t>Latitude 15</t>
  </si>
  <si>
    <t>Latitude 16</t>
  </si>
  <si>
    <t>Latitude 17</t>
  </si>
  <si>
    <t>Latitude 18</t>
  </si>
  <si>
    <t>Latitude 19</t>
  </si>
  <si>
    <t>Latitude 20</t>
  </si>
  <si>
    <t>Latitude 21</t>
  </si>
  <si>
    <t>Latitude 22</t>
  </si>
  <si>
    <t>Latitude 23</t>
  </si>
  <si>
    <t>Latitude 24</t>
  </si>
  <si>
    <t>Latitude 25</t>
  </si>
  <si>
    <t>Latitude 26</t>
  </si>
  <si>
    <t>Latitude 27</t>
  </si>
  <si>
    <t>Latitude 28</t>
  </si>
  <si>
    <t>Latitude 29</t>
  </si>
  <si>
    <t>Latitude 30</t>
  </si>
  <si>
    <t xml:space="preserve">Fator k </t>
  </si>
  <si>
    <t>Latitude 31</t>
  </si>
  <si>
    <t>Latitude 32</t>
  </si>
  <si>
    <t>Latitude 33</t>
  </si>
  <si>
    <t>Latitude 34</t>
  </si>
  <si>
    <t>Latitude 35</t>
  </si>
  <si>
    <t>Latitude 36</t>
  </si>
  <si>
    <t>Latitude 37</t>
  </si>
  <si>
    <t>Latitude 38</t>
  </si>
  <si>
    <t>Latitude 39</t>
  </si>
  <si>
    <t>Latitude 40</t>
  </si>
  <si>
    <t>Latitude 41</t>
  </si>
  <si>
    <t>Latitude 42</t>
  </si>
  <si>
    <t>Latitude 43</t>
  </si>
  <si>
    <t>Latitude 44</t>
  </si>
  <si>
    <t xml:space="preserve"> EMD (ENERGIA MÉDIA DIÁRIA) KWh</t>
  </si>
  <si>
    <t>CUSTO DE DISPONIBILIDADE KWh</t>
  </si>
  <si>
    <t>EMM(ENERGIA MÉDIA MENSAL) KWh</t>
  </si>
  <si>
    <t xml:space="preserve">FABRICANTE INVERSOR </t>
  </si>
  <si>
    <t>FABRICANTE MÓDULO</t>
  </si>
  <si>
    <t xml:space="preserve">Fabricante Módulos </t>
  </si>
  <si>
    <t xml:space="preserve">Fabricante Inversor </t>
  </si>
  <si>
    <t>Pmáx (W)</t>
  </si>
  <si>
    <t xml:space="preserve">Eficiência </t>
  </si>
  <si>
    <t>Tº/ºC Pmax</t>
  </si>
  <si>
    <t>Tº/ºC Voc</t>
  </si>
  <si>
    <t>Tº/ºC Isc</t>
  </si>
  <si>
    <t xml:space="preserve">Dimensão </t>
  </si>
  <si>
    <t>Vmp(V)</t>
  </si>
  <si>
    <t>Imp(A)</t>
  </si>
  <si>
    <t>Voc(V)</t>
  </si>
  <si>
    <t>Isc(A)</t>
  </si>
  <si>
    <t xml:space="preserve">Fabricante Módulo </t>
  </si>
  <si>
    <t>Potência Módulo(Wp)</t>
  </si>
  <si>
    <t>Potencia Modulo (Wp)</t>
  </si>
  <si>
    <t xml:space="preserve">Módulo escolhido </t>
  </si>
  <si>
    <t>Canadian</t>
  </si>
  <si>
    <t xml:space="preserve">Pmáx (W) corrigido </t>
  </si>
  <si>
    <t xml:space="preserve">Isc(A) corrigido </t>
  </si>
  <si>
    <t>Temperatura Média Local (°C)</t>
  </si>
  <si>
    <t>Voc(V) corrigido</t>
  </si>
  <si>
    <t>POTENCIA DE PICO (KWp)</t>
  </si>
  <si>
    <t>HSP CORRIGIDO (KWH/M^2.DIA)</t>
  </si>
  <si>
    <t>POTENCIA NOMINAL INVERSOR  (KWp)</t>
  </si>
  <si>
    <t xml:space="preserve">DADOS INVERSOR </t>
  </si>
  <si>
    <t xml:space="preserve">FABRICANTE </t>
  </si>
  <si>
    <t xml:space="preserve">Fabricante  Inversor </t>
  </si>
  <si>
    <t>Faixa de Operação MPPT</t>
  </si>
  <si>
    <t>Tensão CC de Partida (V)</t>
  </si>
  <si>
    <t xml:space="preserve">Conexão CA </t>
  </si>
  <si>
    <t>80-450</t>
  </si>
  <si>
    <t>125-550</t>
  </si>
  <si>
    <t>PHB</t>
  </si>
  <si>
    <t xml:space="preserve">Posicionamento do Telhado </t>
  </si>
  <si>
    <t>1% - 20%</t>
  </si>
  <si>
    <t>1% - 15%</t>
  </si>
  <si>
    <t xml:space="preserve">NÚMERO DE MÓDULOS </t>
  </si>
  <si>
    <t xml:space="preserve">QUANTIDADE DE MÓDULOS </t>
  </si>
  <si>
    <t xml:space="preserve">QTD. MÍNI MA MÓDULOS EM SÉRIE </t>
  </si>
  <si>
    <t xml:space="preserve">QTD. MÁX MÓDULOS EM SÉRIE </t>
  </si>
  <si>
    <t>QTD. MÁX MODULOS EM PARALELO</t>
  </si>
  <si>
    <t>POTENCIA DE PICO REAL  (KWp)</t>
  </si>
  <si>
    <t xml:space="preserve">Valor Presente </t>
  </si>
  <si>
    <t xml:space="preserve">Valor presente Acumulado </t>
  </si>
  <si>
    <t>Soma dos VPs( Ano 1 ao 25)</t>
  </si>
  <si>
    <t xml:space="preserve">VPL do Projeto </t>
  </si>
  <si>
    <t xml:space="preserve">Taxa de Lucratividade </t>
  </si>
  <si>
    <t xml:space="preserve">DESCONTO APLICADO </t>
  </si>
  <si>
    <t>ENERGIA MÉDIA DIÁRIA ( KWh/dia)</t>
  </si>
  <si>
    <t>NÚMERO DE MÓDULOS ESCOLHIDO</t>
  </si>
  <si>
    <t>MÉDIA DA POTÊNCIAL ANUAL (KWh)</t>
  </si>
  <si>
    <t xml:space="preserve">CONSUMO BAIXA TENSÃO </t>
  </si>
  <si>
    <t>ROI</t>
  </si>
  <si>
    <t>Kwp</t>
  </si>
  <si>
    <t>Growatt</t>
  </si>
  <si>
    <t>50-500</t>
  </si>
  <si>
    <t>65-550</t>
  </si>
  <si>
    <t xml:space="preserve">Modelo Inversor </t>
  </si>
  <si>
    <t>Nº MPPT</t>
  </si>
  <si>
    <t xml:space="preserve"> </t>
  </si>
  <si>
    <t xml:space="preserve">Numero de Strings </t>
  </si>
  <si>
    <t>Numero de Fases</t>
  </si>
  <si>
    <t xml:space="preserve">Tipo de Inversor </t>
  </si>
  <si>
    <t>1S</t>
  </si>
  <si>
    <t>Fronius</t>
  </si>
  <si>
    <t>3S</t>
  </si>
  <si>
    <t>Inversor</t>
  </si>
  <si>
    <t>Eficiência</t>
  </si>
  <si>
    <t>PHB3000-NS</t>
  </si>
  <si>
    <t>PHB5000D-NS</t>
  </si>
  <si>
    <t>FroniusPrimo3.0-1</t>
  </si>
  <si>
    <t>FroniusPrimo4.0-1</t>
  </si>
  <si>
    <t>FroniusPrimo4.6-1</t>
  </si>
  <si>
    <t>FroniusPrimo5.0-1</t>
  </si>
  <si>
    <t>FroniusPrimo6.0-1</t>
  </si>
  <si>
    <t>FroniusPrimo8.2-1</t>
  </si>
  <si>
    <t>Huawei</t>
  </si>
  <si>
    <t>MIC1000TL-X</t>
  </si>
  <si>
    <t>MIC1500TL-X</t>
  </si>
  <si>
    <t>MIC2000TL-X</t>
  </si>
  <si>
    <t>MIC2500TL-X</t>
  </si>
  <si>
    <t>MIC3000TL-X</t>
  </si>
  <si>
    <t>2S</t>
  </si>
  <si>
    <t>Bifasico</t>
  </si>
  <si>
    <t>Nº de String's</t>
  </si>
  <si>
    <t xml:space="preserve">ID do Inversor </t>
  </si>
  <si>
    <t xml:space="preserve">ID do módulo </t>
  </si>
  <si>
    <t>MIN2500TL-X</t>
  </si>
  <si>
    <t>60-500</t>
  </si>
  <si>
    <t>60-550</t>
  </si>
  <si>
    <t>MIN3600TL-X</t>
  </si>
  <si>
    <t>MIN4200TL-X</t>
  </si>
  <si>
    <t>MIN4600TL-X</t>
  </si>
  <si>
    <t>MIN5000TL-X</t>
  </si>
  <si>
    <t>MIN6000TL-X</t>
  </si>
  <si>
    <t>MIN3000TL-X</t>
  </si>
  <si>
    <t>MIN7000TL-X(E)</t>
  </si>
  <si>
    <t>MIN8000TL-X(E)</t>
  </si>
  <si>
    <t>MIN9000TL-X(E)</t>
  </si>
  <si>
    <t>MIN10000TL-X(E)</t>
  </si>
  <si>
    <t>CSI-7KTL1P-GI-FL</t>
  </si>
  <si>
    <t>CSI-8KTL1P-GI-FL</t>
  </si>
  <si>
    <t>CSI-9KTL1P-GI-FL</t>
  </si>
  <si>
    <t>100-500</t>
  </si>
  <si>
    <t>CSI-3KTL1P-GI-FL</t>
  </si>
  <si>
    <t>CSI-4KTL1P-GI-FL</t>
  </si>
  <si>
    <t>CSI-5KTL1P-GI-FL</t>
  </si>
  <si>
    <t>80-500</t>
  </si>
  <si>
    <t>90-520</t>
  </si>
  <si>
    <t>160-850</t>
  </si>
  <si>
    <t xml:space="preserve">Trifasico </t>
  </si>
  <si>
    <t>CSI-15K-T400GL01-E</t>
  </si>
  <si>
    <t>CSI-20K-T400GL01-E</t>
  </si>
  <si>
    <t>SUN2000L-2KTL</t>
  </si>
  <si>
    <t>SUN2000L-3KTL</t>
  </si>
  <si>
    <t>SUN2000L-4KTL</t>
  </si>
  <si>
    <t>SUN2000L-5KTL</t>
  </si>
  <si>
    <t>120-480</t>
  </si>
  <si>
    <t>160-480</t>
  </si>
  <si>
    <t>210-480</t>
  </si>
  <si>
    <t>260-480</t>
  </si>
  <si>
    <t>Jinko</t>
  </si>
  <si>
    <t>Trifasico</t>
  </si>
  <si>
    <t xml:space="preserve">QUANTIDADE DE INVERSORES </t>
  </si>
  <si>
    <t>Dimensionamento CA</t>
  </si>
  <si>
    <t>Dimensionamento CC</t>
  </si>
  <si>
    <t>PHB1500-XS</t>
  </si>
  <si>
    <t>50-400</t>
  </si>
  <si>
    <t>270-800</t>
  </si>
  <si>
    <t>240-800</t>
  </si>
  <si>
    <t>210-800</t>
  </si>
  <si>
    <t>200-800</t>
  </si>
  <si>
    <t>50-450</t>
  </si>
  <si>
    <t>PHB780-XS</t>
  </si>
  <si>
    <t>PHB1800N-XS</t>
  </si>
  <si>
    <t>PHB2900D-NS</t>
  </si>
  <si>
    <t>Monofasico</t>
  </si>
  <si>
    <t>PHB6000D-NS</t>
  </si>
  <si>
    <t>80-550</t>
  </si>
  <si>
    <t>PHB8500-MS</t>
  </si>
  <si>
    <t>200-650</t>
  </si>
  <si>
    <t>PHB12KN-DT</t>
  </si>
  <si>
    <t>Celulás que NÃO podem ou devem ser mexidas</t>
  </si>
  <si>
    <t>Pmáx (Wp)</t>
  </si>
  <si>
    <t>Vmp (V)</t>
  </si>
  <si>
    <t>Imp (A)</t>
  </si>
  <si>
    <t>Voc (V)</t>
  </si>
  <si>
    <t>Isc (A)</t>
  </si>
  <si>
    <t>Células</t>
  </si>
  <si>
    <t>Estilo</t>
  </si>
  <si>
    <t>Peso (Kg)</t>
  </si>
  <si>
    <t>JKM410N-54HL4</t>
  </si>
  <si>
    <t>JKM415N-54HL4</t>
  </si>
  <si>
    <t>JKM420N-54HL4</t>
  </si>
  <si>
    <t>JKM425N-54HL4</t>
  </si>
  <si>
    <t>JKM430N-54HL4</t>
  </si>
  <si>
    <t>JKM460N-60HL4</t>
  </si>
  <si>
    <t>JKM465N-60HL4</t>
  </si>
  <si>
    <t>JKM470N-60HL4</t>
  </si>
  <si>
    <t>JKM475N-60HL4</t>
  </si>
  <si>
    <t>JKM480N-60HL4</t>
  </si>
  <si>
    <t>JKM555N-72HL4</t>
  </si>
  <si>
    <t>JKM560N-72HL4</t>
  </si>
  <si>
    <t>JKM565N-72HL4</t>
  </si>
  <si>
    <t>JKM570N-72HL4</t>
  </si>
  <si>
    <t>JKM575N-72HL4</t>
  </si>
  <si>
    <t>UNIDADES CONSUMIDORAS BT</t>
  </si>
  <si>
    <t>ÁREA DISPONÍVEL M²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</si>
  <si>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</si>
  <si>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</si>
  <si>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</si>
  <si>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</si>
  <si>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</si>
  <si>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</si>
  <si>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</si>
  <si>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</si>
  <si>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</si>
  <si>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</si>
  <si>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</si>
  <si>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</si>
  <si>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JKM595N-78HL4</t>
  </si>
  <si>
    <t>JKM600N-78HL4</t>
  </si>
  <si>
    <t>JKM605N-78HL4</t>
  </si>
  <si>
    <t>JKM610N-78HL4</t>
  </si>
  <si>
    <t>JKM615N-78HL4</t>
  </si>
  <si>
    <t>JAM60S10-330/MR</t>
  </si>
  <si>
    <t>JAM60S10-335/MR</t>
  </si>
  <si>
    <t>JAM60S10-340/MR</t>
  </si>
  <si>
    <t>JAM60S10-345/MR</t>
  </si>
  <si>
    <t>JAM60S10-350/MR</t>
  </si>
  <si>
    <t>JAM72S10-400/MR</t>
  </si>
  <si>
    <t>JAM72S10-405/MR</t>
  </si>
  <si>
    <t>JAM72S10-410/MR</t>
  </si>
  <si>
    <t>JAM72S10-415/MR</t>
  </si>
  <si>
    <t>JAM72S10-420/MR</t>
  </si>
  <si>
    <t>JAM72S30-525/MR</t>
  </si>
  <si>
    <t>JAM72S20-445/MR</t>
  </si>
  <si>
    <t>JAM72S20-450/MR</t>
  </si>
  <si>
    <t>JAM72S20-455/MR</t>
  </si>
  <si>
    <t>JAM72S20-460/MR</t>
  </si>
  <si>
    <t>JAM72S20-465/MR</t>
  </si>
  <si>
    <t>JAM72S20-470/MR</t>
  </si>
  <si>
    <t>Módulo</t>
  </si>
  <si>
    <t>JAM72S30-530/MR</t>
  </si>
  <si>
    <t>JAM72S30-535/MR</t>
  </si>
  <si>
    <t>JAM72S30-540/MR</t>
  </si>
  <si>
    <t>JAM72S30-545/MR</t>
  </si>
  <si>
    <t>JAM72S30-550/MR</t>
  </si>
  <si>
    <t>Largura (mm)</t>
  </si>
  <si>
    <t>Espessura (mm)</t>
  </si>
  <si>
    <t>Altura (mm)</t>
  </si>
  <si>
    <t>Tipo de Células</t>
  </si>
  <si>
    <t>Mono</t>
  </si>
  <si>
    <t>Tecnologia</t>
  </si>
  <si>
    <t>Halfcell</t>
  </si>
  <si>
    <t>Modelo do Módulo</t>
  </si>
  <si>
    <t>Eficiência (%)</t>
  </si>
  <si>
    <t>Peso por Módulo (Kg)</t>
  </si>
  <si>
    <t>Área (m²)</t>
  </si>
  <si>
    <t>Área Ocupada por Módulo (m²)</t>
  </si>
  <si>
    <t xml:space="preserve">BANDEIRA TARIFÁRIA </t>
  </si>
  <si>
    <t>Máxima Tensão em CC MPPT (V)</t>
  </si>
  <si>
    <t>Modelo Inversor</t>
  </si>
  <si>
    <t>Tensão de Partida CC (V)</t>
  </si>
  <si>
    <t>Entrada Imp (A)</t>
  </si>
  <si>
    <t>Conexão CA</t>
  </si>
  <si>
    <t>Modelo Modulos</t>
  </si>
  <si>
    <t>Validade Prosposta</t>
  </si>
  <si>
    <t>Estimativa consumo mês</t>
  </si>
  <si>
    <t xml:space="preserve">Tipo Telhado </t>
  </si>
  <si>
    <t>Tamanho Sistema</t>
  </si>
  <si>
    <t>QTD Inversores:</t>
  </si>
  <si>
    <t>Modelo Inversores</t>
  </si>
  <si>
    <t>Testeeee</t>
  </si>
  <si>
    <t>Seu gasto de energia saira de 1</t>
  </si>
  <si>
    <t>Seu gasto de energia saira de 2</t>
  </si>
  <si>
    <t>CLIENTE</t>
  </si>
  <si>
    <t>VENDEDOR</t>
  </si>
  <si>
    <t>TELEFONE CLIENTE</t>
  </si>
  <si>
    <t>TELEFONE VENDEDOR</t>
  </si>
  <si>
    <t>E-mail VENDEDOR</t>
  </si>
  <si>
    <t>TIPO DE TELHADO</t>
  </si>
  <si>
    <t>Telhado</t>
  </si>
  <si>
    <t>Modelo Módulos</t>
  </si>
  <si>
    <t>QTD MODULOS</t>
  </si>
  <si>
    <t>NOME EMPRESA</t>
  </si>
  <si>
    <t>NOME CLIENTE</t>
  </si>
  <si>
    <t>NOME VENDEDOR</t>
  </si>
  <si>
    <t>TEL VENDEDOR</t>
  </si>
  <si>
    <t>VALIDADE PROPOSTA</t>
  </si>
  <si>
    <t>EMAIL VENDEDOR</t>
  </si>
  <si>
    <t>TIPO TELHADO</t>
  </si>
  <si>
    <t>FABRICANTE MODULOS</t>
  </si>
  <si>
    <t>MODELO MODULOS</t>
  </si>
  <si>
    <t>ESTRUTURA FIXACAO</t>
  </si>
  <si>
    <t>FABRICANTE INVERSOR</t>
  </si>
  <si>
    <t>MODELO INVERSOR</t>
  </si>
  <si>
    <t>QTD INVERSOR</t>
  </si>
  <si>
    <t>ESTIMATIVA CONSUMO MÊS</t>
  </si>
  <si>
    <t>TAMANHO SISTEMA</t>
  </si>
  <si>
    <t>ELE TE ECONOMIZARA</t>
  </si>
  <si>
    <t>PELO INVESTIMENTO DE</t>
  </si>
  <si>
    <t>PAYBACK</t>
  </si>
  <si>
    <t>SEU GASTO DE ENERGIA SAIRA1</t>
  </si>
  <si>
    <t>SEU GASTO DE ENERGIA SAIRA2</t>
  </si>
  <si>
    <t>AREA OCUPADA</t>
  </si>
  <si>
    <t>FATOR SIMULTANEIDADE CONSUMIDO</t>
  </si>
  <si>
    <t>FATOR SIMULTANEIDADE INJETADO</t>
  </si>
  <si>
    <t>TARIFA COM IMPOSTO</t>
  </si>
  <si>
    <t>DEGRADACAO ANO</t>
  </si>
  <si>
    <t>REAJUSTE TARIFA</t>
  </si>
  <si>
    <t>GERACAO ANO</t>
  </si>
  <si>
    <t>Degradação Anual</t>
  </si>
  <si>
    <t>DANIG Engenharia</t>
  </si>
  <si>
    <t>SEU RETORNO E DE (%)</t>
  </si>
  <si>
    <t>POTENCIA MODULO</t>
  </si>
  <si>
    <t>POTENCIA INVERSOR</t>
  </si>
  <si>
    <t>GERAÇÃO (kW)</t>
  </si>
  <si>
    <t>PÔTENCIA NOMINAL INVERSOR (kW)</t>
  </si>
  <si>
    <t>POTÊNCIA DE PICO  ( kWp)</t>
  </si>
  <si>
    <t>EMM ( ENERGIA MÉDIA MENSAL kWH)</t>
  </si>
  <si>
    <t>POTÊNCIA ESCOLHIDA (kWh)</t>
  </si>
  <si>
    <t>DEMANDA NECESSÁRIA (kWh)</t>
  </si>
  <si>
    <t>Quantidade Inversores</t>
  </si>
  <si>
    <t>Peso total (kg)</t>
  </si>
  <si>
    <t>Inversor/MicroInversor</t>
  </si>
  <si>
    <t>Tipo</t>
  </si>
  <si>
    <t>Potência do Sistema (kWp)</t>
  </si>
  <si>
    <t>Potência Inversor (kW)</t>
  </si>
  <si>
    <t>Potencia Nominal CA (kW)</t>
  </si>
  <si>
    <t>Potencia CA Nominal (kW)</t>
  </si>
  <si>
    <t>MicroInversor</t>
  </si>
  <si>
    <t>QS1A</t>
  </si>
  <si>
    <t>30-52</t>
  </si>
  <si>
    <t>Faixa de Operação MPPT (V)</t>
  </si>
  <si>
    <t>Corrente de Saída CA (A)</t>
  </si>
  <si>
    <t>4S</t>
  </si>
  <si>
    <t>APSystems</t>
  </si>
  <si>
    <t>Payback Cliente Anual</t>
  </si>
  <si>
    <t>PIS (%)</t>
  </si>
  <si>
    <t>COFINS (%)</t>
  </si>
  <si>
    <t>ICMS (%)</t>
  </si>
  <si>
    <t>Deye</t>
  </si>
  <si>
    <t>Sun2000G3-US-220</t>
  </si>
  <si>
    <t>25-55</t>
  </si>
  <si>
    <t>Corrente Máx Inversor CC (A)</t>
  </si>
  <si>
    <t>Corrente Máx Inversor CA (A)</t>
  </si>
  <si>
    <t>Faixa Tensão de Saída CA (V)</t>
  </si>
  <si>
    <t>166,4 - 279,4</t>
  </si>
  <si>
    <t>92 - 139,7</t>
  </si>
  <si>
    <t>176 - 242</t>
  </si>
  <si>
    <t>180 - 270</t>
  </si>
  <si>
    <t xml:space="preserve">TIPO DE INSTALAÇÃO </t>
  </si>
  <si>
    <t xml:space="preserve">ANGULAÇÃO DO TELHADO </t>
  </si>
  <si>
    <t>TARIFA TUSD BT C/ IMPOSTO</t>
  </si>
  <si>
    <t>BASE DE CALCULO</t>
  </si>
  <si>
    <t>ADIC.BANDEIRA TARIFÁRIA</t>
  </si>
  <si>
    <t>JKM450N-54HL4</t>
  </si>
  <si>
    <t>160 - 300</t>
  </si>
  <si>
    <t>JKM540M-72HL4</t>
  </si>
  <si>
    <t>Preço Médio Serviços de Integração</t>
  </si>
  <si>
    <t>Estudo Greener (2021)</t>
  </si>
  <si>
    <t>Preço</t>
  </si>
  <si>
    <t>Marca</t>
  </si>
  <si>
    <t>Quantidade</t>
  </si>
  <si>
    <t>Potência (W)</t>
  </si>
  <si>
    <t>Área Total (m²)</t>
  </si>
  <si>
    <t>Quantidade Máx. Série</t>
  </si>
  <si>
    <t>Marca do Módulo</t>
  </si>
  <si>
    <t>Resumo Geral</t>
  </si>
  <si>
    <t>Tipo de Telhado</t>
  </si>
  <si>
    <t>Área Disponível (m²)</t>
  </si>
  <si>
    <t>Resumo dos Módulos</t>
  </si>
  <si>
    <t>Resumo do Inversor</t>
  </si>
  <si>
    <t>Potência Nominal (kWp)</t>
  </si>
  <si>
    <t>Faixa de Tensão CC (V)</t>
  </si>
  <si>
    <t>Tipo de Conexão</t>
  </si>
  <si>
    <t>Número de Strings</t>
  </si>
  <si>
    <t>Faixa de Tensão CA (V)</t>
  </si>
  <si>
    <t>Fusível CC por String (A)</t>
  </si>
  <si>
    <t>Corrente Disjuntor CA (A)</t>
  </si>
  <si>
    <t>Disjuntor Escolhido CA (A)</t>
  </si>
  <si>
    <t>Cabo Escolhido CA (mm²)</t>
  </si>
  <si>
    <t>Corrente Nominal por String (A)</t>
  </si>
  <si>
    <t>Cabo Escolhido  CC por String (mm²)</t>
  </si>
  <si>
    <t>Cabo CA (mm²)</t>
  </si>
  <si>
    <t>Disjuntor CA (A)</t>
  </si>
  <si>
    <t>Proteções</t>
  </si>
  <si>
    <t>Cabo CC por String (mm²)</t>
  </si>
  <si>
    <t>Corrente de Entrada CC por MPPT (A)</t>
  </si>
  <si>
    <t>CONSUMO SEM ADIÇÃO (kWh)</t>
  </si>
  <si>
    <t>CONSUMO (kWh)</t>
  </si>
  <si>
    <t>MÃO DE OBRA TERCEIRA</t>
  </si>
  <si>
    <t>Potência Nominal do Inversor (kWp)</t>
  </si>
  <si>
    <t>MID20KTL3-XL</t>
  </si>
  <si>
    <t>200-850</t>
  </si>
  <si>
    <t>110-220</t>
  </si>
  <si>
    <t>MAC36KTL3-XL</t>
  </si>
  <si>
    <t>200-1000</t>
  </si>
  <si>
    <t xml:space="preserve">Observações </t>
  </si>
  <si>
    <t>MAX75KTL3-LV</t>
  </si>
  <si>
    <t>220/380</t>
  </si>
  <si>
    <t>7S</t>
  </si>
  <si>
    <t>.</t>
  </si>
  <si>
    <t>MID15KTL3-XL</t>
  </si>
  <si>
    <t xml:space="preserve">CUSTO VIAGEM </t>
  </si>
  <si>
    <t>ELETRODUTO</t>
  </si>
  <si>
    <t xml:space="preserve">PORCENTAGEM DO SISTEMA </t>
  </si>
  <si>
    <t xml:space="preserve">1 inversor de 75KWp para homologação de microgeração sendo que na aldo é de 91,8kwp codigo 158019-6 , sendo um transformador com 125kva PARA ESTE INVERSOR </t>
  </si>
  <si>
    <t>ZXM7-SPLD144-525</t>
  </si>
  <si>
    <t>ZXM7-SPLD144-530</t>
  </si>
  <si>
    <t>ZXM7-SPLD144-535</t>
  </si>
  <si>
    <t>ZXM7-SPLD144-540</t>
  </si>
  <si>
    <t>ZXM7-SPLD144-545</t>
  </si>
  <si>
    <t>ZXM7-SPLD144-550</t>
  </si>
  <si>
    <t>ZNShine</t>
  </si>
  <si>
    <t>ENDEREÇO</t>
  </si>
  <si>
    <t>CEP</t>
  </si>
  <si>
    <t>Nome da Distribuidora</t>
  </si>
  <si>
    <t>TOTAL COM DESCONTO APLICADO</t>
  </si>
  <si>
    <t>JA Solar</t>
  </si>
  <si>
    <t>ALDO</t>
  </si>
  <si>
    <t>Parcela com desconto</t>
  </si>
  <si>
    <t>12 vezes</t>
  </si>
  <si>
    <t>48 vezes</t>
  </si>
  <si>
    <t>60 vezes</t>
  </si>
  <si>
    <t xml:space="preserve">120 vezes </t>
  </si>
  <si>
    <t xml:space="preserve">150 vezes </t>
  </si>
  <si>
    <t>JKM550N-72HL4</t>
  </si>
  <si>
    <t>Quantidade de Inversores</t>
  </si>
  <si>
    <t>Hoymiles</t>
  </si>
  <si>
    <t>16-60</t>
  </si>
  <si>
    <t xml:space="preserve">  </t>
  </si>
  <si>
    <t>HMS-1800-4T</t>
  </si>
  <si>
    <t>HMS-2000-4T</t>
  </si>
  <si>
    <t>DADOS DE 2022</t>
  </si>
  <si>
    <t>ANO DE IMPLEMENTAÇÃO DO SISTEMA</t>
  </si>
  <si>
    <t>POTENCIA DO SISTEMA COM PERDAS kWp</t>
  </si>
  <si>
    <t>POTÊNCIA DO SISTEMA COM PERDAS kWp</t>
  </si>
  <si>
    <t>POTÊNCIA TOTAL kWp</t>
  </si>
  <si>
    <t>ANO</t>
  </si>
  <si>
    <t>PORCENTAGEM DA TAXAÇÃO</t>
  </si>
  <si>
    <t>Link para obter as tarifas do fio B das concessionárias</t>
  </si>
  <si>
    <t>Link: https://portalrelatorios.aneel.gov.br/luznatarifa/basestarifas#!</t>
  </si>
  <si>
    <t>TUSD_FIOB (kWh)</t>
  </si>
  <si>
    <t>Instruções: Clicar em "componentes tarifárias" ao lado esquerdo e ir filtrando conforme a distribuidora e a componente tarifária que seria "TUSD_FioB". Filtrar o Power BI conforme imagem abaixo para ter os valores da tarifa de aplicação de cada concessionária.</t>
  </si>
  <si>
    <t xml:space="preserve">CONCESSIONÁRIA SELECIONADA: </t>
  </si>
  <si>
    <t>ADICI.BANDEIRA TARIFARIA</t>
  </si>
  <si>
    <t>TARIFA ENERGIA INJETADA</t>
  </si>
  <si>
    <t>TAXA DISPONIBILIDADE BT</t>
  </si>
  <si>
    <t>CUSTO DE DISPONIBILIDADE</t>
  </si>
  <si>
    <t>VALOR CONSUMO DA REDE:</t>
  </si>
  <si>
    <t>CUSTO DE DISPONIBILIDADE:</t>
  </si>
  <si>
    <t>VALOR PAGO PELO FIO B POR kWh</t>
  </si>
  <si>
    <t>TARIFA TUSD_FIO B INJETADA</t>
  </si>
  <si>
    <t>BANDEIRA TARIFÁRIA</t>
  </si>
  <si>
    <t>TRIFASICO</t>
  </si>
  <si>
    <t>TOTAL FATURA C/GERAÇÃO FV</t>
  </si>
  <si>
    <t>PROJETO+HOMOLOGAÇÃO</t>
  </si>
  <si>
    <t>STRING BOX CC</t>
  </si>
  <si>
    <t>MATERIAL CA</t>
  </si>
  <si>
    <t>ESTRUTURA COBERTURA</t>
  </si>
  <si>
    <t>TIPO DE SISTEMA</t>
  </si>
  <si>
    <t xml:space="preserve">LUCRO  </t>
  </si>
  <si>
    <t>PAINEL DE PROTEÇÃO CA</t>
  </si>
  <si>
    <t>TARIFA</t>
  </si>
  <si>
    <t>ICMS:</t>
  </si>
  <si>
    <t>CONSTANTE DE ESCASSEZ HÍDRICA:</t>
  </si>
  <si>
    <t>ILUMINAÇÃO PÚBLICA</t>
  </si>
  <si>
    <t>TOTAL ECONOMIA MÊS</t>
  </si>
  <si>
    <t>MÉDIA DE ECONOMIA ANUAL</t>
  </si>
  <si>
    <t>Verde</t>
  </si>
  <si>
    <t>PORCENTAGEM DO SISTEMA</t>
  </si>
  <si>
    <t>Hortifruti Nações</t>
  </si>
  <si>
    <t>Fabio</t>
  </si>
  <si>
    <t>comercial@danigengenharia.com.br</t>
  </si>
  <si>
    <t>Telha Metálica Trapezoidal</t>
  </si>
  <si>
    <t>Avenida das Nações, 2171</t>
  </si>
  <si>
    <t>09271-000</t>
  </si>
  <si>
    <t>Oeste</t>
  </si>
  <si>
    <t>Solo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</si>
</sst>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_-;\-* #,##0.00_-;_-* &quot;-&quot;??_-;_-@"/>
    <numFmt numFmtId="165" formatCode="0.0"/>
    <numFmt numFmtId="166" formatCode="#,000"/>
    <numFmt numFmtId="167" formatCode="_-&quot;R$&quot;* #,##0.00_-;\-&quot;R$&quot;* #,##0.00_-;_-&quot;R$&quot;* &quot;-&quot;??_-;_-@"/>
    <numFmt numFmtId="168" formatCode="[$-416]mmm\-yy"/>
    <numFmt numFmtId="169" formatCode="_(&quot;R$&quot;* #,##0.00_);_(&quot;R$&quot;* \(#,##0.00\);_(&quot;R$&quot;* &quot;-&quot;??_);_(@_)"/>
    <numFmt numFmtId="170" formatCode="_-&quot;R$&quot;\ * #,##0_-;\-&quot;R$&quot;\ * #,##0_-;_-&quot;R$&quot;\ * &quot;-&quot;??_-;_-@_-"/>
    <numFmt numFmtId="171" formatCode="_-&quot;R$&quot;\ * #,##0.00000_-;\-&quot;R$&quot;\ * #,##0.00000_-;_-&quot;R$&quot;\ * &quot;-&quot;??_-;_-@_-"/>
    <numFmt numFmtId="172" formatCode="0.0%"/>
    <numFmt numFmtId="173" formatCode="_-&quot;R$&quot;\ * #,##0.00000_-;\-&quot;R$&quot;\ * #,##0.00000_-;_-&quot;R$&quot;\ * &quot;-&quot;?????_-;_-@_-"/>
    <numFmt numFmtId="174" formatCode="_-&quot;R$&quot;\ * #,##0.000000_-;\-&quot;R$&quot;\ * #,##0.000000_-;_-&quot;R$&quot;\ * &quot;-&quot;??_-;_-@_-"/>
    <numFmt numFmtId="175" formatCode="0.000000000"/>
    <numFmt numFmtId="176" formatCode="0.000%"/>
    <numFmt numFmtId="177" formatCode="&quot;R$&quot;\ #,##0.00"/>
    <numFmt numFmtId="178" formatCode="0.000"/>
    <numFmt numFmtId="179" formatCode="0.0000"/>
    <numFmt numFmtId="180" formatCode="&quot;R$&quot;\ #,##0.00000"/>
    <numFmt numFmtId="181" formatCode="&quot;R$&quot;\ #,##0.0000"/>
    <numFmt numFmtId="182" formatCode="#,##0.0"/>
    <numFmt numFmtId="183" formatCode="#,##0.000"/>
  </numFmts>
  <fonts count="66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147541"/>
      <name val="Calibri"/>
      <family val="2"/>
    </font>
    <font>
      <b/>
      <sz val="11"/>
      <color rgb="FF14754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4"/>
      <color theme="0"/>
      <name val="Calibri"/>
      <family val="2"/>
    </font>
    <font>
      <b/>
      <sz val="12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</font>
    <font>
      <sz val="16"/>
      <color rgb="FF333333"/>
      <name val="Helvetica Neue"/>
      <family val="2"/>
    </font>
    <font>
      <b/>
      <sz val="16"/>
      <color rgb="FF333333"/>
      <name val="Helvetica Neue"/>
      <family val="2"/>
    </font>
    <font>
      <b/>
      <sz val="11"/>
      <color theme="0"/>
      <name val="Calibri (Corpo)"/>
    </font>
    <font>
      <b/>
      <sz val="11"/>
      <color theme="1"/>
      <name val="Calibri (Corpo)"/>
    </font>
    <font>
      <b/>
      <sz val="24"/>
      <color theme="1"/>
      <name val="Calibri"/>
      <family val="2"/>
    </font>
    <font>
      <sz val="11"/>
      <color theme="1"/>
      <name val="Calibri (Corpo)"/>
    </font>
    <font>
      <sz val="12"/>
      <color rgb="FF898989"/>
      <name val="Trebuchet MS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sz val="12"/>
      <color theme="0"/>
      <name val="Calibri"/>
      <family val="2"/>
      <scheme val="minor"/>
    </font>
    <font>
      <sz val="8"/>
      <color rgb="FF000000"/>
      <name val="Arial"/>
      <family val="2"/>
    </font>
    <font>
      <sz val="9"/>
      <color rgb="FF000000"/>
      <name val="Helvetica Neue"/>
    </font>
    <font>
      <sz val="8"/>
      <color rgb="FF000000"/>
      <name val="Helvetica Neue"/>
    </font>
    <font>
      <sz val="10"/>
      <color rgb="FF000000"/>
      <name val="Helvetica Neue"/>
    </font>
    <font>
      <b/>
      <sz val="11"/>
      <name val="Calibri"/>
      <family val="2"/>
    </font>
    <font>
      <b/>
      <sz val="10"/>
      <color theme="0"/>
      <name val="Arial"/>
      <family val="2"/>
    </font>
    <font>
      <b/>
      <sz val="10"/>
      <color rgb="FFF0F0F4"/>
      <name val="Arial"/>
      <family val="2"/>
    </font>
    <font>
      <b/>
      <sz val="48"/>
      <color rgb="FF000000"/>
      <name val="Calibri"/>
      <family val="2"/>
    </font>
    <font>
      <b/>
      <i/>
      <sz val="18"/>
      <color rgb="FFF0F0F4"/>
      <name val="Calibri"/>
      <family val="2"/>
    </font>
    <font>
      <b/>
      <i/>
      <sz val="18"/>
      <color theme="0"/>
      <name val="Calibri"/>
      <family val="2"/>
    </font>
    <font>
      <b/>
      <i/>
      <sz val="16"/>
      <color theme="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Raleway"/>
    </font>
    <font>
      <sz val="8"/>
      <name val="Calibri"/>
    </font>
    <font>
      <b/>
      <sz val="12"/>
      <color theme="1"/>
      <name val="Calibri"/>
      <family val="2"/>
      <scheme val="minor"/>
    </font>
    <font>
      <b/>
      <sz val="14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u/>
      <sz val="11"/>
      <color rgb="FFFF0000"/>
      <name val="Calibri"/>
      <family val="2"/>
    </font>
    <font>
      <b/>
      <sz val="14"/>
      <color rgb="FFFF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147541"/>
      </patternFill>
    </fill>
    <fill>
      <patternFill patternType="solid">
        <fgColor theme="0"/>
        <bgColor indexed="64"/>
      </patternFill>
    </fill>
    <fill>
      <patternFill patternType="solid">
        <fgColor rgb="FF096543"/>
        <bgColor indexed="64"/>
      </patternFill>
    </fill>
    <fill>
      <patternFill patternType="solid">
        <fgColor rgb="FF096543"/>
        <bgColor rgb="FF5B9BD5"/>
      </patternFill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92B52"/>
        <bgColor indexed="64"/>
      </patternFill>
    </fill>
    <fill>
      <patternFill patternType="solid">
        <fgColor rgb="FFFC5E0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5E01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E4B2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81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/>
      <right style="thick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indexed="64"/>
      </top>
      <bottom/>
      <diagonal/>
    </border>
    <border>
      <left style="medium">
        <color rgb="FFCCCCCC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CCCCCC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9">
    <xf numFmtId="0" fontId="0" fillId="0" borderId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7" fillId="0" borderId="1"/>
    <xf numFmtId="169" fontId="7" fillId="0" borderId="1" applyFont="0" applyFill="0" applyBorder="0" applyAlignment="0" applyProtection="0"/>
    <xf numFmtId="9" fontId="7" fillId="0" borderId="1" applyFont="0" applyFill="0" applyBorder="0" applyAlignment="0" applyProtection="0"/>
    <xf numFmtId="0" fontId="6" fillId="0" borderId="1"/>
    <xf numFmtId="44" fontId="6" fillId="0" borderId="1" applyFont="0" applyFill="0" applyBorder="0" applyAlignment="0" applyProtection="0"/>
    <xf numFmtId="0" fontId="43" fillId="0" borderId="1"/>
    <xf numFmtId="9" fontId="17" fillId="0" borderId="1" applyFont="0" applyFill="0" applyBorder="0" applyAlignment="0" applyProtection="0"/>
    <xf numFmtId="0" fontId="44" fillId="0" borderId="0" applyNumberFormat="0" applyFill="0" applyBorder="0" applyAlignment="0" applyProtection="0"/>
    <xf numFmtId="0" fontId="43" fillId="0" borderId="1"/>
    <xf numFmtId="44" fontId="17" fillId="0" borderId="1" applyFont="0" applyFill="0" applyBorder="0" applyAlignment="0" applyProtection="0"/>
    <xf numFmtId="0" fontId="3" fillId="0" borderId="1"/>
    <xf numFmtId="44" fontId="3" fillId="0" borderId="1" applyFont="0" applyFill="0" applyBorder="0" applyAlignment="0" applyProtection="0"/>
    <xf numFmtId="9" fontId="3" fillId="0" borderId="1" applyFont="0" applyFill="0" applyBorder="0" applyAlignment="0" applyProtection="0"/>
    <xf numFmtId="0" fontId="5" fillId="0" borderId="1"/>
    <xf numFmtId="44" fontId="5" fillId="0" borderId="1" applyFont="0" applyFill="0" applyBorder="0" applyAlignment="0" applyProtection="0"/>
    <xf numFmtId="0" fontId="44" fillId="0" borderId="1" applyNumberFormat="0" applyFill="0" applyBorder="0" applyAlignment="0" applyProtection="0"/>
  </cellStyleXfs>
  <cellXfs count="58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9" fillId="0" borderId="1" xfId="0" applyFont="1" applyBorder="1" applyProtection="1">
      <protection locked="0"/>
    </xf>
    <xf numFmtId="0" fontId="7" fillId="0" borderId="1" xfId="3"/>
    <xf numFmtId="3" fontId="7" fillId="0" borderId="1" xfId="3" applyNumberFormat="1"/>
    <xf numFmtId="2" fontId="7" fillId="0" borderId="1" xfId="3" applyNumberFormat="1"/>
    <xf numFmtId="0" fontId="17" fillId="0" borderId="1" xfId="0" applyFont="1" applyBorder="1"/>
    <xf numFmtId="0" fontId="6" fillId="0" borderId="1" xfId="6"/>
    <xf numFmtId="0" fontId="24" fillId="0" borderId="24" xfId="6" applyFont="1" applyBorder="1" applyAlignment="1">
      <alignment horizontal="center" vertical="center"/>
    </xf>
    <xf numFmtId="171" fontId="0" fillId="0" borderId="27" xfId="7" applyNumberFormat="1" applyFont="1" applyFill="1" applyBorder="1" applyAlignment="1">
      <alignment horizontal="center" vertical="center"/>
    </xf>
    <xf numFmtId="0" fontId="24" fillId="0" borderId="28" xfId="6" applyFont="1" applyBorder="1" applyAlignment="1">
      <alignment horizontal="center" vertical="center"/>
    </xf>
    <xf numFmtId="0" fontId="24" fillId="0" borderId="29" xfId="6" applyFont="1" applyBorder="1" applyAlignment="1">
      <alignment horizontal="center" vertical="center"/>
    </xf>
    <xf numFmtId="171" fontId="0" fillId="0" borderId="30" xfId="7" applyNumberFormat="1" applyFont="1" applyFill="1" applyBorder="1" applyAlignment="1">
      <alignment horizontal="center" vertical="center"/>
    </xf>
    <xf numFmtId="171" fontId="0" fillId="0" borderId="31" xfId="7" applyNumberFormat="1" applyFont="1" applyFill="1" applyBorder="1" applyAlignment="1">
      <alignment horizontal="center" vertical="center"/>
    </xf>
    <xf numFmtId="171" fontId="0" fillId="0" borderId="32" xfId="7" applyNumberFormat="1" applyFont="1" applyFill="1" applyBorder="1" applyAlignment="1">
      <alignment horizontal="center" vertical="center"/>
    </xf>
    <xf numFmtId="0" fontId="6" fillId="0" borderId="1" xfId="6" applyAlignment="1">
      <alignment horizontal="center" vertical="center"/>
    </xf>
    <xf numFmtId="0" fontId="31" fillId="0" borderId="28" xfId="6" applyFont="1" applyBorder="1" applyAlignment="1">
      <alignment horizontal="center" vertical="center"/>
    </xf>
    <xf numFmtId="44" fontId="31" fillId="0" borderId="28" xfId="7" applyFont="1" applyFill="1" applyBorder="1"/>
    <xf numFmtId="44" fontId="0" fillId="0" borderId="28" xfId="7" applyFont="1" applyFill="1" applyBorder="1"/>
    <xf numFmtId="0" fontId="31" fillId="0" borderId="35" xfId="6" applyFont="1" applyBorder="1" applyAlignment="1">
      <alignment horizontal="center" vertical="center"/>
    </xf>
    <xf numFmtId="44" fontId="31" fillId="0" borderId="35" xfId="7" applyFont="1" applyFill="1" applyBorder="1"/>
    <xf numFmtId="44" fontId="0" fillId="0" borderId="35" xfId="7" applyFont="1" applyFill="1" applyBorder="1"/>
    <xf numFmtId="0" fontId="33" fillId="0" borderId="0" xfId="0" applyFont="1"/>
    <xf numFmtId="0" fontId="34" fillId="0" borderId="0" xfId="0" applyFont="1"/>
    <xf numFmtId="0" fontId="24" fillId="0" borderId="1" xfId="6" applyFont="1" applyAlignment="1">
      <alignment horizontal="center" vertical="center"/>
    </xf>
    <xf numFmtId="0" fontId="39" fillId="0" borderId="0" xfId="0" applyFont="1"/>
    <xf numFmtId="171" fontId="0" fillId="5" borderId="17" xfId="1" applyNumberFormat="1" applyFont="1" applyFill="1" applyBorder="1" applyAlignment="1">
      <alignment horizontal="right" vertical="center"/>
    </xf>
    <xf numFmtId="171" fontId="0" fillId="0" borderId="54" xfId="7" applyNumberFormat="1" applyFont="1" applyFill="1" applyBorder="1" applyAlignment="1">
      <alignment horizontal="center" vertical="center"/>
    </xf>
    <xf numFmtId="171" fontId="0" fillId="0" borderId="57" xfId="7" applyNumberFormat="1" applyFont="1" applyFill="1" applyBorder="1" applyAlignment="1">
      <alignment horizontal="center" vertical="center"/>
    </xf>
    <xf numFmtId="171" fontId="0" fillId="0" borderId="28" xfId="7" applyNumberFormat="1" applyFont="1" applyFill="1" applyBorder="1" applyAlignment="1">
      <alignment horizontal="center" vertical="center"/>
    </xf>
    <xf numFmtId="0" fontId="24" fillId="0" borderId="58" xfId="6" applyFont="1" applyBorder="1" applyAlignment="1">
      <alignment horizontal="center" vertical="center"/>
    </xf>
    <xf numFmtId="171" fontId="0" fillId="0" borderId="47" xfId="7" applyNumberFormat="1" applyFont="1" applyFill="1" applyBorder="1" applyAlignment="1">
      <alignment horizontal="center" vertical="center"/>
    </xf>
    <xf numFmtId="171" fontId="0" fillId="0" borderId="36" xfId="7" applyNumberFormat="1" applyFont="1" applyFill="1" applyBorder="1" applyAlignment="1">
      <alignment horizontal="center" vertical="center"/>
    </xf>
    <xf numFmtId="171" fontId="0" fillId="0" borderId="58" xfId="7" applyNumberFormat="1" applyFont="1" applyFill="1" applyBorder="1" applyAlignment="1">
      <alignment horizontal="center" vertical="center"/>
    </xf>
    <xf numFmtId="0" fontId="0" fillId="0" borderId="1" xfId="8" applyFont="1"/>
    <xf numFmtId="3" fontId="0" fillId="0" borderId="1" xfId="8" applyNumberFormat="1" applyFont="1"/>
    <xf numFmtId="9" fontId="0" fillId="0" borderId="1" xfId="8" applyNumberFormat="1" applyFont="1"/>
    <xf numFmtId="44" fontId="0" fillId="0" borderId="1" xfId="8" applyNumberFormat="1" applyFont="1"/>
    <xf numFmtId="177" fontId="0" fillId="0" borderId="1" xfId="8" applyNumberFormat="1" applyFont="1"/>
    <xf numFmtId="9" fontId="0" fillId="0" borderId="1" xfId="9" applyFont="1" applyAlignment="1"/>
    <xf numFmtId="10" fontId="0" fillId="0" borderId="1" xfId="8" applyNumberFormat="1" applyFont="1"/>
    <xf numFmtId="2" fontId="0" fillId="0" borderId="1" xfId="8" applyNumberFormat="1" applyFont="1"/>
    <xf numFmtId="1" fontId="17" fillId="0" borderId="1" xfId="8" applyNumberFormat="1" applyFont="1"/>
    <xf numFmtId="0" fontId="14" fillId="0" borderId="1" xfId="8" applyFont="1"/>
    <xf numFmtId="0" fontId="19" fillId="11" borderId="0" xfId="0" applyFont="1" applyFill="1" applyAlignment="1">
      <alignment horizontal="center" vertical="center"/>
    </xf>
    <xf numFmtId="0" fontId="17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1" fontId="0" fillId="0" borderId="1" xfId="8" applyNumberFormat="1" applyFont="1"/>
    <xf numFmtId="44" fontId="17" fillId="0" borderId="17" xfId="0" applyNumberFormat="1" applyFont="1" applyBorder="1" applyAlignment="1">
      <alignment horizontal="center"/>
    </xf>
    <xf numFmtId="0" fontId="44" fillId="0" borderId="17" xfId="10" applyBorder="1" applyAlignment="1">
      <alignment horizontal="center"/>
    </xf>
    <xf numFmtId="10" fontId="17" fillId="0" borderId="17" xfId="0" applyNumberFormat="1" applyFont="1" applyBorder="1" applyAlignment="1">
      <alignment horizontal="center"/>
    </xf>
    <xf numFmtId="0" fontId="4" fillId="0" borderId="1" xfId="3" applyFont="1"/>
    <xf numFmtId="178" fontId="0" fillId="0" borderId="1" xfId="8" applyNumberFormat="1" applyFont="1"/>
    <xf numFmtId="17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7" fontId="17" fillId="0" borderId="17" xfId="0" applyNumberFormat="1" applyFont="1" applyBorder="1" applyAlignment="1">
      <alignment horizontal="center"/>
    </xf>
    <xf numFmtId="2" fontId="17" fillId="0" borderId="17" xfId="0" applyNumberFormat="1" applyFont="1" applyBorder="1" applyAlignment="1">
      <alignment horizontal="center"/>
    </xf>
    <xf numFmtId="9" fontId="0" fillId="0" borderId="17" xfId="0" applyNumberFormat="1" applyBorder="1" applyAlignment="1">
      <alignment horizontal="center"/>
    </xf>
    <xf numFmtId="44" fontId="0" fillId="0" borderId="17" xfId="0" applyNumberFormat="1" applyBorder="1" applyAlignment="1">
      <alignment horizontal="center"/>
    </xf>
    <xf numFmtId="0" fontId="17" fillId="0" borderId="60" xfId="0" applyFont="1" applyBorder="1" applyAlignment="1">
      <alignment wrapText="1"/>
    </xf>
    <xf numFmtId="0" fontId="17" fillId="0" borderId="60" xfId="0" applyFont="1" applyBorder="1" applyAlignment="1">
      <alignment horizontal="center" wrapText="1"/>
    </xf>
    <xf numFmtId="0" fontId="45" fillId="11" borderId="1" xfId="3" applyFont="1" applyFill="1"/>
    <xf numFmtId="0" fontId="17" fillId="0" borderId="0" xfId="0" applyFont="1" applyAlignment="1">
      <alignment wrapText="1"/>
    </xf>
    <xf numFmtId="0" fontId="17" fillId="0" borderId="61" xfId="0" applyFont="1" applyBorder="1" applyAlignment="1">
      <alignment wrapText="1"/>
    </xf>
    <xf numFmtId="0" fontId="17" fillId="0" borderId="62" xfId="0" applyFont="1" applyBorder="1" applyAlignment="1">
      <alignment wrapText="1"/>
    </xf>
    <xf numFmtId="0" fontId="46" fillId="18" borderId="61" xfId="0" applyFont="1" applyFill="1" applyBorder="1" applyAlignment="1">
      <alignment horizontal="center" wrapText="1"/>
    </xf>
    <xf numFmtId="0" fontId="46" fillId="18" borderId="63" xfId="0" applyFont="1" applyFill="1" applyBorder="1" applyAlignment="1">
      <alignment horizontal="center" wrapText="1"/>
    </xf>
    <xf numFmtId="0" fontId="46" fillId="18" borderId="63" xfId="0" applyFont="1" applyFill="1" applyBorder="1" applyAlignment="1">
      <alignment horizontal="center" vertical="center" wrapText="1"/>
    </xf>
    <xf numFmtId="0" fontId="47" fillId="0" borderId="63" xfId="0" applyFont="1" applyBorder="1" applyAlignment="1">
      <alignment horizontal="center" vertical="center" wrapText="1"/>
    </xf>
    <xf numFmtId="0" fontId="17" fillId="0" borderId="63" xfId="0" applyFont="1" applyBorder="1" applyAlignment="1">
      <alignment horizontal="center" wrapText="1"/>
    </xf>
    <xf numFmtId="0" fontId="17" fillId="18" borderId="61" xfId="0" applyFont="1" applyFill="1" applyBorder="1" applyAlignment="1">
      <alignment wrapText="1"/>
    </xf>
    <xf numFmtId="0" fontId="17" fillId="18" borderId="61" xfId="0" applyFont="1" applyFill="1" applyBorder="1" applyAlignment="1">
      <alignment vertical="center" wrapText="1"/>
    </xf>
    <xf numFmtId="0" fontId="17" fillId="0" borderId="63" xfId="0" applyFont="1" applyBorder="1" applyAlignment="1">
      <alignment wrapText="1"/>
    </xf>
    <xf numFmtId="0" fontId="46" fillId="18" borderId="61" xfId="0" applyFont="1" applyFill="1" applyBorder="1" applyAlignment="1">
      <alignment horizontal="center" vertical="center" wrapText="1"/>
    </xf>
    <xf numFmtId="0" fontId="48" fillId="0" borderId="63" xfId="0" applyFont="1" applyBorder="1" applyAlignment="1">
      <alignment horizontal="center" vertical="center" wrapText="1"/>
    </xf>
    <xf numFmtId="3" fontId="48" fillId="0" borderId="63" xfId="0" applyNumberFormat="1" applyFont="1" applyBorder="1" applyAlignment="1">
      <alignment horizontal="center" vertical="center" wrapText="1"/>
    </xf>
    <xf numFmtId="0" fontId="49" fillId="0" borderId="63" xfId="0" applyFont="1" applyBorder="1" applyAlignment="1">
      <alignment horizontal="center" vertical="center" wrapText="1"/>
    </xf>
    <xf numFmtId="0" fontId="17" fillId="18" borderId="0" xfId="0" applyFont="1" applyFill="1" applyAlignment="1">
      <alignment vertical="center" wrapText="1"/>
    </xf>
    <xf numFmtId="0" fontId="46" fillId="18" borderId="62" xfId="0" applyFont="1" applyFill="1" applyBorder="1" applyAlignment="1">
      <alignment horizontal="center" vertical="center" wrapText="1"/>
    </xf>
    <xf numFmtId="0" fontId="17" fillId="18" borderId="63" xfId="0" applyFont="1" applyFill="1" applyBorder="1" applyAlignment="1">
      <alignment vertical="center" wrapText="1"/>
    </xf>
    <xf numFmtId="3" fontId="46" fillId="18" borderId="63" xfId="0" applyNumberFormat="1" applyFont="1" applyFill="1" applyBorder="1" applyAlignment="1">
      <alignment horizontal="center" vertical="center" wrapText="1"/>
    </xf>
    <xf numFmtId="0" fontId="17" fillId="18" borderId="63" xfId="0" applyFont="1" applyFill="1" applyBorder="1" applyAlignment="1">
      <alignment wrapText="1"/>
    </xf>
    <xf numFmtId="0" fontId="17" fillId="0" borderId="61" xfId="0" applyFont="1" applyBorder="1" applyAlignment="1">
      <alignment horizontal="center" wrapText="1"/>
    </xf>
    <xf numFmtId="0" fontId="46" fillId="17" borderId="0" xfId="0" applyFont="1" applyFill="1" applyAlignment="1">
      <alignment horizontal="center" wrapText="1"/>
    </xf>
    <xf numFmtId="0" fontId="46" fillId="18" borderId="62" xfId="0" applyFont="1" applyFill="1" applyBorder="1" applyAlignment="1">
      <alignment horizontal="center" wrapText="1"/>
    </xf>
    <xf numFmtId="0" fontId="17" fillId="18" borderId="61" xfId="0" applyFont="1" applyFill="1" applyBorder="1" applyAlignment="1">
      <alignment horizontal="center" wrapText="1"/>
    </xf>
    <xf numFmtId="0" fontId="46" fillId="18" borderId="0" xfId="0" applyFont="1" applyFill="1" applyAlignment="1">
      <alignment horizontal="center" wrapText="1"/>
    </xf>
    <xf numFmtId="0" fontId="17" fillId="0" borderId="0" xfId="0" applyFont="1" applyAlignment="1">
      <alignment horizontal="center" wrapText="1"/>
    </xf>
    <xf numFmtId="0" fontId="0" fillId="0" borderId="36" xfId="0" applyBorder="1" applyAlignment="1">
      <alignment horizontal="center"/>
    </xf>
    <xf numFmtId="10" fontId="0" fillId="0" borderId="36" xfId="0" applyNumberFormat="1" applyBorder="1" applyAlignment="1">
      <alignment horizontal="center"/>
    </xf>
    <xf numFmtId="0" fontId="17" fillId="0" borderId="47" xfId="0" applyFon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17" fillId="0" borderId="52" xfId="0" applyFont="1" applyBorder="1" applyAlignment="1">
      <alignment horizontal="center"/>
    </xf>
    <xf numFmtId="0" fontId="0" fillId="0" borderId="59" xfId="0" applyBorder="1" applyAlignment="1">
      <alignment horizontal="center"/>
    </xf>
    <xf numFmtId="10" fontId="0" fillId="0" borderId="59" xfId="0" applyNumberForma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4" fillId="21" borderId="37" xfId="0" applyFont="1" applyFill="1" applyBorder="1"/>
    <xf numFmtId="176" fontId="0" fillId="0" borderId="1" xfId="0" applyNumberFormat="1" applyBorder="1" applyAlignment="1">
      <alignment horizontal="center"/>
    </xf>
    <xf numFmtId="0" fontId="17" fillId="0" borderId="59" xfId="0" applyFont="1" applyBorder="1" applyAlignment="1">
      <alignment horizontal="center"/>
    </xf>
    <xf numFmtId="0" fontId="51" fillId="12" borderId="14" xfId="0" applyFont="1" applyFill="1" applyBorder="1" applyAlignment="1">
      <alignment horizontal="center"/>
    </xf>
    <xf numFmtId="165" fontId="0" fillId="0" borderId="1" xfId="8" applyNumberFormat="1" applyFont="1"/>
    <xf numFmtId="180" fontId="0" fillId="0" borderId="1" xfId="8" applyNumberFormat="1" applyFont="1"/>
    <xf numFmtId="177" fontId="0" fillId="0" borderId="17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0" fontId="51" fillId="20" borderId="64" xfId="0" applyFont="1" applyFill="1" applyBorder="1" applyAlignment="1">
      <alignment horizontal="center"/>
    </xf>
    <xf numFmtId="0" fontId="51" fillId="20" borderId="6" xfId="0" applyFont="1" applyFill="1" applyBorder="1" applyAlignment="1">
      <alignment horizontal="center"/>
    </xf>
    <xf numFmtId="0" fontId="51" fillId="20" borderId="7" xfId="0" applyFont="1" applyFill="1" applyBorder="1" applyAlignment="1">
      <alignment horizontal="center"/>
    </xf>
    <xf numFmtId="0" fontId="17" fillId="0" borderId="36" xfId="0" applyFont="1" applyBorder="1" applyAlignment="1">
      <alignment horizontal="center"/>
    </xf>
    <xf numFmtId="0" fontId="51" fillId="23" borderId="70" xfId="0" applyFont="1" applyFill="1" applyBorder="1" applyAlignment="1">
      <alignment horizontal="center" wrapText="1"/>
    </xf>
    <xf numFmtId="0" fontId="51" fillId="23" borderId="71" xfId="0" applyFont="1" applyFill="1" applyBorder="1" applyAlignment="1">
      <alignment horizontal="center" wrapText="1"/>
    </xf>
    <xf numFmtId="0" fontId="51" fillId="23" borderId="72" xfId="0" applyFont="1" applyFill="1" applyBorder="1" applyAlignment="1">
      <alignment horizontal="center" wrapText="1"/>
    </xf>
    <xf numFmtId="0" fontId="51" fillId="23" borderId="73" xfId="0" applyFont="1" applyFill="1" applyBorder="1" applyAlignment="1">
      <alignment horizontal="center" wrapText="1"/>
    </xf>
    <xf numFmtId="0" fontId="51" fillId="23" borderId="7" xfId="0" applyFont="1" applyFill="1" applyBorder="1" applyAlignment="1">
      <alignment horizontal="center" wrapText="1"/>
    </xf>
    <xf numFmtId="0" fontId="51" fillId="19" borderId="70" xfId="0" applyFont="1" applyFill="1" applyBorder="1" applyAlignment="1">
      <alignment horizontal="center" wrapText="1"/>
    </xf>
    <xf numFmtId="0" fontId="51" fillId="19" borderId="71" xfId="0" applyFont="1" applyFill="1" applyBorder="1" applyAlignment="1">
      <alignment horizontal="center" wrapText="1"/>
    </xf>
    <xf numFmtId="0" fontId="51" fillId="19" borderId="72" xfId="0" applyFont="1" applyFill="1" applyBorder="1" applyAlignment="1">
      <alignment horizontal="center" wrapText="1"/>
    </xf>
    <xf numFmtId="0" fontId="51" fillId="19" borderId="73" xfId="0" applyFont="1" applyFill="1" applyBorder="1" applyAlignment="1">
      <alignment horizontal="center" wrapText="1"/>
    </xf>
    <xf numFmtId="0" fontId="51" fillId="19" borderId="7" xfId="0" applyFont="1" applyFill="1" applyBorder="1" applyAlignment="1">
      <alignment horizontal="center" wrapText="1"/>
    </xf>
    <xf numFmtId="0" fontId="51" fillId="23" borderId="74" xfId="0" applyFont="1" applyFill="1" applyBorder="1" applyAlignment="1">
      <alignment horizontal="center" wrapText="1"/>
    </xf>
    <xf numFmtId="0" fontId="51" fillId="19" borderId="74" xfId="0" applyFont="1" applyFill="1" applyBorder="1" applyAlignment="1">
      <alignment horizontal="center" wrapText="1"/>
    </xf>
    <xf numFmtId="0" fontId="52" fillId="23" borderId="72" xfId="0" applyFont="1" applyFill="1" applyBorder="1" applyAlignment="1">
      <alignment horizontal="center" wrapText="1"/>
    </xf>
    <xf numFmtId="0" fontId="52" fillId="23" borderId="74" xfId="0" applyFont="1" applyFill="1" applyBorder="1" applyAlignment="1">
      <alignment horizontal="center" wrapText="1"/>
    </xf>
    <xf numFmtId="0" fontId="52" fillId="23" borderId="70" xfId="0" applyFont="1" applyFill="1" applyBorder="1" applyAlignment="1">
      <alignment horizontal="center" wrapText="1"/>
    </xf>
    <xf numFmtId="0" fontId="52" fillId="23" borderId="71" xfId="0" applyFont="1" applyFill="1" applyBorder="1" applyAlignment="1">
      <alignment horizontal="center" wrapText="1"/>
    </xf>
    <xf numFmtId="0" fontId="52" fillId="23" borderId="73" xfId="0" applyFont="1" applyFill="1" applyBorder="1" applyAlignment="1">
      <alignment horizontal="center" wrapText="1"/>
    </xf>
    <xf numFmtId="0" fontId="52" fillId="23" borderId="7" xfId="0" applyFont="1" applyFill="1" applyBorder="1" applyAlignment="1">
      <alignment horizontal="center" wrapText="1"/>
    </xf>
    <xf numFmtId="0" fontId="51" fillId="12" borderId="6" xfId="0" applyFont="1" applyFill="1" applyBorder="1" applyAlignment="1">
      <alignment horizontal="center"/>
    </xf>
    <xf numFmtId="0" fontId="51" fillId="12" borderId="70" xfId="0" applyFont="1" applyFill="1" applyBorder="1" applyAlignment="1">
      <alignment horizontal="center" wrapText="1"/>
    </xf>
    <xf numFmtId="0" fontId="51" fillId="12" borderId="71" xfId="0" applyFont="1" applyFill="1" applyBorder="1" applyAlignment="1">
      <alignment horizontal="center" wrapText="1"/>
    </xf>
    <xf numFmtId="0" fontId="51" fillId="12" borderId="73" xfId="0" applyFont="1" applyFill="1" applyBorder="1" applyAlignment="1">
      <alignment horizontal="center" wrapText="1"/>
    </xf>
    <xf numFmtId="1" fontId="0" fillId="0" borderId="17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0" fontId="17" fillId="0" borderId="17" xfId="11" applyFont="1" applyBorder="1" applyAlignment="1">
      <alignment horizontal="center"/>
    </xf>
    <xf numFmtId="10" fontId="17" fillId="0" borderId="17" xfId="11" applyNumberFormat="1" applyFont="1" applyBorder="1" applyAlignment="1">
      <alignment horizontal="center"/>
    </xf>
    <xf numFmtId="0" fontId="0" fillId="0" borderId="1" xfId="11" applyFont="1" applyAlignment="1">
      <alignment horizontal="center"/>
    </xf>
    <xf numFmtId="10" fontId="0" fillId="0" borderId="1" xfId="11" applyNumberFormat="1" applyFont="1" applyAlignment="1">
      <alignment horizontal="center"/>
    </xf>
    <xf numFmtId="176" fontId="0" fillId="0" borderId="1" xfId="11" applyNumberFormat="1" applyFont="1" applyAlignment="1">
      <alignment horizontal="center"/>
    </xf>
    <xf numFmtId="0" fontId="17" fillId="0" borderId="1" xfId="11" applyFont="1" applyAlignment="1">
      <alignment horizontal="center"/>
    </xf>
    <xf numFmtId="2" fontId="0" fillId="0" borderId="17" xfId="11" applyNumberFormat="1" applyFont="1" applyBorder="1" applyAlignment="1">
      <alignment horizontal="center"/>
    </xf>
    <xf numFmtId="0" fontId="32" fillId="20" borderId="17" xfId="11" applyFont="1" applyFill="1" applyBorder="1" applyAlignment="1">
      <alignment horizontal="center"/>
    </xf>
    <xf numFmtId="0" fontId="14" fillId="21" borderId="17" xfId="11" applyFont="1" applyFill="1" applyBorder="1"/>
    <xf numFmtId="0" fontId="0" fillId="0" borderId="17" xfId="11" applyFont="1" applyBorder="1" applyAlignment="1">
      <alignment horizontal="center"/>
    </xf>
    <xf numFmtId="10" fontId="0" fillId="0" borderId="17" xfId="11" applyNumberFormat="1" applyFont="1" applyBorder="1" applyAlignment="1">
      <alignment horizontal="center"/>
    </xf>
    <xf numFmtId="176" fontId="0" fillId="0" borderId="17" xfId="11" applyNumberFormat="1" applyFont="1" applyBorder="1" applyAlignment="1">
      <alignment horizontal="center"/>
    </xf>
    <xf numFmtId="0" fontId="32" fillId="22" borderId="17" xfId="11" applyFont="1" applyFill="1" applyBorder="1" applyAlignment="1">
      <alignment horizontal="center"/>
    </xf>
    <xf numFmtId="0" fontId="32" fillId="20" borderId="41" xfId="11" applyFont="1" applyFill="1" applyBorder="1" applyAlignment="1">
      <alignment horizontal="center"/>
    </xf>
    <xf numFmtId="0" fontId="32" fillId="22" borderId="41" xfId="11" applyFont="1" applyFill="1" applyBorder="1" applyAlignment="1">
      <alignment horizontal="center"/>
    </xf>
    <xf numFmtId="0" fontId="32" fillId="20" borderId="40" xfId="11" applyFont="1" applyFill="1" applyBorder="1" applyAlignment="1">
      <alignment horizontal="center"/>
    </xf>
    <xf numFmtId="0" fontId="32" fillId="22" borderId="40" xfId="11" applyFont="1" applyFill="1" applyBorder="1" applyAlignment="1">
      <alignment horizontal="center"/>
    </xf>
    <xf numFmtId="0" fontId="32" fillId="22" borderId="26" xfId="11" applyFont="1" applyFill="1" applyBorder="1" applyAlignment="1">
      <alignment horizontal="center"/>
    </xf>
    <xf numFmtId="165" fontId="17" fillId="0" borderId="17" xfId="11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0" fontId="9" fillId="24" borderId="16" xfId="2" applyNumberFormat="1" applyFont="1" applyFill="1" applyBorder="1" applyAlignment="1" applyProtection="1">
      <alignment horizontal="center" vertical="center"/>
      <protection locked="0"/>
    </xf>
    <xf numFmtId="1" fontId="9" fillId="24" borderId="38" xfId="1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0" fillId="23" borderId="0" xfId="0" applyFill="1" applyAlignment="1">
      <alignment horizontal="center"/>
    </xf>
    <xf numFmtId="179" fontId="0" fillId="0" borderId="0" xfId="0" applyNumberFormat="1" applyAlignment="1">
      <alignment horizontal="center"/>
    </xf>
    <xf numFmtId="0" fontId="17" fillId="0" borderId="36" xfId="0" applyFont="1" applyBorder="1"/>
    <xf numFmtId="0" fontId="17" fillId="0" borderId="59" xfId="0" applyFont="1" applyBorder="1"/>
    <xf numFmtId="0" fontId="57" fillId="26" borderId="6" xfId="0" applyFont="1" applyFill="1" applyBorder="1" applyAlignment="1">
      <alignment horizontal="center" vertical="center"/>
    </xf>
    <xf numFmtId="0" fontId="57" fillId="26" borderId="64" xfId="0" applyFont="1" applyFill="1" applyBorder="1" applyAlignment="1">
      <alignment horizontal="center" vertical="center"/>
    </xf>
    <xf numFmtId="0" fontId="57" fillId="26" borderId="7" xfId="0" applyFont="1" applyFill="1" applyBorder="1" applyAlignment="1">
      <alignment horizontal="center" vertical="center"/>
    </xf>
    <xf numFmtId="0" fontId="14" fillId="21" borderId="21" xfId="0" applyFont="1" applyFill="1" applyBorder="1"/>
    <xf numFmtId="0" fontId="1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72" fontId="0" fillId="0" borderId="5" xfId="0" applyNumberForma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57" fillId="27" borderId="64" xfId="0" applyFont="1" applyFill="1" applyBorder="1" applyAlignment="1">
      <alignment horizontal="center" vertical="center"/>
    </xf>
    <xf numFmtId="0" fontId="57" fillId="27" borderId="7" xfId="0" applyFont="1" applyFill="1" applyBorder="1" applyAlignment="1">
      <alignment horizontal="center" vertical="center"/>
    </xf>
    <xf numFmtId="0" fontId="57" fillId="27" borderId="6" xfId="0" applyFont="1" applyFill="1" applyBorder="1" applyAlignment="1">
      <alignment horizontal="center"/>
    </xf>
    <xf numFmtId="0" fontId="14" fillId="0" borderId="9" xfId="0" applyFont="1" applyBorder="1"/>
    <xf numFmtId="0" fontId="0" fillId="0" borderId="5" xfId="0" applyBorder="1"/>
    <xf numFmtId="0" fontId="17" fillId="0" borderId="5" xfId="0" applyFont="1" applyBorder="1"/>
    <xf numFmtId="172" fontId="0" fillId="0" borderId="5" xfId="0" applyNumberFormat="1" applyBorder="1" applyAlignment="1">
      <alignment horizontal="left" indent="3"/>
    </xf>
    <xf numFmtId="1" fontId="17" fillId="0" borderId="0" xfId="0" applyNumberFormat="1" applyFont="1" applyAlignment="1">
      <alignment horizontal="center"/>
    </xf>
    <xf numFmtId="0" fontId="14" fillId="21" borderId="1" xfId="0" applyFont="1" applyFill="1" applyBorder="1"/>
    <xf numFmtId="0" fontId="17" fillId="0" borderId="80" xfId="0" applyFont="1" applyBorder="1" applyAlignment="1">
      <alignment horizontal="center"/>
    </xf>
    <xf numFmtId="0" fontId="17" fillId="0" borderId="51" xfId="0" applyFont="1" applyBorder="1" applyAlignment="1">
      <alignment horizontal="center"/>
    </xf>
    <xf numFmtId="0" fontId="17" fillId="0" borderId="53" xfId="0" applyFont="1" applyBorder="1" applyAlignment="1">
      <alignment horizontal="center"/>
    </xf>
    <xf numFmtId="44" fontId="20" fillId="13" borderId="4" xfId="1" applyFont="1" applyFill="1" applyBorder="1" applyAlignment="1" applyProtection="1">
      <alignment horizontal="left" vertical="center"/>
    </xf>
    <xf numFmtId="0" fontId="26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22" fillId="8" borderId="17" xfId="0" applyFont="1" applyFill="1" applyBorder="1" applyAlignment="1" applyProtection="1">
      <alignment horizontal="left" vertical="center"/>
      <protection locked="0"/>
    </xf>
    <xf numFmtId="0" fontId="17" fillId="0" borderId="0" xfId="0" applyFont="1" applyProtection="1"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25" fillId="3" borderId="17" xfId="0" applyFont="1" applyFill="1" applyBorder="1" applyAlignment="1" applyProtection="1">
      <alignment horizontal="center" vertical="center"/>
      <protection locked="0"/>
    </xf>
    <xf numFmtId="44" fontId="0" fillId="0" borderId="0" xfId="0" applyNumberFormat="1" applyProtection="1"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10" fillId="0" borderId="1" xfId="0" applyFont="1" applyBorder="1" applyProtection="1">
      <protection locked="0"/>
    </xf>
    <xf numFmtId="0" fontId="0" fillId="25" borderId="0" xfId="0" applyFill="1" applyProtection="1">
      <protection locked="0"/>
    </xf>
    <xf numFmtId="44" fontId="0" fillId="0" borderId="1" xfId="0" applyNumberFormat="1" applyBorder="1" applyProtection="1">
      <protection locked="0"/>
    </xf>
    <xf numFmtId="0" fontId="21" fillId="0" borderId="1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8" fillId="0" borderId="0" xfId="0" applyFont="1" applyProtection="1">
      <protection locked="0"/>
    </xf>
    <xf numFmtId="1" fontId="0" fillId="0" borderId="1" xfId="0" applyNumberFormat="1" applyBorder="1" applyProtection="1"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vertical="center" wrapText="1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1" xfId="0" applyFont="1" applyBorder="1" applyProtection="1">
      <protection locked="0"/>
    </xf>
    <xf numFmtId="0" fontId="14" fillId="16" borderId="14" xfId="0" applyFont="1" applyFill="1" applyBorder="1" applyAlignment="1" applyProtection="1">
      <alignment horizontal="center"/>
      <protection locked="0"/>
    </xf>
    <xf numFmtId="0" fontId="14" fillId="16" borderId="16" xfId="0" applyFont="1" applyFill="1" applyBorder="1" applyAlignment="1" applyProtection="1">
      <alignment horizont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17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3" fontId="14" fillId="13" borderId="17" xfId="0" applyNumberFormat="1" applyFont="1" applyFill="1" applyBorder="1" applyAlignment="1">
      <alignment horizontal="center" vertical="center"/>
    </xf>
    <xf numFmtId="182" fontId="14" fillId="13" borderId="17" xfId="0" applyNumberFormat="1" applyFont="1" applyFill="1" applyBorder="1" applyAlignment="1">
      <alignment horizontal="center"/>
    </xf>
    <xf numFmtId="165" fontId="14" fillId="13" borderId="17" xfId="0" applyNumberFormat="1" applyFont="1" applyFill="1" applyBorder="1" applyAlignment="1">
      <alignment horizontal="center" vertical="center"/>
    </xf>
    <xf numFmtId="1" fontId="14" fillId="13" borderId="17" xfId="0" applyNumberFormat="1" applyFont="1" applyFill="1" applyBorder="1" applyAlignment="1">
      <alignment horizontal="center" vertical="center"/>
    </xf>
    <xf numFmtId="165" fontId="20" fillId="13" borderId="17" xfId="0" applyNumberFormat="1" applyFont="1" applyFill="1" applyBorder="1" applyAlignment="1">
      <alignment horizontal="center" vertical="center"/>
    </xf>
    <xf numFmtId="1" fontId="20" fillId="13" borderId="17" xfId="0" applyNumberFormat="1" applyFont="1" applyFill="1" applyBorder="1" applyAlignment="1">
      <alignment horizontal="center" vertical="center"/>
    </xf>
    <xf numFmtId="2" fontId="20" fillId="13" borderId="17" xfId="0" applyNumberFormat="1" applyFont="1" applyFill="1" applyBorder="1" applyAlignment="1">
      <alignment horizontal="center" vertical="center"/>
    </xf>
    <xf numFmtId="179" fontId="20" fillId="13" borderId="17" xfId="0" applyNumberFormat="1" applyFont="1" applyFill="1" applyBorder="1" applyAlignment="1">
      <alignment horizontal="center" vertical="center"/>
    </xf>
    <xf numFmtId="0" fontId="20" fillId="13" borderId="17" xfId="0" applyFont="1" applyFill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17" fillId="0" borderId="0" xfId="0" applyFont="1"/>
    <xf numFmtId="0" fontId="35" fillId="12" borderId="17" xfId="0" applyFont="1" applyFill="1" applyBorder="1"/>
    <xf numFmtId="0" fontId="27" fillId="4" borderId="6" xfId="0" applyFont="1" applyFill="1" applyBorder="1" applyAlignment="1">
      <alignment horizontal="center"/>
    </xf>
    <xf numFmtId="0" fontId="27" fillId="4" borderId="7" xfId="0" applyFont="1" applyFill="1" applyBorder="1" applyAlignment="1">
      <alignment horizontal="center"/>
    </xf>
    <xf numFmtId="0" fontId="27" fillId="4" borderId="64" xfId="0" applyFont="1" applyFill="1" applyBorder="1" applyAlignment="1">
      <alignment horizontal="center"/>
    </xf>
    <xf numFmtId="0" fontId="27" fillId="3" borderId="59" xfId="0" applyFont="1" applyFill="1" applyBorder="1" applyAlignment="1">
      <alignment horizontal="center"/>
    </xf>
    <xf numFmtId="0" fontId="22" fillId="12" borderId="17" xfId="0" applyFont="1" applyFill="1" applyBorder="1" applyAlignment="1">
      <alignment horizontal="left" vertical="center"/>
    </xf>
    <xf numFmtId="0" fontId="22" fillId="12" borderId="37" xfId="0" applyFont="1" applyFill="1" applyBorder="1" applyAlignment="1">
      <alignment horizontal="left" vertical="center"/>
    </xf>
    <xf numFmtId="2" fontId="8" fillId="21" borderId="17" xfId="0" applyNumberFormat="1" applyFont="1" applyFill="1" applyBorder="1" applyAlignment="1">
      <alignment horizontal="center" vertical="center"/>
    </xf>
    <xf numFmtId="182" fontId="0" fillId="0" borderId="0" xfId="0" applyNumberFormat="1"/>
    <xf numFmtId="177" fontId="0" fillId="21" borderId="17" xfId="0" applyNumberFormat="1" applyFill="1" applyBorder="1" applyAlignment="1">
      <alignment horizontal="left"/>
    </xf>
    <xf numFmtId="44" fontId="0" fillId="0" borderId="0" xfId="0" applyNumberFormat="1"/>
    <xf numFmtId="0" fontId="35" fillId="12" borderId="65" xfId="0" applyFont="1" applyFill="1" applyBorder="1"/>
    <xf numFmtId="177" fontId="0" fillId="0" borderId="20" xfId="1" applyNumberFormat="1" applyFont="1" applyBorder="1" applyAlignment="1" applyProtection="1">
      <alignment horizontal="left"/>
    </xf>
    <xf numFmtId="0" fontId="35" fillId="12" borderId="66" xfId="0" applyFont="1" applyFill="1" applyBorder="1"/>
    <xf numFmtId="9" fontId="21" fillId="24" borderId="67" xfId="2" applyFont="1" applyFill="1" applyBorder="1" applyAlignment="1" applyProtection="1">
      <alignment horizontal="center" vertical="center"/>
    </xf>
    <xf numFmtId="10" fontId="18" fillId="0" borderId="17" xfId="0" applyNumberFormat="1" applyFont="1" applyBorder="1" applyAlignment="1">
      <alignment horizontal="center" vertical="center"/>
    </xf>
    <xf numFmtId="164" fontId="0" fillId="0" borderId="17" xfId="0" applyNumberFormat="1" applyBorder="1"/>
    <xf numFmtId="43" fontId="0" fillId="0" borderId="17" xfId="0" applyNumberFormat="1" applyBorder="1"/>
    <xf numFmtId="1" fontId="8" fillId="21" borderId="17" xfId="0" applyNumberFormat="1" applyFont="1" applyFill="1" applyBorder="1" applyAlignment="1">
      <alignment horizontal="center" vertical="center"/>
    </xf>
    <xf numFmtId="0" fontId="35" fillId="12" borderId="45" xfId="0" applyFont="1" applyFill="1" applyBorder="1"/>
    <xf numFmtId="177" fontId="0" fillId="0" borderId="10" xfId="1" applyNumberFormat="1" applyFont="1" applyBorder="1" applyAlignment="1" applyProtection="1">
      <alignment horizontal="left"/>
    </xf>
    <xf numFmtId="172" fontId="21" fillId="24" borderId="18" xfId="2" applyNumberFormat="1" applyFont="1" applyFill="1" applyBorder="1" applyAlignment="1" applyProtection="1">
      <alignment horizontal="center" vertical="center"/>
    </xf>
    <xf numFmtId="2" fontId="18" fillId="0" borderId="17" xfId="0" applyNumberFormat="1" applyFont="1" applyBorder="1" applyAlignment="1">
      <alignment horizontal="center" vertical="center"/>
    </xf>
    <xf numFmtId="0" fontId="0" fillId="0" borderId="40" xfId="0" applyBorder="1"/>
    <xf numFmtId="44" fontId="0" fillId="0" borderId="1" xfId="0" applyNumberFormat="1" applyBorder="1"/>
    <xf numFmtId="0" fontId="0" fillId="0" borderId="17" xfId="0" applyBorder="1" applyAlignment="1">
      <alignment horizontal="center" vertical="center"/>
    </xf>
    <xf numFmtId="0" fontId="0" fillId="0" borderId="33" xfId="0" applyBorder="1"/>
    <xf numFmtId="177" fontId="8" fillId="21" borderId="17" xfId="1" applyNumberFormat="1" applyFont="1" applyFill="1" applyBorder="1" applyAlignment="1" applyProtection="1">
      <alignment horizontal="center" vertical="center"/>
    </xf>
    <xf numFmtId="0" fontId="35" fillId="12" borderId="44" xfId="0" applyFont="1" applyFill="1" applyBorder="1" applyAlignment="1">
      <alignment horizontal="center" vertical="center"/>
    </xf>
    <xf numFmtId="0" fontId="35" fillId="12" borderId="68" xfId="0" applyFont="1" applyFill="1" applyBorder="1" applyAlignment="1">
      <alignment horizontal="center" vertical="center"/>
    </xf>
    <xf numFmtId="0" fontId="35" fillId="12" borderId="69" xfId="0" applyFont="1" applyFill="1" applyBorder="1" applyAlignment="1">
      <alignment horizontal="center" vertical="center"/>
    </xf>
    <xf numFmtId="0" fontId="0" fillId="0" borderId="34" xfId="0" applyBorder="1"/>
    <xf numFmtId="0" fontId="0" fillId="0" borderId="51" xfId="0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8" fontId="0" fillId="0" borderId="1" xfId="0" applyNumberFormat="1" applyBorder="1" applyAlignment="1">
      <alignment horizontal="right" vertical="center"/>
    </xf>
    <xf numFmtId="8" fontId="0" fillId="0" borderId="52" xfId="0" applyNumberFormat="1" applyBorder="1" applyAlignment="1">
      <alignment horizontal="right" vertical="center"/>
    </xf>
    <xf numFmtId="0" fontId="17" fillId="0" borderId="34" xfId="0" applyFont="1" applyBorder="1"/>
    <xf numFmtId="8" fontId="0" fillId="0" borderId="0" xfId="0" applyNumberFormat="1"/>
    <xf numFmtId="0" fontId="0" fillId="0" borderId="39" xfId="0" applyBorder="1"/>
    <xf numFmtId="0" fontId="22" fillId="12" borderId="51" xfId="0" applyFont="1" applyFill="1" applyBorder="1" applyAlignment="1">
      <alignment horizontal="left" vertical="center"/>
    </xf>
    <xf numFmtId="0" fontId="35" fillId="12" borderId="46" xfId="0" applyFont="1" applyFill="1" applyBorder="1"/>
    <xf numFmtId="3" fontId="18" fillId="0" borderId="11" xfId="0" applyNumberFormat="1" applyFont="1" applyBorder="1" applyAlignment="1">
      <alignment horizontal="center" vertical="center"/>
    </xf>
    <xf numFmtId="0" fontId="35" fillId="12" borderId="42" xfId="0" applyFont="1" applyFill="1" applyBorder="1"/>
    <xf numFmtId="178" fontId="20" fillId="21" borderId="17" xfId="0" applyNumberFormat="1" applyFont="1" applyFill="1" applyBorder="1" applyAlignment="1">
      <alignment horizontal="center" vertical="center"/>
    </xf>
    <xf numFmtId="3" fontId="18" fillId="0" borderId="8" xfId="0" applyNumberFormat="1" applyFont="1" applyBorder="1" applyAlignment="1">
      <alignment horizontal="center" vertical="center"/>
    </xf>
    <xf numFmtId="179" fontId="20" fillId="21" borderId="17" xfId="0" applyNumberFormat="1" applyFont="1" applyFill="1" applyBorder="1" applyAlignment="1">
      <alignment horizontal="center" vertical="center"/>
    </xf>
    <xf numFmtId="0" fontId="18" fillId="0" borderId="1" xfId="0" applyFont="1" applyBorder="1"/>
    <xf numFmtId="177" fontId="18" fillId="0" borderId="17" xfId="0" applyNumberFormat="1" applyFont="1" applyBorder="1" applyAlignment="1">
      <alignment horizontal="center" vertical="center"/>
    </xf>
    <xf numFmtId="2" fontId="0" fillId="21" borderId="17" xfId="0" applyNumberFormat="1" applyFill="1" applyBorder="1"/>
    <xf numFmtId="0" fontId="18" fillId="0" borderId="0" xfId="0" applyFont="1"/>
    <xf numFmtId="3" fontId="18" fillId="0" borderId="17" xfId="0" applyNumberFormat="1" applyFont="1" applyBorder="1" applyAlignment="1">
      <alignment horizontal="center" vertical="center"/>
    </xf>
    <xf numFmtId="44" fontId="36" fillId="0" borderId="1" xfId="0" applyNumberFormat="1" applyFont="1" applyBorder="1"/>
    <xf numFmtId="44" fontId="18" fillId="0" borderId="1" xfId="0" applyNumberFormat="1" applyFont="1" applyBorder="1"/>
    <xf numFmtId="1" fontId="0" fillId="21" borderId="17" xfId="0" applyNumberFormat="1" applyFill="1" applyBorder="1"/>
    <xf numFmtId="0" fontId="18" fillId="0" borderId="1" xfId="0" applyFont="1" applyBorder="1" applyAlignment="1">
      <alignment horizontal="center" vertical="center"/>
    </xf>
    <xf numFmtId="173" fontId="18" fillId="0" borderId="1" xfId="0" applyNumberFormat="1" applyFont="1" applyBorder="1"/>
    <xf numFmtId="0" fontId="18" fillId="0" borderId="0" xfId="0" applyFont="1" applyAlignment="1">
      <alignment horizontal="center" vertical="center"/>
    </xf>
    <xf numFmtId="0" fontId="22" fillId="12" borderId="17" xfId="0" applyFont="1" applyFill="1" applyBorder="1" applyAlignment="1">
      <alignment horizontal="center" vertical="center"/>
    </xf>
    <xf numFmtId="0" fontId="22" fillId="12" borderId="40" xfId="0" applyFont="1" applyFill="1" applyBorder="1" applyAlignment="1">
      <alignment horizontal="center" vertical="center"/>
    </xf>
    <xf numFmtId="0" fontId="22" fillId="12" borderId="37" xfId="0" applyFont="1" applyFill="1" applyBorder="1" applyAlignment="1">
      <alignment horizontal="center" vertical="center"/>
    </xf>
    <xf numFmtId="175" fontId="18" fillId="0" borderId="1" xfId="0" applyNumberFormat="1" applyFont="1" applyBorder="1"/>
    <xf numFmtId="173" fontId="0" fillId="0" borderId="0" xfId="0" applyNumberFormat="1"/>
    <xf numFmtId="44" fontId="18" fillId="0" borderId="0" xfId="0" applyNumberFormat="1" applyFont="1"/>
    <xf numFmtId="174" fontId="0" fillId="0" borderId="0" xfId="0" applyNumberFormat="1"/>
    <xf numFmtId="0" fontId="13" fillId="14" borderId="17" xfId="0" applyFont="1" applyFill="1" applyBorder="1"/>
    <xf numFmtId="4" fontId="0" fillId="21" borderId="17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 vertical="center"/>
    </xf>
    <xf numFmtId="8" fontId="0" fillId="16" borderId="15" xfId="0" applyNumberFormat="1" applyFill="1" applyBorder="1" applyAlignment="1">
      <alignment horizontal="right" vertical="center"/>
    </xf>
    <xf numFmtId="8" fontId="0" fillId="16" borderId="16" xfId="0" applyNumberFormat="1" applyFill="1" applyBorder="1" applyAlignment="1">
      <alignment horizontal="right" vertical="center"/>
    </xf>
    <xf numFmtId="8" fontId="0" fillId="0" borderId="1" xfId="0" applyNumberFormat="1" applyBorder="1" applyAlignment="1">
      <alignment horizontal="center" vertical="center"/>
    </xf>
    <xf numFmtId="8" fontId="0" fillId="0" borderId="52" xfId="0" applyNumberFormat="1" applyBorder="1" applyAlignment="1">
      <alignment horizontal="center" vertical="center"/>
    </xf>
    <xf numFmtId="183" fontId="0" fillId="21" borderId="17" xfId="0" applyNumberFormat="1" applyFill="1" applyBorder="1" applyAlignment="1">
      <alignment horizontal="center"/>
    </xf>
    <xf numFmtId="178" fontId="0" fillId="21" borderId="17" xfId="0" applyNumberFormat="1" applyFill="1" applyBorder="1" applyAlignment="1">
      <alignment horizontal="center"/>
    </xf>
    <xf numFmtId="0" fontId="0" fillId="21" borderId="17" xfId="0" applyFill="1" applyBorder="1" applyAlignment="1">
      <alignment horizontal="center"/>
    </xf>
    <xf numFmtId="2" fontId="0" fillId="21" borderId="17" xfId="0" applyNumberFormat="1" applyFill="1" applyBorder="1" applyAlignment="1">
      <alignment horizontal="center"/>
    </xf>
    <xf numFmtId="165" fontId="0" fillId="21" borderId="17" xfId="0" applyNumberFormat="1" applyFill="1" applyBorder="1" applyAlignment="1">
      <alignment horizontal="center"/>
    </xf>
    <xf numFmtId="2" fontId="0" fillId="0" borderId="0" xfId="0" applyNumberFormat="1"/>
    <xf numFmtId="2" fontId="50" fillId="19" borderId="17" xfId="0" applyNumberFormat="1" applyFont="1" applyFill="1" applyBorder="1" applyAlignment="1">
      <alignment horizontal="center"/>
    </xf>
    <xf numFmtId="2" fontId="0" fillId="0" borderId="1" xfId="0" applyNumberFormat="1" applyBorder="1"/>
    <xf numFmtId="1" fontId="0" fillId="21" borderId="17" xfId="0" applyNumberFormat="1" applyFill="1" applyBorder="1" applyAlignment="1">
      <alignment horizontal="center"/>
    </xf>
    <xf numFmtId="0" fontId="25" fillId="0" borderId="1" xfId="0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10" fontId="0" fillId="21" borderId="17" xfId="0" applyNumberFormat="1" applyFill="1" applyBorder="1" applyAlignment="1">
      <alignment horizontal="center"/>
    </xf>
    <xf numFmtId="0" fontId="13" fillId="14" borderId="41" xfId="0" applyFont="1" applyFill="1" applyBorder="1"/>
    <xf numFmtId="0" fontId="0" fillId="0" borderId="53" xfId="0" applyBorder="1" applyAlignment="1">
      <alignment horizontal="center" vertical="center"/>
    </xf>
    <xf numFmtId="8" fontId="0" fillId="0" borderId="25" xfId="0" applyNumberFormat="1" applyBorder="1" applyAlignment="1">
      <alignment horizontal="center" vertical="center"/>
    </xf>
    <xf numFmtId="0" fontId="22" fillId="8" borderId="17" xfId="0" applyFont="1" applyFill="1" applyBorder="1" applyAlignment="1">
      <alignment horizontal="center" vertical="center"/>
    </xf>
    <xf numFmtId="9" fontId="20" fillId="13" borderId="17" xfId="0" applyNumberFormat="1" applyFont="1" applyFill="1" applyBorder="1" applyAlignment="1">
      <alignment horizontal="center" vertical="center"/>
    </xf>
    <xf numFmtId="2" fontId="26" fillId="0" borderId="1" xfId="0" applyNumberFormat="1" applyFont="1" applyBorder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2" fontId="16" fillId="0" borderId="0" xfId="0" applyNumberFormat="1" applyFont="1" applyAlignment="1" applyProtection="1">
      <alignment horizontal="right"/>
      <protection locked="0"/>
    </xf>
    <xf numFmtId="0" fontId="26" fillId="0" borderId="0" xfId="0" applyFont="1" applyAlignment="1" applyProtection="1">
      <alignment vertical="center"/>
      <protection locked="0"/>
    </xf>
    <xf numFmtId="165" fontId="15" fillId="0" borderId="0" xfId="0" applyNumberFormat="1" applyFont="1" applyAlignment="1" applyProtection="1">
      <alignment horizontal="center"/>
      <protection locked="0"/>
    </xf>
    <xf numFmtId="0" fontId="32" fillId="11" borderId="14" xfId="0" applyFont="1" applyFill="1" applyBorder="1" applyAlignment="1" applyProtection="1">
      <alignment horizontal="left" vertical="center"/>
      <protection locked="0"/>
    </xf>
    <xf numFmtId="0" fontId="22" fillId="8" borderId="14" xfId="0" applyFont="1" applyFill="1" applyBorder="1" applyAlignment="1" applyProtection="1">
      <alignment horizontal="left" vertical="center"/>
      <protection locked="0"/>
    </xf>
    <xf numFmtId="2" fontId="22" fillId="20" borderId="16" xfId="1" applyNumberFormat="1" applyFont="1" applyFill="1" applyBorder="1" applyAlignment="1" applyProtection="1">
      <alignment horizontal="center" vertical="center"/>
      <protection locked="0"/>
    </xf>
    <xf numFmtId="1" fontId="20" fillId="16" borderId="17" xfId="1" applyNumberFormat="1" applyFont="1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77" xfId="0" applyBorder="1" applyAlignment="1" applyProtection="1">
      <alignment horizontal="center"/>
      <protection locked="0"/>
    </xf>
    <xf numFmtId="0" fontId="32" fillId="11" borderId="14" xfId="0" applyFont="1" applyFill="1" applyBorder="1" applyAlignment="1" applyProtection="1">
      <alignment horizontal="center" vertical="center"/>
      <protection locked="0"/>
    </xf>
    <xf numFmtId="44" fontId="0" fillId="13" borderId="17" xfId="0" applyNumberFormat="1" applyFill="1" applyBorder="1" applyAlignment="1" applyProtection="1">
      <alignment horizontal="left"/>
      <protection locked="0"/>
    </xf>
    <xf numFmtId="44" fontId="0" fillId="0" borderId="31" xfId="0" applyNumberFormat="1" applyBorder="1" applyAlignment="1" applyProtection="1">
      <alignment horizontal="center"/>
      <protection locked="0"/>
    </xf>
    <xf numFmtId="44" fontId="0" fillId="0" borderId="31" xfId="0" applyNumberFormat="1" applyBorder="1" applyProtection="1">
      <protection locked="0"/>
    </xf>
    <xf numFmtId="44" fontId="20" fillId="24" borderId="4" xfId="1" applyFont="1" applyFill="1" applyBorder="1" applyAlignment="1" applyProtection="1">
      <alignment horizontal="left" vertical="center"/>
      <protection locked="0"/>
    </xf>
    <xf numFmtId="0" fontId="0" fillId="0" borderId="17" xfId="0" applyBorder="1" applyProtection="1">
      <protection locked="0"/>
    </xf>
    <xf numFmtId="44" fontId="17" fillId="0" borderId="0" xfId="1" applyFont="1" applyFill="1" applyAlignment="1" applyProtection="1">
      <protection locked="0"/>
    </xf>
    <xf numFmtId="9" fontId="20" fillId="24" borderId="4" xfId="2" applyFont="1" applyFill="1" applyBorder="1" applyAlignment="1" applyProtection="1">
      <alignment horizontal="center" vertical="center"/>
      <protection locked="0"/>
    </xf>
    <xf numFmtId="0" fontId="22" fillId="8" borderId="40" xfId="0" applyFont="1" applyFill="1" applyBorder="1" applyAlignment="1" applyProtection="1">
      <alignment horizontal="left" vertical="center"/>
      <protection locked="0"/>
    </xf>
    <xf numFmtId="10" fontId="0" fillId="24" borderId="17" xfId="0" applyNumberFormat="1" applyFill="1" applyBorder="1" applyAlignment="1" applyProtection="1">
      <alignment horizontal="center"/>
      <protection locked="0"/>
    </xf>
    <xf numFmtId="0" fontId="0" fillId="13" borderId="17" xfId="0" applyFill="1" applyBorder="1" applyAlignment="1" applyProtection="1">
      <alignment horizontal="center"/>
      <protection locked="0"/>
    </xf>
    <xf numFmtId="44" fontId="20" fillId="24" borderId="17" xfId="1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Protection="1">
      <protection locked="0"/>
    </xf>
    <xf numFmtId="2" fontId="15" fillId="0" borderId="1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8" fontId="13" fillId="0" borderId="1" xfId="0" applyNumberFormat="1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/>
      <protection locked="0"/>
    </xf>
    <xf numFmtId="0" fontId="22" fillId="8" borderId="49" xfId="0" applyFont="1" applyFill="1" applyBorder="1" applyAlignment="1" applyProtection="1">
      <alignment horizontal="left" vertical="center"/>
      <protection locked="0"/>
    </xf>
    <xf numFmtId="0" fontId="22" fillId="8" borderId="19" xfId="0" applyFont="1" applyFill="1" applyBorder="1" applyAlignment="1" applyProtection="1">
      <alignment horizontal="left" vertical="center"/>
      <protection locked="0"/>
    </xf>
    <xf numFmtId="10" fontId="9" fillId="0" borderId="1" xfId="2" applyNumberFormat="1" applyFont="1" applyFill="1" applyBorder="1" applyAlignment="1" applyProtection="1">
      <alignment horizontal="center" vertical="center"/>
      <protection locked="0"/>
    </xf>
    <xf numFmtId="0" fontId="22" fillId="8" borderId="12" xfId="0" applyFont="1" applyFill="1" applyBorder="1" applyAlignment="1" applyProtection="1">
      <alignment horizontal="left" vertical="center"/>
      <protection locked="0"/>
    </xf>
    <xf numFmtId="0" fontId="22" fillId="8" borderId="43" xfId="0" applyFont="1" applyFill="1" applyBorder="1" applyAlignment="1" applyProtection="1">
      <alignment horizontal="left" vertical="center"/>
      <protection locked="0"/>
    </xf>
    <xf numFmtId="0" fontId="22" fillId="8" borderId="21" xfId="0" applyFont="1" applyFill="1" applyBorder="1" applyAlignment="1" applyProtection="1">
      <alignment horizontal="left" vertical="center"/>
      <protection locked="0"/>
    </xf>
    <xf numFmtId="0" fontId="12" fillId="0" borderId="1" xfId="0" applyFont="1" applyBorder="1" applyProtection="1">
      <protection locked="0"/>
    </xf>
    <xf numFmtId="0" fontId="0" fillId="9" borderId="0" xfId="0" applyFill="1" applyProtection="1">
      <protection locked="0"/>
    </xf>
    <xf numFmtId="44" fontId="9" fillId="0" borderId="1" xfId="1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vertical="center"/>
      <protection locked="0"/>
    </xf>
    <xf numFmtId="2" fontId="15" fillId="0" borderId="1" xfId="0" applyNumberFormat="1" applyFont="1" applyBorder="1" applyAlignment="1" applyProtection="1">
      <alignment horizontal="center" vertical="center"/>
      <protection locked="0"/>
    </xf>
    <xf numFmtId="0" fontId="22" fillId="8" borderId="44" xfId="0" applyFont="1" applyFill="1" applyBorder="1" applyAlignment="1" applyProtection="1">
      <alignment horizontal="center" vertical="center"/>
      <protection locked="0"/>
    </xf>
    <xf numFmtId="165" fontId="15" fillId="0" borderId="1" xfId="0" applyNumberFormat="1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22" fillId="8" borderId="14" xfId="0" applyFont="1" applyFill="1" applyBorder="1" applyAlignment="1" applyProtection="1">
      <alignment horizontal="center" vertical="center"/>
      <protection locked="0"/>
    </xf>
    <xf numFmtId="0" fontId="22" fillId="8" borderId="9" xfId="0" applyFont="1" applyFill="1" applyBorder="1" applyAlignment="1" applyProtection="1">
      <alignment horizontal="left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" fontId="15" fillId="0" borderId="1" xfId="0" applyNumberFormat="1" applyFont="1" applyBorder="1" applyAlignment="1" applyProtection="1">
      <alignment horizontal="center" vertical="center"/>
      <protection locked="0"/>
    </xf>
    <xf numFmtId="167" fontId="15" fillId="0" borderId="1" xfId="0" applyNumberFormat="1" applyFont="1" applyBorder="1" applyAlignment="1" applyProtection="1">
      <alignment horizontal="center" vertical="center"/>
      <protection locked="0"/>
    </xf>
    <xf numFmtId="166" fontId="15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0" fontId="14" fillId="0" borderId="1" xfId="0" applyFont="1" applyBorder="1" applyProtection="1">
      <protection locked="0"/>
    </xf>
    <xf numFmtId="2" fontId="15" fillId="0" borderId="1" xfId="0" applyNumberFormat="1" applyFont="1" applyBorder="1" applyProtection="1">
      <protection locked="0"/>
    </xf>
    <xf numFmtId="0" fontId="22" fillId="8" borderId="17" xfId="0" applyFont="1" applyFill="1" applyBorder="1" applyAlignment="1">
      <alignment horizontal="left" vertical="center"/>
    </xf>
    <xf numFmtId="44" fontId="9" fillId="13" borderId="17" xfId="1" applyFont="1" applyFill="1" applyBorder="1" applyAlignment="1" applyProtection="1">
      <alignment horizontal="left" vertical="center"/>
    </xf>
    <xf numFmtId="10" fontId="9" fillId="13" borderId="17" xfId="2" applyNumberFormat="1" applyFont="1" applyFill="1" applyBorder="1" applyAlignment="1" applyProtection="1">
      <alignment horizontal="center" vertical="center"/>
    </xf>
    <xf numFmtId="44" fontId="0" fillId="13" borderId="17" xfId="0" applyNumberFormat="1" applyFill="1" applyBorder="1" applyAlignment="1">
      <alignment horizontal="left"/>
    </xf>
    <xf numFmtId="44" fontId="9" fillId="13" borderId="17" xfId="1" applyFont="1" applyFill="1" applyBorder="1" applyAlignment="1" applyProtection="1">
      <alignment horizontal="center" vertical="center"/>
    </xf>
    <xf numFmtId="44" fontId="9" fillId="13" borderId="17" xfId="2" applyNumberFormat="1" applyFont="1" applyFill="1" applyBorder="1" applyAlignment="1" applyProtection="1">
      <alignment horizontal="left" vertical="center"/>
    </xf>
    <xf numFmtId="44" fontId="20" fillId="13" borderId="17" xfId="1" applyFont="1" applyFill="1" applyBorder="1" applyAlignment="1" applyProtection="1">
      <alignment horizontal="center" vertical="center"/>
    </xf>
    <xf numFmtId="44" fontId="9" fillId="13" borderId="55" xfId="1" applyFont="1" applyFill="1" applyBorder="1" applyAlignment="1" applyProtection="1">
      <alignment vertical="center"/>
    </xf>
    <xf numFmtId="10" fontId="9" fillId="13" borderId="20" xfId="2" applyNumberFormat="1" applyFont="1" applyFill="1" applyBorder="1" applyAlignment="1" applyProtection="1">
      <alignment horizontal="center" vertical="center"/>
    </xf>
    <xf numFmtId="44" fontId="9" fillId="13" borderId="54" xfId="1" applyFont="1" applyFill="1" applyBorder="1" applyAlignment="1" applyProtection="1">
      <alignment vertical="center"/>
    </xf>
    <xf numFmtId="10" fontId="9" fillId="13" borderId="13" xfId="2" applyNumberFormat="1" applyFont="1" applyFill="1" applyBorder="1" applyAlignment="1" applyProtection="1">
      <alignment horizontal="center" vertical="center"/>
    </xf>
    <xf numFmtId="44" fontId="9" fillId="13" borderId="22" xfId="1" applyFont="1" applyFill="1" applyBorder="1" applyAlignment="1" applyProtection="1">
      <alignment vertical="center"/>
    </xf>
    <xf numFmtId="10" fontId="9" fillId="13" borderId="56" xfId="2" applyNumberFormat="1" applyFont="1" applyFill="1" applyBorder="1" applyAlignment="1" applyProtection="1">
      <alignment horizontal="center" vertical="center"/>
    </xf>
    <xf numFmtId="9" fontId="9" fillId="0" borderId="1" xfId="2" applyFont="1" applyFill="1" applyBorder="1" applyAlignment="1" applyProtection="1">
      <alignment horizontal="center" vertical="center"/>
    </xf>
    <xf numFmtId="177" fontId="0" fillId="13" borderId="55" xfId="0" applyNumberFormat="1" applyFill="1" applyBorder="1" applyAlignment="1">
      <alignment horizontal="center" vertical="center"/>
    </xf>
    <xf numFmtId="44" fontId="0" fillId="13" borderId="20" xfId="0" applyNumberFormat="1" applyFill="1" applyBorder="1" applyAlignment="1">
      <alignment horizontal="center" vertical="center"/>
    </xf>
    <xf numFmtId="177" fontId="0" fillId="13" borderId="54" xfId="0" applyNumberFormat="1" applyFill="1" applyBorder="1" applyAlignment="1">
      <alignment horizontal="center" vertical="center"/>
    </xf>
    <xf numFmtId="44" fontId="0" fillId="13" borderId="13" xfId="0" applyNumberFormat="1" applyFill="1" applyBorder="1" applyAlignment="1">
      <alignment horizontal="center" vertical="center"/>
    </xf>
    <xf numFmtId="177" fontId="0" fillId="13" borderId="5" xfId="0" applyNumberFormat="1" applyFill="1" applyBorder="1" applyAlignment="1">
      <alignment horizontal="center" vertical="center"/>
    </xf>
    <xf numFmtId="44" fontId="0" fillId="13" borderId="10" xfId="0" applyNumberFormat="1" applyFill="1" applyBorder="1" applyAlignment="1">
      <alignment horizontal="center" vertical="center"/>
    </xf>
    <xf numFmtId="44" fontId="9" fillId="13" borderId="50" xfId="1" applyFont="1" applyFill="1" applyBorder="1" applyAlignment="1" applyProtection="1">
      <alignment horizontal="center" vertical="center"/>
    </xf>
    <xf numFmtId="170" fontId="0" fillId="0" borderId="0" xfId="0" applyNumberFormat="1"/>
    <xf numFmtId="0" fontId="22" fillId="8" borderId="14" xfId="0" applyFont="1" applyFill="1" applyBorder="1" applyAlignment="1">
      <alignment horizontal="center" vertical="center"/>
    </xf>
    <xf numFmtId="0" fontId="22" fillId="8" borderId="14" xfId="0" applyFont="1" applyFill="1" applyBorder="1" applyAlignment="1">
      <alignment horizontal="left" vertical="center"/>
    </xf>
    <xf numFmtId="2" fontId="20" fillId="13" borderId="17" xfId="1" applyNumberFormat="1" applyFont="1" applyFill="1" applyBorder="1" applyAlignment="1" applyProtection="1">
      <alignment horizontal="center" vertical="center"/>
    </xf>
    <xf numFmtId="0" fontId="20" fillId="13" borderId="17" xfId="1" applyNumberFormat="1" applyFont="1" applyFill="1" applyBorder="1" applyAlignment="1" applyProtection="1">
      <alignment horizontal="center" vertical="center"/>
    </xf>
    <xf numFmtId="0" fontId="0" fillId="25" borderId="0" xfId="0" applyFill="1"/>
    <xf numFmtId="165" fontId="20" fillId="13" borderId="17" xfId="1" applyNumberFormat="1" applyFont="1" applyFill="1" applyBorder="1" applyAlignment="1" applyProtection="1">
      <alignment horizontal="center" vertical="center"/>
    </xf>
    <xf numFmtId="4" fontId="14" fillId="13" borderId="17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22" fillId="8" borderId="1" xfId="0" applyFont="1" applyFill="1" applyBorder="1" applyAlignment="1">
      <alignment horizontal="left" vertical="center"/>
    </xf>
    <xf numFmtId="1" fontId="20" fillId="13" borderId="17" xfId="1" applyNumberFormat="1" applyFont="1" applyFill="1" applyBorder="1" applyAlignment="1" applyProtection="1">
      <alignment horizontal="center" vertical="center"/>
    </xf>
    <xf numFmtId="0" fontId="22" fillId="0" borderId="1" xfId="0" applyFont="1" applyBorder="1" applyAlignment="1">
      <alignment horizontal="center" vertical="center"/>
    </xf>
    <xf numFmtId="44" fontId="0" fillId="0" borderId="1" xfId="1" applyFont="1" applyFill="1" applyBorder="1" applyAlignment="1" applyProtection="1"/>
    <xf numFmtId="177" fontId="14" fillId="13" borderId="17" xfId="0" applyNumberFormat="1" applyFont="1" applyFill="1" applyBorder="1" applyAlignment="1">
      <alignment horizontal="center"/>
    </xf>
    <xf numFmtId="10" fontId="0" fillId="0" borderId="1" xfId="0" applyNumberFormat="1" applyBorder="1"/>
    <xf numFmtId="177" fontId="14" fillId="13" borderId="17" xfId="0" applyNumberFormat="1" applyFont="1" applyFill="1" applyBorder="1" applyAlignment="1">
      <alignment horizontal="center" vertical="center"/>
    </xf>
    <xf numFmtId="0" fontId="50" fillId="16" borderId="17" xfId="0" applyFont="1" applyFill="1" applyBorder="1" applyAlignment="1">
      <alignment horizontal="center" vertical="center"/>
    </xf>
    <xf numFmtId="177" fontId="50" fillId="16" borderId="17" xfId="0" applyNumberFormat="1" applyFont="1" applyFill="1" applyBorder="1" applyAlignment="1">
      <alignment horizontal="center" vertical="center"/>
    </xf>
    <xf numFmtId="0" fontId="36" fillId="0" borderId="1" xfId="0" applyFont="1" applyBorder="1" applyAlignment="1">
      <alignment horizontal="left" vertical="center"/>
    </xf>
    <xf numFmtId="172" fontId="50" fillId="16" borderId="17" xfId="2" applyNumberFormat="1" applyFont="1" applyFill="1" applyBorder="1" applyAlignment="1" applyProtection="1">
      <alignment horizontal="center"/>
    </xf>
    <xf numFmtId="0" fontId="38" fillId="0" borderId="1" xfId="0" applyFont="1" applyBorder="1"/>
    <xf numFmtId="170" fontId="0" fillId="0" borderId="1" xfId="0" applyNumberFormat="1" applyBorder="1"/>
    <xf numFmtId="177" fontId="20" fillId="13" borderId="17" xfId="1" applyNumberFormat="1" applyFont="1" applyFill="1" applyBorder="1" applyAlignment="1" applyProtection="1">
      <alignment horizontal="center" vertical="center"/>
    </xf>
    <xf numFmtId="1" fontId="0" fillId="0" borderId="1" xfId="0" applyNumberFormat="1" applyBorder="1"/>
    <xf numFmtId="10" fontId="20" fillId="13" borderId="17" xfId="1" applyNumberFormat="1" applyFont="1" applyFill="1" applyBorder="1" applyAlignment="1" applyProtection="1">
      <alignment horizontal="center" vertical="center"/>
    </xf>
    <xf numFmtId="172" fontId="0" fillId="0" borderId="1" xfId="2" applyNumberFormat="1" applyFont="1" applyBorder="1" applyAlignment="1" applyProtection="1"/>
    <xf numFmtId="2" fontId="14" fillId="13" borderId="26" xfId="0" applyNumberFormat="1" applyFont="1" applyFill="1" applyBorder="1" applyAlignment="1">
      <alignment horizontal="center" vertical="center"/>
    </xf>
    <xf numFmtId="177" fontId="14" fillId="13" borderId="41" xfId="0" applyNumberFormat="1" applyFont="1" applyFill="1" applyBorder="1" applyAlignment="1">
      <alignment horizontal="center" vertical="center"/>
    </xf>
    <xf numFmtId="177" fontId="14" fillId="13" borderId="26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/>
    </xf>
    <xf numFmtId="0" fontId="14" fillId="21" borderId="76" xfId="0" applyFont="1" applyFill="1" applyBorder="1" applyAlignment="1">
      <alignment horizontal="left"/>
    </xf>
    <xf numFmtId="2" fontId="0" fillId="21" borderId="4" xfId="0" applyNumberFormat="1" applyFill="1" applyBorder="1" applyAlignment="1">
      <alignment horizontal="center"/>
    </xf>
    <xf numFmtId="0" fontId="14" fillId="0" borderId="76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14" fillId="0" borderId="76" xfId="0" applyFont="1" applyBorder="1"/>
    <xf numFmtId="2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14" fillId="0" borderId="9" xfId="0" applyFont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14" fillId="0" borderId="76" xfId="0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2" fontId="0" fillId="0" borderId="10" xfId="0" applyNumberFormat="1" applyBorder="1" applyAlignment="1">
      <alignment horizontal="center"/>
    </xf>
    <xf numFmtId="0" fontId="14" fillId="29" borderId="17" xfId="0" applyFont="1" applyFill="1" applyBorder="1" applyAlignment="1" applyProtection="1">
      <alignment horizontal="center" vertical="center"/>
      <protection locked="0"/>
    </xf>
    <xf numFmtId="0" fontId="35" fillId="12" borderId="27" xfId="0" applyFont="1" applyFill="1" applyBorder="1"/>
    <xf numFmtId="3" fontId="0" fillId="0" borderId="0" xfId="0" applyNumberFormat="1"/>
    <xf numFmtId="4" fontId="0" fillId="0" borderId="0" xfId="0" applyNumberFormat="1"/>
    <xf numFmtId="1" fontId="0" fillId="0" borderId="0" xfId="0" applyNumberFormat="1"/>
    <xf numFmtId="0" fontId="32" fillId="9" borderId="41" xfId="11" applyFont="1" applyFill="1" applyBorder="1" applyAlignment="1">
      <alignment horizontal="center"/>
    </xf>
    <xf numFmtId="0" fontId="32" fillId="9" borderId="40" xfId="11" applyFont="1" applyFill="1" applyBorder="1" applyAlignment="1">
      <alignment horizontal="center"/>
    </xf>
    <xf numFmtId="0" fontId="14" fillId="21" borderId="17" xfId="11" applyFont="1" applyFill="1" applyBorder="1" applyAlignment="1">
      <alignment horizontal="center"/>
    </xf>
    <xf numFmtId="44" fontId="9" fillId="13" borderId="17" xfId="1" applyFont="1" applyFill="1" applyBorder="1" applyAlignment="1" applyProtection="1">
      <alignment horizontal="left" vertical="center"/>
      <protection locked="0"/>
    </xf>
    <xf numFmtId="9" fontId="0" fillId="0" borderId="0" xfId="0" applyNumberFormat="1" applyProtection="1">
      <protection locked="0"/>
    </xf>
    <xf numFmtId="9" fontId="0" fillId="0" borderId="1" xfId="0" applyNumberFormat="1" applyBorder="1" applyProtection="1">
      <protection locked="0"/>
    </xf>
    <xf numFmtId="8" fontId="24" fillId="13" borderId="75" xfId="2" applyNumberFormat="1" applyFont="1" applyFill="1" applyBorder="1" applyAlignment="1" applyProtection="1">
      <alignment horizontal="center" vertical="center"/>
    </xf>
    <xf numFmtId="177" fontId="0" fillId="0" borderId="0" xfId="0" applyNumberFormat="1"/>
    <xf numFmtId="0" fontId="32" fillId="23" borderId="41" xfId="11" applyFont="1" applyFill="1" applyBorder="1" applyAlignment="1">
      <alignment horizontal="center"/>
    </xf>
    <xf numFmtId="0" fontId="32" fillId="23" borderId="40" xfId="11" applyFont="1" applyFill="1" applyBorder="1" applyAlignment="1">
      <alignment horizontal="center"/>
    </xf>
    <xf numFmtId="0" fontId="32" fillId="8" borderId="6" xfId="0" applyFont="1" applyFill="1" applyBorder="1" applyAlignment="1">
      <alignment horizontal="center"/>
    </xf>
    <xf numFmtId="0" fontId="32" fillId="8" borderId="64" xfId="0" applyFont="1" applyFill="1" applyBorder="1" applyAlignment="1">
      <alignment horizontal="center" vertical="center"/>
    </xf>
    <xf numFmtId="0" fontId="32" fillId="8" borderId="7" xfId="0" applyFont="1" applyFill="1" applyBorder="1" applyAlignment="1">
      <alignment horizontal="center" vertical="center"/>
    </xf>
    <xf numFmtId="0" fontId="20" fillId="0" borderId="17" xfId="0" applyFont="1" applyBorder="1" applyAlignment="1" applyProtection="1">
      <alignment horizontal="center" vertical="center"/>
      <protection locked="0"/>
    </xf>
    <xf numFmtId="0" fontId="5" fillId="16" borderId="1" xfId="6" applyFont="1" applyFill="1"/>
    <xf numFmtId="0" fontId="30" fillId="0" borderId="1" xfId="6" applyFont="1" applyAlignment="1">
      <alignment horizontal="center" vertical="center"/>
    </xf>
    <xf numFmtId="0" fontId="6" fillId="29" borderId="1" xfId="6" applyFill="1"/>
    <xf numFmtId="0" fontId="24" fillId="29" borderId="1" xfId="6" applyFont="1" applyFill="1" applyAlignment="1">
      <alignment horizontal="center" vertical="center"/>
    </xf>
    <xf numFmtId="0" fontId="33" fillId="29" borderId="0" xfId="0" applyFont="1" applyFill="1"/>
    <xf numFmtId="171" fontId="0" fillId="29" borderId="1" xfId="1" applyNumberFormat="1" applyFont="1" applyFill="1" applyBorder="1" applyAlignment="1">
      <alignment horizontal="right" vertical="center"/>
    </xf>
    <xf numFmtId="0" fontId="34" fillId="29" borderId="0" xfId="0" applyFont="1" applyFill="1"/>
    <xf numFmtId="0" fontId="60" fillId="29" borderId="1" xfId="6" applyFont="1" applyFill="1"/>
    <xf numFmtId="0" fontId="17" fillId="0" borderId="14" xfId="0" applyFont="1" applyBorder="1"/>
    <xf numFmtId="181" fontId="0" fillId="0" borderId="27" xfId="7" applyNumberFormat="1" applyFont="1" applyFill="1" applyBorder="1" applyAlignment="1">
      <alignment horizontal="center" vertical="center"/>
    </xf>
    <xf numFmtId="181" fontId="17" fillId="0" borderId="27" xfId="7" applyNumberFormat="1" applyFont="1" applyFill="1" applyBorder="1" applyAlignment="1">
      <alignment horizontal="center" vertical="center"/>
    </xf>
    <xf numFmtId="2" fontId="6" fillId="0" borderId="1" xfId="6" applyNumberFormat="1"/>
    <xf numFmtId="49" fontId="17" fillId="16" borderId="16" xfId="0" applyNumberFormat="1" applyFont="1" applyFill="1" applyBorder="1" applyAlignment="1">
      <alignment horizontal="center"/>
    </xf>
    <xf numFmtId="49" fontId="5" fillId="0" borderId="1" xfId="6" applyNumberFormat="1" applyFont="1"/>
    <xf numFmtId="2" fontId="17" fillId="0" borderId="0" xfId="0" applyNumberFormat="1" applyFont="1" applyAlignment="1" applyProtection="1">
      <alignment wrapText="1"/>
      <protection locked="0"/>
    </xf>
    <xf numFmtId="2" fontId="2" fillId="21" borderId="17" xfId="0" applyNumberFormat="1" applyFont="1" applyFill="1" applyBorder="1" applyAlignment="1">
      <alignment horizontal="center" vertical="center"/>
    </xf>
    <xf numFmtId="49" fontId="0" fillId="0" borderId="0" xfId="0" applyNumberFormat="1"/>
    <xf numFmtId="2" fontId="17" fillId="16" borderId="16" xfId="0" applyNumberFormat="1" applyFont="1" applyFill="1" applyBorder="1" applyAlignment="1">
      <alignment horizontal="center"/>
    </xf>
    <xf numFmtId="44" fontId="0" fillId="0" borderId="18" xfId="0" applyNumberFormat="1" applyBorder="1" applyAlignment="1" applyProtection="1">
      <alignment horizontal="center"/>
      <protection locked="0"/>
    </xf>
    <xf numFmtId="0" fontId="35" fillId="12" borderId="52" xfId="0" applyFont="1" applyFill="1" applyBorder="1"/>
    <xf numFmtId="0" fontId="0" fillId="0" borderId="14" xfId="0" applyBorder="1" applyAlignment="1">
      <alignment horizontal="right"/>
    </xf>
    <xf numFmtId="10" fontId="17" fillId="16" borderId="16" xfId="0" applyNumberFormat="1" applyFont="1" applyFill="1" applyBorder="1" applyAlignment="1">
      <alignment horizontal="center"/>
    </xf>
    <xf numFmtId="2" fontId="1" fillId="21" borderId="17" xfId="0" applyNumberFormat="1" applyFont="1" applyFill="1" applyBorder="1" applyAlignment="1">
      <alignment horizontal="center" vertical="center"/>
    </xf>
    <xf numFmtId="177" fontId="17" fillId="16" borderId="16" xfId="0" applyNumberFormat="1" applyFont="1" applyFill="1" applyBorder="1" applyAlignment="1">
      <alignment horizontal="center"/>
    </xf>
    <xf numFmtId="8" fontId="0" fillId="0" borderId="17" xfId="0" applyNumberFormat="1" applyBorder="1" applyAlignment="1">
      <alignment horizontal="center"/>
    </xf>
    <xf numFmtId="8" fontId="0" fillId="0" borderId="17" xfId="0" applyNumberFormat="1" applyBorder="1"/>
    <xf numFmtId="0" fontId="0" fillId="0" borderId="17" xfId="0" applyBorder="1" applyAlignment="1">
      <alignment horizontal="right"/>
    </xf>
    <xf numFmtId="177" fontId="17" fillId="16" borderId="17" xfId="0" applyNumberFormat="1" applyFont="1" applyFill="1" applyBorder="1" applyAlignment="1">
      <alignment horizontal="center"/>
    </xf>
    <xf numFmtId="0" fontId="61" fillId="0" borderId="1" xfId="0" applyFont="1" applyBorder="1" applyAlignment="1" applyProtection="1">
      <alignment horizontal="center" vertical="center"/>
      <protection locked="0"/>
    </xf>
    <xf numFmtId="0" fontId="62" fillId="16" borderId="17" xfId="0" applyFont="1" applyFill="1" applyBorder="1" applyAlignment="1" applyProtection="1">
      <alignment horizontal="center" vertical="center"/>
      <protection locked="0"/>
    </xf>
    <xf numFmtId="0" fontId="62" fillId="16" borderId="17" xfId="0" applyFont="1" applyFill="1" applyBorder="1" applyAlignment="1">
      <alignment horizontal="center" vertical="center"/>
    </xf>
    <xf numFmtId="178" fontId="62" fillId="16" borderId="17" xfId="0" applyNumberFormat="1" applyFont="1" applyFill="1" applyBorder="1" applyAlignment="1">
      <alignment horizontal="center" vertical="center"/>
    </xf>
    <xf numFmtId="1" fontId="62" fillId="16" borderId="17" xfId="0" applyNumberFormat="1" applyFont="1" applyFill="1" applyBorder="1" applyAlignment="1">
      <alignment horizontal="center" vertical="center"/>
    </xf>
    <xf numFmtId="2" fontId="62" fillId="16" borderId="17" xfId="0" applyNumberFormat="1" applyFont="1" applyFill="1" applyBorder="1" applyAlignment="1">
      <alignment horizontal="center" vertical="center"/>
    </xf>
    <xf numFmtId="0" fontId="63" fillId="16" borderId="0" xfId="0" applyFont="1" applyFill="1" applyProtection="1">
      <protection locked="0"/>
    </xf>
    <xf numFmtId="0" fontId="63" fillId="16" borderId="1" xfId="0" applyFont="1" applyFill="1" applyBorder="1" applyAlignment="1" applyProtection="1">
      <alignment horizontal="center" vertical="center"/>
      <protection locked="0"/>
    </xf>
    <xf numFmtId="2" fontId="62" fillId="16" borderId="17" xfId="0" applyNumberFormat="1" applyFont="1" applyFill="1" applyBorder="1" applyAlignment="1" applyProtection="1">
      <alignment horizontal="center" vertical="center"/>
      <protection locked="0"/>
    </xf>
    <xf numFmtId="1" fontId="62" fillId="16" borderId="17" xfId="0" applyNumberFormat="1" applyFont="1" applyFill="1" applyBorder="1" applyAlignment="1" applyProtection="1">
      <alignment horizontal="center" vertical="center"/>
      <protection locked="0"/>
    </xf>
    <xf numFmtId="0" fontId="62" fillId="16" borderId="1" xfId="0" applyFont="1" applyFill="1" applyBorder="1" applyAlignment="1" applyProtection="1">
      <alignment horizontal="center" vertical="center"/>
      <protection locked="0"/>
    </xf>
    <xf numFmtId="0" fontId="63" fillId="16" borderId="1" xfId="0" applyFont="1" applyFill="1" applyBorder="1" applyProtection="1">
      <protection locked="0"/>
    </xf>
    <xf numFmtId="0" fontId="62" fillId="16" borderId="17" xfId="0" applyFont="1" applyFill="1" applyBorder="1" applyAlignment="1" applyProtection="1">
      <alignment horizontal="left" vertical="center"/>
      <protection locked="0"/>
    </xf>
    <xf numFmtId="0" fontId="64" fillId="16" borderId="17" xfId="10" applyNumberFormat="1" applyFont="1" applyFill="1" applyBorder="1" applyAlignment="1" applyProtection="1">
      <alignment horizontal="center" vertical="center"/>
      <protection locked="0"/>
    </xf>
    <xf numFmtId="0" fontId="62" fillId="16" borderId="17" xfId="18" applyNumberFormat="1" applyFont="1" applyFill="1" applyBorder="1" applyAlignment="1" applyProtection="1">
      <alignment horizontal="center" vertical="center"/>
      <protection locked="0"/>
    </xf>
    <xf numFmtId="9" fontId="62" fillId="16" borderId="17" xfId="0" applyNumberFormat="1" applyFont="1" applyFill="1" applyBorder="1" applyAlignment="1" applyProtection="1">
      <alignment horizontal="center" vertical="center"/>
      <protection locked="0"/>
    </xf>
    <xf numFmtId="10" fontId="62" fillId="16" borderId="17" xfId="0" applyNumberFormat="1" applyFont="1" applyFill="1" applyBorder="1" applyAlignment="1" applyProtection="1">
      <alignment horizontal="center" vertical="center"/>
      <protection locked="0"/>
    </xf>
    <xf numFmtId="177" fontId="62" fillId="16" borderId="17" xfId="0" applyNumberFormat="1" applyFont="1" applyFill="1" applyBorder="1" applyAlignment="1" applyProtection="1">
      <alignment horizontal="center" vertical="center"/>
      <protection locked="0"/>
    </xf>
    <xf numFmtId="44" fontId="62" fillId="16" borderId="17" xfId="0" applyNumberFormat="1" applyFont="1" applyFill="1" applyBorder="1" applyAlignment="1" applyProtection="1">
      <alignment horizontal="center" vertical="center"/>
      <protection locked="0"/>
    </xf>
    <xf numFmtId="0" fontId="65" fillId="16" borderId="1" xfId="0" applyFont="1" applyFill="1" applyBorder="1" applyAlignment="1" applyProtection="1">
      <alignment horizontal="center" vertical="center"/>
      <protection locked="0"/>
    </xf>
    <xf numFmtId="3" fontId="62" fillId="16" borderId="17" xfId="0" applyNumberFormat="1" applyFont="1" applyFill="1" applyBorder="1" applyAlignment="1">
      <alignment horizontal="center" vertical="center"/>
    </xf>
    <xf numFmtId="182" fontId="62" fillId="16" borderId="17" xfId="0" applyNumberFormat="1" applyFont="1" applyFill="1" applyBorder="1" applyAlignment="1">
      <alignment horizontal="center" vertical="center"/>
    </xf>
    <xf numFmtId="0" fontId="62" fillId="16" borderId="17" xfId="0" applyFont="1" applyFill="1" applyBorder="1" applyAlignment="1">
      <alignment horizontal="left" vertical="center"/>
    </xf>
    <xf numFmtId="171" fontId="63" fillId="16" borderId="17" xfId="1" applyNumberFormat="1" applyFont="1" applyFill="1" applyBorder="1" applyAlignment="1" applyProtection="1"/>
    <xf numFmtId="10" fontId="63" fillId="16" borderId="17" xfId="2" applyNumberFormat="1" applyFont="1" applyFill="1" applyBorder="1" applyAlignment="1" applyProtection="1">
      <alignment horizontal="right" vertical="center"/>
    </xf>
    <xf numFmtId="171" fontId="63" fillId="16" borderId="17" xfId="1" applyNumberFormat="1" applyFont="1" applyFill="1" applyBorder="1" applyAlignment="1" applyProtection="1">
      <alignment horizontal="left"/>
    </xf>
    <xf numFmtId="173" fontId="63" fillId="16" borderId="17" xfId="0" applyNumberFormat="1" applyFont="1" applyFill="1" applyBorder="1" applyAlignment="1">
      <alignment horizontal="center" vertical="center"/>
    </xf>
    <xf numFmtId="0" fontId="63" fillId="16" borderId="17" xfId="0" applyFont="1" applyFill="1" applyBorder="1"/>
    <xf numFmtId="0" fontId="62" fillId="16" borderId="17" xfId="0" applyFont="1" applyFill="1" applyBorder="1" applyAlignment="1">
      <alignment horizontal="center"/>
    </xf>
    <xf numFmtId="10" fontId="62" fillId="16" borderId="17" xfId="0" applyNumberFormat="1" applyFont="1" applyFill="1" applyBorder="1" applyAlignment="1">
      <alignment horizontal="center" vertical="center"/>
    </xf>
    <xf numFmtId="176" fontId="62" fillId="16" borderId="17" xfId="0" applyNumberFormat="1" applyFont="1" applyFill="1" applyBorder="1" applyAlignment="1">
      <alignment horizontal="center" vertical="center"/>
    </xf>
    <xf numFmtId="165" fontId="62" fillId="16" borderId="17" xfId="0" applyNumberFormat="1" applyFont="1" applyFill="1" applyBorder="1" applyAlignment="1">
      <alignment horizontal="center" vertical="center"/>
    </xf>
    <xf numFmtId="9" fontId="62" fillId="16" borderId="17" xfId="2" applyFont="1" applyFill="1" applyBorder="1" applyAlignment="1" applyProtection="1">
      <alignment horizontal="center" vertical="center"/>
    </xf>
    <xf numFmtId="0" fontId="62" fillId="16" borderId="41" xfId="0" applyFont="1" applyFill="1" applyBorder="1" applyAlignment="1">
      <alignment horizontal="center" vertical="center"/>
    </xf>
    <xf numFmtId="172" fontId="62" fillId="16" borderId="17" xfId="0" applyNumberFormat="1" applyFont="1" applyFill="1" applyBorder="1" applyAlignment="1">
      <alignment horizontal="center" vertical="center"/>
    </xf>
    <xf numFmtId="10" fontId="62" fillId="16" borderId="17" xfId="2" applyNumberFormat="1" applyFont="1" applyFill="1" applyBorder="1" applyAlignment="1" applyProtection="1">
      <alignment horizontal="center" vertical="center"/>
    </xf>
    <xf numFmtId="10" fontId="0" fillId="0" borderId="0" xfId="0" applyNumberFormat="1" applyProtection="1">
      <protection locked="0"/>
    </xf>
    <xf numFmtId="0" fontId="62" fillId="0" borderId="17" xfId="0" applyFont="1" applyBorder="1" applyAlignment="1">
      <alignment horizontal="center" vertical="center"/>
    </xf>
    <xf numFmtId="10" fontId="62" fillId="0" borderId="17" xfId="2" applyNumberFormat="1" applyFont="1" applyFill="1" applyBorder="1" applyAlignment="1" applyProtection="1">
      <alignment horizontal="center" vertical="center"/>
    </xf>
    <xf numFmtId="0" fontId="27" fillId="3" borderId="19" xfId="0" applyFont="1" applyFill="1" applyBorder="1" applyAlignment="1">
      <alignment horizontal="center"/>
    </xf>
    <xf numFmtId="0" fontId="27" fillId="3" borderId="20" xfId="0" applyFont="1" applyFill="1" applyBorder="1" applyAlignment="1">
      <alignment horizontal="center"/>
    </xf>
    <xf numFmtId="0" fontId="27" fillId="3" borderId="2" xfId="0" applyFont="1" applyFill="1" applyBorder="1" applyAlignment="1">
      <alignment horizontal="center"/>
    </xf>
    <xf numFmtId="0" fontId="27" fillId="3" borderId="3" xfId="0" applyFont="1" applyFill="1" applyBorder="1" applyAlignment="1">
      <alignment horizontal="center"/>
    </xf>
    <xf numFmtId="0" fontId="27" fillId="4" borderId="14" xfId="0" applyFont="1" applyFill="1" applyBorder="1" applyAlignment="1">
      <alignment horizontal="center"/>
    </xf>
    <xf numFmtId="0" fontId="27" fillId="4" borderId="16" xfId="0" applyFont="1" applyFill="1" applyBorder="1" applyAlignment="1">
      <alignment horizontal="center"/>
    </xf>
    <xf numFmtId="0" fontId="29" fillId="0" borderId="40" xfId="0" applyFont="1" applyBorder="1" applyAlignment="1" applyProtection="1">
      <alignment horizontal="center" vertical="center" wrapText="1"/>
      <protection locked="0"/>
    </xf>
    <xf numFmtId="0" fontId="29" fillId="0" borderId="41" xfId="0" applyFont="1" applyBorder="1" applyAlignment="1" applyProtection="1">
      <alignment horizontal="center" vertical="center" wrapText="1"/>
      <protection locked="0"/>
    </xf>
    <xf numFmtId="0" fontId="29" fillId="0" borderId="26" xfId="0" applyFont="1" applyBorder="1" applyAlignment="1" applyProtection="1">
      <alignment horizontal="center" vertical="center" wrapText="1"/>
      <protection locked="0"/>
    </xf>
    <xf numFmtId="0" fontId="56" fillId="11" borderId="54" xfId="0" applyFont="1" applyFill="1" applyBorder="1" applyAlignment="1">
      <alignment horizontal="center"/>
    </xf>
    <xf numFmtId="0" fontId="55" fillId="11" borderId="54" xfId="0" applyFont="1" applyFill="1" applyBorder="1" applyAlignment="1">
      <alignment horizontal="center"/>
    </xf>
    <xf numFmtId="0" fontId="54" fillId="10" borderId="59" xfId="0" applyFont="1" applyFill="1" applyBorder="1" applyAlignment="1">
      <alignment horizontal="center"/>
    </xf>
    <xf numFmtId="0" fontId="0" fillId="25" borderId="0" xfId="0" applyFill="1" applyAlignment="1" applyProtection="1">
      <alignment horizontal="center"/>
      <protection locked="0"/>
    </xf>
    <xf numFmtId="0" fontId="62" fillId="16" borderId="54" xfId="0" applyFont="1" applyFill="1" applyBorder="1" applyAlignment="1" applyProtection="1">
      <alignment horizontal="center"/>
      <protection locked="0"/>
    </xf>
    <xf numFmtId="0" fontId="22" fillId="25" borderId="1" xfId="0" applyFont="1" applyFill="1" applyBorder="1" applyAlignment="1" applyProtection="1">
      <alignment horizontal="center"/>
      <protection locked="0"/>
    </xf>
    <xf numFmtId="0" fontId="0" fillId="13" borderId="40" xfId="0" applyFill="1" applyBorder="1" applyAlignment="1" applyProtection="1">
      <alignment horizontal="center"/>
      <protection locked="0"/>
    </xf>
    <xf numFmtId="0" fontId="0" fillId="13" borderId="41" xfId="0" applyFill="1" applyBorder="1" applyAlignment="1" applyProtection="1">
      <alignment horizontal="center"/>
      <protection locked="0"/>
    </xf>
    <xf numFmtId="0" fontId="0" fillId="13" borderId="26" xfId="0" applyFill="1" applyBorder="1" applyAlignment="1" applyProtection="1">
      <alignment horizontal="center"/>
      <protection locked="0"/>
    </xf>
    <xf numFmtId="0" fontId="0" fillId="24" borderId="40" xfId="0" applyFill="1" applyBorder="1" applyAlignment="1" applyProtection="1">
      <alignment horizontal="center"/>
      <protection locked="0"/>
    </xf>
    <xf numFmtId="0" fontId="0" fillId="24" borderId="41" xfId="0" applyFill="1" applyBorder="1" applyAlignment="1" applyProtection="1">
      <alignment horizontal="center"/>
      <protection locked="0"/>
    </xf>
    <xf numFmtId="0" fontId="0" fillId="24" borderId="26" xfId="0" applyFill="1" applyBorder="1" applyAlignment="1" applyProtection="1">
      <alignment horizontal="center"/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0" fontId="0" fillId="24" borderId="17" xfId="0" applyFill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 vertical="center" wrapText="1"/>
      <protection locked="0"/>
    </xf>
    <xf numFmtId="44" fontId="0" fillId="0" borderId="0" xfId="0" applyNumberFormat="1" applyAlignment="1" applyProtection="1">
      <alignment horizontal="center"/>
      <protection locked="0"/>
    </xf>
    <xf numFmtId="0" fontId="14" fillId="19" borderId="78" xfId="0" applyFont="1" applyFill="1" applyBorder="1" applyAlignment="1" applyProtection="1">
      <alignment horizontal="center"/>
      <protection locked="0"/>
    </xf>
    <xf numFmtId="0" fontId="14" fillId="19" borderId="59" xfId="0" applyFont="1" applyFill="1" applyBorder="1" applyAlignment="1" applyProtection="1">
      <alignment horizontal="center"/>
      <protection locked="0"/>
    </xf>
    <xf numFmtId="0" fontId="14" fillId="19" borderId="79" xfId="0" applyFont="1" applyFill="1" applyBorder="1" applyAlignment="1" applyProtection="1">
      <alignment horizontal="center"/>
      <protection locked="0"/>
    </xf>
    <xf numFmtId="0" fontId="14" fillId="19" borderId="6" xfId="0" applyFont="1" applyFill="1" applyBorder="1" applyAlignment="1" applyProtection="1">
      <alignment horizontal="center"/>
      <protection locked="0"/>
    </xf>
    <xf numFmtId="0" fontId="14" fillId="19" borderId="64" xfId="0" applyFont="1" applyFill="1" applyBorder="1" applyAlignment="1" applyProtection="1">
      <alignment horizontal="center"/>
      <protection locked="0"/>
    </xf>
    <xf numFmtId="0" fontId="14" fillId="19" borderId="7" xfId="0" applyFont="1" applyFill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25" borderId="0" xfId="0" applyFill="1" applyAlignment="1">
      <alignment horizontal="center"/>
    </xf>
    <xf numFmtId="0" fontId="0" fillId="0" borderId="37" xfId="0" applyBorder="1" applyProtection="1">
      <protection locked="0"/>
    </xf>
    <xf numFmtId="0" fontId="0" fillId="0" borderId="54" xfId="0" applyBorder="1" applyProtection="1">
      <protection locked="0"/>
    </xf>
    <xf numFmtId="0" fontId="0" fillId="0" borderId="27" xfId="0" applyBorder="1" applyProtection="1">
      <protection locked="0"/>
    </xf>
    <xf numFmtId="0" fontId="58" fillId="28" borderId="6" xfId="0" applyFont="1" applyFill="1" applyBorder="1" applyAlignment="1">
      <alignment horizontal="center" vertical="center"/>
    </xf>
    <xf numFmtId="0" fontId="58" fillId="28" borderId="7" xfId="0" applyFont="1" applyFill="1" applyBorder="1" applyAlignment="1">
      <alignment horizontal="center" vertical="center"/>
    </xf>
    <xf numFmtId="0" fontId="58" fillId="28" borderId="76" xfId="0" applyFont="1" applyFill="1" applyBorder="1" applyAlignment="1">
      <alignment horizontal="center" vertical="center"/>
    </xf>
    <xf numFmtId="0" fontId="58" fillId="28" borderId="4" xfId="0" applyFont="1" applyFill="1" applyBorder="1" applyAlignment="1">
      <alignment horizontal="center" vertical="center"/>
    </xf>
    <xf numFmtId="0" fontId="30" fillId="6" borderId="33" xfId="6" applyFont="1" applyFill="1" applyBorder="1" applyAlignment="1">
      <alignment horizontal="center" vertical="center"/>
    </xf>
    <xf numFmtId="0" fontId="30" fillId="6" borderId="39" xfId="6" applyFont="1" applyFill="1" applyBorder="1" applyAlignment="1">
      <alignment horizontal="center" vertical="center"/>
    </xf>
    <xf numFmtId="0" fontId="30" fillId="6" borderId="23" xfId="6" applyFont="1" applyFill="1" applyBorder="1" applyAlignment="1">
      <alignment horizontal="center" vertical="center"/>
    </xf>
    <xf numFmtId="0" fontId="30" fillId="6" borderId="22" xfId="6" applyFont="1" applyFill="1" applyBorder="1" applyAlignment="1">
      <alignment horizontal="center" vertical="center"/>
    </xf>
    <xf numFmtId="0" fontId="53" fillId="10" borderId="1" xfId="0" applyFont="1" applyFill="1" applyBorder="1" applyAlignment="1">
      <alignment horizontal="center"/>
    </xf>
    <xf numFmtId="0" fontId="60" fillId="29" borderId="1" xfId="6" applyFont="1" applyFill="1" applyAlignment="1">
      <alignment horizontal="center" wrapText="1"/>
    </xf>
    <xf numFmtId="0" fontId="5" fillId="0" borderId="48" xfId="6" applyFont="1" applyBorder="1" applyAlignment="1">
      <alignment horizontal="center" wrapText="1"/>
    </xf>
    <xf numFmtId="0" fontId="5" fillId="0" borderId="1" xfId="6" applyFont="1" applyAlignment="1">
      <alignment horizontal="center" wrapText="1"/>
    </xf>
    <xf numFmtId="0" fontId="32" fillId="9" borderId="51" xfId="11" applyFont="1" applyFill="1" applyBorder="1" applyAlignment="1">
      <alignment horizontal="center"/>
    </xf>
    <xf numFmtId="0" fontId="32" fillId="9" borderId="1" xfId="11" applyFont="1" applyFill="1" applyAlignment="1">
      <alignment horizontal="center"/>
    </xf>
    <xf numFmtId="0" fontId="32" fillId="22" borderId="51" xfId="11" applyFont="1" applyFill="1" applyBorder="1" applyAlignment="1">
      <alignment horizontal="center"/>
    </xf>
    <xf numFmtId="0" fontId="32" fillId="22" borderId="1" xfId="11" applyFont="1" applyFill="1" applyAlignment="1">
      <alignment horizontal="center"/>
    </xf>
    <xf numFmtId="0" fontId="32" fillId="20" borderId="53" xfId="11" applyFont="1" applyFill="1" applyBorder="1" applyAlignment="1">
      <alignment horizontal="center"/>
    </xf>
    <xf numFmtId="0" fontId="32" fillId="20" borderId="59" xfId="11" applyFont="1" applyFill="1" applyBorder="1" applyAlignment="1">
      <alignment horizontal="center"/>
    </xf>
    <xf numFmtId="0" fontId="28" fillId="7" borderId="33" xfId="6" applyFont="1" applyFill="1" applyBorder="1" applyAlignment="1">
      <alignment horizontal="center" vertical="center"/>
    </xf>
    <xf numFmtId="0" fontId="28" fillId="7" borderId="34" xfId="6" applyFont="1" applyFill="1" applyBorder="1" applyAlignment="1">
      <alignment horizontal="center" vertical="center"/>
    </xf>
    <xf numFmtId="0" fontId="20" fillId="15" borderId="0" xfId="0" applyFont="1" applyFill="1" applyAlignment="1">
      <alignment horizontal="center"/>
    </xf>
  </cellXfs>
  <cellStyles count="19">
    <cellStyle name="Hiperlink" xfId="10" builtinId="8"/>
    <cellStyle name="Hiperlink 2" xfId="18" xr:uid="{195F0658-AD6D-4EAF-9282-28C8D2B00DDB}"/>
    <cellStyle name="Moeda" xfId="1" builtinId="4"/>
    <cellStyle name="Moeda 2" xfId="4" xr:uid="{00000000-0005-0000-0000-000001000000}"/>
    <cellStyle name="Moeda 2 2" xfId="14" xr:uid="{5ED1FF18-4802-4DD8-989A-4D87C7C9AD99}"/>
    <cellStyle name="Moeda 3" xfId="7" xr:uid="{8DC9DC42-301D-0745-ACC6-F13FA68748BE}"/>
    <cellStyle name="Moeda 3 2" xfId="17" xr:uid="{BC1D977E-2B19-4AA6-AB2A-8A24BD230751}"/>
    <cellStyle name="Moeda 4" xfId="12" xr:uid="{310B4A17-00A7-473E-AEE4-9FFBACF05B6F}"/>
    <cellStyle name="Normal" xfId="0" builtinId="0"/>
    <cellStyle name="Normal 2" xfId="3" xr:uid="{00000000-0005-0000-0000-000003000000}"/>
    <cellStyle name="Normal 2 2" xfId="13" xr:uid="{665240FC-A871-4F91-8216-59E867FCC9B3}"/>
    <cellStyle name="Normal 3" xfId="6" xr:uid="{34440D2E-0E97-1945-8CC4-75A9BA9E6C0A}"/>
    <cellStyle name="Normal 3 2" xfId="16" xr:uid="{38134341-5FD0-48EE-9F3B-F31187F1DD0A}"/>
    <cellStyle name="Normal 4" xfId="8" xr:uid="{7F7CBC32-DDB9-4411-9019-60D1AE6BC091}"/>
    <cellStyle name="Normal 5" xfId="11" xr:uid="{C6BB1CB4-1C4E-4427-B630-9AE218573C89}"/>
    <cellStyle name="Porcentagem" xfId="2" builtinId="5"/>
    <cellStyle name="Porcentagem 2" xfId="5" xr:uid="{00000000-0005-0000-0000-000005000000}"/>
    <cellStyle name="Porcentagem 2 2" xfId="15" xr:uid="{E4293923-D49A-4746-BDAB-B164B0F4435A}"/>
    <cellStyle name="Porcentagem 3" xfId="9" xr:uid="{C9412778-37DB-419B-804B-8476D7C5B56C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0F0F4"/>
      <color rgb="FF94EAEB"/>
      <color rgb="FF096543"/>
      <color rgb="FF0E4B29"/>
      <color rgb="FFFFA701"/>
      <color rgb="FFFC5E01"/>
      <color rgb="FF192B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rgbClr val="C00000"/>
                </a:solidFill>
              </a:rPr>
              <a:t>PayBack </a:t>
            </a:r>
          </a:p>
        </c:rich>
      </c:tx>
      <c:layout>
        <c:manualLayout>
          <c:xMode val="edge"/>
          <c:yMode val="edge"/>
          <c:x val="0.45103764194776907"/>
          <c:y val="1.62413998733788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100900848665075"/>
          <c:y val="0.13840654332046978"/>
          <c:w val="0.77246988687863372"/>
          <c:h val="0.81112164828207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'DADOS INICIAIS'!$AR$13</c:f>
              <c:strCache>
                <c:ptCount val="1"/>
                <c:pt idx="0">
                  <c:v>Valor presente Acumulado 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val>
            <c:numRef>
              <c:f>'DADOS INICIAIS'!$AR$14:$AR$39</c:f>
              <c:numCache>
                <c:formatCode>"R$"#,##0.00_);[Red]\("R$"#,##0.00\)</c:formatCode>
                <c:ptCount val="26"/>
                <c:pt idx="0">
                  <c:v>-1032105</c:v>
                </c:pt>
                <c:pt idx="1">
                  <c:v>-873851.96125968476</c:v>
                </c:pt>
                <c:pt idx="2">
                  <c:v>-706103.7401949506</c:v>
                </c:pt>
                <c:pt idx="3">
                  <c:v>-528290.62586633244</c:v>
                </c:pt>
                <c:pt idx="4">
                  <c:v>-339808.72467799718</c:v>
                </c:pt>
                <c:pt idx="5">
                  <c:v>-140017.90941836173</c:v>
                </c:pt>
                <c:pt idx="6">
                  <c:v>71760.354756851855</c:v>
                </c:pt>
                <c:pt idx="7">
                  <c:v>296245.31478257827</c:v>
                </c:pt>
                <c:pt idx="8">
                  <c:v>534199.37240984826</c:v>
                </c:pt>
                <c:pt idx="9">
                  <c:v>786430.67349475448</c:v>
                </c:pt>
                <c:pt idx="10">
                  <c:v>1053795.852644755</c:v>
                </c:pt>
                <c:pt idx="11">
                  <c:v>1337202.9425437558</c:v>
                </c:pt>
                <c:pt idx="12">
                  <c:v>1637614.4578366964</c:v>
                </c:pt>
                <c:pt idx="13">
                  <c:v>1956050.6640472135</c:v>
                </c:pt>
                <c:pt idx="14">
                  <c:v>2293593.0426303619</c:v>
                </c:pt>
                <c:pt idx="15">
                  <c:v>2651387.9639284993</c:v>
                </c:pt>
                <c:pt idx="16">
                  <c:v>3030650.5805045245</c:v>
                </c:pt>
                <c:pt idx="17">
                  <c:v>3432668.9540751115</c:v>
                </c:pt>
                <c:pt idx="18">
                  <c:v>3858808.4300599336</c:v>
                </c:pt>
                <c:pt idx="19">
                  <c:v>4310516.2746038446</c:v>
                </c:pt>
                <c:pt idx="20">
                  <c:v>4789326.5898203906</c:v>
                </c:pt>
                <c:pt idx="21">
                  <c:v>5296865.5239499295</c:v>
                </c:pt>
                <c:pt idx="22">
                  <c:v>5834856.7941272408</c:v>
                </c:pt>
                <c:pt idx="23">
                  <c:v>6405127.5405151909</c:v>
                </c:pt>
                <c:pt idx="24">
                  <c:v>7009614.5316864178</c:v>
                </c:pt>
                <c:pt idx="25">
                  <c:v>7650370.7423279183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1-0F42-8CDF-73EC070A0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856291023"/>
        <c:axId val="861245599"/>
      </c:barChart>
      <c:catAx>
        <c:axId val="856291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Anos </a:t>
                </a:r>
              </a:p>
            </c:rich>
          </c:tx>
          <c:layout>
            <c:manualLayout>
              <c:xMode val="edge"/>
              <c:yMode val="edge"/>
              <c:x val="0.49203511602509764"/>
              <c:y val="0.910845173619559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1245599"/>
        <c:crosses val="autoZero"/>
        <c:auto val="1"/>
        <c:lblAlgn val="ctr"/>
        <c:lblOffset val="100"/>
        <c:noMultiLvlLbl val="0"/>
      </c:catAx>
      <c:valAx>
        <c:axId val="8612455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Valor (R$)</a:t>
                </a:r>
              </a:p>
            </c:rich>
          </c:tx>
          <c:layout>
            <c:manualLayout>
              <c:xMode val="edge"/>
              <c:yMode val="edge"/>
              <c:x val="2.4662440155595388E-4"/>
              <c:y val="0.499815619864075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6291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rgbClr val="C00000"/>
                </a:solidFill>
              </a:rPr>
              <a:t>Consumo x Geração</a:t>
            </a:r>
          </a:p>
        </c:rich>
      </c:tx>
      <c:layout>
        <c:manualLayout>
          <c:xMode val="edge"/>
          <c:yMode val="edge"/>
          <c:x val="0.30870796522106608"/>
          <c:y val="1.9424345996035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554537290672197"/>
          <c:y val="0.1483665705475932"/>
          <c:w val="0.82672241550835124"/>
          <c:h val="0.65011501659991366"/>
        </c:manualLayout>
      </c:layout>
      <c:barChart>
        <c:barDir val="col"/>
        <c:grouping val="clustered"/>
        <c:varyColors val="0"/>
        <c:ser>
          <c:idx val="0"/>
          <c:order val="0"/>
          <c:tx>
            <c:v>Geração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val>
            <c:numRef>
              <c:f>'DADOS INICIAIS'!$X$31:$X$42</c:f>
              <c:numCache>
                <c:formatCode>0</c:formatCode>
                <c:ptCount val="12"/>
                <c:pt idx="0">
                  <c:v>21379.018500000002</c:v>
                </c:pt>
                <c:pt idx="1">
                  <c:v>23578.506000000001</c:v>
                </c:pt>
                <c:pt idx="2">
                  <c:v>21335.028749999994</c:v>
                </c:pt>
                <c:pt idx="3">
                  <c:v>20499.2235</c:v>
                </c:pt>
                <c:pt idx="4">
                  <c:v>17683.879499999995</c:v>
                </c:pt>
                <c:pt idx="5">
                  <c:v>17156.002499999999</c:v>
                </c:pt>
                <c:pt idx="6">
                  <c:v>17287.971750000001</c:v>
                </c:pt>
                <c:pt idx="7">
                  <c:v>21291.039000000001</c:v>
                </c:pt>
                <c:pt idx="8">
                  <c:v>19707.407999999999</c:v>
                </c:pt>
                <c:pt idx="9">
                  <c:v>20499.2235</c:v>
                </c:pt>
                <c:pt idx="10">
                  <c:v>20763.161999999997</c:v>
                </c:pt>
                <c:pt idx="11">
                  <c:v>22698.710999999999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1E-9140-9069-18851E5A4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1250943"/>
        <c:axId val="2051252575"/>
      </c:barChart>
      <c:lineChart>
        <c:grouping val="standard"/>
        <c:varyColors val="0"/>
        <c:ser>
          <c:idx val="1"/>
          <c:order val="1"/>
          <c:tx>
            <c:v>Consumo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'DADOS INICIAIS'!$Z$31:$Z$42</c:f>
              <c:numCache>
                <c:formatCode>0</c:formatCode>
                <c:ptCount val="12"/>
                <c:pt idx="0">
                  <c:v>23960</c:v>
                </c:pt>
                <c:pt idx="1">
                  <c:v>24240</c:v>
                </c:pt>
                <c:pt idx="2">
                  <c:v>24280</c:v>
                </c:pt>
                <c:pt idx="3">
                  <c:v>27540</c:v>
                </c:pt>
                <c:pt idx="4">
                  <c:v>23080</c:v>
                </c:pt>
                <c:pt idx="5">
                  <c:v>21360</c:v>
                </c:pt>
                <c:pt idx="6">
                  <c:v>22680</c:v>
                </c:pt>
                <c:pt idx="7">
                  <c:v>24000</c:v>
                </c:pt>
                <c:pt idx="8">
                  <c:v>19720</c:v>
                </c:pt>
                <c:pt idx="9">
                  <c:v>20720</c:v>
                </c:pt>
                <c:pt idx="10">
                  <c:v>22800</c:v>
                </c:pt>
                <c:pt idx="11">
                  <c:v>24920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1E-9140-9069-18851E5A4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250943"/>
        <c:axId val="2051252575"/>
      </c:lineChart>
      <c:catAx>
        <c:axId val="205125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Meses</a:t>
                </a:r>
                <a:r>
                  <a:rPr lang="pt-BR" sz="1000" baseline="0">
                    <a:solidFill>
                      <a:sysClr val="windowText" lastClr="000000"/>
                    </a:solidFill>
                  </a:rPr>
                  <a:t> do Ano</a:t>
                </a:r>
                <a:endParaRPr lang="pt-BR" sz="10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7680325823625092"/>
              <c:y val="0.870346059253941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1252575"/>
        <c:crosses val="autoZero"/>
        <c:auto val="1"/>
        <c:lblAlgn val="ctr"/>
        <c:lblOffset val="100"/>
        <c:noMultiLvlLbl val="0"/>
      </c:catAx>
      <c:valAx>
        <c:axId val="2051252575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1">
                    <a:solidFill>
                      <a:sysClr val="windowText" lastClr="000000"/>
                    </a:solidFill>
                  </a:rPr>
                  <a:t>Potência</a:t>
                </a:r>
                <a:r>
                  <a:rPr lang="pt-BR" sz="1000" b="1" baseline="0">
                    <a:solidFill>
                      <a:sysClr val="windowText" lastClr="000000"/>
                    </a:solidFill>
                  </a:rPr>
                  <a:t> Gerada (kW)</a:t>
                </a:r>
                <a:endParaRPr lang="pt-BR" sz="1000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8495735862459166E-2"/>
              <c:y val="0.31002479790522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1250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3403226609155839E-2"/>
          <c:y val="0.9097573435244023"/>
          <c:w val="0.28508282625494136"/>
          <c:h val="5.4631355482865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9C8-4D45-B62B-75CBD4456BC5}"/>
              </c:ext>
            </c:extLst>
          </c:dPt>
          <c:dLbls>
            <c:dLbl>
              <c:idx val="0"/>
              <c:layout>
                <c:manualLayout>
                  <c:x val="0"/>
                  <c:y val="0.11111111111111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C8-4D45-B62B-75CBD4456BC5}"/>
                </c:ext>
              </c:extLst>
            </c:dLbl>
            <c:dLbl>
              <c:idx val="1"/>
              <c:layout>
                <c:manualLayout>
                  <c:x val="-1.0185067526415994E-16"/>
                  <c:y val="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C8-4D45-B62B-75CBD4456B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FINAL'!$O$1:$O$2</c:f>
              <c:strCache>
                <c:ptCount val="2"/>
                <c:pt idx="0">
                  <c:v>Fatura Sem Energia Solar</c:v>
                </c:pt>
                <c:pt idx="1">
                  <c:v>Fatura Com Energia Solar</c:v>
                </c:pt>
              </c:strCache>
            </c:strRef>
          </c:cat>
          <c:val>
            <c:numRef>
              <c:f>'RESUMO FINAL'!$P$1:$P$2</c:f>
              <c:numCache>
                <c:formatCode>_-"R$"\ * #,##0_-;\-"R$"\ * #,##0_-;_-"R$"\ * "-"??_-;_-@_-</c:formatCode>
                <c:ptCount val="2"/>
                <c:pt idx="0">
                  <c:v>19748.058143695122</c:v>
                </c:pt>
                <c:pt idx="1">
                  <c:v>7306.781513167195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C8-4D45-B62B-75CBD4456BC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795992607"/>
        <c:axId val="1800070783"/>
        <c:axId val="0"/>
      </c:bar3DChart>
      <c:catAx>
        <c:axId val="179599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070783"/>
        <c:crosses val="autoZero"/>
        <c:auto val="1"/>
        <c:lblAlgn val="ctr"/>
        <c:lblOffset val="100"/>
        <c:noMultiLvlLbl val="0"/>
      </c:catAx>
      <c:valAx>
        <c:axId val="1800070783"/>
        <c:scaling>
          <c:orientation val="minMax"/>
        </c:scaling>
        <c:delete val="1"/>
        <c:axPos val="l"/>
        <c:numFmt formatCode="_-&quot;R$&quot;\ * #,##0_-;\-&quot;R$&quot;\ * #,##0_-;_-&quot;R$&quot;\ * &quot;-&quot;??_-;_-@_-" sourceLinked="1"/>
        <c:majorTickMark val="none"/>
        <c:minorTickMark val="none"/>
        <c:tickLblPos val="nextTo"/>
        <c:crossAx val="179599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x Geração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INICIAIS'!$X$30</c:f>
              <c:strCache>
                <c:ptCount val="1"/>
                <c:pt idx="0">
                  <c:v>GERAÇÃO (kW)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'DADOS INICIAIS'!$X$31:$X$42</c:f>
              <c:numCache>
                <c:formatCode>0</c:formatCode>
                <c:ptCount val="12"/>
                <c:pt idx="0">
                  <c:v>21379.018500000002</c:v>
                </c:pt>
                <c:pt idx="1">
                  <c:v>23578.506000000001</c:v>
                </c:pt>
                <c:pt idx="2">
                  <c:v>21335.028749999994</c:v>
                </c:pt>
                <c:pt idx="3">
                  <c:v>20499.2235</c:v>
                </c:pt>
                <c:pt idx="4">
                  <c:v>17683.879499999995</c:v>
                </c:pt>
                <c:pt idx="5">
                  <c:v>17156.002499999999</c:v>
                </c:pt>
                <c:pt idx="6">
                  <c:v>17287.971750000001</c:v>
                </c:pt>
                <c:pt idx="7">
                  <c:v>21291.039000000001</c:v>
                </c:pt>
                <c:pt idx="8">
                  <c:v>19707.407999999999</c:v>
                </c:pt>
                <c:pt idx="9">
                  <c:v>20499.2235</c:v>
                </c:pt>
                <c:pt idx="10">
                  <c:v>20763.161999999997</c:v>
                </c:pt>
                <c:pt idx="11">
                  <c:v>22698.710999999999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020-44E2-96B3-9029F408A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8058088"/>
        <c:axId val="588067600"/>
      </c:barChart>
      <c:lineChart>
        <c:grouping val="standard"/>
        <c:varyColors val="0"/>
        <c:ser>
          <c:idx val="1"/>
          <c:order val="1"/>
          <c:tx>
            <c:strRef>
              <c:f>'DADOS INICIAIS'!$Y$30</c:f>
              <c:strCache>
                <c:ptCount val="1"/>
                <c:pt idx="0">
                  <c:v>CONSUMO (kWh)</c:v>
                </c:pt>
              </c:strCache>
            </c:strRef>
          </c:tx>
          <c:spPr>
            <a:ln w="15875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'DADOS INICIAIS'!$Y$31:$Y$42</c:f>
              <c:numCache>
                <c:formatCode>0</c:formatCode>
                <c:ptCount val="12"/>
                <c:pt idx="0">
                  <c:v>23960</c:v>
                </c:pt>
                <c:pt idx="1">
                  <c:v>24240</c:v>
                </c:pt>
                <c:pt idx="2">
                  <c:v>24280</c:v>
                </c:pt>
                <c:pt idx="3">
                  <c:v>27540</c:v>
                </c:pt>
                <c:pt idx="4">
                  <c:v>23080</c:v>
                </c:pt>
                <c:pt idx="5">
                  <c:v>21360</c:v>
                </c:pt>
                <c:pt idx="6">
                  <c:v>22680</c:v>
                </c:pt>
                <c:pt idx="7">
                  <c:v>24000</c:v>
                </c:pt>
                <c:pt idx="8">
                  <c:v>19720</c:v>
                </c:pt>
                <c:pt idx="9">
                  <c:v>20720</c:v>
                </c:pt>
                <c:pt idx="10">
                  <c:v>22800</c:v>
                </c:pt>
                <c:pt idx="11">
                  <c:v>24920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020-44E2-96B3-9029F408A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058088"/>
        <c:axId val="588067600"/>
      </c:lineChart>
      <c:catAx>
        <c:axId val="588058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067600"/>
        <c:crosses val="autoZero"/>
        <c:auto val="1"/>
        <c:lblAlgn val="ctr"/>
        <c:lblOffset val="100"/>
        <c:noMultiLvlLbl val="0"/>
      </c:catAx>
      <c:valAx>
        <c:axId val="58806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058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Raleway" pitchFamily="2" charset="0"/>
              </a:rPr>
              <a:t>Payback (Saldo por 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INICIAIS'!$AR$13</c:f>
              <c:strCache>
                <c:ptCount val="1"/>
                <c:pt idx="0">
                  <c:v>Valor presente Acumulado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'DADOS INICIAIS'!$AR$14:$AR$39</c:f>
              <c:numCache>
                <c:formatCode>"R$"#,##0.00_);[Red]\("R$"#,##0.00\)</c:formatCode>
                <c:ptCount val="26"/>
                <c:pt idx="0">
                  <c:v>-1032105</c:v>
                </c:pt>
                <c:pt idx="1">
                  <c:v>-873851.96125968476</c:v>
                </c:pt>
                <c:pt idx="2">
                  <c:v>-706103.7401949506</c:v>
                </c:pt>
                <c:pt idx="3">
                  <c:v>-528290.62586633244</c:v>
                </c:pt>
                <c:pt idx="4">
                  <c:v>-339808.72467799718</c:v>
                </c:pt>
                <c:pt idx="5">
                  <c:v>-140017.90941836173</c:v>
                </c:pt>
                <c:pt idx="6">
                  <c:v>71760.354756851855</c:v>
                </c:pt>
                <c:pt idx="7">
                  <c:v>296245.31478257827</c:v>
                </c:pt>
                <c:pt idx="8">
                  <c:v>534199.37240984826</c:v>
                </c:pt>
                <c:pt idx="9">
                  <c:v>786430.67349475448</c:v>
                </c:pt>
                <c:pt idx="10">
                  <c:v>1053795.852644755</c:v>
                </c:pt>
                <c:pt idx="11">
                  <c:v>1337202.9425437558</c:v>
                </c:pt>
                <c:pt idx="12">
                  <c:v>1637614.4578366964</c:v>
                </c:pt>
                <c:pt idx="13">
                  <c:v>1956050.6640472135</c:v>
                </c:pt>
                <c:pt idx="14">
                  <c:v>2293593.0426303619</c:v>
                </c:pt>
                <c:pt idx="15">
                  <c:v>2651387.9639284993</c:v>
                </c:pt>
                <c:pt idx="16">
                  <c:v>3030650.5805045245</c:v>
                </c:pt>
                <c:pt idx="17">
                  <c:v>3432668.9540751115</c:v>
                </c:pt>
                <c:pt idx="18">
                  <c:v>3858808.4300599336</c:v>
                </c:pt>
                <c:pt idx="19">
                  <c:v>4310516.2746038446</c:v>
                </c:pt>
                <c:pt idx="20">
                  <c:v>4789326.5898203906</c:v>
                </c:pt>
                <c:pt idx="21">
                  <c:v>5296865.5239499295</c:v>
                </c:pt>
                <c:pt idx="22">
                  <c:v>5834856.7941272408</c:v>
                </c:pt>
                <c:pt idx="23">
                  <c:v>6405127.5405151909</c:v>
                </c:pt>
                <c:pt idx="24">
                  <c:v>7009614.5316864178</c:v>
                </c:pt>
                <c:pt idx="25">
                  <c:v>7650370.7423279183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'DADOS INICIAIS'!$AO$14:$AO$39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000-4E58-AF11-BA4CF02B7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7177200"/>
        <c:axId val="807174576"/>
      </c:barChart>
      <c:catAx>
        <c:axId val="80717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174576"/>
        <c:crosses val="autoZero"/>
        <c:auto val="1"/>
        <c:lblAlgn val="ctr"/>
        <c:lblOffset val="100"/>
        <c:noMultiLvlLbl val="0"/>
      </c:catAx>
      <c:valAx>
        <c:axId val="8071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17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D$27" horiz="1" max="72" min="1" page="10" val="12"/>
</file>

<file path=xl/ctrlProps/ctrlProp2.xml><?xml version="1.0" encoding="utf-8"?>
<formControlPr xmlns="http://schemas.microsoft.com/office/spreadsheetml/2009/9/main" objectType="Scroll" dx="22" fmlaLink="$E$23" horiz="1" max="50" min="1" page="10" val="16"/>
</file>

<file path=xl/ctrlProps/ctrlProp3.xml><?xml version="1.0" encoding="utf-8"?>
<formControlPr xmlns="http://schemas.microsoft.com/office/spreadsheetml/2009/9/main" objectType="Scroll" dx="22" fmlaLink="$D$27" horiz="1" max="72" min="1" page="10" val="12"/>
</file>

<file path=xl/ctrlProps/ctrlProp4.xml><?xml version="1.0" encoding="utf-8"?>
<formControlPr xmlns="http://schemas.microsoft.com/office/spreadsheetml/2009/9/main" objectType="Scroll" dx="22" fmlaLink="$E$23" horiz="1" max="50" min="1" page="10" val="16"/>
</file>

<file path=xl/ctrlProps/ctrlProp5.xml><?xml version="1.0" encoding="utf-8"?>
<formControlPr xmlns="http://schemas.microsoft.com/office/spreadsheetml/2009/9/main" objectType="Scroll" dx="22" fmlaLink="$D$27" horiz="1" max="72" min="1" page="10" val="12"/>
</file>

<file path=xl/ctrlProps/ctrlProp6.xml><?xml version="1.0" encoding="utf-8"?>
<formControlPr xmlns="http://schemas.microsoft.com/office/spreadsheetml/2009/9/main" objectType="Scroll" dx="22" fmlaLink="$E$23" horiz="1" max="50" min="1" page="10" val="16"/>
</file>

<file path=xl/ctrlProps/ctrlProp7.xml><?xml version="1.0" encoding="utf-8"?>
<formControlPr xmlns="http://schemas.microsoft.com/office/spreadsheetml/2009/9/main" objectType="Scroll" dx="22" fmlaLink="$D$27" horiz="1" max="72" min="1" page="10" val="12"/>
</file>

<file path=xl/ctrlProps/ctrlProp8.xml><?xml version="1.0" encoding="utf-8"?>
<formControlPr xmlns="http://schemas.microsoft.com/office/spreadsheetml/2009/9/main" objectType="Scroll" dx="22" fmlaLink="$E$23" horiz="1" max="50" min="1" page="10" val="16"/>
</file>

<file path=xl/ctrlProps/ctrlProp9.xml><?xml version="1.0" encoding="utf-8"?>
<formControlPr xmlns="http://schemas.microsoft.com/office/spreadsheetml/2009/9/main" objectType="Scroll" dx="22" fmlaLink="$D$27" horiz="1" max="72" min="1" page="10" val="12"/>
</file>

<file path=xl/ctrlProps/ctrlProp10.xml><?xml version="1.0" encoding="utf-8"?>
<formControlPr xmlns="http://schemas.microsoft.com/office/spreadsheetml/2009/9/main" objectType="Scroll" dx="22" fmlaLink="$E$23" horiz="1" max="50" min="1" page="10" val="16"/>
</file>

<file path=xl/ctrlProps/ctrlProp11.xml><?xml version="1.0" encoding="utf-8"?>
<formControlPr xmlns="http://schemas.microsoft.com/office/spreadsheetml/2009/9/main" objectType="Scroll" dx="22" fmlaLink="$D$27" horiz="1" max="72" min="1" page="10" val="12"/>
</file>

<file path=xl/ctrlProps/ctrlProp12.xml><?xml version="1.0" encoding="utf-8"?>
<formControlPr xmlns="http://schemas.microsoft.com/office/spreadsheetml/2009/9/main" objectType="Scroll" dx="22" fmlaLink="$E$23" horiz="1" max="50" min="1" page="10" val="16"/>
</file>

<file path=xl/ctrlProps/ctrlProp13.xml><?xml version="1.0" encoding="utf-8"?>
<formControlPr xmlns="http://schemas.microsoft.com/office/spreadsheetml/2009/9/main" objectType="Scroll" dx="22" fmlaLink="$D$27" horiz="1" max="72" min="1" page="10" val="12"/>
</file>

<file path=xl/ctrlProps/ctrlProp14.xml><?xml version="1.0" encoding="utf-8"?>
<formControlPr xmlns="http://schemas.microsoft.com/office/spreadsheetml/2009/9/main" objectType="Scroll" dx="22" fmlaLink="$E$23" horiz="1" max="50" min="1" page="10" val="16"/>
</file>

<file path=xl/ctrlProps/ctrlProp15.xml><?xml version="1.0" encoding="utf-8"?>
<formControlPr xmlns="http://schemas.microsoft.com/office/spreadsheetml/2009/9/main" objectType="Scroll" dx="22" fmlaLink="$D$27" horiz="1" max="72" min="1" page="10" val="12"/>
</file>

<file path=xl/ctrlProps/ctrlProp16.xml><?xml version="1.0" encoding="utf-8"?>
<formControlPr xmlns="http://schemas.microsoft.com/office/spreadsheetml/2009/9/main" objectType="Scroll" dx="22" fmlaLink="$E$23" horiz="1" max="50" min="1" page="10" val="16"/>
</file>

<file path=xl/ctrlProps/ctrlProp17.xml><?xml version="1.0" encoding="utf-8"?>
<formControlPr xmlns="http://schemas.microsoft.com/office/spreadsheetml/2009/9/main" objectType="Scroll" dx="22" fmlaLink="$D$27" horiz="1" max="72" min="1" page="10" val="12"/>
</file>

<file path=xl/ctrlProps/ctrlProp18.xml><?xml version="1.0" encoding="utf-8"?>
<formControlPr xmlns="http://schemas.microsoft.com/office/spreadsheetml/2009/9/main" objectType="Scroll" dx="22" fmlaLink="$E$23" horiz="1" max="50" min="1" page="10" val="16"/>
</file>

<file path=xl/ctrlProps/ctrlProp19.xml><?xml version="1.0" encoding="utf-8"?>
<formControlPr xmlns="http://schemas.microsoft.com/office/spreadsheetml/2009/9/main" objectType="Scroll" dx="22" fmlaLink="$D$27" horiz="1" max="72" min="1" page="10" val="12"/>
</file>

<file path=xl/ctrlProps/ctrlProp20.xml><?xml version="1.0" encoding="utf-8"?>
<formControlPr xmlns="http://schemas.microsoft.com/office/spreadsheetml/2009/9/main" objectType="Scroll" dx="22" fmlaLink="$E$23" horiz="1" max="50" min="1" page="10" val="16"/>
</file>

<file path=xl/ctrlProps/ctrlProp21.xml><?xml version="1.0" encoding="utf-8"?>
<formControlPr xmlns="http://schemas.microsoft.com/office/spreadsheetml/2009/9/main" objectType="Scroll" dx="22" fmlaLink="$D$27" horiz="1" max="72" min="1" page="10" val="12"/>
</file>

<file path=xl/ctrlProps/ctrlProp22.xml><?xml version="1.0" encoding="utf-8"?>
<formControlPr xmlns="http://schemas.microsoft.com/office/spreadsheetml/2009/9/main" objectType="Scroll" dx="22" fmlaLink="$E$23" horiz="1" max="50" min="1" page="10" val="1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png"/><Relationship Id="rId18" Type="http://schemas.openxmlformats.org/officeDocument/2006/relationships/image" Target="../media/image15.svg"/><Relationship Id="rId3" Type="http://schemas.openxmlformats.org/officeDocument/2006/relationships/hyperlink" Target="#OR&#199;AMENTO!A1"/><Relationship Id="rId7" Type="http://schemas.openxmlformats.org/officeDocument/2006/relationships/image" Target="../media/image5.png"/><Relationship Id="rId12" Type="http://schemas.openxmlformats.org/officeDocument/2006/relationships/image" Target="../media/image9.svg"/><Relationship Id="rId17" Type="http://schemas.openxmlformats.org/officeDocument/2006/relationships/image" Target="../media/image14.png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1" Type="http://schemas.openxmlformats.org/officeDocument/2006/relationships/image" Target="../media/image1.png"/><Relationship Id="rId6" Type="http://schemas.openxmlformats.org/officeDocument/2006/relationships/image" Target="../media/image4.sv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5" Type="http://schemas.openxmlformats.org/officeDocument/2006/relationships/image" Target="../media/image12.png"/><Relationship Id="rId10" Type="http://schemas.openxmlformats.org/officeDocument/2006/relationships/image" Target="../media/image7.png"/><Relationship Id="rId4" Type="http://schemas.openxmlformats.org/officeDocument/2006/relationships/hyperlink" Target="#'RESUMO FINAL'!A1"/><Relationship Id="rId9" Type="http://schemas.openxmlformats.org/officeDocument/2006/relationships/hyperlink" Target="#IMPRIMIR!A1"/><Relationship Id="rId14" Type="http://schemas.openxmlformats.org/officeDocument/2006/relationships/image" Target="../media/image11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OR&#199;AMENTO!A1"/><Relationship Id="rId3" Type="http://schemas.openxmlformats.org/officeDocument/2006/relationships/image" Target="../media/image18.png"/><Relationship Id="rId7" Type="http://schemas.openxmlformats.org/officeDocument/2006/relationships/hyperlink" Target="#'DADOS INICIAIS'!A1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22.png"/><Relationship Id="rId5" Type="http://schemas.openxmlformats.org/officeDocument/2006/relationships/image" Target="../media/image20.png"/><Relationship Id="rId10" Type="http://schemas.openxmlformats.org/officeDocument/2006/relationships/hyperlink" Target="#IMPRIMIR!A1"/><Relationship Id="rId4" Type="http://schemas.openxmlformats.org/officeDocument/2006/relationships/image" Target="../media/image19.svg"/><Relationship Id="rId9" Type="http://schemas.openxmlformats.org/officeDocument/2006/relationships/hyperlink" Target="#'RESUMO FINAL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hyperlink" Target="#IMPRIMIR!A1"/><Relationship Id="rId3" Type="http://schemas.openxmlformats.org/officeDocument/2006/relationships/image" Target="../media/image16.png"/><Relationship Id="rId7" Type="http://schemas.openxmlformats.org/officeDocument/2006/relationships/chart" Target="../charts/chart1.xml"/><Relationship Id="rId12" Type="http://schemas.openxmlformats.org/officeDocument/2006/relationships/image" Target="../media/image28.svg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6" Type="http://schemas.openxmlformats.org/officeDocument/2006/relationships/image" Target="../media/image27.svg"/><Relationship Id="rId11" Type="http://schemas.openxmlformats.org/officeDocument/2006/relationships/hyperlink" Target="#'RESUMO FINAL'!A1"/><Relationship Id="rId5" Type="http://schemas.openxmlformats.org/officeDocument/2006/relationships/image" Target="../media/image26.png"/><Relationship Id="rId15" Type="http://schemas.openxmlformats.org/officeDocument/2006/relationships/image" Target="../media/image29.png"/><Relationship Id="rId10" Type="http://schemas.openxmlformats.org/officeDocument/2006/relationships/hyperlink" Target="#OR&#199;AMENTO!A1"/><Relationship Id="rId4" Type="http://schemas.openxmlformats.org/officeDocument/2006/relationships/image" Target="../media/image25.svg"/><Relationship Id="rId9" Type="http://schemas.openxmlformats.org/officeDocument/2006/relationships/hyperlink" Target="#'DADOS INICIAIS'!A1"/><Relationship Id="rId1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svg"/><Relationship Id="rId18" Type="http://schemas.openxmlformats.org/officeDocument/2006/relationships/image" Target="../media/image48.png"/><Relationship Id="rId26" Type="http://schemas.openxmlformats.org/officeDocument/2006/relationships/image" Target="../media/image56.png"/><Relationship Id="rId3" Type="http://schemas.openxmlformats.org/officeDocument/2006/relationships/image" Target="../media/image33.png"/><Relationship Id="rId21" Type="http://schemas.openxmlformats.org/officeDocument/2006/relationships/image" Target="../media/image51.svg"/><Relationship Id="rId34" Type="http://schemas.openxmlformats.org/officeDocument/2006/relationships/image" Target="../media/image62.jpeg"/><Relationship Id="rId7" Type="http://schemas.openxmlformats.org/officeDocument/2006/relationships/image" Target="../media/image37.svg"/><Relationship Id="rId12" Type="http://schemas.openxmlformats.org/officeDocument/2006/relationships/image" Target="../media/image42.png"/><Relationship Id="rId17" Type="http://schemas.openxmlformats.org/officeDocument/2006/relationships/image" Target="../media/image47.png"/><Relationship Id="rId25" Type="http://schemas.openxmlformats.org/officeDocument/2006/relationships/image" Target="../media/image55.svg"/><Relationship Id="rId33" Type="http://schemas.openxmlformats.org/officeDocument/2006/relationships/image" Target="../media/image61.jpg"/><Relationship Id="rId2" Type="http://schemas.openxmlformats.org/officeDocument/2006/relationships/image" Target="../media/image32.svg"/><Relationship Id="rId16" Type="http://schemas.openxmlformats.org/officeDocument/2006/relationships/image" Target="../media/image46.png"/><Relationship Id="rId20" Type="http://schemas.openxmlformats.org/officeDocument/2006/relationships/image" Target="../media/image50.png"/><Relationship Id="rId29" Type="http://schemas.openxmlformats.org/officeDocument/2006/relationships/chart" Target="../charts/chart4.xml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11" Type="http://schemas.openxmlformats.org/officeDocument/2006/relationships/image" Target="../media/image41.svg"/><Relationship Id="rId24" Type="http://schemas.openxmlformats.org/officeDocument/2006/relationships/image" Target="../media/image54.png"/><Relationship Id="rId32" Type="http://schemas.openxmlformats.org/officeDocument/2006/relationships/image" Target="../media/image60.jpeg"/><Relationship Id="rId5" Type="http://schemas.openxmlformats.org/officeDocument/2006/relationships/image" Target="../media/image35.png"/><Relationship Id="rId15" Type="http://schemas.openxmlformats.org/officeDocument/2006/relationships/image" Target="../media/image45.svg"/><Relationship Id="rId23" Type="http://schemas.openxmlformats.org/officeDocument/2006/relationships/image" Target="../media/image53.svg"/><Relationship Id="rId28" Type="http://schemas.openxmlformats.org/officeDocument/2006/relationships/image" Target="../media/image58.emf"/><Relationship Id="rId10" Type="http://schemas.openxmlformats.org/officeDocument/2006/relationships/image" Target="../media/image40.png"/><Relationship Id="rId19" Type="http://schemas.openxmlformats.org/officeDocument/2006/relationships/image" Target="../media/image49.svg"/><Relationship Id="rId31" Type="http://schemas.openxmlformats.org/officeDocument/2006/relationships/image" Target="../media/image59.jpg"/><Relationship Id="rId4" Type="http://schemas.openxmlformats.org/officeDocument/2006/relationships/image" Target="../media/image34.png"/><Relationship Id="rId9" Type="http://schemas.openxmlformats.org/officeDocument/2006/relationships/image" Target="../media/image39.svg"/><Relationship Id="rId14" Type="http://schemas.openxmlformats.org/officeDocument/2006/relationships/image" Target="../media/image44.png"/><Relationship Id="rId22" Type="http://schemas.openxmlformats.org/officeDocument/2006/relationships/image" Target="../media/image52.png"/><Relationship Id="rId27" Type="http://schemas.openxmlformats.org/officeDocument/2006/relationships/image" Target="../media/image57.svg"/><Relationship Id="rId30" Type="http://schemas.openxmlformats.org/officeDocument/2006/relationships/chart" Target="../charts/chart5.xml"/><Relationship Id="rId35" Type="http://schemas.openxmlformats.org/officeDocument/2006/relationships/image" Target="../media/image63.png"/><Relationship Id="rId8" Type="http://schemas.openxmlformats.org/officeDocument/2006/relationships/image" Target="../media/image3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19627</xdr:colOff>
      <xdr:row>12</xdr:row>
      <xdr:rowOff>100445</xdr:rowOff>
    </xdr:from>
    <xdr:to>
      <xdr:col>17</xdr:col>
      <xdr:colOff>36383</xdr:colOff>
      <xdr:row>16</xdr:row>
      <xdr:rowOff>422</xdr:rowOff>
    </xdr:to>
    <xdr:pic>
      <xdr:nvPicPr>
        <xdr:cNvPr id="6" name="Gráfico 5" descr="Nenhum sina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3305327"/>
          <a:ext cx="958051" cy="8860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107044</xdr:colOff>
      <xdr:row>12</xdr:row>
      <xdr:rowOff>44630</xdr:rowOff>
    </xdr:from>
    <xdr:to>
      <xdr:col>0</xdr:col>
      <xdr:colOff>1988549</xdr:colOff>
      <xdr:row>16</xdr:row>
      <xdr:rowOff>3809</xdr:rowOff>
    </xdr:to>
    <xdr:sp macro="" textlink="">
      <xdr:nvSpPr>
        <xdr:cNvPr id="13" name="Retângulo Arredondad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7044" y="3249512"/>
          <a:ext cx="1881505" cy="945297"/>
        </a:xfrm>
        <a:prstGeom prst="roundRect">
          <a:avLst>
            <a:gd name="adj" fmla="val 48334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DADOS</a:t>
          </a:r>
          <a:r>
            <a:rPr lang="pt-BR" sz="1800" b="1" baseline="0">
              <a:solidFill>
                <a:schemeClr val="tx1"/>
              </a:solidFill>
            </a:rPr>
            <a:t> INICIAIS</a:t>
          </a:r>
          <a:endParaRPr lang="pt-B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161472</xdr:colOff>
      <xdr:row>17</xdr:row>
      <xdr:rowOff>12700</xdr:rowOff>
    </xdr:from>
    <xdr:to>
      <xdr:col>0</xdr:col>
      <xdr:colOff>1901372</xdr:colOff>
      <xdr:row>20</xdr:row>
      <xdr:rowOff>165100</xdr:rowOff>
    </xdr:to>
    <xdr:sp macro="" textlink="">
      <xdr:nvSpPr>
        <xdr:cNvPr id="14" name="Retângulo Arredondad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1472" y="4450229"/>
          <a:ext cx="1739900" cy="891989"/>
        </a:xfrm>
        <a:prstGeom prst="roundRect">
          <a:avLst>
            <a:gd name="adj" fmla="val 46667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147865</xdr:colOff>
      <xdr:row>21</xdr:row>
      <xdr:rowOff>202293</xdr:rowOff>
    </xdr:from>
    <xdr:to>
      <xdr:col>0</xdr:col>
      <xdr:colOff>1887765</xdr:colOff>
      <xdr:row>25</xdr:row>
      <xdr:rowOff>100693</xdr:rowOff>
    </xdr:to>
    <xdr:sp macro="" textlink="">
      <xdr:nvSpPr>
        <xdr:cNvPr id="15" name="Retângulo Arredondad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47865" y="5625940"/>
          <a:ext cx="1739900" cy="884518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17</xdr:col>
      <xdr:colOff>1083944</xdr:colOff>
      <xdr:row>6</xdr:row>
      <xdr:rowOff>17417</xdr:rowOff>
    </xdr:from>
    <xdr:to>
      <xdr:col>20</xdr:col>
      <xdr:colOff>16920</xdr:colOff>
      <xdr:row>8</xdr:row>
      <xdr:rowOff>148765</xdr:rowOff>
    </xdr:to>
    <xdr:sp macro="" textlink="">
      <xdr:nvSpPr>
        <xdr:cNvPr id="21" name="Retângulo: Cantos Arredondados 2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0543408" y="1486988"/>
          <a:ext cx="4838476" cy="621206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DADOS DA TARIFA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15</xdr:col>
      <xdr:colOff>770282</xdr:colOff>
      <xdr:row>10</xdr:row>
      <xdr:rowOff>152400</xdr:rowOff>
    </xdr:from>
    <xdr:to>
      <xdr:col>17</xdr:col>
      <xdr:colOff>54610</xdr:colOff>
      <xdr:row>12</xdr:row>
      <xdr:rowOff>165652</xdr:rowOff>
    </xdr:to>
    <xdr:sp macro="" textlink="">
      <xdr:nvSpPr>
        <xdr:cNvPr id="4" name="AREA TV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441478" y="1146313"/>
          <a:ext cx="1098219" cy="510209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425882</xdr:colOff>
      <xdr:row>25</xdr:row>
      <xdr:rowOff>33617</xdr:rowOff>
    </xdr:from>
    <xdr:to>
      <xdr:col>4</xdr:col>
      <xdr:colOff>30562</xdr:colOff>
      <xdr:row>26</xdr:row>
      <xdr:rowOff>228599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2480561" y="6156831"/>
          <a:ext cx="6449072" cy="439911"/>
          <a:chOff x="2469427" y="4121727"/>
          <a:chExt cx="6428044" cy="437437"/>
        </a:xfrm>
      </xdr:grpSpPr>
      <xdr:sp macro="" textlink="">
        <xdr:nvSpPr>
          <xdr:cNvPr id="20" name="Retângulo: Cantos Arredondados 22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469427" y="4121727"/>
            <a:ext cx="6428044" cy="415637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MÉDIA DE CONSUMO</a:t>
            </a:r>
          </a:p>
        </xdr:txBody>
      </xdr:sp>
      <xdr:pic>
        <xdr:nvPicPr>
          <xdr:cNvPr id="10" name="Gráfico 9" descr="Raio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580749" y="4151609"/>
            <a:ext cx="415290" cy="40755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457918</xdr:colOff>
      <xdr:row>0</xdr:row>
      <xdr:rowOff>66171</xdr:rowOff>
    </xdr:from>
    <xdr:to>
      <xdr:col>4</xdr:col>
      <xdr:colOff>36469</xdr:colOff>
      <xdr:row>2</xdr:row>
      <xdr:rowOff>149473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512597" y="66171"/>
          <a:ext cx="6422943" cy="573159"/>
          <a:chOff x="2481230" y="228600"/>
          <a:chExt cx="6350289" cy="494767"/>
        </a:xfrm>
      </xdr:grpSpPr>
      <xdr:sp macro="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481230" y="257508"/>
            <a:ext cx="6350289" cy="46585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DADOS DO LOCAL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2" name="Gráfico 21" descr="Marcador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521904" y="228600"/>
            <a:ext cx="482600" cy="463319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73262</xdr:colOff>
      <xdr:row>10</xdr:row>
      <xdr:rowOff>128294</xdr:rowOff>
    </xdr:from>
    <xdr:to>
      <xdr:col>10</xdr:col>
      <xdr:colOff>722256</xdr:colOff>
      <xdr:row>10</xdr:row>
      <xdr:rowOff>129352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>
          <a:off x="11268077" y="1163109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11</xdr:row>
      <xdr:rowOff>135819</xdr:rowOff>
    </xdr:from>
    <xdr:to>
      <xdr:col>10</xdr:col>
      <xdr:colOff>722256</xdr:colOff>
      <xdr:row>11</xdr:row>
      <xdr:rowOff>136877</xdr:rowOff>
    </xdr:to>
    <xdr:cxnSp macro="">
      <xdr:nvCxnSpPr>
        <xdr:cNvPr id="49" name="Conector de Seta Reta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0221438" y="3094172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12</xdr:row>
      <xdr:rowOff>143345</xdr:rowOff>
    </xdr:from>
    <xdr:to>
      <xdr:col>10</xdr:col>
      <xdr:colOff>722256</xdr:colOff>
      <xdr:row>12</xdr:row>
      <xdr:rowOff>144403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0221438" y="3348227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13</xdr:row>
      <xdr:rowOff>150870</xdr:rowOff>
    </xdr:from>
    <xdr:to>
      <xdr:col>10</xdr:col>
      <xdr:colOff>722256</xdr:colOff>
      <xdr:row>13</xdr:row>
      <xdr:rowOff>151928</xdr:rowOff>
    </xdr:to>
    <xdr:cxnSp macro="">
      <xdr:nvCxnSpPr>
        <xdr:cNvPr id="51" name="Conector de Seta Reta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0221438" y="3602282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573433</xdr:colOff>
      <xdr:row>6</xdr:row>
      <xdr:rowOff>170543</xdr:rowOff>
    </xdr:from>
    <xdr:to>
      <xdr:col>10</xdr:col>
      <xdr:colOff>10885</xdr:colOff>
      <xdr:row>8</xdr:row>
      <xdr:rowOff>195943</xdr:rowOff>
    </xdr:to>
    <xdr:sp macro="" textlink="">
      <xdr:nvSpPr>
        <xdr:cNvPr id="55" name="Retângulo: Cantos Arredondados 2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16346833" y="1672772"/>
          <a:ext cx="5696738" cy="526142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MÓDULO E FATOR CORREÇÃO</a:t>
          </a:r>
        </a:p>
        <a:p>
          <a:pPr marL="0" indent="0" algn="ctr"/>
          <a:endParaRPr lang="pt-BR" sz="1600" b="1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2368459</xdr:colOff>
      <xdr:row>27</xdr:row>
      <xdr:rowOff>68445</xdr:rowOff>
    </xdr:from>
    <xdr:to>
      <xdr:col>26</xdr:col>
      <xdr:colOff>13607</xdr:colOff>
      <xdr:row>28</xdr:row>
      <xdr:rowOff>163286</xdr:rowOff>
    </xdr:to>
    <xdr:sp macro="" textlink="">
      <xdr:nvSpPr>
        <xdr:cNvPr id="56" name="Retângulo: Cantos Arredondados 22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36064547" y="6971269"/>
          <a:ext cx="8895854" cy="34137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GERAÇÃO E CONSUMO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18</xdr:col>
      <xdr:colOff>1315</xdr:colOff>
      <xdr:row>20</xdr:row>
      <xdr:rowOff>46318</xdr:rowOff>
    </xdr:from>
    <xdr:to>
      <xdr:col>20</xdr:col>
      <xdr:colOff>41179</xdr:colOff>
      <xdr:row>21</xdr:row>
      <xdr:rowOff>178874</xdr:rowOff>
    </xdr:to>
    <xdr:sp macro="" textlink="">
      <xdr:nvSpPr>
        <xdr:cNvPr id="57" name="Retângulo: Cantos Arredondados 22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8486668" y="5223436"/>
          <a:ext cx="4690305" cy="37908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POTÊNCIA DO SISTEMA</a:t>
          </a:r>
        </a:p>
      </xdr:txBody>
    </xdr:sp>
    <xdr:clientData/>
  </xdr:twoCellAnchor>
  <xdr:twoCellAnchor>
    <xdr:from>
      <xdr:col>14</xdr:col>
      <xdr:colOff>629920</xdr:colOff>
      <xdr:row>0</xdr:row>
      <xdr:rowOff>0</xdr:rowOff>
    </xdr:from>
    <xdr:to>
      <xdr:col>15</xdr:col>
      <xdr:colOff>167640</xdr:colOff>
      <xdr:row>128</xdr:row>
      <xdr:rowOff>47624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4947245" y="0"/>
          <a:ext cx="271145" cy="27022424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1235704</xdr:colOff>
      <xdr:row>20</xdr:row>
      <xdr:rowOff>217143</xdr:rowOff>
    </xdr:from>
    <xdr:to>
      <xdr:col>34</xdr:col>
      <xdr:colOff>80406</xdr:colOff>
      <xdr:row>23</xdr:row>
      <xdr:rowOff>27212</xdr:rowOff>
    </xdr:to>
    <xdr:sp macro="" textlink="">
      <xdr:nvSpPr>
        <xdr:cNvPr id="58" name="Retângulo: Cantos Arredondados 22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58766704" y="5066234"/>
          <a:ext cx="4109429" cy="537433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CRÉDITO DA FATURA BT</a:t>
          </a:r>
        </a:p>
      </xdr:txBody>
    </xdr:sp>
    <xdr:clientData/>
  </xdr:twoCellAnchor>
  <xdr:twoCellAnchor>
    <xdr:from>
      <xdr:col>20</xdr:col>
      <xdr:colOff>557893</xdr:colOff>
      <xdr:row>6</xdr:row>
      <xdr:rowOff>42727</xdr:rowOff>
    </xdr:from>
    <xdr:to>
      <xdr:col>22</xdr:col>
      <xdr:colOff>3189844</xdr:colOff>
      <xdr:row>8</xdr:row>
      <xdr:rowOff>149796</xdr:rowOff>
    </xdr:to>
    <xdr:sp macro="" textlink="">
      <xdr:nvSpPr>
        <xdr:cNvPr id="60" name="Retângulo: Cantos Arredondados 22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35922857" y="1512298"/>
          <a:ext cx="5652737" cy="59692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DADOS PARA FATURA</a:t>
          </a:r>
        </a:p>
      </xdr:txBody>
    </xdr:sp>
    <xdr:clientData/>
  </xdr:twoCellAnchor>
  <xdr:twoCellAnchor>
    <xdr:from>
      <xdr:col>40</xdr:col>
      <xdr:colOff>27214</xdr:colOff>
      <xdr:row>5</xdr:row>
      <xdr:rowOff>120145</xdr:rowOff>
    </xdr:from>
    <xdr:to>
      <xdr:col>44</xdr:col>
      <xdr:colOff>18504</xdr:colOff>
      <xdr:row>6</xdr:row>
      <xdr:rowOff>176893</xdr:rowOff>
    </xdr:to>
    <xdr:sp macro="" textlink="">
      <xdr:nvSpPr>
        <xdr:cNvPr id="30" name="Retângulo: Cantos Arredondados 22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6019396" y="1332418"/>
          <a:ext cx="7264926" cy="299202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FLUXO DE CAIXA</a:t>
          </a:r>
        </a:p>
      </xdr:txBody>
    </xdr:sp>
    <xdr:clientData/>
  </xdr:twoCellAnchor>
  <xdr:twoCellAnchor>
    <xdr:from>
      <xdr:col>44</xdr:col>
      <xdr:colOff>1457324</xdr:colOff>
      <xdr:row>4</xdr:row>
      <xdr:rowOff>235895</xdr:rowOff>
    </xdr:from>
    <xdr:to>
      <xdr:col>46</xdr:col>
      <xdr:colOff>1133475</xdr:colOff>
      <xdr:row>6</xdr:row>
      <xdr:rowOff>136071</xdr:rowOff>
    </xdr:to>
    <xdr:sp macro="" textlink="">
      <xdr:nvSpPr>
        <xdr:cNvPr id="31" name="Retângulo: Cantos Arredondados 2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84723142" y="1205713"/>
          <a:ext cx="3434197" cy="38508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RESULTADO FINANCEIRO</a:t>
          </a:r>
        </a:p>
      </xdr:txBody>
    </xdr:sp>
    <xdr:clientData/>
  </xdr:twoCellAnchor>
  <xdr:twoCellAnchor>
    <xdr:from>
      <xdr:col>0</xdr:col>
      <xdr:colOff>161471</xdr:colOff>
      <xdr:row>26</xdr:row>
      <xdr:rowOff>130969</xdr:rowOff>
    </xdr:from>
    <xdr:to>
      <xdr:col>0</xdr:col>
      <xdr:colOff>1901371</xdr:colOff>
      <xdr:row>30</xdr:row>
      <xdr:rowOff>29369</xdr:rowOff>
    </xdr:to>
    <xdr:sp macro="" textlink="">
      <xdr:nvSpPr>
        <xdr:cNvPr id="36" name="Retângulo Arredondad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61471" y="6787263"/>
          <a:ext cx="1739900" cy="884518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>
    <xdr:from>
      <xdr:col>32</xdr:col>
      <xdr:colOff>58067</xdr:colOff>
      <xdr:row>3</xdr:row>
      <xdr:rowOff>160871</xdr:rowOff>
    </xdr:from>
    <xdr:to>
      <xdr:col>38</xdr:col>
      <xdr:colOff>2199409</xdr:colOff>
      <xdr:row>6</xdr:row>
      <xdr:rowOff>52578</xdr:rowOff>
    </xdr:to>
    <xdr:sp macro="" textlink="">
      <xdr:nvSpPr>
        <xdr:cNvPr id="43" name="Retângulo: Cantos Arredondados 2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8853294" y="888235"/>
          <a:ext cx="16359570" cy="61907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COM GERAÇÃO Baixa Tensão LEI 14300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2041151</xdr:colOff>
      <xdr:row>4</xdr:row>
      <xdr:rowOff>112868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50676" cy="1098986"/>
        </a:xfrm>
        <a:prstGeom prst="rect">
          <a:avLst/>
        </a:prstGeom>
      </xdr:spPr>
    </xdr:pic>
    <xdr:clientData/>
  </xdr:twoCellAnchor>
  <xdr:twoCellAnchor>
    <xdr:from>
      <xdr:col>2</xdr:col>
      <xdr:colOff>1501</xdr:colOff>
      <xdr:row>48</xdr:row>
      <xdr:rowOff>197213</xdr:rowOff>
    </xdr:from>
    <xdr:to>
      <xdr:col>4</xdr:col>
      <xdr:colOff>17781</xdr:colOff>
      <xdr:row>50</xdr:row>
      <xdr:rowOff>166734</xdr:rowOff>
    </xdr:to>
    <xdr:sp macro="" textlink="">
      <xdr:nvSpPr>
        <xdr:cNvPr id="38" name="Retângulo: Cantos Arredondados 22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534030" y="12086654"/>
          <a:ext cx="6370016" cy="46258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DADOS GERAIS </a:t>
          </a:r>
        </a:p>
        <a:p>
          <a:pPr marL="0" indent="0" algn="ctr"/>
          <a:endParaRPr lang="pt-BR" sz="1600" b="1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550105</xdr:colOff>
      <xdr:row>16</xdr:row>
      <xdr:rowOff>98166</xdr:rowOff>
    </xdr:from>
    <xdr:to>
      <xdr:col>23</xdr:col>
      <xdr:colOff>144</xdr:colOff>
      <xdr:row>17</xdr:row>
      <xdr:rowOff>171191</xdr:rowOff>
    </xdr:to>
    <xdr:sp macro="" textlink="">
      <xdr:nvSpPr>
        <xdr:cNvPr id="41" name="Retângulo: Cantos Arredondados 2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3685899" y="4289166"/>
          <a:ext cx="5501216" cy="319554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HSP </a:t>
          </a:r>
        </a:p>
      </xdr:txBody>
    </xdr:sp>
    <xdr:clientData/>
  </xdr:twoCellAnchor>
  <xdr:twoCellAnchor>
    <xdr:from>
      <xdr:col>17</xdr:col>
      <xdr:colOff>1101090</xdr:colOff>
      <xdr:row>26</xdr:row>
      <xdr:rowOff>174275</xdr:rowOff>
    </xdr:from>
    <xdr:to>
      <xdr:col>20</xdr:col>
      <xdr:colOff>862</xdr:colOff>
      <xdr:row>27</xdr:row>
      <xdr:rowOff>225846</xdr:rowOff>
    </xdr:to>
    <xdr:sp macro="" textlink="">
      <xdr:nvSpPr>
        <xdr:cNvPr id="44" name="Retângulo: Cantos Arredondados 22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28477061" y="6584040"/>
          <a:ext cx="4659595" cy="29810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FATOR K </a:t>
          </a:r>
        </a:p>
      </xdr:txBody>
    </xdr:sp>
    <xdr:clientData/>
  </xdr:twoCellAnchor>
  <xdr:twoCellAnchor>
    <xdr:from>
      <xdr:col>17</xdr:col>
      <xdr:colOff>1101564</xdr:colOff>
      <xdr:row>30</xdr:row>
      <xdr:rowOff>50596</xdr:rowOff>
    </xdr:from>
    <xdr:to>
      <xdr:col>20</xdr:col>
      <xdr:colOff>31918</xdr:colOff>
      <xdr:row>31</xdr:row>
      <xdr:rowOff>201607</xdr:rowOff>
    </xdr:to>
    <xdr:sp macro="" textlink="">
      <xdr:nvSpPr>
        <xdr:cNvPr id="45" name="Retângulo: Cantos Arredondados 22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8477535" y="7693008"/>
          <a:ext cx="4690177" cy="39754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MÓDULO FOTOVOLTAICO</a:t>
          </a:r>
        </a:p>
      </xdr:txBody>
    </xdr:sp>
    <xdr:clientData/>
  </xdr:twoCellAnchor>
  <xdr:twoCellAnchor>
    <xdr:from>
      <xdr:col>27</xdr:col>
      <xdr:colOff>2384051</xdr:colOff>
      <xdr:row>36</xdr:row>
      <xdr:rowOff>20156</xdr:rowOff>
    </xdr:from>
    <xdr:to>
      <xdr:col>30</xdr:col>
      <xdr:colOff>56222</xdr:colOff>
      <xdr:row>37</xdr:row>
      <xdr:rowOff>179293</xdr:rowOff>
    </xdr:to>
    <xdr:sp macro="" textlink="">
      <xdr:nvSpPr>
        <xdr:cNvPr id="62" name="Retângulo: Cantos Arredondados 22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48193698" y="9141744"/>
          <a:ext cx="6524818" cy="40566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CALCULO DE ENERGIA E INVERSOR 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25</xdr:col>
      <xdr:colOff>1360</xdr:colOff>
      <xdr:row>46</xdr:row>
      <xdr:rowOff>204109</xdr:rowOff>
    </xdr:from>
    <xdr:to>
      <xdr:col>27</xdr:col>
      <xdr:colOff>0</xdr:colOff>
      <xdr:row>49</xdr:row>
      <xdr:rowOff>167368</xdr:rowOff>
    </xdr:to>
    <xdr:sp macro="" textlink="">
      <xdr:nvSpPr>
        <xdr:cNvPr id="64" name="Retângulo: Cantos Arredondados 22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42157889" y="11790991"/>
          <a:ext cx="3651758" cy="75887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CÁLCULO PROTEÇÃO E DIMENSIONAMENTO CABOS</a:t>
          </a:r>
        </a:p>
      </xdr:txBody>
    </xdr:sp>
    <xdr:clientData/>
  </xdr:twoCellAnchor>
  <xdr:twoCellAnchor>
    <xdr:from>
      <xdr:col>21</xdr:col>
      <xdr:colOff>2371825</xdr:colOff>
      <xdr:row>48</xdr:row>
      <xdr:rowOff>20166</xdr:rowOff>
    </xdr:from>
    <xdr:to>
      <xdr:col>24</xdr:col>
      <xdr:colOff>1907</xdr:colOff>
      <xdr:row>49</xdr:row>
      <xdr:rowOff>173082</xdr:rowOff>
    </xdr:to>
    <xdr:sp macro="" textlink="">
      <xdr:nvSpPr>
        <xdr:cNvPr id="75" name="Retângulo: Cantos Arredondados 22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36067913" y="12156137"/>
          <a:ext cx="4566523" cy="39944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CÁLCULO QUANTIDADE DE MÓDULOS </a:t>
          </a:r>
        </a:p>
      </xdr:txBody>
    </xdr:sp>
    <xdr:clientData/>
  </xdr:twoCellAnchor>
  <xdr:oneCellAnchor>
    <xdr:from>
      <xdr:col>16</xdr:col>
      <xdr:colOff>19627</xdr:colOff>
      <xdr:row>25</xdr:row>
      <xdr:rowOff>100445</xdr:rowOff>
    </xdr:from>
    <xdr:ext cx="994468" cy="873605"/>
    <xdr:pic>
      <xdr:nvPicPr>
        <xdr:cNvPr id="76" name="Gráfico 75" descr="Nenhum sinal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65102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23</xdr:row>
      <xdr:rowOff>152400</xdr:rowOff>
    </xdr:from>
    <xdr:to>
      <xdr:col>17</xdr:col>
      <xdr:colOff>54610</xdr:colOff>
      <xdr:row>25</xdr:row>
      <xdr:rowOff>165652</xdr:rowOff>
    </xdr:to>
    <xdr:sp macro="" textlink="">
      <xdr:nvSpPr>
        <xdr:cNvPr id="77" name="AREA TVN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26420547" y="6069106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25</xdr:row>
      <xdr:rowOff>100445</xdr:rowOff>
    </xdr:from>
    <xdr:ext cx="994468" cy="873605"/>
    <xdr:pic>
      <xdr:nvPicPr>
        <xdr:cNvPr id="78" name="Gráfico 77" descr="Nenhum sinal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65102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23</xdr:row>
      <xdr:rowOff>152400</xdr:rowOff>
    </xdr:from>
    <xdr:to>
      <xdr:col>17</xdr:col>
      <xdr:colOff>54610</xdr:colOff>
      <xdr:row>25</xdr:row>
      <xdr:rowOff>165652</xdr:rowOff>
    </xdr:to>
    <xdr:sp macro="" textlink="">
      <xdr:nvSpPr>
        <xdr:cNvPr id="79" name="AREA TVN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26420547" y="6069106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38</xdr:row>
      <xdr:rowOff>100445</xdr:rowOff>
    </xdr:from>
    <xdr:ext cx="994468" cy="873605"/>
    <xdr:pic>
      <xdr:nvPicPr>
        <xdr:cNvPr id="80" name="Gráfico 79" descr="Nenhum sinal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9715092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36</xdr:row>
      <xdr:rowOff>152400</xdr:rowOff>
    </xdr:from>
    <xdr:to>
      <xdr:col>17</xdr:col>
      <xdr:colOff>54610</xdr:colOff>
      <xdr:row>38</xdr:row>
      <xdr:rowOff>165652</xdr:rowOff>
    </xdr:to>
    <xdr:sp macro="" textlink="">
      <xdr:nvSpPr>
        <xdr:cNvPr id="81" name="AREA TVN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26420547" y="9273988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51</xdr:row>
      <xdr:rowOff>100445</xdr:rowOff>
    </xdr:from>
    <xdr:ext cx="994468" cy="873605"/>
    <xdr:pic>
      <xdr:nvPicPr>
        <xdr:cNvPr id="82" name="Gráfico 81" descr="Nenhum sinal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12976004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49</xdr:row>
      <xdr:rowOff>152400</xdr:rowOff>
    </xdr:from>
    <xdr:to>
      <xdr:col>17</xdr:col>
      <xdr:colOff>54610</xdr:colOff>
      <xdr:row>51</xdr:row>
      <xdr:rowOff>165652</xdr:rowOff>
    </xdr:to>
    <xdr:sp macro="" textlink="">
      <xdr:nvSpPr>
        <xdr:cNvPr id="83" name="AREA TVN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>
          <a:off x="26420547" y="12534900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67</xdr:row>
      <xdr:rowOff>100445</xdr:rowOff>
    </xdr:from>
    <xdr:ext cx="994468" cy="873605"/>
    <xdr:pic>
      <xdr:nvPicPr>
        <xdr:cNvPr id="84" name="Gráfico 83" descr="Nenhum sinal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166067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65</xdr:row>
      <xdr:rowOff>152400</xdr:rowOff>
    </xdr:from>
    <xdr:to>
      <xdr:col>17</xdr:col>
      <xdr:colOff>54610</xdr:colOff>
      <xdr:row>67</xdr:row>
      <xdr:rowOff>165652</xdr:rowOff>
    </xdr:to>
    <xdr:sp macro="" textlink="">
      <xdr:nvSpPr>
        <xdr:cNvPr id="85" name="AREA TVN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26420547" y="16255253"/>
          <a:ext cx="1010034" cy="416664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2291255</xdr:colOff>
      <xdr:row>23</xdr:row>
      <xdr:rowOff>163284</xdr:rowOff>
    </xdr:from>
    <xdr:to>
      <xdr:col>7</xdr:col>
      <xdr:colOff>51955</xdr:colOff>
      <xdr:row>26</xdr:row>
      <xdr:rowOff>31530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1190326" y="5796641"/>
          <a:ext cx="4210486" cy="603032"/>
          <a:chOff x="11086645" y="4285012"/>
          <a:chExt cx="4291901" cy="555666"/>
        </a:xfrm>
      </xdr:grpSpPr>
      <xdr:sp macro="" textlink="">
        <xdr:nvSpPr>
          <xdr:cNvPr id="40" name="Retângulo: Cantos Arredondados 22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1160330" y="4325834"/>
            <a:ext cx="4218216" cy="453983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IRRADIAÇÃO MENSAL (Kwp/m².dia)</a:t>
            </a: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" name="Gráfico 7" descr="Diminuir (Sol menor) com preenchimento sólido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086645" y="4285012"/>
            <a:ext cx="554428" cy="555666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2364921</xdr:colOff>
      <xdr:row>4</xdr:row>
      <xdr:rowOff>161426</xdr:rowOff>
    </xdr:from>
    <xdr:to>
      <xdr:col>6</xdr:col>
      <xdr:colOff>1053829</xdr:colOff>
      <xdr:row>6</xdr:row>
      <xdr:rowOff>202696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225892" y="1141140"/>
          <a:ext cx="4119519" cy="531127"/>
          <a:chOff x="11201152" y="190500"/>
          <a:chExt cx="4143220" cy="501237"/>
        </a:xfrm>
      </xdr:grpSpPr>
      <xdr:sp macro="" textlink="">
        <xdr:nvSpPr>
          <xdr:cNvPr id="37" name="Retângulo: Cantos Arredondados 22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1201152" y="210821"/>
            <a:ext cx="4143220" cy="464588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COORDENADAS E HSP 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1" name="Gráfico 10" descr="Bússola com preenchimento sólido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1221962" y="190500"/>
            <a:ext cx="506185" cy="501237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11206</xdr:colOff>
      <xdr:row>38</xdr:row>
      <xdr:rowOff>207917</xdr:rowOff>
    </xdr:from>
    <xdr:to>
      <xdr:col>7</xdr:col>
      <xdr:colOff>13039</xdr:colOff>
      <xdr:row>40</xdr:row>
      <xdr:rowOff>186787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1237099" y="9515203"/>
          <a:ext cx="4124797" cy="468727"/>
          <a:chOff x="11179600" y="7962652"/>
          <a:chExt cx="4158125" cy="467590"/>
        </a:xfrm>
      </xdr:grpSpPr>
      <xdr:sp macro="" textlink="">
        <xdr:nvSpPr>
          <xdr:cNvPr id="42" name="Retângulo: Cantos Arredondados 22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11179600" y="7962652"/>
            <a:ext cx="4158125" cy="467590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MÓDULO FOTOVOLTÁICO </a:t>
            </a: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6" name="Gráfico 15" descr="Painéis solares com preenchimento sólido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1241976" y="7965376"/>
            <a:ext cx="449034" cy="444087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6716</xdr:colOff>
      <xdr:row>46</xdr:row>
      <xdr:rowOff>108249</xdr:rowOff>
    </xdr:from>
    <xdr:to>
      <xdr:col>7</xdr:col>
      <xdr:colOff>13111</xdr:colOff>
      <xdr:row>47</xdr:row>
      <xdr:rowOff>293539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11232609" y="11374963"/>
          <a:ext cx="4129359" cy="430219"/>
          <a:chOff x="11161812" y="9799036"/>
          <a:chExt cx="4175985" cy="417265"/>
        </a:xfrm>
      </xdr:grpSpPr>
      <xdr:sp macro="" textlink="">
        <xdr:nvSpPr>
          <xdr:cNvPr id="63" name="Retângulo: Cantos Arredondados 2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1161812" y="9799036"/>
            <a:ext cx="4175985" cy="38914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INVERSOR 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8" name="Gráfico 17" descr="Torre elétrica com preenchimento sólid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232370" y="9832653"/>
            <a:ext cx="387724" cy="38364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68036</xdr:colOff>
      <xdr:row>52</xdr:row>
      <xdr:rowOff>149679</xdr:rowOff>
    </xdr:from>
    <xdr:to>
      <xdr:col>7</xdr:col>
      <xdr:colOff>530679</xdr:colOff>
      <xdr:row>52</xdr:row>
      <xdr:rowOff>149679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5408889" y="13271767"/>
          <a:ext cx="462643" cy="0"/>
        </a:xfrm>
        <a:prstGeom prst="straightConnector1">
          <a:avLst/>
        </a:prstGeom>
        <a:ln w="5715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13607</xdr:colOff>
      <xdr:row>3</xdr:row>
      <xdr:rowOff>157913</xdr:rowOff>
    </xdr:from>
    <xdr:to>
      <xdr:col>31</xdr:col>
      <xdr:colOff>40821</xdr:colOff>
      <xdr:row>6</xdr:row>
      <xdr:rowOff>22529</xdr:rowOff>
    </xdr:to>
    <xdr:sp macro="" textlink="">
      <xdr:nvSpPr>
        <xdr:cNvPr id="19" name="Retângulo: Cantos Arredondados 22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0624743" y="885277"/>
          <a:ext cx="16947078" cy="591979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TAXAÇÃO DO FIO B - LEI 14300</a:t>
          </a:r>
        </a:p>
      </xdr:txBody>
    </xdr:sp>
    <xdr:clientData/>
  </xdr:twoCellAnchor>
  <xdr:twoCellAnchor>
    <xdr:from>
      <xdr:col>34</xdr:col>
      <xdr:colOff>2496468</xdr:colOff>
      <xdr:row>20</xdr:row>
      <xdr:rowOff>57816</xdr:rowOff>
    </xdr:from>
    <xdr:to>
      <xdr:col>37</xdr:col>
      <xdr:colOff>2892136</xdr:colOff>
      <xdr:row>22</xdr:row>
      <xdr:rowOff>110340</xdr:rowOff>
    </xdr:to>
    <xdr:sp macro="" textlink="">
      <xdr:nvSpPr>
        <xdr:cNvPr id="25" name="Retângulo: Cantos Arredondados 2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6885468" y="4906907"/>
          <a:ext cx="6664850" cy="537433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TOTAL DE ECONOMIA AO LONGO DOS ANOS</a:t>
          </a:r>
        </a:p>
      </xdr:txBody>
    </xdr:sp>
    <xdr:clientData/>
  </xdr:twoCellAnchor>
  <xdr:twoCellAnchor>
    <xdr:from>
      <xdr:col>23</xdr:col>
      <xdr:colOff>1142999</xdr:colOff>
      <xdr:row>2</xdr:row>
      <xdr:rowOff>207819</xdr:rowOff>
    </xdr:from>
    <xdr:to>
      <xdr:col>39</xdr:col>
      <xdr:colOff>294408</xdr:colOff>
      <xdr:row>18</xdr:row>
      <xdr:rowOff>17318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0299408" y="692728"/>
          <a:ext cx="35865955" cy="3688772"/>
        </a:xfrm>
        <a:prstGeom prst="rect">
          <a:avLst/>
        </a:prstGeom>
        <a:noFill/>
        <a:ln w="1270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779320</xdr:colOff>
      <xdr:row>19</xdr:row>
      <xdr:rowOff>138546</xdr:rowOff>
    </xdr:from>
    <xdr:to>
      <xdr:col>38</xdr:col>
      <xdr:colOff>519546</xdr:colOff>
      <xdr:row>34</xdr:row>
      <xdr:rowOff>190499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58310320" y="4745182"/>
          <a:ext cx="15776862" cy="3688772"/>
        </a:xfrm>
        <a:prstGeom prst="rect">
          <a:avLst/>
        </a:prstGeom>
        <a:noFill/>
        <a:ln w="1270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432954</xdr:colOff>
      <xdr:row>5</xdr:row>
      <xdr:rowOff>86591</xdr:rowOff>
    </xdr:from>
    <xdr:to>
      <xdr:col>23</xdr:col>
      <xdr:colOff>242455</xdr:colOff>
      <xdr:row>16</xdr:row>
      <xdr:rowOff>51954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3545318" y="1298864"/>
          <a:ext cx="5853546" cy="2632363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1073727</xdr:colOff>
      <xdr:row>8</xdr:row>
      <xdr:rowOff>138545</xdr:rowOff>
    </xdr:from>
    <xdr:to>
      <xdr:col>42</xdr:col>
      <xdr:colOff>1</xdr:colOff>
      <xdr:row>11</xdr:row>
      <xdr:rowOff>103909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6944682" y="2078181"/>
          <a:ext cx="4035137" cy="692728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27</xdr:row>
          <xdr:rowOff>57150</xdr:rowOff>
        </xdr:from>
        <xdr:to>
          <xdr:col>3</xdr:col>
          <xdr:colOff>914400</xdr:colOff>
          <xdr:row>28</xdr:row>
          <xdr:rowOff>38100</xdr:rowOff>
        </xdr:to>
        <xdr:sp macro="" textlink="">
          <xdr:nvSpPr>
            <xdr:cNvPr id="21510" name="Scroll Bar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38100</xdr:rowOff>
        </xdr:from>
        <xdr:to>
          <xdr:col>3</xdr:col>
          <xdr:colOff>942975</xdr:colOff>
          <xdr:row>30</xdr:row>
          <xdr:rowOff>0</xdr:rowOff>
        </xdr:to>
        <xdr:sp macro="" textlink="">
          <xdr:nvSpPr>
            <xdr:cNvPr id="21511" name="Scroll Bar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1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2</xdr:col>
      <xdr:colOff>22412</xdr:colOff>
      <xdr:row>22</xdr:row>
      <xdr:rowOff>182955</xdr:rowOff>
    </xdr:from>
    <xdr:to>
      <xdr:col>4</xdr:col>
      <xdr:colOff>25587</xdr:colOff>
      <xdr:row>23</xdr:row>
      <xdr:rowOff>302335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822762" y="5783655"/>
          <a:ext cx="4956175" cy="500380"/>
          <a:chOff x="2825483" y="5326455"/>
          <a:chExt cx="4058104" cy="364309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2825483" y="5326455"/>
            <a:ext cx="4058104" cy="36430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Financiamento</a:t>
            </a:r>
          </a:p>
        </xdr:txBody>
      </xdr:sp>
      <xdr:pic>
        <xdr:nvPicPr>
          <xdr:cNvPr id="36" name="Gráfico 35" descr="Dinheiro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048181" y="5326455"/>
            <a:ext cx="327279" cy="3465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41684</xdr:colOff>
      <xdr:row>1</xdr:row>
      <xdr:rowOff>26151</xdr:rowOff>
    </xdr:from>
    <xdr:to>
      <xdr:col>9</xdr:col>
      <xdr:colOff>17062</xdr:colOff>
      <xdr:row>4</xdr:row>
      <xdr:rowOff>79999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9280934" y="273801"/>
          <a:ext cx="6433328" cy="796798"/>
          <a:chOff x="7718374" y="300959"/>
          <a:chExt cx="5698268" cy="73542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7718374" y="413017"/>
            <a:ext cx="5698268" cy="498661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Orçamento Final</a:t>
            </a:r>
            <a:endParaRPr lang="pt-BR" sz="1600" b="1" baseline="0"/>
          </a:p>
        </xdr:txBody>
      </xdr:sp>
      <xdr:pic>
        <xdr:nvPicPr>
          <xdr:cNvPr id="10" name="Gráfico 9" descr="Aperto de mão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804549" y="300959"/>
            <a:ext cx="754380" cy="73542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700749</xdr:colOff>
      <xdr:row>0</xdr:row>
      <xdr:rowOff>40822</xdr:rowOff>
    </xdr:from>
    <xdr:to>
      <xdr:col>3</xdr:col>
      <xdr:colOff>1251856</xdr:colOff>
      <xdr:row>2</xdr:row>
      <xdr:rowOff>99061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748624" y="40822"/>
          <a:ext cx="4732582" cy="553539"/>
          <a:chOff x="2815772" y="286204"/>
          <a:chExt cx="4042228" cy="639082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2815772" y="286204"/>
            <a:ext cx="4042228" cy="639082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 baseline="0"/>
              <a:t>Dadados Orçamentários</a:t>
            </a:r>
          </a:p>
        </xdr:txBody>
      </xdr:sp>
      <xdr:pic>
        <xdr:nvPicPr>
          <xdr:cNvPr id="26" name="Gráfico 25" descr="Lista de verificação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53871" y="333829"/>
            <a:ext cx="523875" cy="498112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1040130</xdr:colOff>
      <xdr:row>21</xdr:row>
      <xdr:rowOff>125687</xdr:rowOff>
    </xdr:from>
    <xdr:to>
      <xdr:col>7</xdr:col>
      <xdr:colOff>1170215</xdr:colOff>
      <xdr:row>22</xdr:row>
      <xdr:rowOff>365488</xdr:rowOff>
    </xdr:to>
    <xdr:sp macro="" textlink="">
      <xdr:nvSpPr>
        <xdr:cNvPr id="24" name="Retângulo: Cantos Arredondados 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428809" y="5405258"/>
          <a:ext cx="5926727" cy="48473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KPI's</a:t>
          </a:r>
        </a:p>
      </xdr:txBody>
    </xdr:sp>
    <xdr:clientData/>
  </xdr:twoCellAnchor>
  <xdr:twoCellAnchor>
    <xdr:from>
      <xdr:col>0</xdr:col>
      <xdr:colOff>311150</xdr:colOff>
      <xdr:row>6</xdr:row>
      <xdr:rowOff>0</xdr:rowOff>
    </xdr:from>
    <xdr:to>
      <xdr:col>0</xdr:col>
      <xdr:colOff>2089150</xdr:colOff>
      <xdr:row>9</xdr:row>
      <xdr:rowOff>152400</xdr:rowOff>
    </xdr:to>
    <xdr:sp macro="" textlink="">
      <xdr:nvSpPr>
        <xdr:cNvPr id="20" name="Retângulo Arredondado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311150" y="1524000"/>
          <a:ext cx="1778000" cy="914400"/>
        </a:xfrm>
        <a:prstGeom prst="roundRect">
          <a:avLst>
            <a:gd name="adj" fmla="val 48334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DADOS</a:t>
          </a:r>
          <a:r>
            <a:rPr lang="pt-BR" sz="1800" b="1" baseline="0">
              <a:solidFill>
                <a:schemeClr val="tx1"/>
              </a:solidFill>
            </a:rPr>
            <a:t> INICIAIS</a:t>
          </a:r>
          <a:endParaRPr lang="pt-B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311150</xdr:colOff>
      <xdr:row>11</xdr:row>
      <xdr:rowOff>12700</xdr:rowOff>
    </xdr:from>
    <xdr:to>
      <xdr:col>0</xdr:col>
      <xdr:colOff>2089150</xdr:colOff>
      <xdr:row>14</xdr:row>
      <xdr:rowOff>165100</xdr:rowOff>
    </xdr:to>
    <xdr:sp macro="" textlink="">
      <xdr:nvSpPr>
        <xdr:cNvPr id="21" name="Retângulo Arredondado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11150" y="2806700"/>
          <a:ext cx="1778000" cy="914400"/>
        </a:xfrm>
        <a:prstGeom prst="roundRect">
          <a:avLst>
            <a:gd name="adj" fmla="val 46667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311150</xdr:colOff>
      <xdr:row>15</xdr:row>
      <xdr:rowOff>215900</xdr:rowOff>
    </xdr:from>
    <xdr:to>
      <xdr:col>0</xdr:col>
      <xdr:colOff>2089150</xdr:colOff>
      <xdr:row>19</xdr:row>
      <xdr:rowOff>114300</xdr:rowOff>
    </xdr:to>
    <xdr:sp macro="" textlink="">
      <xdr:nvSpPr>
        <xdr:cNvPr id="22" name="Retângulo Arredondado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311150" y="4025900"/>
          <a:ext cx="1778000" cy="914400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0</xdr:col>
      <xdr:colOff>295275</xdr:colOff>
      <xdr:row>20</xdr:row>
      <xdr:rowOff>133350</xdr:rowOff>
    </xdr:from>
    <xdr:to>
      <xdr:col>0</xdr:col>
      <xdr:colOff>2035175</xdr:colOff>
      <xdr:row>23</xdr:row>
      <xdr:rowOff>155575</xdr:rowOff>
    </xdr:to>
    <xdr:sp macro="" textlink="">
      <xdr:nvSpPr>
        <xdr:cNvPr id="15" name="Retângulo Arredondad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95275" y="5086350"/>
          <a:ext cx="1739900" cy="898525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 editAs="oneCell">
    <xdr:from>
      <xdr:col>0</xdr:col>
      <xdr:colOff>0</xdr:colOff>
      <xdr:row>0</xdr:row>
      <xdr:rowOff>106952</xdr:rowOff>
    </xdr:from>
    <xdr:to>
      <xdr:col>1</xdr:col>
      <xdr:colOff>189592</xdr:colOff>
      <xdr:row>5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952"/>
          <a:ext cx="2298699" cy="11176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57150</xdr:rowOff>
        </xdr:from>
        <xdr:to>
          <xdr:col>3</xdr:col>
          <xdr:colOff>914400</xdr:colOff>
          <xdr:row>36</xdr:row>
          <xdr:rowOff>38100</xdr:rowOff>
        </xdr:to>
        <xdr:sp macro="" textlink="">
          <xdr:nvSpPr>
            <xdr:cNvPr id="21539" name="Scroll Bar 35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1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37</xdr:row>
          <xdr:rowOff>38100</xdr:rowOff>
        </xdr:from>
        <xdr:to>
          <xdr:col>3</xdr:col>
          <xdr:colOff>933450</xdr:colOff>
          <xdr:row>38</xdr:row>
          <xdr:rowOff>0</xdr:rowOff>
        </xdr:to>
        <xdr:sp macro="" textlink="">
          <xdr:nvSpPr>
            <xdr:cNvPr id="21540" name="Scroll Bar 36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1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57150</xdr:rowOff>
        </xdr:from>
        <xdr:to>
          <xdr:col>3</xdr:col>
          <xdr:colOff>914400</xdr:colOff>
          <xdr:row>36</xdr:row>
          <xdr:rowOff>38100</xdr:rowOff>
        </xdr:to>
        <xdr:sp macro="" textlink="">
          <xdr:nvSpPr>
            <xdr:cNvPr id="21541" name="Scroll Bar 37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1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37</xdr:row>
          <xdr:rowOff>38100</xdr:rowOff>
        </xdr:from>
        <xdr:to>
          <xdr:col>3</xdr:col>
          <xdr:colOff>933450</xdr:colOff>
          <xdr:row>38</xdr:row>
          <xdr:rowOff>0</xdr:rowOff>
        </xdr:to>
        <xdr:sp macro="" textlink="">
          <xdr:nvSpPr>
            <xdr:cNvPr id="21542" name="Scroll Bar 38" hidden="1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00000000-0008-0000-0100-00002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43</xdr:row>
          <xdr:rowOff>57150</xdr:rowOff>
        </xdr:from>
        <xdr:to>
          <xdr:col>3</xdr:col>
          <xdr:colOff>914400</xdr:colOff>
          <xdr:row>44</xdr:row>
          <xdr:rowOff>38100</xdr:rowOff>
        </xdr:to>
        <xdr:sp macro="" textlink="">
          <xdr:nvSpPr>
            <xdr:cNvPr id="21543" name="Scroll Bar 39" hidden="1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00000000-0008-0000-0100-00002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45</xdr:row>
          <xdr:rowOff>38100</xdr:rowOff>
        </xdr:from>
        <xdr:to>
          <xdr:col>3</xdr:col>
          <xdr:colOff>933450</xdr:colOff>
          <xdr:row>46</xdr:row>
          <xdr:rowOff>0</xdr:rowOff>
        </xdr:to>
        <xdr:sp macro="" textlink="">
          <xdr:nvSpPr>
            <xdr:cNvPr id="21544" name="Scroll Bar 40" hidden="1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0000000-0008-0000-0100-00002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43</xdr:row>
          <xdr:rowOff>57150</xdr:rowOff>
        </xdr:from>
        <xdr:to>
          <xdr:col>3</xdr:col>
          <xdr:colOff>914400</xdr:colOff>
          <xdr:row>44</xdr:row>
          <xdr:rowOff>38100</xdr:rowOff>
        </xdr:to>
        <xdr:sp macro="" textlink="">
          <xdr:nvSpPr>
            <xdr:cNvPr id="21545" name="Scroll Bar 41" hidden="1">
              <a:extLst>
                <a:ext uri="{63B3BB69-23CF-44E3-9099-C40C66FF867C}">
                  <a14:compatExt spid="_x0000_s21545"/>
                </a:ext>
                <a:ext uri="{FF2B5EF4-FFF2-40B4-BE49-F238E27FC236}">
                  <a16:creationId xmlns:a16="http://schemas.microsoft.com/office/drawing/2014/main" id="{00000000-0008-0000-0100-00002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45</xdr:row>
          <xdr:rowOff>38100</xdr:rowOff>
        </xdr:from>
        <xdr:to>
          <xdr:col>3</xdr:col>
          <xdr:colOff>933450</xdr:colOff>
          <xdr:row>46</xdr:row>
          <xdr:rowOff>0</xdr:rowOff>
        </xdr:to>
        <xdr:sp macro="" textlink="">
          <xdr:nvSpPr>
            <xdr:cNvPr id="21546" name="Scroll Bar 42" hidden="1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0000000-0008-0000-0100-00002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51</xdr:row>
          <xdr:rowOff>57150</xdr:rowOff>
        </xdr:from>
        <xdr:to>
          <xdr:col>3</xdr:col>
          <xdr:colOff>914400</xdr:colOff>
          <xdr:row>52</xdr:row>
          <xdr:rowOff>38100</xdr:rowOff>
        </xdr:to>
        <xdr:sp macro="" textlink="">
          <xdr:nvSpPr>
            <xdr:cNvPr id="21547" name="Scroll Bar 43" hidden="1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00000000-0008-0000-0100-00002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53</xdr:row>
          <xdr:rowOff>38100</xdr:rowOff>
        </xdr:from>
        <xdr:to>
          <xdr:col>3</xdr:col>
          <xdr:colOff>933450</xdr:colOff>
          <xdr:row>54</xdr:row>
          <xdr:rowOff>0</xdr:rowOff>
        </xdr:to>
        <xdr:sp macro="" textlink="">
          <xdr:nvSpPr>
            <xdr:cNvPr id="21548" name="Scroll Bar 44" hidden="1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00000000-0008-0000-0100-00002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51</xdr:row>
          <xdr:rowOff>57150</xdr:rowOff>
        </xdr:from>
        <xdr:to>
          <xdr:col>3</xdr:col>
          <xdr:colOff>914400</xdr:colOff>
          <xdr:row>52</xdr:row>
          <xdr:rowOff>38100</xdr:rowOff>
        </xdr:to>
        <xdr:sp macro="" textlink="">
          <xdr:nvSpPr>
            <xdr:cNvPr id="21549" name="Scroll Bar 45" hidden="1">
              <a:extLst>
                <a:ext uri="{63B3BB69-23CF-44E3-9099-C40C66FF867C}">
                  <a14:compatExt spid="_x0000_s21549"/>
                </a:ext>
                <a:ext uri="{FF2B5EF4-FFF2-40B4-BE49-F238E27FC236}">
                  <a16:creationId xmlns:a16="http://schemas.microsoft.com/office/drawing/2014/main" id="{00000000-0008-0000-0100-00002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53</xdr:row>
          <xdr:rowOff>38100</xdr:rowOff>
        </xdr:from>
        <xdr:to>
          <xdr:col>3</xdr:col>
          <xdr:colOff>933450</xdr:colOff>
          <xdr:row>54</xdr:row>
          <xdr:rowOff>0</xdr:rowOff>
        </xdr:to>
        <xdr:sp macro="" textlink="">
          <xdr:nvSpPr>
            <xdr:cNvPr id="21550" name="Scroll Bar 46" hidden="1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00000000-0008-0000-0100-00002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59</xdr:row>
          <xdr:rowOff>57150</xdr:rowOff>
        </xdr:from>
        <xdr:to>
          <xdr:col>3</xdr:col>
          <xdr:colOff>914400</xdr:colOff>
          <xdr:row>60</xdr:row>
          <xdr:rowOff>38100</xdr:rowOff>
        </xdr:to>
        <xdr:sp macro="" textlink="">
          <xdr:nvSpPr>
            <xdr:cNvPr id="21551" name="Scroll Bar 47" hidden="1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00000000-0008-0000-0100-00002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61</xdr:row>
          <xdr:rowOff>38100</xdr:rowOff>
        </xdr:from>
        <xdr:to>
          <xdr:col>3</xdr:col>
          <xdr:colOff>933450</xdr:colOff>
          <xdr:row>62</xdr:row>
          <xdr:rowOff>0</xdr:rowOff>
        </xdr:to>
        <xdr:sp macro="" textlink="">
          <xdr:nvSpPr>
            <xdr:cNvPr id="21552" name="Scroll Bar 48" hidden="1">
              <a:extLst>
                <a:ext uri="{63B3BB69-23CF-44E3-9099-C40C66FF867C}">
                  <a14:compatExt spid="_x0000_s21552"/>
                </a:ext>
                <a:ext uri="{FF2B5EF4-FFF2-40B4-BE49-F238E27FC236}">
                  <a16:creationId xmlns:a16="http://schemas.microsoft.com/office/drawing/2014/main" id="{00000000-0008-0000-0100-00003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59</xdr:row>
          <xdr:rowOff>57150</xdr:rowOff>
        </xdr:from>
        <xdr:to>
          <xdr:col>3</xdr:col>
          <xdr:colOff>914400</xdr:colOff>
          <xdr:row>60</xdr:row>
          <xdr:rowOff>38100</xdr:rowOff>
        </xdr:to>
        <xdr:sp macro="" textlink="">
          <xdr:nvSpPr>
            <xdr:cNvPr id="21553" name="Scroll Bar 49" hidden="1">
              <a:extLst>
                <a:ext uri="{63B3BB69-23CF-44E3-9099-C40C66FF867C}">
                  <a14:compatExt spid="_x0000_s21553"/>
                </a:ext>
                <a:ext uri="{FF2B5EF4-FFF2-40B4-BE49-F238E27FC236}">
                  <a16:creationId xmlns:a16="http://schemas.microsoft.com/office/drawing/2014/main" id="{00000000-0008-0000-0100-00003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61</xdr:row>
          <xdr:rowOff>38100</xdr:rowOff>
        </xdr:from>
        <xdr:to>
          <xdr:col>3</xdr:col>
          <xdr:colOff>933450</xdr:colOff>
          <xdr:row>62</xdr:row>
          <xdr:rowOff>0</xdr:rowOff>
        </xdr:to>
        <xdr:sp macro="" textlink="">
          <xdr:nvSpPr>
            <xdr:cNvPr id="21554" name="Scroll Bar 50" hidden="1">
              <a:extLst>
                <a:ext uri="{63B3BB69-23CF-44E3-9099-C40C66FF867C}">
                  <a14:compatExt spid="_x0000_s21554"/>
                </a:ext>
                <a:ext uri="{FF2B5EF4-FFF2-40B4-BE49-F238E27FC236}">
                  <a16:creationId xmlns:a16="http://schemas.microsoft.com/office/drawing/2014/main" id="{00000000-0008-0000-0100-00003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67</xdr:row>
          <xdr:rowOff>57150</xdr:rowOff>
        </xdr:from>
        <xdr:to>
          <xdr:col>3</xdr:col>
          <xdr:colOff>914400</xdr:colOff>
          <xdr:row>68</xdr:row>
          <xdr:rowOff>38100</xdr:rowOff>
        </xdr:to>
        <xdr:sp macro="" textlink="">
          <xdr:nvSpPr>
            <xdr:cNvPr id="21555" name="Scroll Bar 51" hidden="1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00000000-0008-0000-0100-00003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69</xdr:row>
          <xdr:rowOff>38100</xdr:rowOff>
        </xdr:from>
        <xdr:to>
          <xdr:col>3</xdr:col>
          <xdr:colOff>933450</xdr:colOff>
          <xdr:row>70</xdr:row>
          <xdr:rowOff>0</xdr:rowOff>
        </xdr:to>
        <xdr:sp macro="" textlink="">
          <xdr:nvSpPr>
            <xdr:cNvPr id="21556" name="Scroll Bar 52" hidden="1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00000000-0008-0000-0100-00003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67</xdr:row>
          <xdr:rowOff>57150</xdr:rowOff>
        </xdr:from>
        <xdr:to>
          <xdr:col>3</xdr:col>
          <xdr:colOff>914400</xdr:colOff>
          <xdr:row>68</xdr:row>
          <xdr:rowOff>38100</xdr:rowOff>
        </xdr:to>
        <xdr:sp macro="" textlink="">
          <xdr:nvSpPr>
            <xdr:cNvPr id="21557" name="Scroll Bar 53" hidden="1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00000000-0008-0000-0100-00003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69</xdr:row>
          <xdr:rowOff>38100</xdr:rowOff>
        </xdr:from>
        <xdr:to>
          <xdr:col>3</xdr:col>
          <xdr:colOff>933450</xdr:colOff>
          <xdr:row>70</xdr:row>
          <xdr:rowOff>0</xdr:rowOff>
        </xdr:to>
        <xdr:sp macro="" textlink="">
          <xdr:nvSpPr>
            <xdr:cNvPr id="21558" name="Scroll Bar 54" hidden="1">
              <a:extLst>
                <a:ext uri="{63B3BB69-23CF-44E3-9099-C40C66FF867C}">
                  <a14:compatExt spid="_x0000_s21558"/>
                </a:ext>
                <a:ext uri="{FF2B5EF4-FFF2-40B4-BE49-F238E27FC236}">
                  <a16:creationId xmlns:a16="http://schemas.microsoft.com/office/drawing/2014/main" id="{00000000-0008-0000-0100-00003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1006928</xdr:colOff>
      <xdr:row>0</xdr:row>
      <xdr:rowOff>100238</xdr:rowOff>
    </xdr:from>
    <xdr:to>
      <xdr:col>4</xdr:col>
      <xdr:colOff>43544</xdr:colOff>
      <xdr:row>1</xdr:row>
      <xdr:rowOff>178797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3057604" y="100238"/>
          <a:ext cx="4449058" cy="481971"/>
          <a:chOff x="3075214" y="562881"/>
          <a:chExt cx="4057651" cy="473166"/>
        </a:xfrm>
      </xdr:grpSpPr>
      <xdr:sp macro="" textlink="">
        <xdr:nvSpPr>
          <xdr:cNvPr id="2" name="Retângulo: Cantos Arredondados 12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075214" y="585107"/>
            <a:ext cx="4057651" cy="408668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 baseline="0"/>
              <a:t>Resumo Técnico Módulos </a:t>
            </a:r>
          </a:p>
        </xdr:txBody>
      </xdr:sp>
      <xdr:pic>
        <xdr:nvPicPr>
          <xdr:cNvPr id="5" name="Gráfico 4" descr="Engrenagens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08565" y="562881"/>
            <a:ext cx="459740" cy="4731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0</xdr:colOff>
      <xdr:row>19</xdr:row>
      <xdr:rowOff>13607</xdr:rowOff>
    </xdr:from>
    <xdr:to>
      <xdr:col>4</xdr:col>
      <xdr:colOff>19050</xdr:colOff>
      <xdr:row>22</xdr:row>
      <xdr:rowOff>191545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3070412" y="4036519"/>
          <a:ext cx="4411756" cy="749438"/>
          <a:chOff x="3075214" y="3608613"/>
          <a:chExt cx="4019550" cy="610646"/>
        </a:xfrm>
      </xdr:grpSpPr>
      <xdr:sp macro="" textlink="">
        <xdr:nvSpPr>
          <xdr:cNvPr id="3" name="Retângulo: Cantos Arredondados 14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3075214" y="3687989"/>
            <a:ext cx="4019550" cy="466725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Resumo Financeiro</a:t>
            </a:r>
          </a:p>
        </xdr:txBody>
      </xdr:sp>
      <xdr:pic>
        <xdr:nvPicPr>
          <xdr:cNvPr id="6" name="Gráfico 5" descr="Dinheiro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183164" y="3608613"/>
            <a:ext cx="596265" cy="61064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1</xdr:row>
      <xdr:rowOff>203201</xdr:rowOff>
    </xdr:from>
    <xdr:to>
      <xdr:col>8</xdr:col>
      <xdr:colOff>38100</xdr:colOff>
      <xdr:row>3</xdr:row>
      <xdr:rowOff>139701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8718176" y="606613"/>
          <a:ext cx="3523130" cy="418353"/>
          <a:chOff x="8341179" y="597808"/>
          <a:chExt cx="3521528" cy="399143"/>
        </a:xfrm>
      </xdr:grpSpPr>
      <xdr:sp macro="" textlink="">
        <xdr:nvSpPr>
          <xdr:cNvPr id="4" name="Retângulo: Cantos Arredondados 16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8341179" y="597808"/>
            <a:ext cx="3521528" cy="399143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Resumo Ambiental</a:t>
            </a:r>
          </a:p>
        </xdr:txBody>
      </xdr:sp>
      <xdr:pic>
        <xdr:nvPicPr>
          <xdr:cNvPr id="7" name="Gráfico 6" descr="Pinheiro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541204" y="629557"/>
            <a:ext cx="371475" cy="36040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93116</xdr:colOff>
      <xdr:row>33</xdr:row>
      <xdr:rowOff>62322</xdr:rowOff>
    </xdr:from>
    <xdr:to>
      <xdr:col>10</xdr:col>
      <xdr:colOff>2095501</xdr:colOff>
      <xdr:row>49</xdr:row>
      <xdr:rowOff>57721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642844</xdr:colOff>
      <xdr:row>33</xdr:row>
      <xdr:rowOff>23159</xdr:rowOff>
    </xdr:from>
    <xdr:to>
      <xdr:col>5</xdr:col>
      <xdr:colOff>611094</xdr:colOff>
      <xdr:row>53</xdr:row>
      <xdr:rowOff>136071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311150</xdr:colOff>
      <xdr:row>6</xdr:row>
      <xdr:rowOff>0</xdr:rowOff>
    </xdr:from>
    <xdr:to>
      <xdr:col>0</xdr:col>
      <xdr:colOff>2089150</xdr:colOff>
      <xdr:row>10</xdr:row>
      <xdr:rowOff>152400</xdr:rowOff>
    </xdr:to>
    <xdr:sp macro="" textlink="">
      <xdr:nvSpPr>
        <xdr:cNvPr id="14" name="Retângulo Arredondad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1150" y="1524000"/>
          <a:ext cx="1778000" cy="914400"/>
        </a:xfrm>
        <a:prstGeom prst="roundRect">
          <a:avLst>
            <a:gd name="adj" fmla="val 48334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DADOS</a:t>
          </a:r>
          <a:r>
            <a:rPr lang="pt-BR" sz="1600" b="1" baseline="0">
              <a:solidFill>
                <a:schemeClr val="tx1"/>
              </a:solidFill>
            </a:rPr>
            <a:t> INICIAIS</a:t>
          </a:r>
          <a:endParaRPr lang="pt-BR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311150</xdr:colOff>
      <xdr:row>13</xdr:row>
      <xdr:rowOff>12700</xdr:rowOff>
    </xdr:from>
    <xdr:to>
      <xdr:col>0</xdr:col>
      <xdr:colOff>2089150</xdr:colOff>
      <xdr:row>16</xdr:row>
      <xdr:rowOff>165100</xdr:rowOff>
    </xdr:to>
    <xdr:sp macro="" textlink="">
      <xdr:nvSpPr>
        <xdr:cNvPr id="15" name="Retângulo Arredondad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11150" y="2806700"/>
          <a:ext cx="1778000" cy="914400"/>
        </a:xfrm>
        <a:prstGeom prst="roundRect">
          <a:avLst>
            <a:gd name="adj" fmla="val 46667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311150</xdr:colOff>
      <xdr:row>17</xdr:row>
      <xdr:rowOff>215900</xdr:rowOff>
    </xdr:from>
    <xdr:to>
      <xdr:col>0</xdr:col>
      <xdr:colOff>2089150</xdr:colOff>
      <xdr:row>21</xdr:row>
      <xdr:rowOff>114300</xdr:rowOff>
    </xdr:to>
    <xdr:sp macro="" textlink="">
      <xdr:nvSpPr>
        <xdr:cNvPr id="16" name="Retângulo Arredondado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11150" y="4025900"/>
          <a:ext cx="1778000" cy="914400"/>
        </a:xfrm>
        <a:prstGeom prst="roundRect">
          <a:avLst>
            <a:gd name="adj" fmla="val 45000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5</xdr:col>
      <xdr:colOff>590102</xdr:colOff>
      <xdr:row>8</xdr:row>
      <xdr:rowOff>171289</xdr:rowOff>
    </xdr:from>
    <xdr:to>
      <xdr:col>9</xdr:col>
      <xdr:colOff>68036</xdr:colOff>
      <xdr:row>13</xdr:row>
      <xdr:rowOff>134220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8703161" y="2031465"/>
          <a:ext cx="4677463" cy="960255"/>
          <a:chOff x="8318959" y="1990338"/>
          <a:chExt cx="4505773" cy="595406"/>
        </a:xfrm>
      </xdr:grpSpPr>
      <xdr:sp macro="" textlink="">
        <xdr:nvSpPr>
          <xdr:cNvPr id="18" name="Retângulo: Cantos Arredondados 14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8318959" y="2023403"/>
            <a:ext cx="4505773" cy="544265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Fatura de Energia</a:t>
            </a:r>
          </a:p>
        </xdr:txBody>
      </xdr:sp>
      <xdr:pic>
        <xdr:nvPicPr>
          <xdr:cNvPr id="19" name="Gráfico 18" descr="Dinheiro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437923" y="1990338"/>
            <a:ext cx="609600" cy="59540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302558</xdr:colOff>
      <xdr:row>22</xdr:row>
      <xdr:rowOff>44825</xdr:rowOff>
    </xdr:from>
    <xdr:to>
      <xdr:col>0</xdr:col>
      <xdr:colOff>2050675</xdr:colOff>
      <xdr:row>26</xdr:row>
      <xdr:rowOff>33619</xdr:rowOff>
    </xdr:to>
    <xdr:sp macro="" textlink="">
      <xdr:nvSpPr>
        <xdr:cNvPr id="20" name="Retângulo Arredondado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302558" y="4202207"/>
          <a:ext cx="1748117" cy="762000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>
    <xdr:from>
      <xdr:col>13</xdr:col>
      <xdr:colOff>1171014</xdr:colOff>
      <xdr:row>4</xdr:row>
      <xdr:rowOff>158002</xdr:rowOff>
    </xdr:from>
    <xdr:to>
      <xdr:col>17</xdr:col>
      <xdr:colOff>745190</xdr:colOff>
      <xdr:row>20</xdr:row>
      <xdr:rowOff>189378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2039448</xdr:colOff>
      <xdr:row>3</xdr:row>
      <xdr:rowOff>135512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39448" cy="1022603"/>
        </a:xfrm>
        <a:prstGeom prst="rect">
          <a:avLst/>
        </a:prstGeom>
      </xdr:spPr>
    </xdr:pic>
    <xdr:clientData/>
  </xdr:twoCellAnchor>
  <xdr:twoCellAnchor>
    <xdr:from>
      <xdr:col>5</xdr:col>
      <xdr:colOff>369794</xdr:colOff>
      <xdr:row>13</xdr:row>
      <xdr:rowOff>89648</xdr:rowOff>
    </xdr:from>
    <xdr:to>
      <xdr:col>9</xdr:col>
      <xdr:colOff>156883</xdr:colOff>
      <xdr:row>19</xdr:row>
      <xdr:rowOff>89648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8482853" y="2947148"/>
          <a:ext cx="4986618" cy="1165412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526133</xdr:colOff>
      <xdr:row>9</xdr:row>
      <xdr:rowOff>123824</xdr:rowOff>
    </xdr:from>
    <xdr:to>
      <xdr:col>17</xdr:col>
      <xdr:colOff>230665</xdr:colOff>
      <xdr:row>23</xdr:row>
      <xdr:rowOff>153391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9983" y="2076449"/>
          <a:ext cx="7591232" cy="36490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464</xdr:row>
      <xdr:rowOff>0</xdr:rowOff>
    </xdr:to>
    <xdr:sp macro="" textlink="">
      <xdr:nvSpPr>
        <xdr:cNvPr id="90" name="Retângulo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SpPr/>
      </xdr:nvSpPr>
      <xdr:spPr>
        <a:xfrm>
          <a:off x="0" y="0"/>
          <a:ext cx="6957391" cy="87110957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0</xdr:colOff>
      <xdr:row>16</xdr:row>
      <xdr:rowOff>104775</xdr:rowOff>
    </xdr:from>
    <xdr:ext cx="1866955" cy="3772009"/>
    <xdr:pic>
      <xdr:nvPicPr>
        <xdr:cNvPr id="3" name="Gráfico 5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50000"/>
        <a:stretch/>
      </xdr:blipFill>
      <xdr:spPr>
        <a:xfrm>
          <a:off x="0" y="3152775"/>
          <a:ext cx="1866955" cy="3772009"/>
        </a:xfrm>
        <a:prstGeom prst="rect">
          <a:avLst/>
        </a:prstGeom>
      </xdr:spPr>
    </xdr:pic>
    <xdr:clientData/>
  </xdr:oneCellAnchor>
  <xdr:twoCellAnchor>
    <xdr:from>
      <xdr:col>0</xdr:col>
      <xdr:colOff>323850</xdr:colOff>
      <xdr:row>17</xdr:row>
      <xdr:rowOff>81566</xdr:rowOff>
    </xdr:from>
    <xdr:to>
      <xdr:col>8</xdr:col>
      <xdr:colOff>257175</xdr:colOff>
      <xdr:row>32</xdr:row>
      <xdr:rowOff>26243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323850" y="3320066"/>
          <a:ext cx="5521325" cy="280217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>
            <a:solidFill>
              <a:srgbClr val="1A2C52"/>
            </a:solidFill>
            <a:latin typeface="Raleway" pitchFamily="2" charset="0"/>
          </a:endParaRPr>
        </a:p>
        <a:p>
          <a:endParaRPr lang="pt-BR">
            <a:solidFill>
              <a:srgbClr val="1A2C52"/>
            </a:solidFill>
            <a:latin typeface="Raleway" pitchFamily="2" charset="0"/>
          </a:endParaRPr>
        </a:p>
        <a:p>
          <a:r>
            <a:rPr lang="pt-BR" sz="4800" b="1">
              <a:solidFill>
                <a:srgbClr val="1A2C52"/>
              </a:solidFill>
              <a:latin typeface="Raleway" pitchFamily="2" charset="0"/>
            </a:rPr>
            <a:t>Aqui está o seu sistema de energia solar</a:t>
          </a:r>
        </a:p>
      </xdr:txBody>
    </xdr:sp>
    <xdr:clientData/>
  </xdr:twoCellAnchor>
  <xdr:oneCellAnchor>
    <xdr:from>
      <xdr:col>7</xdr:col>
      <xdr:colOff>349223</xdr:colOff>
      <xdr:row>108</xdr:row>
      <xdr:rowOff>171222</xdr:rowOff>
    </xdr:from>
    <xdr:ext cx="1198180" cy="1198180"/>
    <xdr:pic>
      <xdr:nvPicPr>
        <xdr:cNvPr id="5" name="Gráfico 15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219397" y="20447048"/>
          <a:ext cx="1198180" cy="119818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59</xdr:row>
      <xdr:rowOff>97955</xdr:rowOff>
    </xdr:from>
    <xdr:to>
      <xdr:col>10</xdr:col>
      <xdr:colOff>3439</xdr:colOff>
      <xdr:row>61</xdr:row>
      <xdr:rowOff>170605</xdr:rowOff>
    </xdr:to>
    <xdr:sp macro="" textlink="$V$10">
      <xdr:nvSpPr>
        <xdr:cNvPr id="6" name="CaixaDeTexto 3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0" y="11337455"/>
          <a:ext cx="6099439" cy="45365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457200" rtl="0" eaLnBrk="1" latinLnBrk="0" hangingPunct="1"/>
          <a:fld id="{A5B4758A-D4E9-4E55-AF28-49E86B15D38C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ctr" defTabSz="457200" rtl="0" eaLnBrk="1" latinLnBrk="0" hangingPunct="1"/>
            <a:t>Quem é a Danig Engenharia Elétrica :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32178</xdr:colOff>
      <xdr:row>66</xdr:row>
      <xdr:rowOff>16427</xdr:rowOff>
    </xdr:from>
    <xdr:to>
      <xdr:col>9</xdr:col>
      <xdr:colOff>46810</xdr:colOff>
      <xdr:row>73</xdr:row>
      <xdr:rowOff>147015</xdr:rowOff>
    </xdr:to>
    <xdr:sp macro="" textlink="">
      <xdr:nvSpPr>
        <xdr:cNvPr id="7" name="CaixaDeTexto 18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727917" y="12407210"/>
          <a:ext cx="5580545" cy="144476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Somos especialistas em energia solar fotovoltaica, atuamos a mais de x anos, com mais de tantos projetos .........</a:t>
          </a:r>
        </a:p>
      </xdr:txBody>
    </xdr:sp>
    <xdr:clientData/>
  </xdr:twoCellAnchor>
  <xdr:oneCellAnchor>
    <xdr:from>
      <xdr:col>0</xdr:col>
      <xdr:colOff>418725</xdr:colOff>
      <xdr:row>83</xdr:row>
      <xdr:rowOff>57257</xdr:rowOff>
    </xdr:from>
    <xdr:ext cx="2755899" cy="1809900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418725" y="15639605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twoCellAnchor>
    <xdr:from>
      <xdr:col>0</xdr:col>
      <xdr:colOff>0</xdr:colOff>
      <xdr:row>77</xdr:row>
      <xdr:rowOff>178969</xdr:rowOff>
    </xdr:from>
    <xdr:to>
      <xdr:col>10</xdr:col>
      <xdr:colOff>18058</xdr:colOff>
      <xdr:row>82</xdr:row>
      <xdr:rowOff>41436</xdr:rowOff>
    </xdr:to>
    <xdr:sp macro="" textlink="$V$12">
      <xdr:nvSpPr>
        <xdr:cNvPr id="9" name="CaixaDeTexto 2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0" y="14847469"/>
          <a:ext cx="6114058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457200" rtl="0" eaLnBrk="1" latinLnBrk="0" hangingPunct="1"/>
          <a:fld id="{50418AF6-90B6-4116-A897-243DBB76D73F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ctr" defTabSz="457200" rtl="0" eaLnBrk="1" latinLnBrk="0" hangingPunct="1"/>
            <a:t>Quem confia na Danig Engenharia Elétrica :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208969</xdr:colOff>
      <xdr:row>117</xdr:row>
      <xdr:rowOff>166344</xdr:rowOff>
    </xdr:from>
    <xdr:to>
      <xdr:col>9</xdr:col>
      <xdr:colOff>437569</xdr:colOff>
      <xdr:row>149</xdr:row>
      <xdr:rowOff>182072</xdr:rowOff>
    </xdr:to>
    <xdr:sp macro="" textlink="">
      <xdr:nvSpPr>
        <xdr:cNvPr id="10" name="CaixaDeTexto 1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/>
      </xdr:nvSpPr>
      <xdr:spPr>
        <a:xfrm>
          <a:off x="208969" y="22131822"/>
          <a:ext cx="6490252" cy="6023380"/>
        </a:xfrm>
        <a:prstGeom prst="rect">
          <a:avLst/>
        </a:prstGeom>
        <a:noFill/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800" b="1">
              <a:solidFill>
                <a:srgbClr val="1A2C52"/>
              </a:solidFill>
              <a:latin typeface="Raleway" pitchFamily="2" charset="0"/>
            </a:rPr>
            <a:t>Como funciona o  sistema de geração de energia solar: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Captação: Painel solar fotovoltaico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Com painéis de última geração, a radiação solar é absorvida e transformada em energia elétrica.</a:t>
          </a:r>
        </a:p>
        <a:p>
          <a:pPr algn="just"/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Conversão: Inversor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É o equipamento que recebe a carga produzida pelos painéis, convertendo a energia solar em energia limpa pronta para o consumo. O inversor também controla automaticamente todo o funcionamento do sistema gerador.</a:t>
          </a:r>
        </a:p>
        <a:p>
          <a:pPr algn="just"/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Consumo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A energia gerada é utilizada na unidade consumidora instantaneamente. Caso não haja geração no momento, automaticamente passa-se à utilização da energia da rede.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Compartilhamento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O excedente da produção, ou seja, a energia produzida e não utilizada, será injetada na rede da concessionária e ficará em estoque por 60 meses. Na data específica é feita a leitura do medidor e apurada a diferença entre a energia consumida e a energia injetada.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Segurança e monitoramento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O sistema também conta com o string box (quadro elétrico de proteção), um sistema anti-surto e com o web box, equipamento integrado à rede Wi-Fi para monitoramento remoto via celular, tablet ou computador.</a:t>
          </a:r>
        </a:p>
        <a:p>
          <a:pPr algn="just"/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oneCellAnchor>
    <xdr:from>
      <xdr:col>1</xdr:col>
      <xdr:colOff>223451</xdr:colOff>
      <xdr:row>150</xdr:row>
      <xdr:rowOff>166590</xdr:rowOff>
    </xdr:from>
    <xdr:ext cx="4961598" cy="3709670"/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9190" y="28327460"/>
          <a:ext cx="4961598" cy="370967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174</xdr:row>
      <xdr:rowOff>55217</xdr:rowOff>
    </xdr:from>
    <xdr:to>
      <xdr:col>10</xdr:col>
      <xdr:colOff>3175</xdr:colOff>
      <xdr:row>174</xdr:row>
      <xdr:rowOff>73025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CxnSpPr/>
      </xdr:nvCxnSpPr>
      <xdr:spPr>
        <a:xfrm>
          <a:off x="0" y="32721826"/>
          <a:ext cx="6960566" cy="17808"/>
        </a:xfrm>
        <a:prstGeom prst="line">
          <a:avLst/>
        </a:prstGeom>
        <a:ln w="28575">
          <a:solidFill>
            <a:srgbClr val="1A2C52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218770</xdr:colOff>
      <xdr:row>175</xdr:row>
      <xdr:rowOff>55273</xdr:rowOff>
    </xdr:from>
    <xdr:to>
      <xdr:col>4</xdr:col>
      <xdr:colOff>68537</xdr:colOff>
      <xdr:row>178</xdr:row>
      <xdr:rowOff>118177</xdr:rowOff>
    </xdr:to>
    <xdr:sp macro="" textlink="">
      <xdr:nvSpPr>
        <xdr:cNvPr id="13" name="CaixaDeTexto 7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 txBox="1"/>
      </xdr:nvSpPr>
      <xdr:spPr>
        <a:xfrm>
          <a:off x="218770" y="33392773"/>
          <a:ext cx="2643767" cy="63440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r>
            <a:rPr lang="pt-BR" sz="1200">
              <a:solidFill>
                <a:srgbClr val="1A2C52"/>
              </a:solidFill>
              <a:latin typeface="Raleway" pitchFamily="2" charset="0"/>
            </a:rPr>
            <a:t>Aqui está o orçamento do seu sistema fotovoltaico:</a:t>
          </a:r>
        </a:p>
      </xdr:txBody>
    </xdr:sp>
    <xdr:clientData/>
  </xdr:twoCellAnchor>
  <xdr:twoCellAnchor>
    <xdr:from>
      <xdr:col>0</xdr:col>
      <xdr:colOff>0</xdr:colOff>
      <xdr:row>179</xdr:row>
      <xdr:rowOff>44174</xdr:rowOff>
    </xdr:from>
    <xdr:to>
      <xdr:col>10</xdr:col>
      <xdr:colOff>22087</xdr:colOff>
      <xdr:row>179</xdr:row>
      <xdr:rowOff>66261</xdr:rowOff>
    </xdr:to>
    <xdr:cxnSp macro="">
      <xdr:nvCxnSpPr>
        <xdr:cNvPr id="14" name="Conector reto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CxnSpPr>
          <a:cxnSpLocks/>
        </xdr:cNvCxnSpPr>
      </xdr:nvCxnSpPr>
      <xdr:spPr>
        <a:xfrm>
          <a:off x="0" y="33649478"/>
          <a:ext cx="6979478" cy="22087"/>
        </a:xfrm>
        <a:prstGeom prst="line">
          <a:avLst/>
        </a:prstGeom>
        <a:ln w="9525">
          <a:solidFill>
            <a:srgbClr val="1A2C52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198142</xdr:colOff>
      <xdr:row>174</xdr:row>
      <xdr:rowOff>162436</xdr:rowOff>
    </xdr:from>
    <xdr:to>
      <xdr:col>10</xdr:col>
      <xdr:colOff>421597</xdr:colOff>
      <xdr:row>178</xdr:row>
      <xdr:rowOff>125058</xdr:rowOff>
    </xdr:to>
    <xdr:sp macro="" textlink="">
      <xdr:nvSpPr>
        <xdr:cNvPr id="15" name="CaixaDeTexto 10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 txBox="1"/>
      </xdr:nvSpPr>
      <xdr:spPr>
        <a:xfrm>
          <a:off x="3690642" y="33309436"/>
          <a:ext cx="3715955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Vendedor: </a:t>
          </a:r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Telefone: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E-mail: </a:t>
          </a:r>
          <a:endParaRPr lang="pt-BR" sz="12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30221</xdr:colOff>
      <xdr:row>181</xdr:row>
      <xdr:rowOff>3815</xdr:rowOff>
    </xdr:from>
    <xdr:to>
      <xdr:col>7</xdr:col>
      <xdr:colOff>479454</xdr:colOff>
      <xdr:row>183</xdr:row>
      <xdr:rowOff>151758</xdr:rowOff>
    </xdr:to>
    <xdr:sp macro="" textlink="">
      <xdr:nvSpPr>
        <xdr:cNvPr id="16" name="CaixaDeTexto 1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 txBox="1"/>
      </xdr:nvSpPr>
      <xdr:spPr>
        <a:xfrm>
          <a:off x="30221" y="33984598"/>
          <a:ext cx="5319407" cy="5234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Estimativa de custos com base no consumo médio de:</a:t>
          </a:r>
        </a:p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 </a:t>
          </a:r>
          <a:endParaRPr lang="pt-BR" sz="105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Tipo de telhado: </a:t>
          </a:r>
          <a:endParaRPr lang="pt-BR" sz="10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6</xdr:col>
      <xdr:colOff>18031</xdr:colOff>
      <xdr:row>187</xdr:row>
      <xdr:rowOff>36307</xdr:rowOff>
    </xdr:from>
    <xdr:to>
      <xdr:col>9</xdr:col>
      <xdr:colOff>376177</xdr:colOff>
      <xdr:row>192</xdr:row>
      <xdr:rowOff>87975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 txBox="1"/>
      </xdr:nvSpPr>
      <xdr:spPr>
        <a:xfrm>
          <a:off x="4192466" y="35143524"/>
          <a:ext cx="2445363" cy="99036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ele te economizará</a:t>
          </a:r>
        </a:p>
        <a:p>
          <a:pPr algn="r"/>
          <a:endParaRPr lang="pt-BR" sz="1600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600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600">
              <a:solidFill>
                <a:srgbClr val="1A2C52"/>
              </a:solidFill>
              <a:latin typeface="Raleway" pitchFamily="2" charset="0"/>
            </a:rPr>
            <a:t>por ano</a:t>
          </a:r>
        </a:p>
      </xdr:txBody>
    </xdr:sp>
    <xdr:clientData/>
  </xdr:twoCellAnchor>
  <xdr:twoCellAnchor>
    <xdr:from>
      <xdr:col>0</xdr:col>
      <xdr:colOff>114786</xdr:colOff>
      <xdr:row>187</xdr:row>
      <xdr:rowOff>39255</xdr:rowOff>
    </xdr:from>
    <xdr:to>
      <xdr:col>3</xdr:col>
      <xdr:colOff>612318</xdr:colOff>
      <xdr:row>188</xdr:row>
      <xdr:rowOff>112709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 txBox="1"/>
      </xdr:nvSpPr>
      <xdr:spPr>
        <a:xfrm>
          <a:off x="114786" y="35146472"/>
          <a:ext cx="2584749" cy="26119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O tamanho do seu sistema é de</a:t>
          </a:r>
        </a:p>
      </xdr:txBody>
    </xdr:sp>
    <xdr:clientData/>
  </xdr:twoCellAnchor>
  <xdr:twoCellAnchor>
    <xdr:from>
      <xdr:col>6</xdr:col>
      <xdr:colOff>219929</xdr:colOff>
      <xdr:row>195</xdr:row>
      <xdr:rowOff>18199</xdr:rowOff>
    </xdr:from>
    <xdr:to>
      <xdr:col>9</xdr:col>
      <xdr:colOff>347645</xdr:colOff>
      <xdr:row>196</xdr:row>
      <xdr:rowOff>91651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 txBox="1"/>
      </xdr:nvSpPr>
      <xdr:spPr>
        <a:xfrm>
          <a:off x="4394364" y="36627329"/>
          <a:ext cx="2214933" cy="26119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seu payback será em</a:t>
          </a:r>
        </a:p>
      </xdr:txBody>
    </xdr:sp>
    <xdr:clientData/>
  </xdr:twoCellAnchor>
  <xdr:twoCellAnchor>
    <xdr:from>
      <xdr:col>0</xdr:col>
      <xdr:colOff>114786</xdr:colOff>
      <xdr:row>195</xdr:row>
      <xdr:rowOff>18199</xdr:rowOff>
    </xdr:from>
    <xdr:to>
      <xdr:col>2</xdr:col>
      <xdr:colOff>572241</xdr:colOff>
      <xdr:row>196</xdr:row>
      <xdr:rowOff>91651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 txBox="1"/>
      </xdr:nvSpPr>
      <xdr:spPr>
        <a:xfrm>
          <a:off x="114786" y="36627329"/>
          <a:ext cx="1848933" cy="26119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Pelo investimento de</a:t>
          </a:r>
        </a:p>
      </xdr:txBody>
    </xdr:sp>
    <xdr:clientData/>
  </xdr:twoCellAnchor>
  <xdr:twoCellAnchor>
    <xdr:from>
      <xdr:col>0</xdr:col>
      <xdr:colOff>152835</xdr:colOff>
      <xdr:row>202</xdr:row>
      <xdr:rowOff>69675</xdr:rowOff>
    </xdr:from>
    <xdr:to>
      <xdr:col>4</xdr:col>
      <xdr:colOff>348110</xdr:colOff>
      <xdr:row>206</xdr:row>
      <xdr:rowOff>132511</xdr:rowOff>
    </xdr:to>
    <xdr:sp macro="" textlink="">
      <xdr:nvSpPr>
        <xdr:cNvPr id="21" name="CaixaDeTexto 23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 txBox="1"/>
      </xdr:nvSpPr>
      <xdr:spPr>
        <a:xfrm>
          <a:off x="152835" y="37992979"/>
          <a:ext cx="2978232" cy="813793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Seu gasto com energia sairá de</a:t>
          </a:r>
        </a:p>
      </xdr:txBody>
    </xdr:sp>
    <xdr:clientData/>
  </xdr:twoCellAnchor>
  <xdr:twoCellAnchor>
    <xdr:from>
      <xdr:col>5</xdr:col>
      <xdr:colOff>318786</xdr:colOff>
      <xdr:row>202</xdr:row>
      <xdr:rowOff>62055</xdr:rowOff>
    </xdr:from>
    <xdr:to>
      <xdr:col>9</xdr:col>
      <xdr:colOff>416737</xdr:colOff>
      <xdr:row>206</xdr:row>
      <xdr:rowOff>72394</xdr:rowOff>
    </xdr:to>
    <xdr:sp macro="" textlink="">
      <xdr:nvSpPr>
        <xdr:cNvPr id="22" name="CaixaDeTexto 24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3797482" y="37985359"/>
          <a:ext cx="2880907" cy="7612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seu retorno será de</a:t>
          </a:r>
        </a:p>
        <a:p>
          <a:pPr algn="r"/>
          <a:endParaRPr lang="pt-BR" sz="1100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100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ao ano</a:t>
          </a:r>
          <a:endParaRPr lang="pt-BR" sz="16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310338</xdr:colOff>
      <xdr:row>241</xdr:row>
      <xdr:rowOff>174683</xdr:rowOff>
    </xdr:from>
    <xdr:to>
      <xdr:col>6</xdr:col>
      <xdr:colOff>157604</xdr:colOff>
      <xdr:row>245</xdr:row>
      <xdr:rowOff>98483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008838" y="46085183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oneCellAnchor>
    <xdr:from>
      <xdr:col>0</xdr:col>
      <xdr:colOff>0</xdr:colOff>
      <xdr:row>263</xdr:row>
      <xdr:rowOff>12700</xdr:rowOff>
    </xdr:from>
    <xdr:ext cx="4665893" cy="4665894"/>
    <xdr:pic>
      <xdr:nvPicPr>
        <xdr:cNvPr id="24" name="Gráfico 26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0114200"/>
          <a:ext cx="4665893" cy="4665894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269</xdr:row>
      <xdr:rowOff>201</xdr:rowOff>
    </xdr:from>
    <xdr:ext cx="6252882" cy="3561849"/>
    <xdr:pic>
      <xdr:nvPicPr>
        <xdr:cNvPr id="26" name="Gráfico 2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rcRect l="3217" r="26238" b="5216"/>
        <a:stretch/>
      </xdr:blipFill>
      <xdr:spPr>
        <a:xfrm>
          <a:off x="0" y="48230319"/>
          <a:ext cx="6252882" cy="3561849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234</xdr:row>
      <xdr:rowOff>25400</xdr:rowOff>
    </xdr:from>
    <xdr:to>
      <xdr:col>10</xdr:col>
      <xdr:colOff>1</xdr:colOff>
      <xdr:row>236</xdr:row>
      <xdr:rowOff>158259</xdr:rowOff>
    </xdr:to>
    <xdr:sp macro="" textlink="">
      <xdr:nvSpPr>
        <xdr:cNvPr id="27" name="CaixaDeTexto 3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0" y="44602400"/>
          <a:ext cx="6985001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800">
              <a:solidFill>
                <a:srgbClr val="1A2C52"/>
              </a:solidFill>
              <a:latin typeface="Raleway" pitchFamily="2" charset="0"/>
            </a:rPr>
            <a:t>Seu </a:t>
          </a:r>
          <a:r>
            <a:rPr lang="pt-BR" sz="2800" b="1">
              <a:solidFill>
                <a:srgbClr val="1A2C52"/>
              </a:solidFill>
              <a:latin typeface="Raleway" pitchFamily="2" charset="0"/>
            </a:rPr>
            <a:t>Sistema Fotovoltaico:</a:t>
          </a:r>
        </a:p>
      </xdr:txBody>
    </xdr:sp>
    <xdr:clientData/>
  </xdr:twoCellAnchor>
  <xdr:oneCellAnchor>
    <xdr:from>
      <xdr:col>0</xdr:col>
      <xdr:colOff>465094</xdr:colOff>
      <xdr:row>241</xdr:row>
      <xdr:rowOff>42336</xdr:rowOff>
    </xdr:from>
    <xdr:ext cx="973886" cy="995602"/>
    <xdr:pic>
      <xdr:nvPicPr>
        <xdr:cNvPr id="28" name="Gráfico 8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65094" y="45952836"/>
          <a:ext cx="973886" cy="995602"/>
        </a:xfrm>
        <a:prstGeom prst="rect">
          <a:avLst/>
        </a:prstGeom>
      </xdr:spPr>
    </xdr:pic>
    <xdr:clientData/>
  </xdr:oneCellAnchor>
  <xdr:twoCellAnchor>
    <xdr:from>
      <xdr:col>2</xdr:col>
      <xdr:colOff>248508</xdr:colOff>
      <xdr:row>242</xdr:row>
      <xdr:rowOff>56900</xdr:rowOff>
    </xdr:from>
    <xdr:to>
      <xdr:col>6</xdr:col>
      <xdr:colOff>25255</xdr:colOff>
      <xdr:row>245</xdr:row>
      <xdr:rowOff>58013</xdr:rowOff>
    </xdr:to>
    <xdr:sp macro="" textlink="">
      <xdr:nvSpPr>
        <xdr:cNvPr id="29" name="CaixaDeTexto 10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 txBox="1"/>
      </xdr:nvSpPr>
      <xdr:spPr>
        <a:xfrm>
          <a:off x="1645508" y="46157900"/>
          <a:ext cx="2570747" cy="57261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Módulos Fotovoltaicos:</a:t>
          </a:r>
        </a:p>
        <a:p>
          <a:endParaRPr lang="pt-BR"/>
        </a:p>
      </xdr:txBody>
    </xdr:sp>
    <xdr:clientData/>
  </xdr:twoCellAnchor>
  <xdr:twoCellAnchor>
    <xdr:from>
      <xdr:col>4</xdr:col>
      <xdr:colOff>541194</xdr:colOff>
      <xdr:row>249</xdr:row>
      <xdr:rowOff>16381</xdr:rowOff>
    </xdr:from>
    <xdr:to>
      <xdr:col>9</xdr:col>
      <xdr:colOff>388460</xdr:colOff>
      <xdr:row>252</xdr:row>
      <xdr:rowOff>130681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3335194" y="47450881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5</xdr:col>
      <xdr:colOff>479364</xdr:colOff>
      <xdr:row>249</xdr:row>
      <xdr:rowOff>89098</xdr:rowOff>
    </xdr:from>
    <xdr:to>
      <xdr:col>9</xdr:col>
      <xdr:colOff>160861</xdr:colOff>
      <xdr:row>251</xdr:row>
      <xdr:rowOff>3001</xdr:rowOff>
    </xdr:to>
    <xdr:sp macro="" textlink="">
      <xdr:nvSpPr>
        <xdr:cNvPr id="31" name="CaixaDeTexto 17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 txBox="1"/>
      </xdr:nvSpPr>
      <xdr:spPr>
        <a:xfrm>
          <a:off x="3971864" y="47523598"/>
          <a:ext cx="2475497" cy="29490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Inversores:</a:t>
          </a:r>
        </a:p>
      </xdr:txBody>
    </xdr:sp>
    <xdr:clientData/>
  </xdr:twoCellAnchor>
  <xdr:oneCellAnchor>
    <xdr:from>
      <xdr:col>3</xdr:col>
      <xdr:colOff>464760</xdr:colOff>
      <xdr:row>248</xdr:row>
      <xdr:rowOff>6219</xdr:rowOff>
    </xdr:from>
    <xdr:ext cx="964173" cy="985730"/>
    <xdr:pic>
      <xdr:nvPicPr>
        <xdr:cNvPr id="32" name="Gráfico 14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560260" y="47250219"/>
          <a:ext cx="964173" cy="985730"/>
        </a:xfrm>
        <a:prstGeom prst="rect">
          <a:avLst/>
        </a:prstGeom>
      </xdr:spPr>
    </xdr:pic>
    <xdr:clientData/>
  </xdr:oneCellAnchor>
  <xdr:twoCellAnchor>
    <xdr:from>
      <xdr:col>1</xdr:col>
      <xdr:colOff>221582</xdr:colOff>
      <xdr:row>255</xdr:row>
      <xdr:rowOff>114969</xdr:rowOff>
    </xdr:from>
    <xdr:to>
      <xdr:col>6</xdr:col>
      <xdr:colOff>68848</xdr:colOff>
      <xdr:row>259</xdr:row>
      <xdr:rowOff>38769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920082" y="48692469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2</xdr:col>
      <xdr:colOff>159752</xdr:colOff>
      <xdr:row>255</xdr:row>
      <xdr:rowOff>187686</xdr:rowOff>
    </xdr:from>
    <xdr:to>
      <xdr:col>5</xdr:col>
      <xdr:colOff>634999</xdr:colOff>
      <xdr:row>258</xdr:row>
      <xdr:rowOff>188800</xdr:rowOff>
    </xdr:to>
    <xdr:sp macro="" textlink="">
      <xdr:nvSpPr>
        <xdr:cNvPr id="34" name="CaixaDeTexto 24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1556752" y="48765186"/>
          <a:ext cx="2570747" cy="57261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Estrutura de Fixação:</a:t>
          </a:r>
        </a:p>
        <a:p>
          <a:endParaRPr lang="pt-BR"/>
        </a:p>
      </xdr:txBody>
    </xdr:sp>
    <xdr:clientData/>
  </xdr:twoCellAnchor>
  <xdr:twoCellAnchor>
    <xdr:from>
      <xdr:col>4</xdr:col>
      <xdr:colOff>515938</xdr:colOff>
      <xdr:row>262</xdr:row>
      <xdr:rowOff>96367</xdr:rowOff>
    </xdr:from>
    <xdr:to>
      <xdr:col>9</xdr:col>
      <xdr:colOff>363204</xdr:colOff>
      <xdr:row>266</xdr:row>
      <xdr:rowOff>20167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/>
      </xdr:nvSpPr>
      <xdr:spPr>
        <a:xfrm>
          <a:off x="3309938" y="50007367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5</xdr:col>
      <xdr:colOff>454108</xdr:colOff>
      <xdr:row>262</xdr:row>
      <xdr:rowOff>169084</xdr:rowOff>
    </xdr:from>
    <xdr:to>
      <xdr:col>9</xdr:col>
      <xdr:colOff>135605</xdr:colOff>
      <xdr:row>264</xdr:row>
      <xdr:rowOff>82986</xdr:rowOff>
    </xdr:to>
    <xdr:sp macro="" textlink="">
      <xdr:nvSpPr>
        <xdr:cNvPr id="36" name="CaixaDeTexto 27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3946608" y="50080084"/>
          <a:ext cx="2475497" cy="29490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Área utilizada:</a:t>
          </a:r>
        </a:p>
      </xdr:txBody>
    </xdr:sp>
    <xdr:clientData/>
  </xdr:twoCellAnchor>
  <xdr:oneCellAnchor>
    <xdr:from>
      <xdr:col>0</xdr:col>
      <xdr:colOff>401594</xdr:colOff>
      <xdr:row>254</xdr:row>
      <xdr:rowOff>174310</xdr:rowOff>
    </xdr:from>
    <xdr:ext cx="973886" cy="964263"/>
    <xdr:pic>
      <xdr:nvPicPr>
        <xdr:cNvPr id="37" name="Gráfico 19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01594" y="48561310"/>
          <a:ext cx="973886" cy="964263"/>
        </a:xfrm>
        <a:prstGeom prst="rect">
          <a:avLst/>
        </a:prstGeom>
      </xdr:spPr>
    </xdr:pic>
    <xdr:clientData/>
  </xdr:oneCellAnchor>
  <xdr:oneCellAnchor>
    <xdr:from>
      <xdr:col>3</xdr:col>
      <xdr:colOff>674014</xdr:colOff>
      <xdr:row>261</xdr:row>
      <xdr:rowOff>175816</xdr:rowOff>
    </xdr:from>
    <xdr:ext cx="910797" cy="906492"/>
    <xdr:pic>
      <xdr:nvPicPr>
        <xdr:cNvPr id="38" name="Gráfico 2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69514" y="49896316"/>
          <a:ext cx="910797" cy="906492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293</xdr:row>
      <xdr:rowOff>130613</xdr:rowOff>
    </xdr:from>
    <xdr:to>
      <xdr:col>10</xdr:col>
      <xdr:colOff>12699</xdr:colOff>
      <xdr:row>297</xdr:row>
      <xdr:rowOff>2954</xdr:rowOff>
    </xdr:to>
    <xdr:sp macro="" textlink="">
      <xdr:nvSpPr>
        <xdr:cNvPr id="39" name="CaixaDeTexto 3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 txBox="1"/>
      </xdr:nvSpPr>
      <xdr:spPr>
        <a:xfrm>
          <a:off x="0" y="55947113"/>
          <a:ext cx="6997699" cy="6343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3600">
              <a:solidFill>
                <a:srgbClr val="1A2C52"/>
              </a:solidFill>
              <a:latin typeface="Raleway" pitchFamily="2" charset="0"/>
            </a:rPr>
            <a:t>Suas </a:t>
          </a:r>
          <a:r>
            <a:rPr lang="pt-BR" sz="3600" b="1">
              <a:solidFill>
                <a:srgbClr val="1A2C52"/>
              </a:solidFill>
              <a:latin typeface="Raleway" pitchFamily="2" charset="0"/>
            </a:rPr>
            <a:t>Garantias:</a:t>
          </a:r>
        </a:p>
      </xdr:txBody>
    </xdr:sp>
    <xdr:clientData/>
  </xdr:twoCellAnchor>
  <xdr:oneCellAnchor>
    <xdr:from>
      <xdr:col>1</xdr:col>
      <xdr:colOff>277242</xdr:colOff>
      <xdr:row>303</xdr:row>
      <xdr:rowOff>7126</xdr:rowOff>
    </xdr:from>
    <xdr:ext cx="1065293" cy="2324342"/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444" r="33143"/>
        <a:stretch/>
      </xdr:blipFill>
      <xdr:spPr>
        <a:xfrm>
          <a:off x="975742" y="57728626"/>
          <a:ext cx="1065293" cy="2324342"/>
        </a:xfrm>
        <a:prstGeom prst="rect">
          <a:avLst/>
        </a:prstGeom>
      </xdr:spPr>
    </xdr:pic>
    <xdr:clientData/>
  </xdr:oneCellAnchor>
  <xdr:twoCellAnchor>
    <xdr:from>
      <xdr:col>0</xdr:col>
      <xdr:colOff>117475</xdr:colOff>
      <xdr:row>316</xdr:row>
      <xdr:rowOff>168867</xdr:rowOff>
    </xdr:from>
    <xdr:to>
      <xdr:col>4</xdr:col>
      <xdr:colOff>37765</xdr:colOff>
      <xdr:row>320</xdr:row>
      <xdr:rowOff>131489</xdr:rowOff>
    </xdr:to>
    <xdr:sp macro="" textlink="">
      <xdr:nvSpPr>
        <xdr:cNvPr id="41" name="CaixaDeTexto 12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 txBox="1"/>
      </xdr:nvSpPr>
      <xdr:spPr>
        <a:xfrm>
          <a:off x="117475" y="60366867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Painéis Fotovoltaicos: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Garantia de eficiência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 de 25 anos</a:t>
          </a:r>
        </a:p>
      </xdr:txBody>
    </xdr:sp>
    <xdr:clientData/>
  </xdr:twoCellAnchor>
  <xdr:twoCellAnchor>
    <xdr:from>
      <xdr:col>5</xdr:col>
      <xdr:colOff>168610</xdr:colOff>
      <xdr:row>316</xdr:row>
      <xdr:rowOff>118067</xdr:rowOff>
    </xdr:from>
    <xdr:to>
      <xdr:col>9</xdr:col>
      <xdr:colOff>88900</xdr:colOff>
      <xdr:row>320</xdr:row>
      <xdr:rowOff>80689</xdr:rowOff>
    </xdr:to>
    <xdr:sp macro="" textlink="">
      <xdr:nvSpPr>
        <xdr:cNvPr id="42" name="CaixaDeTexto 13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SpPr txBox="1"/>
      </xdr:nvSpPr>
      <xdr:spPr>
        <a:xfrm>
          <a:off x="3661110" y="60316067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Inversores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12 anos de garantia, podendo ser estendida a 25 anos</a:t>
          </a:r>
        </a:p>
      </xdr:txBody>
    </xdr:sp>
    <xdr:clientData/>
  </xdr:twoCellAnchor>
  <xdr:oneCellAnchor>
    <xdr:from>
      <xdr:col>6</xdr:col>
      <xdr:colOff>145872</xdr:colOff>
      <xdr:row>302</xdr:row>
      <xdr:rowOff>137061</xdr:rowOff>
    </xdr:from>
    <xdr:ext cx="1459768" cy="2115602"/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6872" y="57668061"/>
          <a:ext cx="1459768" cy="2115602"/>
        </a:xfrm>
        <a:prstGeom prst="rect">
          <a:avLst/>
        </a:prstGeom>
      </xdr:spPr>
    </xdr:pic>
    <xdr:clientData/>
  </xdr:oneCellAnchor>
  <xdr:twoCellAnchor>
    <xdr:from>
      <xdr:col>0</xdr:col>
      <xdr:colOff>53975</xdr:colOff>
      <xdr:row>337</xdr:row>
      <xdr:rowOff>1850</xdr:rowOff>
    </xdr:from>
    <xdr:to>
      <xdr:col>3</xdr:col>
      <xdr:colOff>672765</xdr:colOff>
      <xdr:row>340</xdr:row>
      <xdr:rowOff>154972</xdr:rowOff>
    </xdr:to>
    <xdr:sp macro="" textlink="">
      <xdr:nvSpPr>
        <xdr:cNvPr id="44" name="CaixaDeTexto 18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 txBox="1"/>
      </xdr:nvSpPr>
      <xdr:spPr>
        <a:xfrm>
          <a:off x="53975" y="64200350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Estruturas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10 anos de garantia pelo fabricante</a:t>
          </a:r>
        </a:p>
      </xdr:txBody>
    </xdr:sp>
    <xdr:clientData/>
  </xdr:twoCellAnchor>
  <xdr:twoCellAnchor>
    <xdr:from>
      <xdr:col>4</xdr:col>
      <xdr:colOff>676610</xdr:colOff>
      <xdr:row>337</xdr:row>
      <xdr:rowOff>27250</xdr:rowOff>
    </xdr:from>
    <xdr:to>
      <xdr:col>8</xdr:col>
      <xdr:colOff>596900</xdr:colOff>
      <xdr:row>339</xdr:row>
      <xdr:rowOff>160109</xdr:rowOff>
    </xdr:to>
    <xdr:sp macro="" textlink="">
      <xdr:nvSpPr>
        <xdr:cNvPr id="45" name="CaixaDeTexto 19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 txBox="1"/>
      </xdr:nvSpPr>
      <xdr:spPr>
        <a:xfrm>
          <a:off x="3470610" y="64225750"/>
          <a:ext cx="2714290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Mão de obra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2 anos de garantia</a:t>
          </a:r>
        </a:p>
      </xdr:txBody>
    </xdr:sp>
    <xdr:clientData/>
  </xdr:twoCellAnchor>
  <xdr:oneCellAnchor>
    <xdr:from>
      <xdr:col>6</xdr:col>
      <xdr:colOff>145871</xdr:colOff>
      <xdr:row>327</xdr:row>
      <xdr:rowOff>15880</xdr:rowOff>
    </xdr:from>
    <xdr:ext cx="1459768" cy="1458517"/>
    <xdr:pic>
      <xdr:nvPicPr>
        <xdr:cNvPr id="46" name="Gráfico 20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336871" y="62309380"/>
          <a:ext cx="1459768" cy="1458517"/>
        </a:xfrm>
        <a:prstGeom prst="rect">
          <a:avLst/>
        </a:prstGeom>
      </xdr:spPr>
    </xdr:pic>
    <xdr:clientData/>
  </xdr:oneCellAnchor>
  <xdr:oneCellAnchor>
    <xdr:from>
      <xdr:col>1</xdr:col>
      <xdr:colOff>82037</xdr:colOff>
      <xdr:row>326</xdr:row>
      <xdr:rowOff>117481</xdr:rowOff>
    </xdr:from>
    <xdr:ext cx="1459768" cy="1605869"/>
    <xdr:pic>
      <xdr:nvPicPr>
        <xdr:cNvPr id="47" name="Gráfico 22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780537" y="62220481"/>
          <a:ext cx="1459768" cy="1605869"/>
        </a:xfrm>
        <a:prstGeom prst="rect">
          <a:avLst/>
        </a:prstGeom>
      </xdr:spPr>
    </xdr:pic>
    <xdr:clientData/>
  </xdr:oneCellAnchor>
  <xdr:twoCellAnchor>
    <xdr:from>
      <xdr:col>0</xdr:col>
      <xdr:colOff>109537</xdr:colOff>
      <xdr:row>394</xdr:row>
      <xdr:rowOff>185412</xdr:rowOff>
    </xdr:from>
    <xdr:to>
      <xdr:col>9</xdr:col>
      <xdr:colOff>41107</xdr:colOff>
      <xdr:row>403</xdr:row>
      <xdr:rowOff>5811</xdr:rowOff>
    </xdr:to>
    <xdr:sp macro="" textlink="">
      <xdr:nvSpPr>
        <xdr:cNvPr id="48" name="CaixaDeTexto 36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 txBox="1"/>
      </xdr:nvSpPr>
      <xdr:spPr>
        <a:xfrm>
          <a:off x="109537" y="75242412"/>
          <a:ext cx="6218070" cy="15348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Premissas assumidas: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Fator Simultaneidade – Consumido:                                 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Fator Simultaneidade – Injetado:                                       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Tarifa com Imposto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Degradação 1º ano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Reajuste tarifa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Geração Ano: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417732</xdr:colOff>
      <xdr:row>410</xdr:row>
      <xdr:rowOff>130175</xdr:rowOff>
    </xdr:from>
    <xdr:to>
      <xdr:col>8</xdr:col>
      <xdr:colOff>61933</xdr:colOff>
      <xdr:row>413</xdr:row>
      <xdr:rowOff>20340</xdr:rowOff>
    </xdr:to>
    <xdr:sp macro="" textlink="">
      <xdr:nvSpPr>
        <xdr:cNvPr id="49" name="CaixaDeTexto 3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 txBox="1"/>
      </xdr:nvSpPr>
      <xdr:spPr>
        <a:xfrm>
          <a:off x="1116232" y="78235175"/>
          <a:ext cx="4533701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400" b="1">
              <a:solidFill>
                <a:srgbClr val="1A2C52"/>
              </a:solidFill>
              <a:latin typeface="Raleway" pitchFamily="2" charset="0"/>
            </a:rPr>
            <a:t>Implantação</a:t>
          </a:r>
          <a:r>
            <a:rPr lang="pt-BR" sz="2400">
              <a:solidFill>
                <a:srgbClr val="1A2C52"/>
              </a:solidFill>
              <a:latin typeface="Raleway" pitchFamily="2" charset="0"/>
            </a:rPr>
            <a:t> do seu projeto:</a:t>
          </a:r>
          <a:endParaRPr lang="pt-BR" sz="2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614801</xdr:colOff>
      <xdr:row>416</xdr:row>
      <xdr:rowOff>111785</xdr:rowOff>
    </xdr:from>
    <xdr:to>
      <xdr:col>9</xdr:col>
      <xdr:colOff>203200</xdr:colOff>
      <xdr:row>426</xdr:row>
      <xdr:rowOff>22667</xdr:rowOff>
    </xdr:to>
    <xdr:sp macro="" textlink="">
      <xdr:nvSpPr>
        <xdr:cNvPr id="50" name="CaixaDeTexto 10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 txBox="1"/>
      </xdr:nvSpPr>
      <xdr:spPr>
        <a:xfrm>
          <a:off x="1313301" y="79359785"/>
          <a:ext cx="5176399" cy="181588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Preparação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Primeiro, prepararemos a área de instalação certificando a colocação segura dos componentes do sistema.</a:t>
          </a:r>
        </a:p>
        <a:p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Em seguida, é importante facilitar todas as inspeções e aprovações necessárias. É interessante também já deixar os materiais e equipamentos armazenados no local da instalação!</a:t>
          </a:r>
        </a:p>
      </xdr:txBody>
    </xdr:sp>
    <xdr:clientData/>
  </xdr:twoCellAnchor>
  <xdr:twoCellAnchor>
    <xdr:from>
      <xdr:col>1</xdr:col>
      <xdr:colOff>614801</xdr:colOff>
      <xdr:row>431</xdr:row>
      <xdr:rowOff>36972</xdr:rowOff>
    </xdr:from>
    <xdr:to>
      <xdr:col>9</xdr:col>
      <xdr:colOff>203200</xdr:colOff>
      <xdr:row>436</xdr:row>
      <xdr:rowOff>38579</xdr:rowOff>
    </xdr:to>
    <xdr:sp macro="" textlink="">
      <xdr:nvSpPr>
        <xdr:cNvPr id="51" name="CaixaDeTexto 5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 txBox="1"/>
      </xdr:nvSpPr>
      <xdr:spPr>
        <a:xfrm>
          <a:off x="1313301" y="82142472"/>
          <a:ext cx="5176399" cy="95410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Instalação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Todas as obras serão supervisionadas por um técnico, e serão feitas de forma a causar o mínimo possível de ruído, e serão concluídas em até 60 dias.</a:t>
          </a:r>
        </a:p>
      </xdr:txBody>
    </xdr:sp>
    <xdr:clientData/>
  </xdr:twoCellAnchor>
  <xdr:twoCellAnchor>
    <xdr:from>
      <xdr:col>1</xdr:col>
      <xdr:colOff>614801</xdr:colOff>
      <xdr:row>440</xdr:row>
      <xdr:rowOff>188178</xdr:rowOff>
    </xdr:from>
    <xdr:to>
      <xdr:col>9</xdr:col>
      <xdr:colOff>203200</xdr:colOff>
      <xdr:row>445</xdr:row>
      <xdr:rowOff>171062</xdr:rowOff>
    </xdr:to>
    <xdr:sp macro="" textlink="">
      <xdr:nvSpPr>
        <xdr:cNvPr id="52" name="CaixaDeTexto 7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 txBox="1"/>
      </xdr:nvSpPr>
      <xdr:spPr>
        <a:xfrm>
          <a:off x="1313301" y="84008178"/>
          <a:ext cx="5176399" cy="93538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Finalização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Com o sistema instalado, faremos os testes, e verificaremos o funcionamento do seu sistema, e trabalharemos nas autorizações finais com a concessionária de energia.</a:t>
          </a:r>
        </a:p>
      </xdr:txBody>
    </xdr:sp>
    <xdr:clientData/>
  </xdr:twoCellAnchor>
  <xdr:oneCellAnchor>
    <xdr:from>
      <xdr:col>0</xdr:col>
      <xdr:colOff>151064</xdr:colOff>
      <xdr:row>442</xdr:row>
      <xdr:rowOff>85148</xdr:rowOff>
    </xdr:from>
    <xdr:ext cx="765350" cy="626525"/>
    <xdr:pic>
      <xdr:nvPicPr>
        <xdr:cNvPr id="53" name="Gráfico 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51064" y="84286148"/>
          <a:ext cx="765350" cy="626525"/>
        </a:xfrm>
        <a:prstGeom prst="rect">
          <a:avLst/>
        </a:prstGeom>
      </xdr:spPr>
    </xdr:pic>
    <xdr:clientData/>
  </xdr:oneCellAnchor>
  <xdr:oneCellAnchor>
    <xdr:from>
      <xdr:col>0</xdr:col>
      <xdr:colOff>241968</xdr:colOff>
      <xdr:row>431</xdr:row>
      <xdr:rowOff>177893</xdr:rowOff>
    </xdr:from>
    <xdr:ext cx="745589" cy="681950"/>
    <xdr:pic>
      <xdr:nvPicPr>
        <xdr:cNvPr id="54" name="Gráfico 8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41968" y="82283393"/>
          <a:ext cx="745589" cy="681950"/>
        </a:xfrm>
        <a:prstGeom prst="rect">
          <a:avLst/>
        </a:prstGeom>
      </xdr:spPr>
    </xdr:pic>
    <xdr:clientData/>
  </xdr:oneCellAnchor>
  <xdr:oneCellAnchor>
    <xdr:from>
      <xdr:col>0</xdr:col>
      <xdr:colOff>127000</xdr:colOff>
      <xdr:row>420</xdr:row>
      <xdr:rowOff>15549</xdr:rowOff>
    </xdr:from>
    <xdr:ext cx="851811" cy="494041"/>
    <xdr:pic>
      <xdr:nvPicPr>
        <xdr:cNvPr id="55" name="Gráfico 11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27000" y="80025549"/>
          <a:ext cx="851811" cy="494041"/>
        </a:xfrm>
        <a:prstGeom prst="rect">
          <a:avLst/>
        </a:prstGeom>
      </xdr:spPr>
    </xdr:pic>
    <xdr:clientData/>
  </xdr:oneCellAnchor>
  <xdr:oneCellAnchor>
    <xdr:from>
      <xdr:col>7</xdr:col>
      <xdr:colOff>201141</xdr:colOff>
      <xdr:row>454</xdr:row>
      <xdr:rowOff>3462</xdr:rowOff>
    </xdr:from>
    <xdr:ext cx="1661118" cy="1666216"/>
    <xdr:pic>
      <xdr:nvPicPr>
        <xdr:cNvPr id="56" name="Gráfico 12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r="50000" b="50000"/>
        <a:stretch/>
      </xdr:blipFill>
      <xdr:spPr>
        <a:xfrm>
          <a:off x="4593847" y="81402991"/>
          <a:ext cx="1661118" cy="1666216"/>
        </a:xfrm>
        <a:prstGeom prst="rect">
          <a:avLst/>
        </a:prstGeom>
      </xdr:spPr>
    </xdr:pic>
    <xdr:clientData/>
  </xdr:oneCellAnchor>
  <xdr:twoCellAnchor>
    <xdr:from>
      <xdr:col>5</xdr:col>
      <xdr:colOff>339492</xdr:colOff>
      <xdr:row>187</xdr:row>
      <xdr:rowOff>178347</xdr:rowOff>
    </xdr:from>
    <xdr:to>
      <xdr:col>9</xdr:col>
      <xdr:colOff>419970</xdr:colOff>
      <xdr:row>190</xdr:row>
      <xdr:rowOff>120706</xdr:rowOff>
    </xdr:to>
    <xdr:sp macro="" textlink="$T$153">
      <xdr:nvSpPr>
        <xdr:cNvPr id="57" name="CaixaDeTexto 1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SpPr txBox="1"/>
      </xdr:nvSpPr>
      <xdr:spPr>
        <a:xfrm>
          <a:off x="3387492" y="35801847"/>
          <a:ext cx="2518878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73D38EC-ADFE-4478-89B4-2D7DD1B43460}" type="TxLink">
            <a:rPr lang="en-US" sz="28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 R$ 149.295,32 </a:t>
          </a:fld>
          <a:endParaRPr lang="pt-BR" sz="28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96700</xdr:colOff>
      <xdr:row>188</xdr:row>
      <xdr:rowOff>2001</xdr:rowOff>
    </xdr:from>
    <xdr:to>
      <xdr:col>3</xdr:col>
      <xdr:colOff>594232</xdr:colOff>
      <xdr:row>190</xdr:row>
      <xdr:rowOff>153910</xdr:rowOff>
    </xdr:to>
    <xdr:sp macro="" textlink="$N$24">
      <xdr:nvSpPr>
        <xdr:cNvPr id="58" name="CaixaDeTexto 1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SpPr txBox="1"/>
      </xdr:nvSpPr>
      <xdr:spPr>
        <a:xfrm>
          <a:off x="96700" y="34025301"/>
          <a:ext cx="2383482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B7A620D2-865D-4706-B739-4ECCD55B45A2}" type="TxLink">
            <a:rPr lang="en-US" sz="28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244,75</a:t>
          </a:fld>
          <a:endParaRPr lang="pt-BR" sz="28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263722</xdr:colOff>
      <xdr:row>196</xdr:row>
      <xdr:rowOff>41710</xdr:rowOff>
    </xdr:from>
    <xdr:to>
      <xdr:col>9</xdr:col>
      <xdr:colOff>400963</xdr:colOff>
      <xdr:row>200</xdr:row>
      <xdr:rowOff>94677</xdr:rowOff>
    </xdr:to>
    <xdr:sp macro="" textlink="$O$27">
      <xdr:nvSpPr>
        <xdr:cNvPr id="59" name="CaixaDeTexto 1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SpPr txBox="1"/>
      </xdr:nvSpPr>
      <xdr:spPr>
        <a:xfrm>
          <a:off x="3921322" y="37379710"/>
          <a:ext cx="1966041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9EC03800-1C0B-455D-98DB-F23A8A23E834}" type="TxLink">
            <a:rPr lang="en-US" sz="24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5 Anos 7 Meses </a:t>
          </a:fld>
          <a:endParaRPr lang="pt-BR" sz="24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92890</xdr:colOff>
      <xdr:row>196</xdr:row>
      <xdr:rowOff>41710</xdr:rowOff>
    </xdr:from>
    <xdr:to>
      <xdr:col>3</xdr:col>
      <xdr:colOff>320262</xdr:colOff>
      <xdr:row>200</xdr:row>
      <xdr:rowOff>94677</xdr:rowOff>
    </xdr:to>
    <xdr:sp macro="" textlink="$T$155">
      <xdr:nvSpPr>
        <xdr:cNvPr id="60" name="CaixaDeTexto 19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SpPr txBox="1"/>
      </xdr:nvSpPr>
      <xdr:spPr>
        <a:xfrm>
          <a:off x="92890" y="37379710"/>
          <a:ext cx="2056172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F720E4E2-5D2A-46CA-8F96-82CE05992DA5}" type="TxLink">
            <a:rPr lang="en-US" sz="24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 R$ 1.011.463,00 </a:t>
          </a:fld>
          <a:endParaRPr lang="pt-BR" sz="24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134749</xdr:colOff>
      <xdr:row>203</xdr:row>
      <xdr:rowOff>20453</xdr:rowOff>
    </xdr:from>
    <xdr:to>
      <xdr:col>4</xdr:col>
      <xdr:colOff>322404</xdr:colOff>
      <xdr:row>205</xdr:row>
      <xdr:rowOff>32894</xdr:rowOff>
    </xdr:to>
    <xdr:sp macro="" textlink="$S$169">
      <xdr:nvSpPr>
        <xdr:cNvPr id="61" name="CaixaDeTexto 23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SpPr txBox="1"/>
      </xdr:nvSpPr>
      <xdr:spPr>
        <a:xfrm>
          <a:off x="134749" y="38691953"/>
          <a:ext cx="2626055" cy="3934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AFE26BD8-1D53-4B69-B2AE-B2C183E45B3A}" type="TxLink">
            <a:rPr lang="en-US" sz="20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19748,06 para 7306,78</a:t>
          </a:fld>
          <a:endParaRPr lang="pt-BR" sz="20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358769</xdr:colOff>
      <xdr:row>203</xdr:row>
      <xdr:rowOff>73003</xdr:rowOff>
    </xdr:from>
    <xdr:to>
      <xdr:col>9</xdr:col>
      <xdr:colOff>460530</xdr:colOff>
      <xdr:row>205</xdr:row>
      <xdr:rowOff>85444</xdr:rowOff>
    </xdr:to>
    <xdr:sp macro="" textlink="$T$160">
      <xdr:nvSpPr>
        <xdr:cNvPr id="62" name="CaixaDeTexto 24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SpPr txBox="1"/>
      </xdr:nvSpPr>
      <xdr:spPr>
        <a:xfrm>
          <a:off x="3406769" y="38744503"/>
          <a:ext cx="2540161" cy="3934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DC1166DC-3B65-4AF9-810E-C1FDCDBB21BB}" type="TxLink">
            <a:rPr lang="en-US" sz="20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16,43%</a:t>
          </a:fld>
          <a:endParaRPr lang="pt-BR" sz="20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454108</xdr:colOff>
      <xdr:row>263</xdr:row>
      <xdr:rowOff>173990</xdr:rowOff>
    </xdr:from>
    <xdr:to>
      <xdr:col>9</xdr:col>
      <xdr:colOff>131795</xdr:colOff>
      <xdr:row>265</xdr:row>
      <xdr:rowOff>96086</xdr:rowOff>
    </xdr:to>
    <xdr:sp macro="" textlink="$X$23">
      <xdr:nvSpPr>
        <xdr:cNvPr id="65" name="CaixaDeTexto 27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SpPr txBox="1"/>
      </xdr:nvSpPr>
      <xdr:spPr>
        <a:xfrm>
          <a:off x="3502108" y="50275490"/>
          <a:ext cx="211608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134190CA-7F68-4F75-B3F8-6D486870A41C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1147,52862 m²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247320</xdr:colOff>
      <xdr:row>243</xdr:row>
      <xdr:rowOff>114255</xdr:rowOff>
    </xdr:from>
    <xdr:to>
      <xdr:col>6</xdr:col>
      <xdr:colOff>35497</xdr:colOff>
      <xdr:row>245</xdr:row>
      <xdr:rowOff>36351</xdr:rowOff>
    </xdr:to>
    <xdr:sp macro="" textlink="$X$15">
      <xdr:nvSpPr>
        <xdr:cNvPr id="66" name="CaixaDeTexto 10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SpPr txBox="1"/>
      </xdr:nvSpPr>
      <xdr:spPr>
        <a:xfrm>
          <a:off x="1466520" y="46405755"/>
          <a:ext cx="222657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743645DB-B88D-4E09-8484-D3CB65EF9DCA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445 Jinko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475554</xdr:colOff>
      <xdr:row>250</xdr:row>
      <xdr:rowOff>136498</xdr:rowOff>
    </xdr:from>
    <xdr:to>
      <xdr:col>9</xdr:col>
      <xdr:colOff>162766</xdr:colOff>
      <xdr:row>252</xdr:row>
      <xdr:rowOff>58594</xdr:rowOff>
    </xdr:to>
    <xdr:sp macro="" textlink="$X$20">
      <xdr:nvSpPr>
        <xdr:cNvPr id="67" name="CaixaDeTexto 17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SpPr txBox="1"/>
      </xdr:nvSpPr>
      <xdr:spPr>
        <a:xfrm>
          <a:off x="3523554" y="47761498"/>
          <a:ext cx="2125612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121B2C19-CC0E-4BDE-BD81-9EC9ED1393AB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#REF!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149510</xdr:colOff>
      <xdr:row>257</xdr:row>
      <xdr:rowOff>58638</xdr:rowOff>
    </xdr:from>
    <xdr:to>
      <xdr:col>6</xdr:col>
      <xdr:colOff>1038</xdr:colOff>
      <xdr:row>258</xdr:row>
      <xdr:rowOff>171234</xdr:rowOff>
    </xdr:to>
    <xdr:sp macro="" textlink="$O$15">
      <xdr:nvSpPr>
        <xdr:cNvPr id="68" name="CaixaDeTexto 24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SpPr txBox="1"/>
      </xdr:nvSpPr>
      <xdr:spPr>
        <a:xfrm>
          <a:off x="1368710" y="49017138"/>
          <a:ext cx="2289928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6575A787-CDED-4A97-BFF8-5AEFBDAD24A7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Fibrocimento/romana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244584</xdr:colOff>
      <xdr:row>180</xdr:row>
      <xdr:rowOff>174010</xdr:rowOff>
    </xdr:from>
    <xdr:to>
      <xdr:col>7</xdr:col>
      <xdr:colOff>303250</xdr:colOff>
      <xdr:row>182</xdr:row>
      <xdr:rowOff>57570</xdr:rowOff>
    </xdr:to>
    <xdr:sp macro="" textlink="$P$144">
      <xdr:nvSpPr>
        <xdr:cNvPr id="69" name="CaixaDeTexto 1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SpPr txBox="1"/>
      </xdr:nvSpPr>
      <xdr:spPr>
        <a:xfrm>
          <a:off x="3292584" y="34464010"/>
          <a:ext cx="1277866" cy="264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856A4DC0-D6EE-4D69-BC95-BCB4BA302424}" type="TxLink">
            <a:rPr lang="en-US" sz="11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 defTabSz="457200" rtl="0" eaLnBrk="1" latinLnBrk="0" hangingPunct="1"/>
            <a:t> </a:t>
          </a:fld>
          <a:endParaRPr lang="pt-BR" sz="10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489203</xdr:colOff>
      <xdr:row>182</xdr:row>
      <xdr:rowOff>93978</xdr:rowOff>
    </xdr:from>
    <xdr:to>
      <xdr:col>5</xdr:col>
      <xdr:colOff>40033</xdr:colOff>
      <xdr:row>183</xdr:row>
      <xdr:rowOff>146365</xdr:rowOff>
    </xdr:to>
    <xdr:sp macro="" textlink="$O$15">
      <xdr:nvSpPr>
        <xdr:cNvPr id="70" name="CaixaDeTexto 11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SpPr txBox="1"/>
      </xdr:nvSpPr>
      <xdr:spPr>
        <a:xfrm>
          <a:off x="1098803" y="34764978"/>
          <a:ext cx="1989230" cy="24288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FC6DA0FC-9A1A-4928-8455-4937252EAD6D}" type="TxLink">
            <a:rPr lang="en-US" sz="10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Fibrocimento/romana</a:t>
          </a:fld>
          <a:endParaRPr lang="pt-BR" sz="10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190500</xdr:colOff>
      <xdr:row>395</xdr:row>
      <xdr:rowOff>133350</xdr:rowOff>
    </xdr:from>
    <xdr:to>
      <xdr:col>9</xdr:col>
      <xdr:colOff>495300</xdr:colOff>
      <xdr:row>401</xdr:row>
      <xdr:rowOff>120015</xdr:rowOff>
    </xdr:to>
    <xdr:sp macro="" textlink="">
      <xdr:nvSpPr>
        <xdr:cNvPr id="71" name="CaixaDeTexto 36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SpPr txBox="1"/>
      </xdr:nvSpPr>
      <xdr:spPr>
        <a:xfrm>
          <a:off x="5219700" y="71618475"/>
          <a:ext cx="933450" cy="1072515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400" b="1">
              <a:solidFill>
                <a:srgbClr val="1A2C52"/>
              </a:solidFill>
              <a:latin typeface="Raleway" pitchFamily="2" charset="0"/>
            </a:rPr>
            <a:t>2,5 %</a:t>
          </a: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331470</xdr:colOff>
      <xdr:row>17</xdr:row>
      <xdr:rowOff>133001</xdr:rowOff>
    </xdr:from>
    <xdr:to>
      <xdr:col>8</xdr:col>
      <xdr:colOff>266700</xdr:colOff>
      <xdr:row>20</xdr:row>
      <xdr:rowOff>15151</xdr:rowOff>
    </xdr:to>
    <xdr:sp macro="" textlink="$W$6">
      <xdr:nvSpPr>
        <xdr:cNvPr id="73" name="CaixaDeTexto 3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SpPr txBox="1"/>
      </xdr:nvSpPr>
      <xdr:spPr>
        <a:xfrm>
          <a:off x="331470" y="3371501"/>
          <a:ext cx="4812030" cy="45365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9E2B28D2-4AB1-42DD-AD2C-6DE6AB03B91A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Testeeee,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216865</xdr:colOff>
      <xdr:row>174</xdr:row>
      <xdr:rowOff>150523</xdr:rowOff>
    </xdr:from>
    <xdr:to>
      <xdr:col>4</xdr:col>
      <xdr:colOff>66632</xdr:colOff>
      <xdr:row>176</xdr:row>
      <xdr:rowOff>72619</xdr:rowOff>
    </xdr:to>
    <xdr:sp macro="" textlink="$W$6">
      <xdr:nvSpPr>
        <xdr:cNvPr id="74" name="CaixaDeTexto 7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SpPr txBox="1"/>
      </xdr:nvSpPr>
      <xdr:spPr>
        <a:xfrm>
          <a:off x="216865" y="33297523"/>
          <a:ext cx="228816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8BD09165-1CF9-4C18-AB68-36F82DD64450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Testeeee,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3660</xdr:colOff>
      <xdr:row>175</xdr:row>
      <xdr:rowOff>11941</xdr:rowOff>
    </xdr:from>
    <xdr:to>
      <xdr:col>9</xdr:col>
      <xdr:colOff>486367</xdr:colOff>
      <xdr:row>176</xdr:row>
      <xdr:rowOff>71831</xdr:rowOff>
    </xdr:to>
    <xdr:sp macro="" textlink="$O$9">
      <xdr:nvSpPr>
        <xdr:cNvPr id="75" name="CaixaDeTexto 10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SpPr txBox="1"/>
      </xdr:nvSpPr>
      <xdr:spPr>
        <a:xfrm>
          <a:off x="4270860" y="33349441"/>
          <a:ext cx="1701907" cy="25039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1FE44676-29F7-4ED3-B678-8E1297CBCDA0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Daniel Carvalho 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571500</xdr:colOff>
      <xdr:row>176</xdr:row>
      <xdr:rowOff>38611</xdr:rowOff>
    </xdr:from>
    <xdr:to>
      <xdr:col>9</xdr:col>
      <xdr:colOff>473032</xdr:colOff>
      <xdr:row>177</xdr:row>
      <xdr:rowOff>98501</xdr:rowOff>
    </xdr:to>
    <xdr:sp macro="" textlink="$N$9">
      <xdr:nvSpPr>
        <xdr:cNvPr id="76" name="CaixaDeTexto 10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SpPr txBox="1"/>
      </xdr:nvSpPr>
      <xdr:spPr>
        <a:xfrm>
          <a:off x="4229100" y="33566611"/>
          <a:ext cx="1730332" cy="25039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993753E4-3F9A-4916-8FF6-B2E0A6D50A6B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(11) 942057591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478790</xdr:colOff>
      <xdr:row>177</xdr:row>
      <xdr:rowOff>57661</xdr:rowOff>
    </xdr:from>
    <xdr:to>
      <xdr:col>9</xdr:col>
      <xdr:colOff>473032</xdr:colOff>
      <xdr:row>179</xdr:row>
      <xdr:rowOff>85106</xdr:rowOff>
    </xdr:to>
    <xdr:sp macro="" textlink="$O$12">
      <xdr:nvSpPr>
        <xdr:cNvPr id="77" name="CaixaDeTexto 10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SpPr txBox="1"/>
      </xdr:nvSpPr>
      <xdr:spPr>
        <a:xfrm>
          <a:off x="4136390" y="33776161"/>
          <a:ext cx="1823042" cy="40844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0CAE8BC1-EA77-422D-B2DC-4DF8E43EC81F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daniel@danigengenhariaeletrica.com 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584618</xdr:colOff>
      <xdr:row>401</xdr:row>
      <xdr:rowOff>98744</xdr:rowOff>
    </xdr:from>
    <xdr:to>
      <xdr:col>9</xdr:col>
      <xdr:colOff>432204</xdr:colOff>
      <xdr:row>403</xdr:row>
      <xdr:rowOff>20840</xdr:rowOff>
    </xdr:to>
    <xdr:sp macro="" textlink="$O$310">
      <xdr:nvSpPr>
        <xdr:cNvPr id="78" name="CaixaDeTexto 36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SpPr txBox="1"/>
      </xdr:nvSpPr>
      <xdr:spPr>
        <a:xfrm>
          <a:off x="584618" y="76489244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2308D031-1866-4AF4-87FD-9FA1DC5518DF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243879 kWh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584618</xdr:colOff>
      <xdr:row>398</xdr:row>
      <xdr:rowOff>20639</xdr:rowOff>
    </xdr:from>
    <xdr:to>
      <xdr:col>9</xdr:col>
      <xdr:colOff>432204</xdr:colOff>
      <xdr:row>399</xdr:row>
      <xdr:rowOff>144441</xdr:rowOff>
    </xdr:to>
    <xdr:sp macro="" textlink="$N$307">
      <xdr:nvSpPr>
        <xdr:cNvPr id="79" name="CaixaDeTexto 36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SpPr txBox="1"/>
      </xdr:nvSpPr>
      <xdr:spPr>
        <a:xfrm>
          <a:off x="584618" y="71379698"/>
          <a:ext cx="5495351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78AAE831-7CCF-45E7-AB5E-A6C6373CD078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 R$ 0,80 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573188</xdr:colOff>
      <xdr:row>395</xdr:row>
      <xdr:rowOff>146369</xdr:rowOff>
    </xdr:from>
    <xdr:to>
      <xdr:col>9</xdr:col>
      <xdr:colOff>420774</xdr:colOff>
      <xdr:row>397</xdr:row>
      <xdr:rowOff>68465</xdr:rowOff>
    </xdr:to>
    <xdr:sp macro="" textlink="$N$304">
      <xdr:nvSpPr>
        <xdr:cNvPr id="81" name="CaixaDeTexto 36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SpPr txBox="1"/>
      </xdr:nvSpPr>
      <xdr:spPr>
        <a:xfrm>
          <a:off x="573188" y="75393869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30ABAF45-4B94-4F69-82B9-82B310A5C2E2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50%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592238</xdr:colOff>
      <xdr:row>396</xdr:row>
      <xdr:rowOff>173039</xdr:rowOff>
    </xdr:from>
    <xdr:to>
      <xdr:col>9</xdr:col>
      <xdr:colOff>419100</xdr:colOff>
      <xdr:row>398</xdr:row>
      <xdr:rowOff>95135</xdr:rowOff>
    </xdr:to>
    <xdr:sp macro="" textlink="$O$304">
      <xdr:nvSpPr>
        <xdr:cNvPr id="82" name="CaixaDeTexto 36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SpPr txBox="1"/>
      </xdr:nvSpPr>
      <xdr:spPr>
        <a:xfrm>
          <a:off x="592238" y="75611039"/>
          <a:ext cx="5313262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D713684A-22D3-4341-B637-2A5FCD5FAA67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50%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oneCellAnchor>
    <xdr:from>
      <xdr:col>5</xdr:col>
      <xdr:colOff>192709</xdr:colOff>
      <xdr:row>83</xdr:row>
      <xdr:rowOff>24969</xdr:rowOff>
    </xdr:from>
    <xdr:ext cx="2755899" cy="1809900"/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3671405" y="15607317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oneCellAnchor>
    <xdr:from>
      <xdr:col>5</xdr:col>
      <xdr:colOff>184638</xdr:colOff>
      <xdr:row>96</xdr:row>
      <xdr:rowOff>63594</xdr:rowOff>
    </xdr:from>
    <xdr:ext cx="2755899" cy="1809900"/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3663334" y="18086551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twoCellAnchor>
    <xdr:from>
      <xdr:col>0</xdr:col>
      <xdr:colOff>596951</xdr:colOff>
      <xdr:row>400</xdr:row>
      <xdr:rowOff>60483</xdr:rowOff>
    </xdr:from>
    <xdr:to>
      <xdr:col>9</xdr:col>
      <xdr:colOff>444537</xdr:colOff>
      <xdr:row>401</xdr:row>
      <xdr:rowOff>173079</xdr:rowOff>
    </xdr:to>
    <xdr:sp macro="" textlink="$N$309">
      <xdr:nvSpPr>
        <xdr:cNvPr id="86" name="CaixaDeTexto 36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SpPr txBox="1"/>
      </xdr:nvSpPr>
      <xdr:spPr>
        <a:xfrm>
          <a:off x="596951" y="76260483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AF8C34E6-BF7B-4307-AEAA-AE9197046CE4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6%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241192</xdr:colOff>
          <xdr:row>210</xdr:row>
          <xdr:rowOff>168544</xdr:rowOff>
        </xdr:from>
        <xdr:to>
          <xdr:col>9</xdr:col>
          <xdr:colOff>438416</xdr:colOff>
          <xdr:row>229</xdr:row>
          <xdr:rowOff>0</xdr:rowOff>
        </xdr:to>
        <xdr:pic>
          <xdr:nvPicPr>
            <xdr:cNvPr id="87" name="Imagem 86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DADOS INICIAIS'!$AO$13:$AR$26" spid="_x0000_s35045"/>
                </a:ext>
              </a:extLst>
            </xdr:cNvPicPr>
          </xdr:nvPicPr>
          <xdr:blipFill>
            <a:blip xmlns:r="http://schemas.openxmlformats.org/officeDocument/2006/relationships" r:embed="rId28"/>
            <a:srcRect/>
            <a:stretch>
              <a:fillRect/>
            </a:stretch>
          </xdr:blipFill>
          <xdr:spPr bwMode="auto">
            <a:xfrm>
              <a:off x="241192" y="40173544"/>
              <a:ext cx="6483724" cy="345095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163700</xdr:colOff>
      <xdr:row>354</xdr:row>
      <xdr:rowOff>63282</xdr:rowOff>
    </xdr:from>
    <xdr:to>
      <xdr:col>9</xdr:col>
      <xdr:colOff>380999</xdr:colOff>
      <xdr:row>372</xdr:row>
      <xdr:rowOff>177799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168328</xdr:colOff>
      <xdr:row>375</xdr:row>
      <xdr:rowOff>50800</xdr:rowOff>
    </xdr:from>
    <xdr:to>
      <xdr:col>9</xdr:col>
      <xdr:colOff>368299</xdr:colOff>
      <xdr:row>391</xdr:row>
      <xdr:rowOff>0</xdr:rowOff>
    </xdr:to>
    <xdr:graphicFrame macro="">
      <xdr:nvGraphicFramePr>
        <xdr:cNvPr id="89" name="Gráfico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50</xdr:row>
      <xdr:rowOff>76200</xdr:rowOff>
    </xdr:from>
    <xdr:to>
      <xdr:col>5</xdr:col>
      <xdr:colOff>104275</xdr:colOff>
      <xdr:row>52</xdr:row>
      <xdr:rowOff>6696</xdr:rowOff>
    </xdr:to>
    <xdr:sp macro="" textlink="$R$10">
      <xdr:nvSpPr>
        <xdr:cNvPr id="91" name="CaixaDeTexto 1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SpPr txBox="1"/>
      </xdr:nvSpPr>
      <xdr:spPr>
        <a:xfrm>
          <a:off x="0" y="9601200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4D91EEFD-56B6-FD47-8F20-5C44C3D2A196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2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395111</xdr:colOff>
      <xdr:row>50</xdr:row>
      <xdr:rowOff>90310</xdr:rowOff>
    </xdr:from>
    <xdr:to>
      <xdr:col>3</xdr:col>
      <xdr:colOff>437636</xdr:colOff>
      <xdr:row>54</xdr:row>
      <xdr:rowOff>68949</xdr:rowOff>
    </xdr:to>
    <xdr:sp macro="" textlink="">
      <xdr:nvSpPr>
        <xdr:cNvPr id="92" name="CaixaDeTexto 10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SpPr txBox="1"/>
      </xdr:nvSpPr>
      <xdr:spPr>
        <a:xfrm>
          <a:off x="395111" y="9615310"/>
          <a:ext cx="2138025" cy="74063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Validade</a:t>
          </a:r>
          <a:r>
            <a:rPr lang="pt-BR" sz="1400" b="1" baseline="0">
              <a:solidFill>
                <a:srgbClr val="1A2C52"/>
              </a:solidFill>
              <a:latin typeface="Raleway" pitchFamily="2" charset="0"/>
            </a:rPr>
            <a:t> da Proposta</a:t>
          </a:r>
          <a:r>
            <a:rPr lang="pt-BR" sz="1400" b="1">
              <a:solidFill>
                <a:srgbClr val="1A2C52"/>
              </a:solidFill>
              <a:latin typeface="Raleway" pitchFamily="2" charset="0"/>
            </a:rPr>
            <a:t>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Potência: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Contato:</a:t>
          </a:r>
          <a:endParaRPr lang="pt-BR" sz="12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0</xdr:colOff>
      <xdr:row>51</xdr:row>
      <xdr:rowOff>103699</xdr:rowOff>
    </xdr:from>
    <xdr:to>
      <xdr:col>5</xdr:col>
      <xdr:colOff>104275</xdr:colOff>
      <xdr:row>53</xdr:row>
      <xdr:rowOff>34195</xdr:rowOff>
    </xdr:to>
    <xdr:sp macro="" textlink="$S$146">
      <xdr:nvSpPr>
        <xdr:cNvPr id="93" name="CaixaDeTexto 10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SpPr txBox="1"/>
      </xdr:nvSpPr>
      <xdr:spPr>
        <a:xfrm>
          <a:off x="0" y="9819199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8A26028-72F2-1549-8B9D-A46FA2095B3F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400" b="0" i="0" u="none" strike="noStrike" kern="120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0</xdr:colOff>
      <xdr:row>52</xdr:row>
      <xdr:rowOff>149120</xdr:rowOff>
    </xdr:from>
    <xdr:to>
      <xdr:col>5</xdr:col>
      <xdr:colOff>104275</xdr:colOff>
      <xdr:row>54</xdr:row>
      <xdr:rowOff>79616</xdr:rowOff>
    </xdr:to>
    <xdr:sp macro="" textlink="#REF!">
      <xdr:nvSpPr>
        <xdr:cNvPr id="94" name="CaixaDeTexto 10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SpPr txBox="1"/>
      </xdr:nvSpPr>
      <xdr:spPr>
        <a:xfrm>
          <a:off x="0" y="10055120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57EE830-5452-8A48-88BD-6C45DC52D431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400" b="0" i="0" u="none" strike="noStrike" kern="120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190500</xdr:colOff>
      <xdr:row>349</xdr:row>
      <xdr:rowOff>54413</xdr:rowOff>
    </xdr:from>
    <xdr:to>
      <xdr:col>10</xdr:col>
      <xdr:colOff>25400</xdr:colOff>
      <xdr:row>351</xdr:row>
      <xdr:rowOff>127063</xdr:rowOff>
    </xdr:to>
    <xdr:sp macro="" textlink="">
      <xdr:nvSpPr>
        <xdr:cNvPr id="97" name="CaixaDeTexto 3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SpPr txBox="1"/>
      </xdr:nvSpPr>
      <xdr:spPr>
        <a:xfrm>
          <a:off x="190500" y="66538913"/>
          <a:ext cx="6819900" cy="453650"/>
        </a:xfrm>
        <a:prstGeom prst="rect">
          <a:avLst/>
        </a:prstGeom>
        <a:noFill/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400" b="1">
              <a:solidFill>
                <a:srgbClr val="192B52"/>
              </a:solidFill>
              <a:latin typeface="Raleway" pitchFamily="2" charset="0"/>
            </a:rPr>
            <a:t>Produção estimada de energia</a:t>
          </a:r>
          <a:r>
            <a:rPr lang="pt-BR" sz="2400" b="1" baseline="0">
              <a:solidFill>
                <a:srgbClr val="192B52"/>
              </a:solidFill>
              <a:latin typeface="Raleway" pitchFamily="2" charset="0"/>
            </a:rPr>
            <a:t> (em kWh)</a:t>
          </a:r>
          <a:endParaRPr lang="pt-BR" sz="2400" b="1">
            <a:solidFill>
              <a:srgbClr val="192B52"/>
            </a:solidFill>
            <a:latin typeface="Raleway" pitchFamily="2" charset="0"/>
          </a:endParaRPr>
        </a:p>
      </xdr:txBody>
    </xdr:sp>
    <xdr:clientData/>
  </xdr:twoCellAnchor>
  <xdr:oneCellAnchor>
    <xdr:from>
      <xdr:col>7</xdr:col>
      <xdr:colOff>199236</xdr:colOff>
      <xdr:row>337</xdr:row>
      <xdr:rowOff>184660</xdr:rowOff>
    </xdr:from>
    <xdr:ext cx="1867852" cy="1873585"/>
    <xdr:pic>
      <xdr:nvPicPr>
        <xdr:cNvPr id="98" name="Gráfico 12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r="50000" b="50000"/>
        <a:stretch/>
      </xdr:blipFill>
      <xdr:spPr>
        <a:xfrm>
          <a:off x="5088736" y="64383160"/>
          <a:ext cx="1867852" cy="1873585"/>
        </a:xfrm>
        <a:prstGeom prst="rect">
          <a:avLst/>
        </a:prstGeom>
      </xdr:spPr>
    </xdr:pic>
    <xdr:clientData/>
  </xdr:oneCellAnchor>
  <xdr:twoCellAnchor>
    <xdr:from>
      <xdr:col>0</xdr:col>
      <xdr:colOff>128540</xdr:colOff>
      <xdr:row>205</xdr:row>
      <xdr:rowOff>89552</xdr:rowOff>
    </xdr:from>
    <xdr:to>
      <xdr:col>4</xdr:col>
      <xdr:colOff>323815</xdr:colOff>
      <xdr:row>209</xdr:row>
      <xdr:rowOff>152389</xdr:rowOff>
    </xdr:to>
    <xdr:sp macro="" textlink="">
      <xdr:nvSpPr>
        <xdr:cNvPr id="103" name="CaixaDeTexto 23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SpPr txBox="1"/>
      </xdr:nvSpPr>
      <xdr:spPr>
        <a:xfrm>
          <a:off x="128540" y="38576074"/>
          <a:ext cx="2978232" cy="813793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600">
              <a:solidFill>
                <a:srgbClr val="1A2C52"/>
              </a:solidFill>
              <a:latin typeface="Raleway" pitchFamily="2" charset="0"/>
            </a:rPr>
            <a:t>reais ao mês</a:t>
          </a:r>
        </a:p>
      </xdr:txBody>
    </xdr:sp>
    <xdr:clientData/>
  </xdr:twoCellAnchor>
  <xdr:twoCellAnchor editAs="oneCell">
    <xdr:from>
      <xdr:col>0</xdr:col>
      <xdr:colOff>406746</xdr:colOff>
      <xdr:row>83</xdr:row>
      <xdr:rowOff>132207</xdr:rowOff>
    </xdr:from>
    <xdr:to>
      <xdr:col>5</xdr:col>
      <xdr:colOff>22054</xdr:colOff>
      <xdr:row>92</xdr:row>
      <xdr:rowOff>55245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746" y="15153132"/>
          <a:ext cx="2768083" cy="155943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5</xdr:col>
      <xdr:colOff>264794</xdr:colOff>
      <xdr:row>83</xdr:row>
      <xdr:rowOff>64096</xdr:rowOff>
    </xdr:from>
    <xdr:to>
      <xdr:col>9</xdr:col>
      <xdr:colOff>360045</xdr:colOff>
      <xdr:row>93</xdr:row>
      <xdr:rowOff>20451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8044" y="15085021"/>
          <a:ext cx="2621281" cy="175848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326804</xdr:colOff>
      <xdr:row>96</xdr:row>
      <xdr:rowOff>103882</xdr:rowOff>
    </xdr:from>
    <xdr:to>
      <xdr:col>5</xdr:col>
      <xdr:colOff>57044</xdr:colOff>
      <xdr:row>105</xdr:row>
      <xdr:rowOff>137159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804" y="17477482"/>
          <a:ext cx="2881110" cy="167157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5</xdr:col>
      <xdr:colOff>238124</xdr:colOff>
      <xdr:row>96</xdr:row>
      <xdr:rowOff>130215</xdr:rowOff>
    </xdr:from>
    <xdr:to>
      <xdr:col>9</xdr:col>
      <xdr:colOff>437029</xdr:colOff>
      <xdr:row>105</xdr:row>
      <xdr:rowOff>94352</xdr:rowOff>
    </xdr:to>
    <xdr:pic>
      <xdr:nvPicPr>
        <xdr:cNvPr id="102" name="Imagem 10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374" y="17503815"/>
          <a:ext cx="2724935" cy="160053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7</xdr:col>
      <xdr:colOff>179294</xdr:colOff>
      <xdr:row>107</xdr:row>
      <xdr:rowOff>89647</xdr:rowOff>
    </xdr:from>
    <xdr:to>
      <xdr:col>9</xdr:col>
      <xdr:colOff>403411</xdr:colOff>
      <xdr:row>115</xdr:row>
      <xdr:rowOff>123264</xdr:rowOff>
    </xdr:to>
    <xdr:sp macro="" textlink="">
      <xdr:nvSpPr>
        <xdr:cNvPr id="104" name="Retângulo 103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SpPr/>
      </xdr:nvSpPr>
      <xdr:spPr>
        <a:xfrm>
          <a:off x="4572000" y="19274118"/>
          <a:ext cx="1479176" cy="146797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248187</xdr:colOff>
      <xdr:row>107</xdr:row>
      <xdr:rowOff>136375</xdr:rowOff>
    </xdr:from>
    <xdr:to>
      <xdr:col>9</xdr:col>
      <xdr:colOff>590234</xdr:colOff>
      <xdr:row>113</xdr:row>
      <xdr:rowOff>173803</xdr:rowOff>
    </xdr:to>
    <xdr:pic>
      <xdr:nvPicPr>
        <xdr:cNvPr id="106" name="Imagem 105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363" y="19320846"/>
          <a:ext cx="2224636" cy="11055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ALLAN/Tarifas%20Concession&#225;rias/Tarifas%20Concession&#225;ri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Users/rodrigoqueiroz/Downloads/Viabilidade%20Usina%20Solar%20-%201MW%20ES%20(2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Users/phwan/Desktop/Getpower%20Solar/Planilha%20Dimensionamento%20BT%20-%20Academia%20do%20S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A4 Verde"/>
      <sheetName val="B3 Comercial"/>
    </sheetNames>
    <sheetDataSet>
      <sheetData sheetId="0"/>
      <sheetData sheetId="1">
        <row r="1">
          <cell r="B1" t="str">
            <v>TABELA DE TARIFAS - GRUPO A4 VERDE</v>
          </cell>
        </row>
        <row r="2">
          <cell r="B2">
            <v>0</v>
          </cell>
        </row>
        <row r="3">
          <cell r="B3">
            <v>0</v>
          </cell>
        </row>
        <row r="4">
          <cell r="B4">
            <v>0</v>
          </cell>
        </row>
        <row r="5">
          <cell r="B5" t="str">
            <v>CONCESSIONÁRIA</v>
          </cell>
        </row>
        <row r="6">
          <cell r="B6">
            <v>0</v>
          </cell>
        </row>
        <row r="7">
          <cell r="B7" t="str">
            <v>AME - AM</v>
          </cell>
        </row>
        <row r="8">
          <cell r="B8" t="str">
            <v>CEA - AM</v>
          </cell>
        </row>
        <row r="9">
          <cell r="B9" t="str">
            <v>CEAL - AL</v>
          </cell>
        </row>
        <row r="10">
          <cell r="B10" t="str">
            <v>CEB - DF</v>
          </cell>
        </row>
        <row r="11">
          <cell r="B11" t="str">
            <v>CELPA - PA</v>
          </cell>
        </row>
        <row r="12">
          <cell r="B12" t="str">
            <v>CELPE - PE</v>
          </cell>
        </row>
        <row r="13">
          <cell r="B13" t="str">
            <v>CELTINS (ETO) - TO</v>
          </cell>
        </row>
        <row r="14">
          <cell r="B14" t="str">
            <v>CEMAR - MA</v>
          </cell>
        </row>
        <row r="15">
          <cell r="B15" t="str">
            <v>CEMIG - MG</v>
          </cell>
        </row>
        <row r="16">
          <cell r="B16" t="str">
            <v>CEPISA - PI</v>
          </cell>
        </row>
        <row r="17">
          <cell r="B17" t="str">
            <v>CERCOS - SE</v>
          </cell>
        </row>
        <row r="18">
          <cell r="B18" t="str">
            <v>CERON - RO</v>
          </cell>
        </row>
        <row r="19">
          <cell r="B19" t="str">
            <v>CERR - RR</v>
          </cell>
        </row>
        <row r="20">
          <cell r="B20" t="str">
            <v>COELBA - BA</v>
          </cell>
        </row>
        <row r="21">
          <cell r="B21" t="str">
            <v>COSERN - RN</v>
          </cell>
        </row>
        <row r="22">
          <cell r="B22" t="str">
            <v>CPFL - SP</v>
          </cell>
        </row>
        <row r="23">
          <cell r="B23" t="str">
            <v>EBO - PB</v>
          </cell>
        </row>
        <row r="24">
          <cell r="B24" t="str">
            <v>EDP - ES</v>
          </cell>
        </row>
        <row r="25">
          <cell r="B25" t="str">
            <v>ELETROACRE - AC</v>
          </cell>
        </row>
        <row r="26">
          <cell r="B26" t="str">
            <v>ELFSM - ES</v>
          </cell>
        </row>
        <row r="27">
          <cell r="B27" t="str">
            <v>ENEL - CE</v>
          </cell>
        </row>
        <row r="28">
          <cell r="B28" t="str">
            <v>ENEL - RJ</v>
          </cell>
        </row>
        <row r="29">
          <cell r="B29" t="str">
            <v>ENERGISA - MT</v>
          </cell>
        </row>
        <row r="30">
          <cell r="B30" t="str">
            <v>EPB - PB</v>
          </cell>
        </row>
        <row r="31">
          <cell r="B31" t="str">
            <v>ESE - SE</v>
          </cell>
        </row>
        <row r="32">
          <cell r="B32" t="str">
            <v>LIGHT - RJ</v>
          </cell>
        </row>
        <row r="33">
          <cell r="B33" t="str">
            <v>SULGIPE - SE</v>
          </cell>
        </row>
      </sheetData>
      <sheetData sheetId="2">
        <row r="1">
          <cell r="B1" t="str">
            <v>TABELA DE TARIFAS - GRUPO B3 COMERCIAL</v>
          </cell>
        </row>
        <row r="2">
          <cell r="B2">
            <v>0</v>
          </cell>
        </row>
        <row r="3">
          <cell r="B3">
            <v>0</v>
          </cell>
        </row>
        <row r="4">
          <cell r="B4">
            <v>0</v>
          </cell>
        </row>
        <row r="5">
          <cell r="B5" t="str">
            <v>CONCESSIONÁRIA</v>
          </cell>
        </row>
        <row r="6">
          <cell r="B6">
            <v>0</v>
          </cell>
        </row>
        <row r="7">
          <cell r="B7" t="str">
            <v>AME - AM</v>
          </cell>
        </row>
        <row r="8">
          <cell r="B8" t="str">
            <v>CEA - AM</v>
          </cell>
        </row>
        <row r="9">
          <cell r="B9" t="str">
            <v>CEAL - AL</v>
          </cell>
        </row>
        <row r="10">
          <cell r="B10" t="str">
            <v>CEB - DF</v>
          </cell>
        </row>
        <row r="11">
          <cell r="B11" t="str">
            <v>CELPA - PA</v>
          </cell>
        </row>
        <row r="12">
          <cell r="B12" t="str">
            <v>CELPE - PE</v>
          </cell>
        </row>
        <row r="13">
          <cell r="B13" t="str">
            <v>CELTINS (ETO) - TO</v>
          </cell>
        </row>
        <row r="14">
          <cell r="B14" t="str">
            <v>CEMAR - MA</v>
          </cell>
        </row>
        <row r="15">
          <cell r="B15" t="str">
            <v>CEMIG - MG</v>
          </cell>
        </row>
        <row r="16">
          <cell r="B16" t="str">
            <v>CEPISA - PI</v>
          </cell>
        </row>
        <row r="17">
          <cell r="B17" t="str">
            <v>CERCOS - SE</v>
          </cell>
        </row>
        <row r="18">
          <cell r="B18" t="str">
            <v>CERON - RO</v>
          </cell>
        </row>
        <row r="19">
          <cell r="B19" t="str">
            <v>CERR - RR</v>
          </cell>
        </row>
        <row r="20">
          <cell r="B20" t="str">
            <v>COELBA - BA</v>
          </cell>
        </row>
        <row r="21">
          <cell r="B21" t="str">
            <v>COSERN - RN</v>
          </cell>
        </row>
        <row r="22">
          <cell r="B22" t="str">
            <v>CPFL - SP</v>
          </cell>
        </row>
        <row r="23">
          <cell r="B23" t="str">
            <v>EBO - PB</v>
          </cell>
        </row>
        <row r="24">
          <cell r="B24" t="str">
            <v>EDP - ES</v>
          </cell>
        </row>
        <row r="25">
          <cell r="B25" t="str">
            <v>ELETROACRE - AC</v>
          </cell>
        </row>
        <row r="26">
          <cell r="B26" t="str">
            <v>ELFSM - ES</v>
          </cell>
        </row>
        <row r="27">
          <cell r="B27" t="str">
            <v>ENEL - CE</v>
          </cell>
        </row>
        <row r="28">
          <cell r="B28" t="str">
            <v>ENEL - RJ</v>
          </cell>
        </row>
        <row r="29">
          <cell r="B29" t="str">
            <v>ENERGISA - MT</v>
          </cell>
        </row>
        <row r="30">
          <cell r="B30" t="str">
            <v>EPB - PB</v>
          </cell>
        </row>
        <row r="31">
          <cell r="B31" t="str">
            <v>ESE - SE</v>
          </cell>
        </row>
        <row r="32">
          <cell r="B32" t="str">
            <v>LIGHT - RJ</v>
          </cell>
        </row>
        <row r="33">
          <cell r="B33" t="str">
            <v>SULGIPE - SE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3 Comerci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 INICIAIS"/>
      <sheetName val="ORÇAMENTO"/>
      <sheetName val="RESUMO FINAL"/>
      <sheetName val="Imprimir"/>
      <sheetName val="TARIFA BAIXA TENSÃO"/>
      <sheetName val="IRRADIAÇÃO"/>
      <sheetName val="PLANILHA3"/>
      <sheetName val="Tarifa - B3 Branca"/>
      <sheetName val="Tarifa - A4 Verde"/>
    </sheetNames>
    <sheetDataSet>
      <sheetData sheetId="0">
        <row r="7">
          <cell r="AQ7" t="str">
            <v>Saldo</v>
          </cell>
        </row>
      </sheetData>
      <sheetData sheetId="1" refreshError="1"/>
      <sheetData sheetId="2"/>
      <sheetData sheetId="3" refreshError="1"/>
      <sheetData sheetId="4" refreshError="1"/>
      <sheetData sheetId="5" refreshError="1"/>
      <sheetData sheetId="6">
        <row r="2">
          <cell r="F2" t="str">
            <v>Afonso Claudio</v>
          </cell>
        </row>
        <row r="3">
          <cell r="F3" t="str">
            <v>Agua Doce do Norte</v>
          </cell>
        </row>
        <row r="4">
          <cell r="F4" t="str">
            <v>Aguia Branca</v>
          </cell>
        </row>
        <row r="5">
          <cell r="F5" t="str">
            <v>Alegre</v>
          </cell>
        </row>
        <row r="6">
          <cell r="F6" t="str">
            <v>Alfredo Chaves</v>
          </cell>
        </row>
        <row r="7">
          <cell r="F7" t="str">
            <v>Alto Rio Novo</v>
          </cell>
        </row>
        <row r="8">
          <cell r="F8" t="str">
            <v>Anchieta</v>
          </cell>
        </row>
        <row r="9">
          <cell r="F9" t="str">
            <v>Apiaca</v>
          </cell>
        </row>
        <row r="10">
          <cell r="F10" t="str">
            <v>Aracruz</v>
          </cell>
        </row>
        <row r="11">
          <cell r="F11" t="str">
            <v>Atilio Vivacqua</v>
          </cell>
        </row>
        <row r="12">
          <cell r="F12" t="str">
            <v>Baixo Guandu</v>
          </cell>
        </row>
        <row r="13">
          <cell r="F13" t="str">
            <v>Barra de São Francisco</v>
          </cell>
        </row>
        <row r="14">
          <cell r="F14" t="str">
            <v>Boa Esperança</v>
          </cell>
        </row>
        <row r="15">
          <cell r="F15" t="str">
            <v>Bom Jesus do Norte</v>
          </cell>
        </row>
        <row r="16">
          <cell r="F16" t="str">
            <v>Brejetuba</v>
          </cell>
        </row>
        <row r="17">
          <cell r="F17" t="str">
            <v>Cachoeiro de Itapemirim</v>
          </cell>
        </row>
        <row r="18">
          <cell r="F18" t="str">
            <v>Cariacica</v>
          </cell>
        </row>
        <row r="19">
          <cell r="F19" t="str">
            <v>Castelo</v>
          </cell>
        </row>
        <row r="20">
          <cell r="F20" t="str">
            <v>Colatina</v>
          </cell>
        </row>
        <row r="21">
          <cell r="F21" t="str">
            <v>Conceicao da Barra</v>
          </cell>
        </row>
        <row r="22">
          <cell r="F22" t="str">
            <v>Conceicao do Castelo</v>
          </cell>
        </row>
        <row r="23">
          <cell r="F23" t="str">
            <v>Divino São Lourenço</v>
          </cell>
        </row>
        <row r="24">
          <cell r="F24" t="str">
            <v>Domingos Martins</v>
          </cell>
        </row>
        <row r="25">
          <cell r="F25" t="str">
            <v>Dores do Rio Preto</v>
          </cell>
        </row>
        <row r="26">
          <cell r="F26" t="str">
            <v>Ecoporanga</v>
          </cell>
        </row>
        <row r="27">
          <cell r="F27" t="str">
            <v>Fundao</v>
          </cell>
        </row>
        <row r="28">
          <cell r="F28" t="str">
            <v>Governador Lindenberg</v>
          </cell>
        </row>
        <row r="29">
          <cell r="F29" t="str">
            <v>Guaçui</v>
          </cell>
        </row>
        <row r="30">
          <cell r="F30" t="str">
            <v>Guarapari</v>
          </cell>
        </row>
        <row r="31">
          <cell r="F31" t="str">
            <v>Ibatiba</v>
          </cell>
        </row>
        <row r="32">
          <cell r="F32" t="str">
            <v>Ibiracu</v>
          </cell>
        </row>
        <row r="33">
          <cell r="F33" t="str">
            <v>Ibitirama</v>
          </cell>
        </row>
        <row r="34">
          <cell r="F34" t="str">
            <v>Iconha</v>
          </cell>
        </row>
        <row r="35">
          <cell r="F35" t="str">
            <v>Irupi</v>
          </cell>
        </row>
        <row r="36">
          <cell r="F36" t="str">
            <v>Itaguacu</v>
          </cell>
        </row>
        <row r="37">
          <cell r="F37" t="str">
            <v>Itapemirim</v>
          </cell>
        </row>
        <row r="38">
          <cell r="F38" t="str">
            <v>Itarana</v>
          </cell>
        </row>
        <row r="39">
          <cell r="F39" t="str">
            <v>Iuna</v>
          </cell>
        </row>
        <row r="40">
          <cell r="F40" t="str">
            <v>Jaguare</v>
          </cell>
        </row>
        <row r="41">
          <cell r="F41" t="str">
            <v>Jeronimo Monteiro</v>
          </cell>
        </row>
        <row r="42">
          <cell r="F42" t="str">
            <v>Joao Neiva</v>
          </cell>
        </row>
        <row r="43">
          <cell r="F43" t="str">
            <v>Laranja da Terra</v>
          </cell>
        </row>
        <row r="44">
          <cell r="F44" t="str">
            <v>Linhares</v>
          </cell>
        </row>
        <row r="45">
          <cell r="F45" t="str">
            <v>Mantenopolis</v>
          </cell>
        </row>
        <row r="46">
          <cell r="F46" t="str">
            <v>Marataizes</v>
          </cell>
        </row>
        <row r="47">
          <cell r="F47" t="str">
            <v>Marechal Floriano</v>
          </cell>
        </row>
        <row r="48">
          <cell r="F48" t="str">
            <v>Marilandia</v>
          </cell>
        </row>
        <row r="49">
          <cell r="F49" t="str">
            <v>Mimoso do Sul</v>
          </cell>
        </row>
        <row r="50">
          <cell r="F50" t="str">
            <v>Montanha</v>
          </cell>
        </row>
        <row r="51">
          <cell r="F51" t="str">
            <v>Mucurici</v>
          </cell>
        </row>
        <row r="52">
          <cell r="F52" t="str">
            <v>Muniz Freire</v>
          </cell>
        </row>
        <row r="53">
          <cell r="F53" t="str">
            <v>Muqui</v>
          </cell>
        </row>
        <row r="54">
          <cell r="F54" t="str">
            <v>Nova Venecia</v>
          </cell>
        </row>
        <row r="55">
          <cell r="F55" t="str">
            <v>Pancas</v>
          </cell>
        </row>
        <row r="56">
          <cell r="F56" t="str">
            <v>Pedro Canario</v>
          </cell>
        </row>
        <row r="57">
          <cell r="F57" t="str">
            <v>Pinheiros</v>
          </cell>
        </row>
        <row r="58">
          <cell r="F58" t="str">
            <v>Piuma</v>
          </cell>
        </row>
        <row r="59">
          <cell r="F59" t="str">
            <v>Ponto Belo</v>
          </cell>
        </row>
        <row r="60">
          <cell r="F60" t="str">
            <v>Presidente Kennedy</v>
          </cell>
        </row>
        <row r="61">
          <cell r="F61" t="str">
            <v>Rio Bananal</v>
          </cell>
        </row>
        <row r="62">
          <cell r="F62" t="str">
            <v>Rio Novo do Sul</v>
          </cell>
        </row>
        <row r="63">
          <cell r="F63" t="str">
            <v>Santa Leopoldina</v>
          </cell>
        </row>
        <row r="64">
          <cell r="F64" t="str">
            <v>Santa Maria de Jequitiba</v>
          </cell>
        </row>
        <row r="65">
          <cell r="F65" t="str">
            <v>Santa Teresa</v>
          </cell>
        </row>
        <row r="66">
          <cell r="F66" t="str">
            <v>São Domingos do Norte</v>
          </cell>
        </row>
        <row r="67">
          <cell r="F67" t="str">
            <v>São Gabriel da Palha</v>
          </cell>
        </row>
        <row r="68">
          <cell r="F68" t="str">
            <v>São Jose do Calçados</v>
          </cell>
        </row>
        <row r="69">
          <cell r="F69" t="str">
            <v>São Mateus</v>
          </cell>
        </row>
        <row r="70">
          <cell r="F70" t="str">
            <v>São Roque do Canã</v>
          </cell>
        </row>
        <row r="71">
          <cell r="F71" t="str">
            <v>Serra</v>
          </cell>
        </row>
        <row r="72">
          <cell r="F72" t="str">
            <v>Sooretama</v>
          </cell>
        </row>
        <row r="73">
          <cell r="F73" t="str">
            <v>Vargem Alta</v>
          </cell>
        </row>
        <row r="74">
          <cell r="F74" t="str">
            <v>Venda Nova do Imigrante</v>
          </cell>
        </row>
        <row r="75">
          <cell r="F75" t="str">
            <v>Viana</v>
          </cell>
        </row>
        <row r="76">
          <cell r="F76" t="str">
            <v>Vila Pavao</v>
          </cell>
        </row>
        <row r="77">
          <cell r="F77" t="str">
            <v>Vila Valerio</v>
          </cell>
        </row>
        <row r="78">
          <cell r="F78" t="str">
            <v>Vila Velha</v>
          </cell>
        </row>
        <row r="79">
          <cell r="F79" t="str">
            <v>Vitoria</v>
          </cell>
        </row>
        <row r="80">
          <cell r="F80">
            <v>1</v>
          </cell>
        </row>
        <row r="81">
          <cell r="F81">
            <v>1</v>
          </cell>
        </row>
        <row r="82">
          <cell r="F82">
            <v>1</v>
          </cell>
        </row>
        <row r="83">
          <cell r="F83">
            <v>1</v>
          </cell>
        </row>
        <row r="84">
          <cell r="F84">
            <v>1</v>
          </cell>
        </row>
        <row r="85">
          <cell r="F85">
            <v>1</v>
          </cell>
        </row>
        <row r="86">
          <cell r="F86">
            <v>1</v>
          </cell>
        </row>
        <row r="87">
          <cell r="F87">
            <v>1</v>
          </cell>
        </row>
        <row r="88">
          <cell r="F88">
            <v>1</v>
          </cell>
        </row>
        <row r="89">
          <cell r="F89">
            <v>1</v>
          </cell>
        </row>
        <row r="90">
          <cell r="F90">
            <v>1</v>
          </cell>
        </row>
        <row r="91">
          <cell r="F91">
            <v>1</v>
          </cell>
        </row>
        <row r="92">
          <cell r="F92">
            <v>1</v>
          </cell>
        </row>
        <row r="93">
          <cell r="F93">
            <v>1</v>
          </cell>
        </row>
        <row r="94">
          <cell r="F94">
            <v>1</v>
          </cell>
        </row>
        <row r="95">
          <cell r="F95">
            <v>1</v>
          </cell>
        </row>
        <row r="96">
          <cell r="F96">
            <v>1</v>
          </cell>
        </row>
        <row r="97">
          <cell r="F97">
            <v>1</v>
          </cell>
        </row>
        <row r="98">
          <cell r="F98">
            <v>1</v>
          </cell>
        </row>
        <row r="99">
          <cell r="F99">
            <v>1</v>
          </cell>
        </row>
        <row r="100">
          <cell r="F100">
            <v>1</v>
          </cell>
        </row>
        <row r="101">
          <cell r="F101">
            <v>1</v>
          </cell>
        </row>
        <row r="102">
          <cell r="F102">
            <v>1</v>
          </cell>
        </row>
        <row r="103">
          <cell r="F103">
            <v>1</v>
          </cell>
        </row>
        <row r="104">
          <cell r="F104">
            <v>1</v>
          </cell>
        </row>
        <row r="105">
          <cell r="F105">
            <v>1</v>
          </cell>
        </row>
        <row r="106">
          <cell r="F106">
            <v>1</v>
          </cell>
        </row>
        <row r="107">
          <cell r="F107">
            <v>1</v>
          </cell>
        </row>
        <row r="108">
          <cell r="F108">
            <v>1</v>
          </cell>
        </row>
        <row r="109">
          <cell r="F109">
            <v>1</v>
          </cell>
        </row>
        <row r="110">
          <cell r="F110">
            <v>1</v>
          </cell>
        </row>
        <row r="111">
          <cell r="F111">
            <v>1</v>
          </cell>
        </row>
        <row r="112">
          <cell r="F112">
            <v>1</v>
          </cell>
        </row>
        <row r="113">
          <cell r="F113">
            <v>1</v>
          </cell>
        </row>
        <row r="114">
          <cell r="F114">
            <v>1</v>
          </cell>
        </row>
        <row r="115">
          <cell r="F115">
            <v>1</v>
          </cell>
        </row>
        <row r="116">
          <cell r="F116">
            <v>1</v>
          </cell>
        </row>
        <row r="117">
          <cell r="F117">
            <v>1</v>
          </cell>
        </row>
        <row r="118">
          <cell r="F118">
            <v>1</v>
          </cell>
        </row>
        <row r="119">
          <cell r="F119">
            <v>1</v>
          </cell>
        </row>
        <row r="120">
          <cell r="F120">
            <v>1</v>
          </cell>
        </row>
        <row r="121">
          <cell r="F121">
            <v>1</v>
          </cell>
        </row>
        <row r="122">
          <cell r="F122">
            <v>1</v>
          </cell>
        </row>
        <row r="123">
          <cell r="F123">
            <v>1</v>
          </cell>
        </row>
        <row r="124">
          <cell r="F124">
            <v>1</v>
          </cell>
        </row>
        <row r="125">
          <cell r="F125">
            <v>1</v>
          </cell>
        </row>
        <row r="126">
          <cell r="F126">
            <v>1</v>
          </cell>
        </row>
        <row r="127">
          <cell r="F127">
            <v>1</v>
          </cell>
        </row>
        <row r="128">
          <cell r="F128">
            <v>1</v>
          </cell>
        </row>
        <row r="129">
          <cell r="F129">
            <v>1</v>
          </cell>
        </row>
        <row r="130">
          <cell r="F130">
            <v>1</v>
          </cell>
        </row>
        <row r="131">
          <cell r="F131">
            <v>1</v>
          </cell>
        </row>
        <row r="132">
          <cell r="F132">
            <v>1</v>
          </cell>
        </row>
        <row r="133">
          <cell r="F133">
            <v>1</v>
          </cell>
        </row>
        <row r="134">
          <cell r="F134">
            <v>1</v>
          </cell>
        </row>
        <row r="135">
          <cell r="F135">
            <v>1</v>
          </cell>
        </row>
        <row r="136">
          <cell r="F136">
            <v>1</v>
          </cell>
        </row>
        <row r="137">
          <cell r="F137">
            <v>1</v>
          </cell>
        </row>
        <row r="138">
          <cell r="F138">
            <v>1</v>
          </cell>
        </row>
        <row r="139">
          <cell r="F139">
            <v>1</v>
          </cell>
        </row>
        <row r="140">
          <cell r="F140">
            <v>1</v>
          </cell>
        </row>
        <row r="141">
          <cell r="F141">
            <v>1</v>
          </cell>
        </row>
        <row r="142">
          <cell r="F142">
            <v>1</v>
          </cell>
        </row>
        <row r="143">
          <cell r="F143">
            <v>1</v>
          </cell>
        </row>
        <row r="144">
          <cell r="F144">
            <v>1</v>
          </cell>
        </row>
        <row r="145">
          <cell r="F145">
            <v>1</v>
          </cell>
        </row>
        <row r="146">
          <cell r="F146">
            <v>1</v>
          </cell>
        </row>
        <row r="147">
          <cell r="F147">
            <v>1</v>
          </cell>
        </row>
        <row r="148">
          <cell r="F148">
            <v>1</v>
          </cell>
        </row>
        <row r="149">
          <cell r="F149">
            <v>1</v>
          </cell>
        </row>
        <row r="150">
          <cell r="F150">
            <v>1</v>
          </cell>
        </row>
        <row r="151">
          <cell r="F151">
            <v>1</v>
          </cell>
        </row>
        <row r="152">
          <cell r="F152">
            <v>1</v>
          </cell>
        </row>
        <row r="153">
          <cell r="F153">
            <v>1</v>
          </cell>
        </row>
        <row r="154">
          <cell r="F154">
            <v>1</v>
          </cell>
        </row>
        <row r="155">
          <cell r="F155">
            <v>1</v>
          </cell>
        </row>
        <row r="156">
          <cell r="F156">
            <v>1</v>
          </cell>
        </row>
        <row r="157">
          <cell r="F157">
            <v>1</v>
          </cell>
        </row>
        <row r="158">
          <cell r="F158">
            <v>1</v>
          </cell>
        </row>
        <row r="159">
          <cell r="F159">
            <v>1</v>
          </cell>
        </row>
        <row r="160">
          <cell r="F160">
            <v>1</v>
          </cell>
        </row>
        <row r="161">
          <cell r="F161">
            <v>1</v>
          </cell>
        </row>
        <row r="162">
          <cell r="F162">
            <v>1</v>
          </cell>
        </row>
        <row r="163">
          <cell r="F163">
            <v>1</v>
          </cell>
        </row>
        <row r="164">
          <cell r="F164">
            <v>1</v>
          </cell>
        </row>
        <row r="165">
          <cell r="F165">
            <v>1</v>
          </cell>
        </row>
        <row r="166">
          <cell r="F166">
            <v>1</v>
          </cell>
        </row>
        <row r="167">
          <cell r="F167">
            <v>1</v>
          </cell>
        </row>
        <row r="168">
          <cell r="F168">
            <v>1</v>
          </cell>
        </row>
        <row r="169">
          <cell r="F169">
            <v>1</v>
          </cell>
        </row>
        <row r="170">
          <cell r="F170">
            <v>1</v>
          </cell>
        </row>
        <row r="171">
          <cell r="F171">
            <v>1</v>
          </cell>
        </row>
        <row r="172">
          <cell r="F172">
            <v>1</v>
          </cell>
        </row>
        <row r="173">
          <cell r="F173">
            <v>1</v>
          </cell>
        </row>
        <row r="174">
          <cell r="F174">
            <v>1</v>
          </cell>
        </row>
        <row r="175">
          <cell r="F175">
            <v>1</v>
          </cell>
        </row>
        <row r="176">
          <cell r="F176">
            <v>1</v>
          </cell>
        </row>
        <row r="177">
          <cell r="F177">
            <v>1</v>
          </cell>
        </row>
        <row r="178">
          <cell r="F178">
            <v>1</v>
          </cell>
        </row>
        <row r="179">
          <cell r="F179">
            <v>1</v>
          </cell>
        </row>
        <row r="180">
          <cell r="F180">
            <v>1</v>
          </cell>
        </row>
        <row r="181">
          <cell r="F181">
            <v>1</v>
          </cell>
        </row>
        <row r="182">
          <cell r="F182">
            <v>1</v>
          </cell>
        </row>
        <row r="183">
          <cell r="F183">
            <v>1</v>
          </cell>
        </row>
        <row r="184">
          <cell r="F184">
            <v>1</v>
          </cell>
        </row>
        <row r="185">
          <cell r="F185">
            <v>1</v>
          </cell>
        </row>
        <row r="186">
          <cell r="F186">
            <v>1</v>
          </cell>
        </row>
        <row r="187">
          <cell r="F187">
            <v>1</v>
          </cell>
        </row>
        <row r="188">
          <cell r="F188">
            <v>1</v>
          </cell>
        </row>
        <row r="189">
          <cell r="F189">
            <v>1</v>
          </cell>
        </row>
        <row r="190">
          <cell r="F190">
            <v>1</v>
          </cell>
        </row>
        <row r="191">
          <cell r="F191">
            <v>1</v>
          </cell>
        </row>
        <row r="192">
          <cell r="F192">
            <v>1</v>
          </cell>
        </row>
        <row r="193">
          <cell r="F193">
            <v>1</v>
          </cell>
        </row>
        <row r="194">
          <cell r="F194">
            <v>1</v>
          </cell>
        </row>
        <row r="195">
          <cell r="F195">
            <v>1</v>
          </cell>
        </row>
        <row r="196">
          <cell r="F196">
            <v>1</v>
          </cell>
        </row>
        <row r="197">
          <cell r="F197">
            <v>1</v>
          </cell>
        </row>
        <row r="198">
          <cell r="F198">
            <v>1</v>
          </cell>
        </row>
        <row r="199">
          <cell r="F199">
            <v>1</v>
          </cell>
        </row>
        <row r="200">
          <cell r="F200">
            <v>1</v>
          </cell>
        </row>
        <row r="201">
          <cell r="F201">
            <v>1</v>
          </cell>
        </row>
        <row r="202">
          <cell r="F202">
            <v>1</v>
          </cell>
        </row>
        <row r="203">
          <cell r="F203">
            <v>1</v>
          </cell>
        </row>
        <row r="204">
          <cell r="F204">
            <v>1</v>
          </cell>
        </row>
        <row r="205">
          <cell r="F205">
            <v>1</v>
          </cell>
        </row>
        <row r="206">
          <cell r="F206">
            <v>1</v>
          </cell>
        </row>
        <row r="207">
          <cell r="F207">
            <v>1</v>
          </cell>
        </row>
        <row r="208">
          <cell r="F208">
            <v>1</v>
          </cell>
        </row>
        <row r="209">
          <cell r="F209">
            <v>1</v>
          </cell>
        </row>
        <row r="210">
          <cell r="F210">
            <v>1</v>
          </cell>
        </row>
        <row r="211">
          <cell r="F211">
            <v>1</v>
          </cell>
        </row>
        <row r="212">
          <cell r="F212">
            <v>1</v>
          </cell>
        </row>
        <row r="213">
          <cell r="F213">
            <v>1</v>
          </cell>
        </row>
        <row r="214">
          <cell r="F214">
            <v>1</v>
          </cell>
        </row>
        <row r="215">
          <cell r="F215">
            <v>1</v>
          </cell>
        </row>
        <row r="216">
          <cell r="F216">
            <v>1</v>
          </cell>
        </row>
        <row r="217">
          <cell r="F217">
            <v>1</v>
          </cell>
        </row>
        <row r="218">
          <cell r="F218">
            <v>1</v>
          </cell>
        </row>
        <row r="219">
          <cell r="F219">
            <v>1</v>
          </cell>
        </row>
        <row r="220">
          <cell r="F220">
            <v>1</v>
          </cell>
        </row>
        <row r="221">
          <cell r="F221">
            <v>1</v>
          </cell>
        </row>
        <row r="222">
          <cell r="F222">
            <v>1</v>
          </cell>
        </row>
        <row r="223">
          <cell r="F223">
            <v>1</v>
          </cell>
        </row>
        <row r="224">
          <cell r="F224">
            <v>1</v>
          </cell>
        </row>
        <row r="225">
          <cell r="F225">
            <v>1</v>
          </cell>
        </row>
        <row r="226">
          <cell r="F226">
            <v>1</v>
          </cell>
        </row>
        <row r="227">
          <cell r="F227">
            <v>1</v>
          </cell>
        </row>
        <row r="228">
          <cell r="F228">
            <v>1</v>
          </cell>
        </row>
        <row r="229">
          <cell r="F229">
            <v>1</v>
          </cell>
        </row>
        <row r="230">
          <cell r="F230">
            <v>1</v>
          </cell>
        </row>
        <row r="231">
          <cell r="F231">
            <v>1</v>
          </cell>
        </row>
        <row r="232">
          <cell r="F232">
            <v>1</v>
          </cell>
        </row>
        <row r="233">
          <cell r="F233">
            <v>1</v>
          </cell>
        </row>
        <row r="234">
          <cell r="F234">
            <v>1</v>
          </cell>
        </row>
        <row r="235">
          <cell r="F235">
            <v>1</v>
          </cell>
        </row>
        <row r="236">
          <cell r="F236">
            <v>1</v>
          </cell>
        </row>
        <row r="237">
          <cell r="F237">
            <v>1</v>
          </cell>
        </row>
        <row r="238">
          <cell r="F238">
            <v>1</v>
          </cell>
        </row>
        <row r="239">
          <cell r="F239">
            <v>1</v>
          </cell>
        </row>
        <row r="240">
          <cell r="F240">
            <v>1</v>
          </cell>
        </row>
        <row r="241">
          <cell r="F241">
            <v>1</v>
          </cell>
        </row>
        <row r="242">
          <cell r="F242">
            <v>1</v>
          </cell>
        </row>
        <row r="243">
          <cell r="F243">
            <v>1</v>
          </cell>
        </row>
        <row r="244">
          <cell r="F244">
            <v>1</v>
          </cell>
        </row>
        <row r="245">
          <cell r="F245">
            <v>1</v>
          </cell>
        </row>
        <row r="246">
          <cell r="F246">
            <v>1</v>
          </cell>
        </row>
        <row r="247">
          <cell r="F247">
            <v>1</v>
          </cell>
        </row>
        <row r="248">
          <cell r="F248">
            <v>1</v>
          </cell>
        </row>
        <row r="249">
          <cell r="F249">
            <v>1</v>
          </cell>
        </row>
        <row r="250">
          <cell r="F250">
            <v>1</v>
          </cell>
        </row>
        <row r="251">
          <cell r="F251">
            <v>1</v>
          </cell>
        </row>
        <row r="252">
          <cell r="F252">
            <v>1</v>
          </cell>
        </row>
        <row r="253">
          <cell r="F253">
            <v>1</v>
          </cell>
        </row>
        <row r="254">
          <cell r="F254">
            <v>1</v>
          </cell>
        </row>
        <row r="255">
          <cell r="F255">
            <v>1</v>
          </cell>
        </row>
        <row r="256">
          <cell r="F256">
            <v>1</v>
          </cell>
        </row>
        <row r="257">
          <cell r="F257">
            <v>1</v>
          </cell>
        </row>
        <row r="258">
          <cell r="F258">
            <v>1</v>
          </cell>
        </row>
        <row r="259">
          <cell r="F259">
            <v>1</v>
          </cell>
        </row>
        <row r="260">
          <cell r="F260">
            <v>1</v>
          </cell>
        </row>
        <row r="261">
          <cell r="F261">
            <v>1</v>
          </cell>
        </row>
        <row r="262">
          <cell r="F262">
            <v>1</v>
          </cell>
        </row>
        <row r="263">
          <cell r="F263">
            <v>1</v>
          </cell>
        </row>
        <row r="264">
          <cell r="F264">
            <v>1</v>
          </cell>
        </row>
        <row r="265">
          <cell r="F265">
            <v>1</v>
          </cell>
        </row>
        <row r="266">
          <cell r="F266">
            <v>1</v>
          </cell>
        </row>
        <row r="267">
          <cell r="F267">
            <v>1</v>
          </cell>
        </row>
        <row r="268">
          <cell r="F268">
            <v>1</v>
          </cell>
        </row>
        <row r="269">
          <cell r="F269">
            <v>1</v>
          </cell>
        </row>
        <row r="270">
          <cell r="F270">
            <v>1</v>
          </cell>
        </row>
        <row r="271">
          <cell r="F271">
            <v>1</v>
          </cell>
        </row>
        <row r="272">
          <cell r="F272">
            <v>1</v>
          </cell>
        </row>
        <row r="273">
          <cell r="F273">
            <v>1</v>
          </cell>
        </row>
        <row r="274">
          <cell r="F274">
            <v>1</v>
          </cell>
        </row>
        <row r="275">
          <cell r="F275">
            <v>1</v>
          </cell>
        </row>
        <row r="276">
          <cell r="F276">
            <v>1</v>
          </cell>
        </row>
        <row r="277">
          <cell r="F277">
            <v>1</v>
          </cell>
        </row>
        <row r="278">
          <cell r="F278">
            <v>1</v>
          </cell>
        </row>
        <row r="279">
          <cell r="F279">
            <v>1</v>
          </cell>
        </row>
        <row r="280">
          <cell r="F280">
            <v>1</v>
          </cell>
        </row>
        <row r="281">
          <cell r="F281">
            <v>1</v>
          </cell>
        </row>
        <row r="282">
          <cell r="F282">
            <v>1</v>
          </cell>
        </row>
        <row r="283">
          <cell r="F283">
            <v>1</v>
          </cell>
        </row>
        <row r="284">
          <cell r="F284">
            <v>1</v>
          </cell>
        </row>
        <row r="285">
          <cell r="F285">
            <v>1</v>
          </cell>
        </row>
        <row r="286">
          <cell r="F286">
            <v>1</v>
          </cell>
        </row>
        <row r="287">
          <cell r="F287">
            <v>1</v>
          </cell>
        </row>
        <row r="288">
          <cell r="F288">
            <v>1</v>
          </cell>
        </row>
        <row r="289">
          <cell r="F289">
            <v>1</v>
          </cell>
        </row>
        <row r="290">
          <cell r="F290">
            <v>1</v>
          </cell>
        </row>
        <row r="291">
          <cell r="F291">
            <v>1</v>
          </cell>
        </row>
        <row r="292">
          <cell r="F292">
            <v>1</v>
          </cell>
        </row>
        <row r="293">
          <cell r="F293">
            <v>1</v>
          </cell>
        </row>
        <row r="294">
          <cell r="F294">
            <v>1</v>
          </cell>
        </row>
        <row r="295">
          <cell r="F295">
            <v>1</v>
          </cell>
        </row>
        <row r="296">
          <cell r="F296">
            <v>1</v>
          </cell>
        </row>
        <row r="297">
          <cell r="F297">
            <v>1</v>
          </cell>
        </row>
        <row r="298">
          <cell r="F298">
            <v>1</v>
          </cell>
        </row>
        <row r="299">
          <cell r="F299">
            <v>1</v>
          </cell>
        </row>
        <row r="300">
          <cell r="F300">
            <v>1</v>
          </cell>
        </row>
        <row r="301">
          <cell r="F301">
            <v>1</v>
          </cell>
        </row>
        <row r="302">
          <cell r="F302">
            <v>1</v>
          </cell>
        </row>
        <row r="303">
          <cell r="F303">
            <v>1</v>
          </cell>
        </row>
        <row r="304">
          <cell r="F304">
            <v>1</v>
          </cell>
        </row>
        <row r="305">
          <cell r="F305">
            <v>1</v>
          </cell>
        </row>
        <row r="306">
          <cell r="F306">
            <v>1</v>
          </cell>
        </row>
        <row r="307">
          <cell r="F307">
            <v>1</v>
          </cell>
        </row>
        <row r="308">
          <cell r="F308">
            <v>1</v>
          </cell>
        </row>
        <row r="309">
          <cell r="F309">
            <v>1</v>
          </cell>
        </row>
        <row r="310">
          <cell r="F310">
            <v>1</v>
          </cell>
        </row>
        <row r="311">
          <cell r="F311">
            <v>1</v>
          </cell>
        </row>
        <row r="312">
          <cell r="F312">
            <v>1</v>
          </cell>
        </row>
        <row r="313">
          <cell r="F313">
            <v>1</v>
          </cell>
        </row>
        <row r="314">
          <cell r="F314">
            <v>1</v>
          </cell>
        </row>
        <row r="315">
          <cell r="F315">
            <v>1</v>
          </cell>
        </row>
        <row r="316">
          <cell r="F316">
            <v>1</v>
          </cell>
        </row>
        <row r="317">
          <cell r="F317">
            <v>1</v>
          </cell>
        </row>
        <row r="318">
          <cell r="F318">
            <v>1</v>
          </cell>
        </row>
        <row r="319">
          <cell r="F319">
            <v>1</v>
          </cell>
        </row>
        <row r="320">
          <cell r="F320">
            <v>1</v>
          </cell>
        </row>
        <row r="321">
          <cell r="F321">
            <v>1</v>
          </cell>
        </row>
        <row r="322">
          <cell r="F322">
            <v>1</v>
          </cell>
        </row>
        <row r="323">
          <cell r="F323">
            <v>1</v>
          </cell>
        </row>
        <row r="324">
          <cell r="F324">
            <v>1</v>
          </cell>
        </row>
        <row r="325">
          <cell r="F325">
            <v>1</v>
          </cell>
        </row>
        <row r="326">
          <cell r="F326">
            <v>1</v>
          </cell>
        </row>
        <row r="327">
          <cell r="F327">
            <v>1</v>
          </cell>
        </row>
        <row r="328">
          <cell r="F328">
            <v>1</v>
          </cell>
        </row>
        <row r="329">
          <cell r="F329">
            <v>1</v>
          </cell>
        </row>
        <row r="330">
          <cell r="F330">
            <v>1</v>
          </cell>
        </row>
        <row r="331">
          <cell r="F331">
            <v>1</v>
          </cell>
        </row>
        <row r="332">
          <cell r="F332">
            <v>1</v>
          </cell>
        </row>
        <row r="333">
          <cell r="F333">
            <v>1</v>
          </cell>
        </row>
        <row r="334">
          <cell r="F334">
            <v>1</v>
          </cell>
        </row>
        <row r="335">
          <cell r="F335">
            <v>1</v>
          </cell>
        </row>
        <row r="336">
          <cell r="F336">
            <v>1</v>
          </cell>
        </row>
        <row r="337">
          <cell r="F337">
            <v>1</v>
          </cell>
        </row>
        <row r="338">
          <cell r="F338">
            <v>1</v>
          </cell>
        </row>
        <row r="339">
          <cell r="F339">
            <v>1</v>
          </cell>
        </row>
        <row r="340">
          <cell r="F340">
            <v>1</v>
          </cell>
        </row>
        <row r="341">
          <cell r="F341">
            <v>1</v>
          </cell>
        </row>
        <row r="342">
          <cell r="F342">
            <v>1</v>
          </cell>
        </row>
        <row r="343">
          <cell r="F343">
            <v>1</v>
          </cell>
        </row>
        <row r="344">
          <cell r="F344">
            <v>1</v>
          </cell>
        </row>
        <row r="345">
          <cell r="F345">
            <v>1</v>
          </cell>
        </row>
        <row r="346">
          <cell r="F346">
            <v>1</v>
          </cell>
        </row>
        <row r="347">
          <cell r="F347">
            <v>1</v>
          </cell>
        </row>
        <row r="348">
          <cell r="F348">
            <v>1</v>
          </cell>
        </row>
        <row r="349">
          <cell r="F349">
            <v>1</v>
          </cell>
        </row>
        <row r="350">
          <cell r="F350">
            <v>1</v>
          </cell>
        </row>
        <row r="351">
          <cell r="F351">
            <v>1</v>
          </cell>
        </row>
        <row r="352">
          <cell r="F352">
            <v>1</v>
          </cell>
        </row>
        <row r="353">
          <cell r="F353">
            <v>1</v>
          </cell>
        </row>
        <row r="354">
          <cell r="F354">
            <v>1</v>
          </cell>
        </row>
        <row r="355">
          <cell r="F355">
            <v>1</v>
          </cell>
        </row>
        <row r="356">
          <cell r="F356">
            <v>1</v>
          </cell>
        </row>
        <row r="357">
          <cell r="F357">
            <v>1</v>
          </cell>
        </row>
        <row r="358">
          <cell r="F358">
            <v>1</v>
          </cell>
        </row>
        <row r="359">
          <cell r="F359">
            <v>1</v>
          </cell>
        </row>
        <row r="360">
          <cell r="F360">
            <v>1</v>
          </cell>
        </row>
        <row r="361">
          <cell r="F361">
            <v>1</v>
          </cell>
        </row>
        <row r="362">
          <cell r="F362">
            <v>1</v>
          </cell>
        </row>
        <row r="363">
          <cell r="F363">
            <v>1</v>
          </cell>
        </row>
        <row r="364">
          <cell r="F364">
            <v>1</v>
          </cell>
        </row>
        <row r="365">
          <cell r="F365">
            <v>1</v>
          </cell>
        </row>
        <row r="366">
          <cell r="F366">
            <v>1</v>
          </cell>
        </row>
        <row r="367">
          <cell r="F367">
            <v>1</v>
          </cell>
        </row>
        <row r="368">
          <cell r="F368">
            <v>1</v>
          </cell>
        </row>
        <row r="369">
          <cell r="F369">
            <v>1</v>
          </cell>
        </row>
        <row r="370">
          <cell r="F370">
            <v>1</v>
          </cell>
        </row>
        <row r="371">
          <cell r="F371">
            <v>1</v>
          </cell>
        </row>
        <row r="372">
          <cell r="F372">
            <v>1</v>
          </cell>
        </row>
        <row r="373">
          <cell r="F373">
            <v>1</v>
          </cell>
        </row>
        <row r="374">
          <cell r="F374">
            <v>1</v>
          </cell>
        </row>
        <row r="375">
          <cell r="F375">
            <v>1</v>
          </cell>
        </row>
        <row r="376">
          <cell r="F376">
            <v>1</v>
          </cell>
        </row>
        <row r="377">
          <cell r="F377">
            <v>1</v>
          </cell>
        </row>
        <row r="378">
          <cell r="F378">
            <v>1</v>
          </cell>
        </row>
        <row r="379">
          <cell r="F379">
            <v>1</v>
          </cell>
        </row>
        <row r="380">
          <cell r="F380">
            <v>1</v>
          </cell>
        </row>
        <row r="381">
          <cell r="F381">
            <v>1</v>
          </cell>
        </row>
        <row r="382">
          <cell r="F382">
            <v>1</v>
          </cell>
        </row>
        <row r="383">
          <cell r="F383">
            <v>1</v>
          </cell>
        </row>
        <row r="384">
          <cell r="F384">
            <v>1</v>
          </cell>
        </row>
        <row r="385">
          <cell r="F385">
            <v>1</v>
          </cell>
        </row>
        <row r="386">
          <cell r="F386">
            <v>1</v>
          </cell>
        </row>
        <row r="387">
          <cell r="F387">
            <v>1</v>
          </cell>
        </row>
        <row r="388">
          <cell r="F388">
            <v>1</v>
          </cell>
        </row>
        <row r="389">
          <cell r="F389">
            <v>1</v>
          </cell>
        </row>
        <row r="390">
          <cell r="F390">
            <v>1</v>
          </cell>
        </row>
        <row r="391">
          <cell r="F391">
            <v>1</v>
          </cell>
        </row>
        <row r="392">
          <cell r="F392">
            <v>1</v>
          </cell>
        </row>
        <row r="393">
          <cell r="F393">
            <v>1</v>
          </cell>
        </row>
        <row r="394">
          <cell r="F394">
            <v>1</v>
          </cell>
        </row>
        <row r="395">
          <cell r="F395">
            <v>1</v>
          </cell>
        </row>
        <row r="396">
          <cell r="F396">
            <v>1</v>
          </cell>
        </row>
        <row r="397">
          <cell r="F397">
            <v>1</v>
          </cell>
        </row>
        <row r="398">
          <cell r="F398">
            <v>1</v>
          </cell>
        </row>
        <row r="399">
          <cell r="F399">
            <v>1</v>
          </cell>
        </row>
        <row r="400">
          <cell r="F400">
            <v>1</v>
          </cell>
        </row>
        <row r="401">
          <cell r="F401">
            <v>1</v>
          </cell>
        </row>
        <row r="402">
          <cell r="F402">
            <v>1</v>
          </cell>
        </row>
        <row r="403">
          <cell r="F403">
            <v>1</v>
          </cell>
        </row>
        <row r="404">
          <cell r="F404">
            <v>1</v>
          </cell>
        </row>
        <row r="405">
          <cell r="F405">
            <v>1</v>
          </cell>
        </row>
        <row r="406">
          <cell r="F406">
            <v>1</v>
          </cell>
        </row>
        <row r="407">
          <cell r="F407">
            <v>1</v>
          </cell>
        </row>
        <row r="408">
          <cell r="F408">
            <v>1</v>
          </cell>
        </row>
        <row r="409">
          <cell r="F409">
            <v>1</v>
          </cell>
        </row>
        <row r="410">
          <cell r="F410">
            <v>1</v>
          </cell>
        </row>
        <row r="411">
          <cell r="F411">
            <v>1</v>
          </cell>
        </row>
        <row r="412">
          <cell r="F412">
            <v>1</v>
          </cell>
        </row>
        <row r="413">
          <cell r="F413">
            <v>1</v>
          </cell>
        </row>
        <row r="414">
          <cell r="F414">
            <v>1</v>
          </cell>
        </row>
        <row r="415">
          <cell r="F415">
            <v>1</v>
          </cell>
        </row>
        <row r="416">
          <cell r="F416">
            <v>1</v>
          </cell>
        </row>
        <row r="417">
          <cell r="F417">
            <v>1</v>
          </cell>
        </row>
        <row r="418">
          <cell r="F418">
            <v>1</v>
          </cell>
        </row>
        <row r="419">
          <cell r="F419">
            <v>1</v>
          </cell>
        </row>
        <row r="420">
          <cell r="F420">
            <v>1</v>
          </cell>
        </row>
        <row r="421">
          <cell r="F421">
            <v>1</v>
          </cell>
        </row>
        <row r="422">
          <cell r="F422">
            <v>1</v>
          </cell>
        </row>
        <row r="423">
          <cell r="F423">
            <v>1</v>
          </cell>
        </row>
        <row r="424">
          <cell r="F424">
            <v>1</v>
          </cell>
        </row>
        <row r="425">
          <cell r="F425">
            <v>1</v>
          </cell>
        </row>
        <row r="426">
          <cell r="F426">
            <v>1</v>
          </cell>
        </row>
        <row r="427">
          <cell r="F427">
            <v>1</v>
          </cell>
        </row>
        <row r="428">
          <cell r="F428">
            <v>1</v>
          </cell>
        </row>
        <row r="429">
          <cell r="F429">
            <v>1</v>
          </cell>
        </row>
        <row r="430">
          <cell r="F430">
            <v>1</v>
          </cell>
        </row>
        <row r="431">
          <cell r="F431">
            <v>1</v>
          </cell>
        </row>
        <row r="432">
          <cell r="F432">
            <v>1</v>
          </cell>
        </row>
        <row r="433">
          <cell r="F433">
            <v>1</v>
          </cell>
        </row>
        <row r="434">
          <cell r="F434">
            <v>1</v>
          </cell>
        </row>
        <row r="435">
          <cell r="F435">
            <v>1</v>
          </cell>
        </row>
        <row r="436">
          <cell r="F436">
            <v>1</v>
          </cell>
        </row>
        <row r="437">
          <cell r="F437">
            <v>1</v>
          </cell>
        </row>
        <row r="438">
          <cell r="F438">
            <v>1</v>
          </cell>
        </row>
        <row r="439">
          <cell r="F439">
            <v>1</v>
          </cell>
        </row>
        <row r="440">
          <cell r="F440">
            <v>1</v>
          </cell>
        </row>
        <row r="441">
          <cell r="F441">
            <v>1</v>
          </cell>
        </row>
        <row r="442">
          <cell r="F442">
            <v>1</v>
          </cell>
        </row>
        <row r="443">
          <cell r="F443">
            <v>1</v>
          </cell>
        </row>
        <row r="444">
          <cell r="F444">
            <v>1</v>
          </cell>
        </row>
        <row r="445">
          <cell r="F445">
            <v>1</v>
          </cell>
        </row>
        <row r="446">
          <cell r="F446">
            <v>1</v>
          </cell>
        </row>
        <row r="447">
          <cell r="F447">
            <v>1</v>
          </cell>
        </row>
        <row r="448">
          <cell r="F448">
            <v>1</v>
          </cell>
        </row>
        <row r="449">
          <cell r="F449">
            <v>1</v>
          </cell>
        </row>
        <row r="450">
          <cell r="F450">
            <v>1</v>
          </cell>
        </row>
        <row r="451">
          <cell r="F451">
            <v>1</v>
          </cell>
        </row>
        <row r="452">
          <cell r="F452">
            <v>1</v>
          </cell>
        </row>
        <row r="453">
          <cell r="F453">
            <v>1</v>
          </cell>
        </row>
        <row r="454">
          <cell r="F454">
            <v>1</v>
          </cell>
        </row>
        <row r="455">
          <cell r="F455">
            <v>1</v>
          </cell>
        </row>
        <row r="456">
          <cell r="F456">
            <v>1</v>
          </cell>
        </row>
        <row r="457">
          <cell r="F457">
            <v>1</v>
          </cell>
        </row>
        <row r="458">
          <cell r="F458">
            <v>1</v>
          </cell>
        </row>
        <row r="459">
          <cell r="F459">
            <v>1</v>
          </cell>
        </row>
        <row r="460">
          <cell r="F460">
            <v>1</v>
          </cell>
        </row>
        <row r="461">
          <cell r="F461">
            <v>1</v>
          </cell>
        </row>
        <row r="462">
          <cell r="F462">
            <v>1</v>
          </cell>
        </row>
        <row r="463">
          <cell r="F463">
            <v>1</v>
          </cell>
        </row>
        <row r="464">
          <cell r="F464">
            <v>1</v>
          </cell>
        </row>
        <row r="465">
          <cell r="F465">
            <v>1</v>
          </cell>
        </row>
        <row r="466">
          <cell r="F466">
            <v>1</v>
          </cell>
        </row>
        <row r="467">
          <cell r="F467">
            <v>1</v>
          </cell>
        </row>
        <row r="468">
          <cell r="F468">
            <v>1</v>
          </cell>
        </row>
        <row r="469">
          <cell r="F469">
            <v>1</v>
          </cell>
        </row>
        <row r="470">
          <cell r="F470">
            <v>1</v>
          </cell>
        </row>
        <row r="471">
          <cell r="F471">
            <v>1</v>
          </cell>
        </row>
        <row r="472">
          <cell r="F472">
            <v>1</v>
          </cell>
        </row>
        <row r="473">
          <cell r="F473">
            <v>1</v>
          </cell>
        </row>
        <row r="474">
          <cell r="F474">
            <v>1</v>
          </cell>
        </row>
        <row r="475">
          <cell r="F475">
            <v>1</v>
          </cell>
        </row>
        <row r="476">
          <cell r="F476">
            <v>1</v>
          </cell>
        </row>
        <row r="477">
          <cell r="F477">
            <v>1</v>
          </cell>
        </row>
        <row r="478">
          <cell r="F478">
            <v>1</v>
          </cell>
        </row>
        <row r="479">
          <cell r="F479">
            <v>1</v>
          </cell>
        </row>
        <row r="480">
          <cell r="F480">
            <v>1</v>
          </cell>
        </row>
        <row r="481">
          <cell r="F481">
            <v>1</v>
          </cell>
        </row>
        <row r="482">
          <cell r="F482">
            <v>1</v>
          </cell>
        </row>
        <row r="483">
          <cell r="F483">
            <v>1</v>
          </cell>
        </row>
        <row r="484">
          <cell r="F484">
            <v>1</v>
          </cell>
        </row>
        <row r="485">
          <cell r="F485">
            <v>1</v>
          </cell>
        </row>
        <row r="486">
          <cell r="F486">
            <v>1</v>
          </cell>
        </row>
        <row r="487">
          <cell r="F487">
            <v>1</v>
          </cell>
        </row>
        <row r="488">
          <cell r="F488">
            <v>1</v>
          </cell>
        </row>
        <row r="489">
          <cell r="F489">
            <v>1</v>
          </cell>
        </row>
        <row r="490">
          <cell r="F490">
            <v>1</v>
          </cell>
        </row>
        <row r="491">
          <cell r="F491">
            <v>1</v>
          </cell>
        </row>
        <row r="492">
          <cell r="F492">
            <v>1</v>
          </cell>
        </row>
        <row r="493">
          <cell r="F493">
            <v>1</v>
          </cell>
        </row>
        <row r="494">
          <cell r="F494">
            <v>1</v>
          </cell>
        </row>
        <row r="495">
          <cell r="F495">
            <v>1</v>
          </cell>
        </row>
        <row r="496">
          <cell r="F496">
            <v>1</v>
          </cell>
        </row>
        <row r="497">
          <cell r="F497">
            <v>1</v>
          </cell>
        </row>
        <row r="498">
          <cell r="F498">
            <v>1</v>
          </cell>
        </row>
        <row r="499">
          <cell r="F499">
            <v>1</v>
          </cell>
        </row>
        <row r="500">
          <cell r="F500">
            <v>1</v>
          </cell>
        </row>
        <row r="501">
          <cell r="F501">
            <v>1</v>
          </cell>
        </row>
        <row r="502">
          <cell r="F502">
            <v>1</v>
          </cell>
        </row>
        <row r="503">
          <cell r="F503">
            <v>1</v>
          </cell>
        </row>
        <row r="504">
          <cell r="F504">
            <v>1</v>
          </cell>
        </row>
        <row r="505">
          <cell r="F505">
            <v>1</v>
          </cell>
        </row>
        <row r="506">
          <cell r="F506">
            <v>1</v>
          </cell>
        </row>
        <row r="507">
          <cell r="F507">
            <v>1</v>
          </cell>
        </row>
        <row r="508">
          <cell r="F508">
            <v>1</v>
          </cell>
        </row>
        <row r="509">
          <cell r="F509">
            <v>1</v>
          </cell>
        </row>
        <row r="510">
          <cell r="F510">
            <v>1</v>
          </cell>
        </row>
        <row r="511">
          <cell r="F511">
            <v>1</v>
          </cell>
        </row>
        <row r="512">
          <cell r="F512">
            <v>1</v>
          </cell>
        </row>
        <row r="513">
          <cell r="F513">
            <v>1</v>
          </cell>
        </row>
        <row r="514">
          <cell r="F514">
            <v>1</v>
          </cell>
        </row>
        <row r="515">
          <cell r="F515">
            <v>1</v>
          </cell>
        </row>
        <row r="516">
          <cell r="F516">
            <v>1</v>
          </cell>
        </row>
        <row r="517">
          <cell r="F517">
            <v>1</v>
          </cell>
        </row>
        <row r="518">
          <cell r="F518">
            <v>1</v>
          </cell>
        </row>
        <row r="519">
          <cell r="F519">
            <v>1</v>
          </cell>
        </row>
        <row r="520">
          <cell r="F520">
            <v>1</v>
          </cell>
        </row>
        <row r="521">
          <cell r="F521">
            <v>1</v>
          </cell>
        </row>
        <row r="522">
          <cell r="F522">
            <v>1</v>
          </cell>
        </row>
        <row r="523">
          <cell r="F523">
            <v>1</v>
          </cell>
        </row>
        <row r="524">
          <cell r="F524">
            <v>1</v>
          </cell>
        </row>
        <row r="525">
          <cell r="F525">
            <v>1</v>
          </cell>
        </row>
        <row r="526">
          <cell r="F526">
            <v>1</v>
          </cell>
        </row>
        <row r="527">
          <cell r="F527">
            <v>1</v>
          </cell>
        </row>
        <row r="528">
          <cell r="F528">
            <v>1</v>
          </cell>
        </row>
        <row r="529">
          <cell r="F529">
            <v>1</v>
          </cell>
        </row>
        <row r="530">
          <cell r="F530">
            <v>1</v>
          </cell>
        </row>
        <row r="531">
          <cell r="F531">
            <v>1</v>
          </cell>
        </row>
        <row r="532">
          <cell r="F532">
            <v>1</v>
          </cell>
        </row>
        <row r="533">
          <cell r="F533">
            <v>1</v>
          </cell>
        </row>
        <row r="534">
          <cell r="F534">
            <v>1</v>
          </cell>
        </row>
        <row r="535">
          <cell r="F535">
            <v>1</v>
          </cell>
        </row>
        <row r="536">
          <cell r="F536">
            <v>1</v>
          </cell>
        </row>
        <row r="537">
          <cell r="F537">
            <v>1</v>
          </cell>
        </row>
        <row r="538">
          <cell r="F538">
            <v>1</v>
          </cell>
        </row>
        <row r="539">
          <cell r="F539">
            <v>1</v>
          </cell>
        </row>
        <row r="540">
          <cell r="F540">
            <v>1</v>
          </cell>
        </row>
        <row r="541">
          <cell r="F541">
            <v>1</v>
          </cell>
        </row>
        <row r="542">
          <cell r="F542">
            <v>1</v>
          </cell>
        </row>
        <row r="543">
          <cell r="F543">
            <v>1</v>
          </cell>
        </row>
        <row r="544">
          <cell r="F544">
            <v>1</v>
          </cell>
        </row>
        <row r="545">
          <cell r="F545">
            <v>1</v>
          </cell>
        </row>
        <row r="546">
          <cell r="F546">
            <v>1</v>
          </cell>
        </row>
        <row r="547">
          <cell r="F547">
            <v>1</v>
          </cell>
        </row>
        <row r="548">
          <cell r="F548">
            <v>1</v>
          </cell>
        </row>
        <row r="549">
          <cell r="F549">
            <v>1</v>
          </cell>
        </row>
        <row r="550">
          <cell r="F550">
            <v>1</v>
          </cell>
        </row>
        <row r="551">
          <cell r="F551">
            <v>1</v>
          </cell>
        </row>
        <row r="552">
          <cell r="F552">
            <v>1</v>
          </cell>
        </row>
        <row r="553">
          <cell r="F553">
            <v>1</v>
          </cell>
        </row>
        <row r="554">
          <cell r="F554">
            <v>1</v>
          </cell>
        </row>
        <row r="555">
          <cell r="F555">
            <v>1</v>
          </cell>
        </row>
        <row r="556">
          <cell r="F556">
            <v>1</v>
          </cell>
        </row>
        <row r="557">
          <cell r="F557">
            <v>1</v>
          </cell>
        </row>
        <row r="558">
          <cell r="F558">
            <v>1</v>
          </cell>
        </row>
        <row r="559">
          <cell r="F559">
            <v>1</v>
          </cell>
        </row>
        <row r="560">
          <cell r="F560">
            <v>1</v>
          </cell>
        </row>
        <row r="561">
          <cell r="F561">
            <v>1</v>
          </cell>
        </row>
        <row r="562">
          <cell r="F562">
            <v>1</v>
          </cell>
        </row>
        <row r="563">
          <cell r="F563">
            <v>1</v>
          </cell>
        </row>
        <row r="564">
          <cell r="F564">
            <v>1</v>
          </cell>
        </row>
        <row r="565">
          <cell r="F565">
            <v>1</v>
          </cell>
        </row>
        <row r="566">
          <cell r="F566">
            <v>1</v>
          </cell>
        </row>
        <row r="567">
          <cell r="F567">
            <v>1</v>
          </cell>
        </row>
        <row r="568">
          <cell r="F568">
            <v>1</v>
          </cell>
        </row>
        <row r="569">
          <cell r="F569">
            <v>1</v>
          </cell>
        </row>
        <row r="570">
          <cell r="F570">
            <v>1</v>
          </cell>
        </row>
        <row r="571">
          <cell r="F571">
            <v>1</v>
          </cell>
        </row>
        <row r="572">
          <cell r="F572">
            <v>1</v>
          </cell>
        </row>
        <row r="573">
          <cell r="F573">
            <v>1</v>
          </cell>
        </row>
        <row r="574">
          <cell r="F574">
            <v>1</v>
          </cell>
        </row>
        <row r="575">
          <cell r="F575">
            <v>1</v>
          </cell>
        </row>
        <row r="576">
          <cell r="F576">
            <v>1</v>
          </cell>
        </row>
        <row r="577">
          <cell r="F577">
            <v>1</v>
          </cell>
        </row>
        <row r="578">
          <cell r="F578">
            <v>1</v>
          </cell>
        </row>
        <row r="579">
          <cell r="F579">
            <v>1</v>
          </cell>
        </row>
        <row r="580">
          <cell r="F580">
            <v>1</v>
          </cell>
        </row>
        <row r="581">
          <cell r="F581">
            <v>1</v>
          </cell>
        </row>
        <row r="582">
          <cell r="F582">
            <v>1</v>
          </cell>
        </row>
        <row r="583">
          <cell r="F583">
            <v>1</v>
          </cell>
        </row>
        <row r="584">
          <cell r="F584">
            <v>1</v>
          </cell>
        </row>
        <row r="585">
          <cell r="F585">
            <v>1</v>
          </cell>
        </row>
        <row r="586">
          <cell r="F586">
            <v>1</v>
          </cell>
        </row>
        <row r="587">
          <cell r="F587">
            <v>1</v>
          </cell>
        </row>
        <row r="588">
          <cell r="F588">
            <v>1</v>
          </cell>
        </row>
        <row r="589">
          <cell r="F589">
            <v>1</v>
          </cell>
        </row>
        <row r="590">
          <cell r="F590">
            <v>1</v>
          </cell>
        </row>
        <row r="591">
          <cell r="F591">
            <v>1</v>
          </cell>
        </row>
        <row r="592">
          <cell r="F592">
            <v>1</v>
          </cell>
        </row>
        <row r="593">
          <cell r="F593">
            <v>1</v>
          </cell>
        </row>
        <row r="594">
          <cell r="F594">
            <v>1</v>
          </cell>
        </row>
        <row r="595">
          <cell r="F595">
            <v>1</v>
          </cell>
        </row>
        <row r="596">
          <cell r="F596">
            <v>1</v>
          </cell>
        </row>
        <row r="597">
          <cell r="F597">
            <v>1</v>
          </cell>
        </row>
        <row r="598">
          <cell r="F598">
            <v>1</v>
          </cell>
        </row>
        <row r="599">
          <cell r="F599">
            <v>1</v>
          </cell>
        </row>
        <row r="600">
          <cell r="F600">
            <v>1</v>
          </cell>
        </row>
        <row r="601">
          <cell r="F601">
            <v>1</v>
          </cell>
        </row>
        <row r="602">
          <cell r="F602">
            <v>1</v>
          </cell>
        </row>
        <row r="603">
          <cell r="F603">
            <v>1</v>
          </cell>
        </row>
        <row r="604">
          <cell r="F604">
            <v>1</v>
          </cell>
        </row>
        <row r="605">
          <cell r="F605">
            <v>1</v>
          </cell>
        </row>
        <row r="606">
          <cell r="F606">
            <v>1</v>
          </cell>
        </row>
        <row r="607">
          <cell r="F607">
            <v>1</v>
          </cell>
        </row>
        <row r="608">
          <cell r="F608">
            <v>1</v>
          </cell>
        </row>
        <row r="609">
          <cell r="F609">
            <v>1</v>
          </cell>
        </row>
        <row r="610">
          <cell r="F610">
            <v>1</v>
          </cell>
        </row>
        <row r="611">
          <cell r="F611">
            <v>1</v>
          </cell>
        </row>
        <row r="612">
          <cell r="F612">
            <v>1</v>
          </cell>
        </row>
        <row r="613">
          <cell r="F613">
            <v>1</v>
          </cell>
        </row>
        <row r="614">
          <cell r="F614">
            <v>1</v>
          </cell>
        </row>
        <row r="615">
          <cell r="F615">
            <v>1</v>
          </cell>
        </row>
        <row r="616">
          <cell r="F616">
            <v>1</v>
          </cell>
        </row>
        <row r="617">
          <cell r="F617">
            <v>1</v>
          </cell>
        </row>
        <row r="618">
          <cell r="F618">
            <v>1</v>
          </cell>
        </row>
        <row r="619">
          <cell r="F619">
            <v>1</v>
          </cell>
        </row>
        <row r="620">
          <cell r="F620">
            <v>1</v>
          </cell>
        </row>
        <row r="621">
          <cell r="F621">
            <v>1</v>
          </cell>
        </row>
        <row r="622">
          <cell r="F622">
            <v>1</v>
          </cell>
        </row>
        <row r="623">
          <cell r="F623">
            <v>1</v>
          </cell>
        </row>
        <row r="624">
          <cell r="F624">
            <v>1</v>
          </cell>
        </row>
        <row r="625">
          <cell r="F625">
            <v>1</v>
          </cell>
        </row>
        <row r="626">
          <cell r="F626">
            <v>1</v>
          </cell>
        </row>
        <row r="627">
          <cell r="F627">
            <v>1</v>
          </cell>
        </row>
        <row r="628">
          <cell r="F628">
            <v>1</v>
          </cell>
        </row>
        <row r="629">
          <cell r="F629">
            <v>1</v>
          </cell>
        </row>
        <row r="630">
          <cell r="F630">
            <v>1</v>
          </cell>
        </row>
        <row r="631">
          <cell r="F631">
            <v>1</v>
          </cell>
        </row>
        <row r="632">
          <cell r="F632">
            <v>1</v>
          </cell>
        </row>
        <row r="633">
          <cell r="F633">
            <v>1</v>
          </cell>
        </row>
        <row r="634">
          <cell r="F634">
            <v>1</v>
          </cell>
        </row>
        <row r="635">
          <cell r="F635">
            <v>1</v>
          </cell>
        </row>
        <row r="636">
          <cell r="F636">
            <v>1</v>
          </cell>
        </row>
        <row r="637">
          <cell r="F637">
            <v>1</v>
          </cell>
        </row>
        <row r="638">
          <cell r="F638">
            <v>1</v>
          </cell>
        </row>
        <row r="639">
          <cell r="F639">
            <v>1</v>
          </cell>
        </row>
        <row r="640">
          <cell r="F640">
            <v>1</v>
          </cell>
        </row>
        <row r="641">
          <cell r="F641">
            <v>1</v>
          </cell>
        </row>
        <row r="642">
          <cell r="F642">
            <v>1</v>
          </cell>
        </row>
        <row r="643">
          <cell r="F643">
            <v>1</v>
          </cell>
        </row>
        <row r="644">
          <cell r="F644">
            <v>1</v>
          </cell>
        </row>
        <row r="645">
          <cell r="F645">
            <v>1</v>
          </cell>
        </row>
        <row r="646">
          <cell r="F646">
            <v>1</v>
          </cell>
        </row>
        <row r="647">
          <cell r="F647">
            <v>1</v>
          </cell>
        </row>
        <row r="648">
          <cell r="F648">
            <v>1</v>
          </cell>
        </row>
        <row r="649">
          <cell r="F649">
            <v>1</v>
          </cell>
        </row>
        <row r="650">
          <cell r="F650">
            <v>1</v>
          </cell>
        </row>
        <row r="651">
          <cell r="F651">
            <v>1</v>
          </cell>
        </row>
        <row r="652">
          <cell r="F652">
            <v>1</v>
          </cell>
        </row>
        <row r="653">
          <cell r="F653">
            <v>1</v>
          </cell>
        </row>
        <row r="654">
          <cell r="F654">
            <v>1</v>
          </cell>
        </row>
        <row r="655">
          <cell r="F655">
            <v>1</v>
          </cell>
        </row>
        <row r="656">
          <cell r="F656">
            <v>1</v>
          </cell>
        </row>
        <row r="657">
          <cell r="F657">
            <v>1</v>
          </cell>
        </row>
        <row r="658">
          <cell r="F658">
            <v>1</v>
          </cell>
        </row>
        <row r="659">
          <cell r="F659">
            <v>1</v>
          </cell>
        </row>
        <row r="660">
          <cell r="F660">
            <v>1</v>
          </cell>
        </row>
        <row r="661">
          <cell r="F661">
            <v>1</v>
          </cell>
        </row>
        <row r="662">
          <cell r="F662">
            <v>1</v>
          </cell>
        </row>
        <row r="663">
          <cell r="F663">
            <v>1</v>
          </cell>
        </row>
        <row r="664">
          <cell r="F664">
            <v>1</v>
          </cell>
        </row>
        <row r="665">
          <cell r="F665">
            <v>1</v>
          </cell>
        </row>
        <row r="666">
          <cell r="F666">
            <v>1</v>
          </cell>
        </row>
        <row r="667">
          <cell r="F667">
            <v>1</v>
          </cell>
        </row>
        <row r="668">
          <cell r="F668">
            <v>1</v>
          </cell>
        </row>
        <row r="669">
          <cell r="F669">
            <v>1</v>
          </cell>
        </row>
        <row r="670">
          <cell r="F670">
            <v>1</v>
          </cell>
        </row>
        <row r="671">
          <cell r="F671">
            <v>1</v>
          </cell>
        </row>
        <row r="672">
          <cell r="F672">
            <v>1</v>
          </cell>
        </row>
        <row r="673">
          <cell r="F673">
            <v>1</v>
          </cell>
        </row>
        <row r="674">
          <cell r="F674">
            <v>1</v>
          </cell>
        </row>
        <row r="675">
          <cell r="F675">
            <v>1</v>
          </cell>
        </row>
        <row r="676">
          <cell r="F676">
            <v>1</v>
          </cell>
        </row>
        <row r="677">
          <cell r="F677">
            <v>1</v>
          </cell>
        </row>
        <row r="678">
          <cell r="F678">
            <v>1</v>
          </cell>
        </row>
        <row r="679">
          <cell r="F679">
            <v>1</v>
          </cell>
        </row>
        <row r="680">
          <cell r="F680">
            <v>1</v>
          </cell>
        </row>
        <row r="681">
          <cell r="F681">
            <v>1</v>
          </cell>
        </row>
        <row r="682">
          <cell r="F682">
            <v>1</v>
          </cell>
        </row>
        <row r="683">
          <cell r="F683">
            <v>1</v>
          </cell>
        </row>
        <row r="684">
          <cell r="F684">
            <v>1</v>
          </cell>
        </row>
        <row r="685">
          <cell r="F685">
            <v>1</v>
          </cell>
        </row>
        <row r="686">
          <cell r="F686">
            <v>1</v>
          </cell>
        </row>
        <row r="687">
          <cell r="F687">
            <v>1</v>
          </cell>
        </row>
        <row r="688">
          <cell r="F688">
            <v>1</v>
          </cell>
        </row>
        <row r="689">
          <cell r="F689">
            <v>1</v>
          </cell>
        </row>
        <row r="690">
          <cell r="F690">
            <v>1</v>
          </cell>
        </row>
        <row r="691">
          <cell r="F691">
            <v>1</v>
          </cell>
        </row>
        <row r="692">
          <cell r="F692">
            <v>1</v>
          </cell>
        </row>
        <row r="693">
          <cell r="F693">
            <v>1</v>
          </cell>
        </row>
        <row r="694">
          <cell r="F694">
            <v>1</v>
          </cell>
        </row>
        <row r="695">
          <cell r="F695">
            <v>1</v>
          </cell>
        </row>
        <row r="696">
          <cell r="F696">
            <v>1</v>
          </cell>
        </row>
        <row r="697">
          <cell r="F697">
            <v>1</v>
          </cell>
        </row>
        <row r="698">
          <cell r="F698">
            <v>1</v>
          </cell>
        </row>
        <row r="699">
          <cell r="F699">
            <v>1</v>
          </cell>
        </row>
        <row r="700">
          <cell r="F700">
            <v>1</v>
          </cell>
        </row>
        <row r="701">
          <cell r="F701">
            <v>1</v>
          </cell>
        </row>
        <row r="702">
          <cell r="F702">
            <v>1</v>
          </cell>
        </row>
        <row r="703">
          <cell r="F703">
            <v>1</v>
          </cell>
        </row>
        <row r="704">
          <cell r="F704">
            <v>1</v>
          </cell>
        </row>
        <row r="705">
          <cell r="F705">
            <v>1</v>
          </cell>
        </row>
        <row r="706">
          <cell r="F706">
            <v>1</v>
          </cell>
        </row>
        <row r="707">
          <cell r="F707">
            <v>1</v>
          </cell>
        </row>
        <row r="708">
          <cell r="F708">
            <v>1</v>
          </cell>
        </row>
        <row r="709">
          <cell r="F709">
            <v>1</v>
          </cell>
        </row>
        <row r="710">
          <cell r="F710">
            <v>1</v>
          </cell>
        </row>
        <row r="711">
          <cell r="F711">
            <v>1</v>
          </cell>
        </row>
        <row r="712">
          <cell r="F712">
            <v>1</v>
          </cell>
        </row>
        <row r="713">
          <cell r="F713">
            <v>1</v>
          </cell>
        </row>
        <row r="714">
          <cell r="F714">
            <v>1</v>
          </cell>
        </row>
        <row r="715">
          <cell r="F715">
            <v>1</v>
          </cell>
        </row>
        <row r="716">
          <cell r="F716">
            <v>1</v>
          </cell>
        </row>
        <row r="717">
          <cell r="F717">
            <v>1</v>
          </cell>
        </row>
        <row r="718">
          <cell r="F718">
            <v>1</v>
          </cell>
        </row>
        <row r="719">
          <cell r="F719">
            <v>1</v>
          </cell>
        </row>
        <row r="720">
          <cell r="F720">
            <v>1</v>
          </cell>
        </row>
        <row r="721">
          <cell r="F721">
            <v>1</v>
          </cell>
        </row>
        <row r="722">
          <cell r="F722">
            <v>1</v>
          </cell>
        </row>
        <row r="723">
          <cell r="F723">
            <v>1</v>
          </cell>
        </row>
        <row r="724">
          <cell r="F724">
            <v>1</v>
          </cell>
        </row>
        <row r="725">
          <cell r="F725">
            <v>1</v>
          </cell>
        </row>
        <row r="726">
          <cell r="F726">
            <v>1</v>
          </cell>
        </row>
        <row r="727">
          <cell r="F727">
            <v>1</v>
          </cell>
        </row>
        <row r="728">
          <cell r="F728">
            <v>1</v>
          </cell>
        </row>
        <row r="729">
          <cell r="F729">
            <v>1</v>
          </cell>
        </row>
        <row r="730">
          <cell r="F730">
            <v>1</v>
          </cell>
        </row>
        <row r="731">
          <cell r="F731">
            <v>1</v>
          </cell>
        </row>
        <row r="732">
          <cell r="F732">
            <v>1</v>
          </cell>
        </row>
        <row r="733">
          <cell r="F733">
            <v>1</v>
          </cell>
        </row>
        <row r="734">
          <cell r="F734">
            <v>1</v>
          </cell>
        </row>
        <row r="735">
          <cell r="F735">
            <v>1</v>
          </cell>
        </row>
        <row r="736">
          <cell r="F736">
            <v>1</v>
          </cell>
        </row>
        <row r="737">
          <cell r="F737">
            <v>1</v>
          </cell>
        </row>
        <row r="738">
          <cell r="F738">
            <v>1</v>
          </cell>
        </row>
        <row r="739">
          <cell r="F739">
            <v>1</v>
          </cell>
        </row>
        <row r="740">
          <cell r="F740">
            <v>1</v>
          </cell>
        </row>
        <row r="741">
          <cell r="F741">
            <v>1</v>
          </cell>
        </row>
        <row r="742">
          <cell r="F742">
            <v>1</v>
          </cell>
        </row>
        <row r="743">
          <cell r="F743">
            <v>1</v>
          </cell>
        </row>
        <row r="744">
          <cell r="F744">
            <v>1</v>
          </cell>
        </row>
        <row r="745">
          <cell r="F745">
            <v>1</v>
          </cell>
        </row>
        <row r="746">
          <cell r="F746">
            <v>1</v>
          </cell>
        </row>
        <row r="747">
          <cell r="F747">
            <v>1</v>
          </cell>
        </row>
        <row r="748">
          <cell r="F748">
            <v>1</v>
          </cell>
        </row>
        <row r="749">
          <cell r="F749">
            <v>1</v>
          </cell>
        </row>
        <row r="750">
          <cell r="F750">
            <v>1</v>
          </cell>
        </row>
        <row r="751">
          <cell r="F751">
            <v>1</v>
          </cell>
        </row>
        <row r="752">
          <cell r="F752">
            <v>1</v>
          </cell>
        </row>
        <row r="753">
          <cell r="F753">
            <v>1</v>
          </cell>
        </row>
        <row r="754">
          <cell r="F754">
            <v>1</v>
          </cell>
        </row>
        <row r="755">
          <cell r="F755">
            <v>1</v>
          </cell>
        </row>
        <row r="756">
          <cell r="F756">
            <v>1</v>
          </cell>
        </row>
        <row r="757">
          <cell r="F757">
            <v>1</v>
          </cell>
        </row>
        <row r="758">
          <cell r="F758">
            <v>1</v>
          </cell>
        </row>
        <row r="759">
          <cell r="F759">
            <v>1</v>
          </cell>
        </row>
        <row r="760">
          <cell r="F760">
            <v>1</v>
          </cell>
        </row>
        <row r="761">
          <cell r="F761">
            <v>1</v>
          </cell>
        </row>
        <row r="762">
          <cell r="F762">
            <v>1</v>
          </cell>
        </row>
        <row r="763">
          <cell r="F763">
            <v>1</v>
          </cell>
        </row>
        <row r="764">
          <cell r="F764">
            <v>1</v>
          </cell>
        </row>
        <row r="765">
          <cell r="F765">
            <v>1</v>
          </cell>
        </row>
        <row r="766">
          <cell r="F766">
            <v>1</v>
          </cell>
        </row>
        <row r="767">
          <cell r="F767">
            <v>1</v>
          </cell>
        </row>
        <row r="768">
          <cell r="F768">
            <v>1</v>
          </cell>
        </row>
        <row r="769">
          <cell r="F769">
            <v>1</v>
          </cell>
        </row>
        <row r="770">
          <cell r="F770">
            <v>1</v>
          </cell>
        </row>
        <row r="771">
          <cell r="F771">
            <v>1</v>
          </cell>
        </row>
        <row r="772">
          <cell r="F772">
            <v>1</v>
          </cell>
        </row>
        <row r="773">
          <cell r="F773">
            <v>1</v>
          </cell>
        </row>
        <row r="774">
          <cell r="F774">
            <v>1</v>
          </cell>
        </row>
        <row r="775">
          <cell r="F775">
            <v>1</v>
          </cell>
        </row>
        <row r="776">
          <cell r="F776">
            <v>1</v>
          </cell>
        </row>
        <row r="777">
          <cell r="F777">
            <v>1</v>
          </cell>
        </row>
        <row r="778">
          <cell r="F778">
            <v>1</v>
          </cell>
        </row>
        <row r="779">
          <cell r="F779">
            <v>1</v>
          </cell>
        </row>
        <row r="780">
          <cell r="F780">
            <v>1</v>
          </cell>
        </row>
        <row r="781">
          <cell r="F781">
            <v>1</v>
          </cell>
        </row>
        <row r="782">
          <cell r="F782">
            <v>1</v>
          </cell>
        </row>
        <row r="783">
          <cell r="F783">
            <v>1</v>
          </cell>
        </row>
        <row r="784">
          <cell r="F784">
            <v>1</v>
          </cell>
        </row>
        <row r="785">
          <cell r="F785">
            <v>1</v>
          </cell>
        </row>
        <row r="786">
          <cell r="F786">
            <v>1</v>
          </cell>
        </row>
        <row r="787">
          <cell r="F787">
            <v>1</v>
          </cell>
        </row>
        <row r="788">
          <cell r="F788">
            <v>1</v>
          </cell>
        </row>
        <row r="789">
          <cell r="F789">
            <v>1</v>
          </cell>
        </row>
        <row r="790">
          <cell r="F790">
            <v>1</v>
          </cell>
        </row>
        <row r="791">
          <cell r="F791">
            <v>1</v>
          </cell>
        </row>
        <row r="792">
          <cell r="F792">
            <v>1</v>
          </cell>
        </row>
        <row r="793">
          <cell r="F793">
            <v>1</v>
          </cell>
        </row>
        <row r="794">
          <cell r="F794">
            <v>1</v>
          </cell>
        </row>
        <row r="795">
          <cell r="F795">
            <v>1</v>
          </cell>
        </row>
        <row r="796">
          <cell r="F796">
            <v>1</v>
          </cell>
        </row>
        <row r="797">
          <cell r="F797">
            <v>1</v>
          </cell>
        </row>
        <row r="798">
          <cell r="F798">
            <v>1</v>
          </cell>
        </row>
        <row r="799">
          <cell r="F799">
            <v>1</v>
          </cell>
        </row>
        <row r="800">
          <cell r="F800">
            <v>1</v>
          </cell>
        </row>
        <row r="801">
          <cell r="F801">
            <v>1</v>
          </cell>
        </row>
        <row r="802">
          <cell r="F802">
            <v>1</v>
          </cell>
        </row>
        <row r="803">
          <cell r="F803">
            <v>1</v>
          </cell>
        </row>
        <row r="804">
          <cell r="F804">
            <v>1</v>
          </cell>
        </row>
        <row r="805">
          <cell r="F805">
            <v>1</v>
          </cell>
        </row>
        <row r="806">
          <cell r="F806">
            <v>1</v>
          </cell>
        </row>
        <row r="807">
          <cell r="F807">
            <v>1</v>
          </cell>
        </row>
        <row r="808">
          <cell r="F808">
            <v>1</v>
          </cell>
        </row>
        <row r="809">
          <cell r="F809">
            <v>1</v>
          </cell>
        </row>
        <row r="810">
          <cell r="F810">
            <v>1</v>
          </cell>
        </row>
        <row r="811">
          <cell r="F811">
            <v>1</v>
          </cell>
        </row>
        <row r="812">
          <cell r="F812">
            <v>1</v>
          </cell>
        </row>
        <row r="813">
          <cell r="F813">
            <v>1</v>
          </cell>
        </row>
        <row r="814">
          <cell r="F814">
            <v>1</v>
          </cell>
        </row>
        <row r="815">
          <cell r="F815">
            <v>1</v>
          </cell>
        </row>
        <row r="816">
          <cell r="F816">
            <v>1</v>
          </cell>
        </row>
        <row r="817">
          <cell r="F817">
            <v>1</v>
          </cell>
        </row>
        <row r="818">
          <cell r="F818">
            <v>1</v>
          </cell>
        </row>
        <row r="819">
          <cell r="F819">
            <v>1</v>
          </cell>
        </row>
        <row r="820">
          <cell r="F820">
            <v>1</v>
          </cell>
        </row>
        <row r="821">
          <cell r="F821">
            <v>1</v>
          </cell>
        </row>
        <row r="822">
          <cell r="F822">
            <v>1</v>
          </cell>
        </row>
        <row r="823">
          <cell r="F823">
            <v>1</v>
          </cell>
        </row>
        <row r="824">
          <cell r="F824">
            <v>1</v>
          </cell>
        </row>
        <row r="825">
          <cell r="F825">
            <v>1</v>
          </cell>
        </row>
        <row r="826">
          <cell r="F826">
            <v>1</v>
          </cell>
        </row>
        <row r="827">
          <cell r="F827">
            <v>1</v>
          </cell>
        </row>
        <row r="828">
          <cell r="F828">
            <v>1</v>
          </cell>
        </row>
        <row r="829">
          <cell r="F829">
            <v>1</v>
          </cell>
        </row>
        <row r="830">
          <cell r="F830">
            <v>1</v>
          </cell>
        </row>
        <row r="831">
          <cell r="F831">
            <v>1</v>
          </cell>
        </row>
        <row r="832">
          <cell r="F832">
            <v>1</v>
          </cell>
        </row>
        <row r="833">
          <cell r="F833">
            <v>1</v>
          </cell>
        </row>
        <row r="834">
          <cell r="F834">
            <v>1</v>
          </cell>
        </row>
        <row r="835">
          <cell r="F835">
            <v>1</v>
          </cell>
        </row>
        <row r="836">
          <cell r="F836">
            <v>1</v>
          </cell>
        </row>
        <row r="837">
          <cell r="F837">
            <v>1</v>
          </cell>
        </row>
        <row r="838">
          <cell r="F838">
            <v>1</v>
          </cell>
        </row>
        <row r="839">
          <cell r="F839">
            <v>1</v>
          </cell>
        </row>
        <row r="840">
          <cell r="F840">
            <v>1</v>
          </cell>
        </row>
        <row r="841">
          <cell r="F841">
            <v>1</v>
          </cell>
        </row>
        <row r="842">
          <cell r="F842">
            <v>1</v>
          </cell>
        </row>
        <row r="843">
          <cell r="F843">
            <v>1</v>
          </cell>
        </row>
        <row r="844">
          <cell r="F844">
            <v>1</v>
          </cell>
        </row>
        <row r="845">
          <cell r="F845">
            <v>1</v>
          </cell>
        </row>
        <row r="846">
          <cell r="F846">
            <v>1</v>
          </cell>
        </row>
        <row r="847">
          <cell r="F847">
            <v>1</v>
          </cell>
        </row>
        <row r="848">
          <cell r="F848">
            <v>1</v>
          </cell>
        </row>
        <row r="849">
          <cell r="F849">
            <v>1</v>
          </cell>
        </row>
        <row r="850">
          <cell r="F850">
            <v>1</v>
          </cell>
        </row>
        <row r="851">
          <cell r="F851">
            <v>1</v>
          </cell>
        </row>
        <row r="852">
          <cell r="F852">
            <v>1</v>
          </cell>
        </row>
        <row r="853">
          <cell r="F853">
            <v>1</v>
          </cell>
        </row>
        <row r="854">
          <cell r="F854">
            <v>1</v>
          </cell>
        </row>
        <row r="855">
          <cell r="F855">
            <v>1</v>
          </cell>
        </row>
        <row r="856">
          <cell r="F856">
            <v>1</v>
          </cell>
        </row>
        <row r="857">
          <cell r="F857">
            <v>1</v>
          </cell>
        </row>
        <row r="858">
          <cell r="F858">
            <v>1</v>
          </cell>
        </row>
        <row r="859">
          <cell r="F859">
            <v>1</v>
          </cell>
        </row>
        <row r="860">
          <cell r="F860">
            <v>1</v>
          </cell>
        </row>
        <row r="861">
          <cell r="F861">
            <v>1</v>
          </cell>
        </row>
        <row r="862">
          <cell r="F862">
            <v>1</v>
          </cell>
        </row>
        <row r="863">
          <cell r="F863">
            <v>1</v>
          </cell>
        </row>
        <row r="864">
          <cell r="F864">
            <v>1</v>
          </cell>
        </row>
        <row r="865">
          <cell r="F865">
            <v>1</v>
          </cell>
        </row>
        <row r="866">
          <cell r="F866">
            <v>1</v>
          </cell>
        </row>
        <row r="867">
          <cell r="F867">
            <v>1</v>
          </cell>
        </row>
        <row r="868">
          <cell r="F868">
            <v>1</v>
          </cell>
        </row>
        <row r="869">
          <cell r="F869">
            <v>1</v>
          </cell>
        </row>
        <row r="870">
          <cell r="F870">
            <v>1</v>
          </cell>
        </row>
        <row r="871">
          <cell r="F871">
            <v>1</v>
          </cell>
        </row>
        <row r="872">
          <cell r="F872">
            <v>1</v>
          </cell>
        </row>
        <row r="873">
          <cell r="F873">
            <v>1</v>
          </cell>
        </row>
        <row r="874">
          <cell r="F874">
            <v>1</v>
          </cell>
        </row>
        <row r="875">
          <cell r="F875">
            <v>1</v>
          </cell>
        </row>
        <row r="876">
          <cell r="F876">
            <v>1</v>
          </cell>
        </row>
        <row r="877">
          <cell r="F877">
            <v>1</v>
          </cell>
        </row>
        <row r="878">
          <cell r="F878">
            <v>1</v>
          </cell>
        </row>
        <row r="879">
          <cell r="F879">
            <v>1</v>
          </cell>
        </row>
        <row r="880">
          <cell r="F880">
            <v>1</v>
          </cell>
        </row>
        <row r="881">
          <cell r="F881">
            <v>1</v>
          </cell>
        </row>
        <row r="882">
          <cell r="F882">
            <v>1</v>
          </cell>
        </row>
      </sheetData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GOR GARCIA MARTINEZ" id="{38B22A9B-4777-482B-AB7A-6E1472B2BBA6}" userId="IGOR GARCIA MARTINEZ" providerId="None"/>
  <person displayName="DANIEL CARVALHO RIBEIRO" id="{ED5070FC-6F70-40D5-B1BF-884BD41263EB}" userId="DANIEL CARVALHO RIBEIRO" providerId="Non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Q13" dT="2022-02-02T17:32:46.05" personId="{38B22A9B-4777-482B-AB7A-6E1472B2BBA6}" id="{A9571886-937B-4C80-8B0E-1C037879238E}">
    <text>valor presente nada mais é que o valor de um montante do futuro trazido para o momento atual</text>
  </threadedComment>
  <threadedComment ref="AU24" dT="2022-02-04T14:24:29.32" personId="{38B22A9B-4777-482B-AB7A-6E1472B2BBA6}" id="{393C1384-2990-4BD2-9893-98C9A563CB0A}">
    <text>ROI PARA 25 ANOS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9" dT="2022-03-13T15:59:23.31" personId="{38B22A9B-4777-482B-AB7A-6E1472B2BBA6}" id="{AF58BB19-87BC-474A-8D2C-1A3B36E51804}">
    <text>COLOCAR OS VALORES DA ALDO DIVIDIDO POR 0,95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3" dT="2023-01-28T03:59:00.70" personId="{ED5070FC-6F70-40D5-B1BF-884BD41263EB}" id="{AC8BCEDC-1A1B-4782-A7C2-49CD72B0820D}">
    <text>Observação: No Power Bi da Aneel os valores estão na unidade MWh, para passar para kWh deve ser dividido por mil, conforme está sendo aplicado nesse coluna.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mercial@danigengenharia.com.br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daniel@danigengenhariaeletrica.com" TargetMode="Externa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M1012"/>
  <sheetViews>
    <sheetView showGridLines="0" tabSelected="1" topLeftCell="AK1" zoomScale="70" zoomScaleNormal="70" workbookViewId="0">
      <selection activeCell="AP13" sqref="AP13:AR23"/>
    </sheetView>
  </sheetViews>
  <sheetFormatPr defaultColWidth="14.42578125" defaultRowHeight="15" customHeight="1"/>
  <cols>
    <col min="1" max="1" width="30.7109375" style="194" customWidth="1"/>
    <col min="2" max="2" width="7.28515625" style="185" customWidth="1"/>
    <col min="3" max="3" width="51.28515625" style="185" bestFit="1" customWidth="1"/>
    <col min="4" max="4" width="44" style="185" bestFit="1" customWidth="1"/>
    <col min="5" max="5" width="34.85546875" style="185" bestFit="1" customWidth="1"/>
    <col min="6" max="6" width="46.140625" style="185" bestFit="1" customWidth="1"/>
    <col min="7" max="7" width="15.7109375" style="185" customWidth="1"/>
    <col min="8" max="8" width="9" style="185" customWidth="1"/>
    <col min="9" max="9" width="42.5703125" style="185" bestFit="1" customWidth="1"/>
    <col min="10" max="10" width="20.42578125" style="185" customWidth="1"/>
    <col min="11" max="11" width="14.7109375" style="185" customWidth="1"/>
    <col min="12" max="12" width="24.5703125" style="185" bestFit="1" customWidth="1"/>
    <col min="13" max="13" width="21.7109375" style="185" customWidth="1"/>
    <col min="14" max="15" width="10.7109375" style="185" customWidth="1"/>
    <col min="16" max="16" width="11.7109375" customWidth="1"/>
    <col min="17" max="17" width="14.140625" customWidth="1"/>
    <col min="18" max="18" width="16.5703125" customWidth="1"/>
    <col min="19" max="19" width="43.140625" customWidth="1"/>
    <col min="20" max="20" width="26.5703125" customWidth="1"/>
    <col min="21" max="21" width="8.42578125" customWidth="1"/>
    <col min="22" max="22" width="35.5703125" customWidth="1"/>
    <col min="23" max="23" width="46.7109375" customWidth="1"/>
    <col min="24" max="24" width="21.7109375" customWidth="1"/>
    <col min="25" max="25" width="22.85546875" customWidth="1"/>
    <col min="26" max="26" width="41.85546875" customWidth="1"/>
    <col min="27" max="27" width="30.7109375" customWidth="1"/>
    <col min="28" max="28" width="32.7109375" customWidth="1"/>
    <col min="29" max="29" width="50.7109375" customWidth="1"/>
    <col min="30" max="30" width="40.5703125" customWidth="1"/>
    <col min="31" max="31" width="34.42578125" customWidth="1"/>
    <col min="32" max="32" width="19" customWidth="1"/>
    <col min="33" max="33" width="43.7109375" bestFit="1" customWidth="1"/>
    <col min="34" max="34" width="40.140625" bestFit="1" customWidth="1"/>
    <col min="35" max="35" width="38.42578125" customWidth="1"/>
    <col min="36" max="36" width="22.7109375" customWidth="1"/>
    <col min="37" max="37" width="32.85546875" bestFit="1" customWidth="1"/>
    <col min="38" max="38" width="43.7109375" bestFit="1" customWidth="1"/>
    <col min="39" max="39" width="34.42578125" customWidth="1"/>
    <col min="40" max="40" width="34" customWidth="1"/>
    <col min="41" max="41" width="23.85546875" bestFit="1" customWidth="1"/>
    <col min="42" max="42" width="18.5703125" bestFit="1" customWidth="1"/>
    <col min="43" max="43" width="33.42578125" bestFit="1" customWidth="1"/>
    <col min="44" max="44" width="33" bestFit="1" customWidth="1"/>
    <col min="45" max="45" width="22.28515625" bestFit="1" customWidth="1"/>
    <col min="46" max="46" width="34" bestFit="1" customWidth="1"/>
    <col min="47" max="47" width="17.42578125" bestFit="1" customWidth="1"/>
    <col min="48" max="48" width="23.28515625" customWidth="1"/>
    <col min="49" max="49" width="10.28515625" customWidth="1"/>
    <col min="50" max="50" width="21.7109375" customWidth="1"/>
    <col min="51" max="51" width="14.42578125" customWidth="1"/>
    <col min="53" max="16384" width="14.42578125" style="185"/>
  </cols>
  <sheetData>
    <row r="1" spans="1:169" ht="19.899999999999999" customHeight="1">
      <c r="A1" s="535"/>
      <c r="B1" s="184"/>
      <c r="C1" s="184"/>
      <c r="D1" s="184"/>
      <c r="E1" s="184"/>
      <c r="R1" s="227"/>
      <c r="S1" s="227"/>
      <c r="T1" s="227"/>
      <c r="U1" s="227"/>
      <c r="V1" s="227"/>
    </row>
    <row r="2" spans="1:169" ht="19.899999999999999" customHeight="1">
      <c r="A2" s="535"/>
      <c r="B2" s="184"/>
      <c r="C2" s="184"/>
      <c r="D2" s="184"/>
      <c r="F2" s="184"/>
      <c r="G2" s="184"/>
      <c r="I2" s="184"/>
      <c r="J2" s="184"/>
      <c r="K2" s="184"/>
      <c r="L2" s="184"/>
      <c r="P2" s="227"/>
      <c r="Q2" s="227"/>
      <c r="S2" s="227"/>
      <c r="T2" s="227"/>
      <c r="U2" s="227"/>
      <c r="V2" s="227"/>
      <c r="W2" s="227"/>
    </row>
    <row r="3" spans="1:169" ht="19.899999999999999" customHeight="1">
      <c r="A3" s="535"/>
      <c r="B3" s="184"/>
      <c r="C3" s="184"/>
      <c r="D3" s="184"/>
      <c r="F3" s="184"/>
      <c r="G3" s="184"/>
      <c r="I3" s="184"/>
      <c r="J3" s="184"/>
      <c r="K3" s="184"/>
      <c r="L3" s="184"/>
      <c r="P3" s="227"/>
      <c r="Q3" s="227"/>
      <c r="S3" s="227"/>
      <c r="T3" s="227"/>
      <c r="U3" s="227"/>
      <c r="V3" s="227"/>
      <c r="W3" s="227"/>
    </row>
    <row r="4" spans="1:169" ht="19.899999999999999" customHeight="1">
      <c r="A4" s="535"/>
      <c r="B4" s="184"/>
      <c r="C4" s="496" t="s">
        <v>6151</v>
      </c>
      <c r="D4" s="485" t="s">
        <v>6348</v>
      </c>
      <c r="F4" s="184"/>
      <c r="G4" s="184"/>
      <c r="I4" s="184"/>
      <c r="J4" s="184"/>
      <c r="K4" s="184"/>
      <c r="L4" s="184"/>
      <c r="P4" s="227"/>
      <c r="Q4" s="227"/>
      <c r="S4" s="227"/>
      <c r="T4" s="227"/>
      <c r="U4" s="227"/>
      <c r="V4" s="227"/>
      <c r="W4" s="227"/>
    </row>
    <row r="5" spans="1:169" ht="19.899999999999999" customHeight="1">
      <c r="A5" s="535"/>
      <c r="B5" s="184"/>
      <c r="C5" s="496" t="s">
        <v>6153</v>
      </c>
      <c r="D5" s="485"/>
      <c r="F5" s="184"/>
      <c r="G5" s="184"/>
      <c r="I5" s="184"/>
      <c r="J5" s="184"/>
      <c r="K5" s="184"/>
      <c r="L5" s="184"/>
      <c r="P5" s="227"/>
      <c r="Q5" s="227"/>
      <c r="S5" s="227"/>
      <c r="T5" s="227"/>
      <c r="U5" s="227"/>
      <c r="V5" s="227"/>
      <c r="W5" s="227"/>
    </row>
    <row r="6" spans="1:169" ht="19.899999999999999" customHeight="1">
      <c r="A6" s="535"/>
      <c r="B6" s="184" t="s">
        <v>6307</v>
      </c>
      <c r="C6" s="496" t="s">
        <v>6152</v>
      </c>
      <c r="D6" s="485" t="s">
        <v>6349</v>
      </c>
      <c r="F6" s="184"/>
      <c r="G6" s="184"/>
      <c r="I6" s="184"/>
      <c r="J6" s="184"/>
      <c r="K6" s="184"/>
      <c r="L6" s="184"/>
      <c r="P6" s="227"/>
      <c r="Q6" s="227"/>
      <c r="S6" s="227"/>
      <c r="T6" s="227"/>
      <c r="U6" s="227"/>
      <c r="V6" s="227"/>
      <c r="W6" s="227"/>
    </row>
    <row r="7" spans="1:169" ht="19.899999999999999" customHeight="1" thickBot="1">
      <c r="A7" s="535"/>
      <c r="B7" s="184"/>
      <c r="C7" s="496" t="s">
        <v>6154</v>
      </c>
      <c r="D7" s="485" t="str" cm="1">
        <f t="array" ref="D7">_xlfn.IFS(D6="Igor","(11) 94205-7591",D6="Daniel","(11) 96856-0151",D6="Fabio","(11) 91398-8583",D6="Hugo","(11) 95200-3659")</f>
        <v>(11) 91398-8583</v>
      </c>
      <c r="F7" s="184"/>
      <c r="G7" s="184"/>
      <c r="I7" s="184"/>
      <c r="J7" s="184"/>
      <c r="K7" s="184"/>
      <c r="L7" s="184"/>
      <c r="P7" s="227"/>
      <c r="Q7" s="227"/>
      <c r="S7" s="227"/>
      <c r="T7" s="227"/>
      <c r="U7" s="227"/>
      <c r="V7" s="227"/>
      <c r="W7" s="227"/>
    </row>
    <row r="8" spans="1:169" ht="19.899999999999999" customHeight="1" thickBot="1">
      <c r="A8" s="535"/>
      <c r="B8" s="184"/>
      <c r="C8" s="496" t="s">
        <v>6155</v>
      </c>
      <c r="D8" s="497" t="s">
        <v>6350</v>
      </c>
      <c r="F8" s="537" t="s">
        <v>5855</v>
      </c>
      <c r="G8" s="537"/>
      <c r="I8" s="184"/>
      <c r="J8" s="184"/>
      <c r="K8" s="184"/>
      <c r="P8" s="227"/>
      <c r="Q8" s="227"/>
      <c r="S8" s="227"/>
      <c r="T8" s="227"/>
      <c r="U8" s="227"/>
      <c r="V8" s="228"/>
      <c r="W8" s="228"/>
      <c r="Z8" s="464" t="s">
        <v>6321</v>
      </c>
      <c r="AA8" s="468" t="str">
        <f xml:space="preserve"> D14</f>
        <v>ENEL - SP</v>
      </c>
      <c r="AB8" s="464" t="s">
        <v>6326</v>
      </c>
      <c r="AC8" s="468">
        <f>VLOOKUP($AA$8,'Tarifa - B3 '!$D$5:$G$48,4,0)</f>
        <v>0.65649000000000002</v>
      </c>
      <c r="AD8" s="464" t="s">
        <v>6327</v>
      </c>
      <c r="AE8" s="473" cm="1">
        <f t="array" ref="AE8">_xlfn.IFS($D$21="MONOFASICO",30*$AC$8,$D$21="BIFASICO",50*$AC$8,$D$21="TRIFASICO",100*$AC$8)</f>
        <v>65.649000000000001</v>
      </c>
      <c r="AF8" s="229"/>
      <c r="AG8" s="476" t="s">
        <v>6341</v>
      </c>
      <c r="AH8" s="477">
        <f>D15</f>
        <v>0.18</v>
      </c>
      <c r="AI8" s="476" t="s">
        <v>6342</v>
      </c>
      <c r="AJ8" s="473" cm="1">
        <f t="array" ref="AJ8">_xlfn.IFS($D$24="Verde",0,$D$24="Amarela",0.01872,$D$24="Vermelha I",0.03971,$D$24="Vermelha II",0.0949,$D$24="Escassez Hídrica",0.142)</f>
        <v>0</v>
      </c>
      <c r="AK8" s="476" t="s">
        <v>6343</v>
      </c>
      <c r="AL8" s="479">
        <f>D22</f>
        <v>69.61</v>
      </c>
      <c r="AO8" s="527" t="s">
        <v>34</v>
      </c>
      <c r="AP8" s="528"/>
      <c r="AQ8" s="527" t="s">
        <v>15</v>
      </c>
      <c r="AR8" s="528"/>
      <c r="AT8" s="523" t="s">
        <v>37</v>
      </c>
      <c r="AU8" s="524"/>
      <c r="AW8" s="230" t="s">
        <v>3894</v>
      </c>
      <c r="AX8" s="230" t="s">
        <v>3891</v>
      </c>
      <c r="AY8" s="230" t="s">
        <v>3893</v>
      </c>
      <c r="AZ8" s="230" t="s">
        <v>3892</v>
      </c>
    </row>
    <row r="9" spans="1:169" ht="19.899999999999999" customHeight="1" thickBot="1">
      <c r="A9" s="535"/>
      <c r="B9" s="184"/>
      <c r="C9" s="496" t="s">
        <v>6156</v>
      </c>
      <c r="D9" s="498" t="s">
        <v>6351</v>
      </c>
      <c r="F9" s="485" t="s">
        <v>6227</v>
      </c>
      <c r="G9" s="485" t="s">
        <v>6355</v>
      </c>
      <c r="I9" s="184"/>
      <c r="J9" s="184"/>
      <c r="K9" s="184"/>
      <c r="P9" s="227"/>
      <c r="Q9" s="227"/>
      <c r="S9" s="227"/>
      <c r="T9" s="227"/>
      <c r="U9" s="227"/>
      <c r="V9" s="228"/>
      <c r="W9" s="228"/>
      <c r="AE9" s="449"/>
      <c r="AF9" s="229"/>
      <c r="AO9" s="231"/>
      <c r="AP9" s="232"/>
      <c r="AQ9" s="233"/>
      <c r="AR9" s="232"/>
      <c r="AT9" s="234"/>
      <c r="AU9" s="234"/>
      <c r="AW9" s="230"/>
      <c r="AX9" s="230"/>
      <c r="AY9" s="230"/>
      <c r="AZ9" s="230"/>
    </row>
    <row r="10" spans="1:169" ht="19.5" customHeight="1">
      <c r="A10" s="535"/>
      <c r="C10" s="496" t="s">
        <v>3638</v>
      </c>
      <c r="D10" s="485" t="s">
        <v>3122</v>
      </c>
      <c r="F10" s="485" t="s">
        <v>6228</v>
      </c>
      <c r="G10" s="485">
        <v>15</v>
      </c>
      <c r="I10" s="486" t="s">
        <v>5928</v>
      </c>
      <c r="J10" s="488">
        <f>G43</f>
        <v>550</v>
      </c>
      <c r="K10" s="188"/>
      <c r="L10" s="189" t="s">
        <v>22</v>
      </c>
      <c r="S10" s="506" t="s">
        <v>3856</v>
      </c>
      <c r="T10" s="507">
        <f>VLOOKUP(D14,'Tarifa - B3 '!D5:G48,2,0)</f>
        <v>0.39602999999999999</v>
      </c>
      <c r="V10" s="236" t="s">
        <v>5966</v>
      </c>
      <c r="W10" s="237">
        <f>D44</f>
        <v>23275</v>
      </c>
      <c r="X10" s="238"/>
      <c r="Y10" s="237" t="s">
        <v>6315</v>
      </c>
      <c r="Z10" s="237" t="s">
        <v>6316</v>
      </c>
      <c r="AA10" s="471" t="s">
        <v>6329</v>
      </c>
      <c r="AB10" s="471" t="s">
        <v>6323</v>
      </c>
      <c r="AC10" s="471" t="s">
        <v>6328</v>
      </c>
      <c r="AD10" s="471" t="s">
        <v>6325</v>
      </c>
      <c r="AE10" s="471" t="s">
        <v>6332</v>
      </c>
      <c r="AG10" s="478" t="s">
        <v>6315</v>
      </c>
      <c r="AH10" s="478" t="s">
        <v>6340</v>
      </c>
      <c r="AI10" s="478" t="s">
        <v>6183</v>
      </c>
      <c r="AJ10" s="478" t="s">
        <v>42</v>
      </c>
      <c r="AK10" s="478" t="s">
        <v>43</v>
      </c>
      <c r="AL10" s="478" t="s">
        <v>6330</v>
      </c>
      <c r="AM10" s="478" t="s">
        <v>3862</v>
      </c>
      <c r="AO10" s="241" t="s">
        <v>13</v>
      </c>
      <c r="AP10" s="242">
        <f>AL33</f>
        <v>149295.31956633509</v>
      </c>
      <c r="AQ10" s="243" t="s">
        <v>16</v>
      </c>
      <c r="AR10" s="244">
        <f>ORÇAMENTO!G19</f>
        <v>0.02</v>
      </c>
      <c r="AT10" s="230" t="s">
        <v>19</v>
      </c>
      <c r="AU10" s="245">
        <f>IRR(AP14:AP39)</f>
        <v>0.16426400568692912</v>
      </c>
      <c r="AW10" s="246">
        <f>INT(AU11)</f>
        <v>5</v>
      </c>
      <c r="AX10" s="247">
        <f>(AU11-AW10)*12</f>
        <v>7.9338402340960883</v>
      </c>
      <c r="AY10" s="247">
        <f>INT(AX10)</f>
        <v>7</v>
      </c>
      <c r="AZ10" s="247">
        <f>INT((AX10-AY10)*30)</f>
        <v>28</v>
      </c>
      <c r="FM10" s="446">
        <v>0.01</v>
      </c>
    </row>
    <row r="11" spans="1:169" ht="19.899999999999999" customHeight="1" thickBot="1">
      <c r="A11" s="535"/>
      <c r="C11" s="496" t="s">
        <v>3639</v>
      </c>
      <c r="D11" s="485" t="s">
        <v>4405</v>
      </c>
      <c r="F11" s="485" t="s">
        <v>5856</v>
      </c>
      <c r="G11" s="485">
        <v>23.565999999999999</v>
      </c>
      <c r="I11" s="486" t="s">
        <v>21</v>
      </c>
      <c r="J11" s="516">
        <v>-0.05</v>
      </c>
      <c r="K11" s="187"/>
      <c r="L11" s="191" t="s">
        <v>23</v>
      </c>
      <c r="O11" s="192"/>
      <c r="S11" s="506" t="s">
        <v>3857</v>
      </c>
      <c r="T11" s="507">
        <f>VLOOKUP(D14,'Tarifa - B3 '!D5:G48,3,0)</f>
        <v>0.26046000000000002</v>
      </c>
      <c r="V11" s="236" t="s">
        <v>6337</v>
      </c>
      <c r="W11" s="248" cm="1">
        <f t="array" ref="W11">_xlfn.IFS($D$21="MONOFASICO",30,$D$21="BIFASICO",50,$D$21="TRIFASICO",100)</f>
        <v>100</v>
      </c>
      <c r="Y11" s="248">
        <v>2023</v>
      </c>
      <c r="Z11" s="237">
        <v>0.15</v>
      </c>
      <c r="AA11" s="237">
        <f>VLOOKUP($AA$8,TARIFAFIOB!$D$5:$E$48,2,0)*Z11</f>
        <v>3.3210000000000003E-2</v>
      </c>
      <c r="AB11" s="237">
        <f>$AC$8-AA11</f>
        <v>0.62328000000000006</v>
      </c>
      <c r="AC11" s="237">
        <f>($D$44*(1-$D$20))*AA11</f>
        <v>386.48137500000001</v>
      </c>
      <c r="AD11" s="237">
        <f>IF(AC11&lt;$AE$8,$AE$8,AC11)</f>
        <v>386.48137500000001</v>
      </c>
      <c r="AE11" s="237"/>
      <c r="AG11" s="48">
        <v>2023</v>
      </c>
      <c r="AH11" s="105">
        <f>AD11</f>
        <v>386.48137500000001</v>
      </c>
      <c r="AI11" s="105">
        <f>(AH11*(1+$AH$8))</f>
        <v>456.0480225</v>
      </c>
      <c r="AJ11" s="105">
        <f>AH11*$T$12</f>
        <v>3.6329249250000002</v>
      </c>
      <c r="AK11" s="105">
        <f>AH11*$T$13</f>
        <v>16.695995400000001</v>
      </c>
      <c r="AL11" s="105">
        <f>AH11*$AJ$8</f>
        <v>0</v>
      </c>
      <c r="AM11" s="105">
        <f>IF($D$18=100%,(AI11+AJ11+AK11+AL11+$AL$8),$AH$33*(1-$D$18))</f>
        <v>7306.781513167195</v>
      </c>
      <c r="AO11" s="249" t="s">
        <v>12</v>
      </c>
      <c r="AP11" s="250">
        <f>ORÇAMENTO!G20</f>
        <v>1032105</v>
      </c>
      <c r="AQ11" s="249" t="s">
        <v>17</v>
      </c>
      <c r="AR11" s="251">
        <v>0.06</v>
      </c>
      <c r="AT11" s="230" t="s">
        <v>35</v>
      </c>
      <c r="AU11" s="252" cm="1">
        <f t="array" ref="AU11">MATCH(0,AR14:AR212,1)-1+(-INDEX(AR14:AR39,MATCH(0,AR14:AR39,1))/INDEX(AQ14:AQ246,MATCH(0,AR14:AR39,1)+1))</f>
        <v>5.6611533528413407</v>
      </c>
      <c r="FM11" s="446">
        <v>0.02</v>
      </c>
    </row>
    <row r="12" spans="1:169" s="192" customFormat="1" ht="19.899999999999999" customHeight="1" thickBot="1">
      <c r="A12" s="194"/>
      <c r="C12" s="496" t="s">
        <v>6291</v>
      </c>
      <c r="D12" s="485" t="s">
        <v>6352</v>
      </c>
      <c r="E12" s="185"/>
      <c r="F12" s="485" t="s">
        <v>5857</v>
      </c>
      <c r="G12" s="485">
        <v>46.765999999999998</v>
      </c>
      <c r="I12" s="486" t="s">
        <v>5948</v>
      </c>
      <c r="J12" s="516" t="str" cm="1">
        <f t="array" ref="J12">_xlfn.IFS(G21="Norte","-0%",G21="Noroeste","-8%",G21="Nordeste","-8%",G21="Leste","-20%",G21="Oeste","-20%",G21="Sudeste","-15%",G21="Sul","-70%")</f>
        <v>-20%</v>
      </c>
      <c r="L12" s="191" t="s">
        <v>5949</v>
      </c>
      <c r="P12"/>
      <c r="Q12" s="253"/>
      <c r="R12" s="1"/>
      <c r="S12" s="506" t="s">
        <v>42</v>
      </c>
      <c r="T12" s="508">
        <f>D16</f>
        <v>9.4000000000000004E-3</v>
      </c>
      <c r="U12"/>
      <c r="V12" s="236" t="s">
        <v>6230</v>
      </c>
      <c r="W12" s="237">
        <f>(W10*T15+W10*T16+W16+W10*T12+W10*T13)</f>
        <v>19858.173231707315</v>
      </c>
      <c r="X12" s="291"/>
      <c r="Y12" s="248">
        <v>2024</v>
      </c>
      <c r="Z12" s="237">
        <v>0.3</v>
      </c>
      <c r="AA12" s="237">
        <f>VLOOKUP($AA$8,TARIFAFIOB!$D$5:$E$48,2,0)*Z12</f>
        <v>6.6420000000000007E-2</v>
      </c>
      <c r="AB12" s="237">
        <f t="shared" ref="AB12:AB17" si="0">$AC$8-AA12</f>
        <v>0.59006999999999998</v>
      </c>
      <c r="AC12" s="237">
        <f t="shared" ref="AC12:AC17" si="1">($D$44*(1-$D$20))*AA12</f>
        <v>772.96275000000003</v>
      </c>
      <c r="AD12" s="237">
        <f t="shared" ref="AD12:AD17" si="2">IF(AC12&lt;$AE$8,$AE$8,AC12)</f>
        <v>772.96275000000003</v>
      </c>
      <c r="AE12" s="237"/>
      <c r="AG12" s="327">
        <v>2024</v>
      </c>
      <c r="AH12" s="105">
        <f t="shared" ref="AH12:AH17" si="3">AD12</f>
        <v>772.96275000000003</v>
      </c>
      <c r="AI12" s="105">
        <f t="shared" ref="AI12:AI17" si="4">(AH12*(1+$AH$8))</f>
        <v>912.096045</v>
      </c>
      <c r="AJ12" s="105">
        <f t="shared" ref="AJ12:AJ17" si="5">AH12*$T$12</f>
        <v>7.2658498500000004</v>
      </c>
      <c r="AK12" s="105">
        <f t="shared" ref="AK12:AK17" si="6">AH12*$T$13</f>
        <v>33.391990800000002</v>
      </c>
      <c r="AL12" s="105">
        <f t="shared" ref="AL12:AL17" si="7">AH12*$AJ$8</f>
        <v>0</v>
      </c>
      <c r="AM12" s="105">
        <f t="shared" ref="AM12:AM17" si="8">IF($D$18=100%,(AI12+AJ12+AK12+AL12+$AL$8),$AH$33*(1-$D$18))</f>
        <v>7306.781513167195</v>
      </c>
      <c r="AN12"/>
      <c r="AO12" s="1"/>
      <c r="AP12" s="254"/>
      <c r="AQ12" s="1"/>
      <c r="AR12" s="1"/>
      <c r="AT12" s="230" t="s">
        <v>3890</v>
      </c>
      <c r="AU12" s="255" t="str">
        <f>_xlfn.CONCAT(AW10," ",AW8,AY10," ",AY8)</f>
        <v xml:space="preserve">5 Anos 7 Meses </v>
      </c>
      <c r="AV12" s="1"/>
      <c r="AW12" s="1"/>
      <c r="AX12" s="1"/>
      <c r="AY12" s="1"/>
      <c r="AZ12" s="1"/>
      <c r="FM12" s="447">
        <v>0.03</v>
      </c>
    </row>
    <row r="13" spans="1:169" s="192" customFormat="1" ht="19.899999999999999" customHeight="1" thickTop="1" thickBot="1">
      <c r="A13" s="194"/>
      <c r="C13" s="496" t="s">
        <v>6292</v>
      </c>
      <c r="D13" s="485" t="s">
        <v>6353</v>
      </c>
      <c r="F13" s="486" t="s">
        <v>5854</v>
      </c>
      <c r="G13" s="487" t="str">
        <f>"Latitude"&amp;" "&amp;INT(G11)</f>
        <v>Latitude 23</v>
      </c>
      <c r="I13" s="486" t="str">
        <f>S43</f>
        <v>Tº/ºC Pmax</v>
      </c>
      <c r="J13" s="519">
        <f>G46*T43</f>
        <v>-9.0999999999999998E-2</v>
      </c>
      <c r="L13" s="196" t="s">
        <v>24</v>
      </c>
      <c r="O13" s="185"/>
      <c r="P13"/>
      <c r="Q13" s="256"/>
      <c r="R13" s="1"/>
      <c r="S13" s="506" t="s">
        <v>43</v>
      </c>
      <c r="T13" s="508">
        <f>D17</f>
        <v>4.3200000000000002E-2</v>
      </c>
      <c r="U13"/>
      <c r="V13" s="236" t="s">
        <v>3817</v>
      </c>
      <c r="W13" s="257">
        <f>AH33</f>
        <v>19748.058143695122</v>
      </c>
      <c r="X13" s="1"/>
      <c r="Y13" s="248">
        <v>2025</v>
      </c>
      <c r="Z13" s="237">
        <v>0.45</v>
      </c>
      <c r="AA13" s="237">
        <f>VLOOKUP($AA$8,TARIFAFIOB!$D$5:$E$48,2,0)*Z13</f>
        <v>9.963000000000001E-2</v>
      </c>
      <c r="AB13" s="237">
        <f t="shared" si="0"/>
        <v>0.55686000000000002</v>
      </c>
      <c r="AC13" s="237">
        <f t="shared" si="1"/>
        <v>1159.4441250000002</v>
      </c>
      <c r="AD13" s="237">
        <f t="shared" si="2"/>
        <v>1159.4441250000002</v>
      </c>
      <c r="AE13" s="237"/>
      <c r="AG13" s="327">
        <v>2025</v>
      </c>
      <c r="AH13" s="105">
        <f t="shared" si="3"/>
        <v>1159.4441250000002</v>
      </c>
      <c r="AI13" s="105">
        <f t="shared" si="4"/>
        <v>1368.1440675000001</v>
      </c>
      <c r="AJ13" s="105">
        <f t="shared" si="5"/>
        <v>10.898774775000003</v>
      </c>
      <c r="AK13" s="105">
        <f t="shared" si="6"/>
        <v>50.08798620000001</v>
      </c>
      <c r="AL13" s="105">
        <f t="shared" si="7"/>
        <v>0</v>
      </c>
      <c r="AM13" s="105">
        <f t="shared" si="8"/>
        <v>7306.781513167195</v>
      </c>
      <c r="AO13" s="258" t="s">
        <v>18</v>
      </c>
      <c r="AP13" s="259" t="s">
        <v>3888</v>
      </c>
      <c r="AQ13" s="259" t="s">
        <v>5957</v>
      </c>
      <c r="AR13" s="260" t="s">
        <v>5958</v>
      </c>
      <c r="AT13" s="230" t="s">
        <v>6213</v>
      </c>
      <c r="AU13" s="106">
        <f>100%/AU11</f>
        <v>0.17664245034063572</v>
      </c>
      <c r="AV13" s="1"/>
      <c r="AW13" s="1"/>
      <c r="AX13" s="1"/>
      <c r="AY13" s="1"/>
      <c r="AZ13" s="1"/>
      <c r="FM13" s="446">
        <v>0.04</v>
      </c>
    </row>
    <row r="14" spans="1:169" ht="19.899999999999999" customHeight="1">
      <c r="C14" s="496" t="s">
        <v>3804</v>
      </c>
      <c r="D14" s="485" t="s">
        <v>3803</v>
      </c>
      <c r="E14" s="192"/>
      <c r="F14" s="486" t="s">
        <v>5858</v>
      </c>
      <c r="G14" s="487">
        <f>G11-5</f>
        <v>18.565999999999999</v>
      </c>
      <c r="I14" s="521" t="str">
        <f>S44</f>
        <v>Tº/ºC Voc</v>
      </c>
      <c r="J14" s="522">
        <f>G46*T44</f>
        <v>-7.2800000000000004E-2</v>
      </c>
      <c r="L14" s="191" t="s">
        <v>5950</v>
      </c>
      <c r="P14" s="1"/>
      <c r="Q14" s="261"/>
      <c r="S14" s="506" t="s">
        <v>44</v>
      </c>
      <c r="T14" s="508">
        <f>D15</f>
        <v>0.18</v>
      </c>
      <c r="V14" s="236" t="s">
        <v>3818</v>
      </c>
      <c r="W14" s="257">
        <f>AH36</f>
        <v>0</v>
      </c>
      <c r="Y14" s="248">
        <v>2026</v>
      </c>
      <c r="Z14" s="237">
        <v>0.6</v>
      </c>
      <c r="AA14" s="237">
        <f>VLOOKUP($AA$8,TARIFAFIOB!$D$5:$E$48,2,0)*Z14</f>
        <v>0.13284000000000001</v>
      </c>
      <c r="AB14" s="237">
        <f t="shared" si="0"/>
        <v>0.52364999999999995</v>
      </c>
      <c r="AC14" s="237">
        <f t="shared" si="1"/>
        <v>1545.9255000000001</v>
      </c>
      <c r="AD14" s="237">
        <f t="shared" si="2"/>
        <v>1545.9255000000001</v>
      </c>
      <c r="AE14" s="237"/>
      <c r="AG14" s="48">
        <v>2026</v>
      </c>
      <c r="AH14" s="105">
        <f t="shared" si="3"/>
        <v>1545.9255000000001</v>
      </c>
      <c r="AI14" s="105">
        <f t="shared" si="4"/>
        <v>1824.19209</v>
      </c>
      <c r="AJ14" s="105">
        <f t="shared" si="5"/>
        <v>14.531699700000001</v>
      </c>
      <c r="AK14" s="105">
        <f t="shared" si="6"/>
        <v>66.783981600000004</v>
      </c>
      <c r="AL14" s="105">
        <f t="shared" si="7"/>
        <v>0</v>
      </c>
      <c r="AM14" s="105">
        <f t="shared" si="8"/>
        <v>7306.781513167195</v>
      </c>
      <c r="AO14" s="262">
        <v>0</v>
      </c>
      <c r="AP14" s="263">
        <f>-AP11</f>
        <v>-1032105</v>
      </c>
      <c r="AQ14" s="264">
        <f>PV($AR$10+$AR$11,AO14,,-AP14)</f>
        <v>-1032105</v>
      </c>
      <c r="AR14" s="265">
        <f>AQ14</f>
        <v>-1032105</v>
      </c>
      <c r="FM14" s="446">
        <v>0.05</v>
      </c>
    </row>
    <row r="15" spans="1:169" ht="19.899999999999999" customHeight="1" thickBot="1">
      <c r="C15" s="496" t="s">
        <v>6216</v>
      </c>
      <c r="D15" s="499">
        <v>0.18</v>
      </c>
      <c r="F15" s="486" t="s">
        <v>5859</v>
      </c>
      <c r="G15" s="488">
        <f>IF(G9="Solo",_xlfn.CEILING.MATH(G14,5),G10)</f>
        <v>20</v>
      </c>
      <c r="I15" s="486" t="str">
        <f>S45</f>
        <v>Tº/ºC Isc</v>
      </c>
      <c r="J15" s="519">
        <f>G46*T45</f>
        <v>1.248E-2</v>
      </c>
      <c r="P15" s="1"/>
      <c r="Q15" s="266"/>
      <c r="S15" s="506" t="s">
        <v>6229</v>
      </c>
      <c r="T15" s="509">
        <f>T10/(1-T14)</f>
        <v>0.48296341463414627</v>
      </c>
      <c r="U15" s="1"/>
      <c r="V15" s="236" t="s">
        <v>3819</v>
      </c>
      <c r="W15" s="257">
        <f>W13-W14</f>
        <v>19748.058143695122</v>
      </c>
      <c r="Y15" s="248">
        <v>2027</v>
      </c>
      <c r="Z15" s="237">
        <v>0.75</v>
      </c>
      <c r="AA15" s="237">
        <f>VLOOKUP($AA$8,TARIFAFIOB!$D$5:$E$48,2,0)*Z15</f>
        <v>0.16605</v>
      </c>
      <c r="AB15" s="237">
        <f t="shared" si="0"/>
        <v>0.49043999999999999</v>
      </c>
      <c r="AC15" s="237">
        <f t="shared" si="1"/>
        <v>1932.4068750000001</v>
      </c>
      <c r="AD15" s="237">
        <f t="shared" si="2"/>
        <v>1932.4068750000001</v>
      </c>
      <c r="AE15" s="237"/>
      <c r="AG15" s="48">
        <v>2027</v>
      </c>
      <c r="AH15" s="105">
        <f t="shared" si="3"/>
        <v>1932.4068750000001</v>
      </c>
      <c r="AI15" s="105">
        <f t="shared" si="4"/>
        <v>2280.2401125000001</v>
      </c>
      <c r="AJ15" s="105">
        <f t="shared" si="5"/>
        <v>18.164624625000002</v>
      </c>
      <c r="AK15" s="105">
        <f t="shared" si="6"/>
        <v>83.479977000000005</v>
      </c>
      <c r="AL15" s="105">
        <f t="shared" si="7"/>
        <v>0</v>
      </c>
      <c r="AM15" s="105">
        <f t="shared" si="8"/>
        <v>7306.781513167195</v>
      </c>
      <c r="AO15" s="262">
        <v>1</v>
      </c>
      <c r="AP15" s="264">
        <f>AR14</f>
        <v>-1032105</v>
      </c>
      <c r="AQ15" s="264">
        <f t="shared" ref="AQ15:AQ46" si="9">$AP$10*(1+$AR$11)^AO15</f>
        <v>158253.03874031521</v>
      </c>
      <c r="AR15" s="265">
        <f>AQ15+AR14</f>
        <v>-873851.96125968476</v>
      </c>
      <c r="FM15" s="447">
        <v>0.06</v>
      </c>
    </row>
    <row r="16" spans="1:169" ht="19.899999999999999" customHeight="1" thickBot="1">
      <c r="C16" s="496" t="s">
        <v>6214</v>
      </c>
      <c r="D16" s="500">
        <v>9.4000000000000004E-3</v>
      </c>
      <c r="F16" s="536" t="s">
        <v>5861</v>
      </c>
      <c r="G16" s="536"/>
      <c r="I16" s="316" t="s">
        <v>3807</v>
      </c>
      <c r="J16" s="317">
        <f>1+J12+J13+J14+J15+J11</f>
        <v>0.5986800000000001</v>
      </c>
      <c r="K16" s="520"/>
      <c r="Q16" s="268"/>
      <c r="S16" s="506" t="s">
        <v>3857</v>
      </c>
      <c r="T16" s="507">
        <f>T11/(1-T14)</f>
        <v>0.31763414634146342</v>
      </c>
      <c r="U16" s="1"/>
      <c r="V16" s="269" t="s">
        <v>6322</v>
      </c>
      <c r="W16" s="257" cm="1">
        <f t="array" ref="W16">_xlfn.IFS($D$24="Verde",0*$W$10,$D$24="Amarela",0.01872*$W$10,$D$24="Vermelha I",0.03971*$W$10,$D$24="Vermelha II",0.0949*$W$10,$D$24="Escassez Hídrica",0.142*$W$10)</f>
        <v>0</v>
      </c>
      <c r="Y16" s="248">
        <v>2028</v>
      </c>
      <c r="Z16" s="237">
        <v>0.9</v>
      </c>
      <c r="AA16" s="237">
        <f>VLOOKUP($AA$8,TARIFAFIOB!$D$5:$E$48,2,0)*Z16</f>
        <v>0.19926000000000002</v>
      </c>
      <c r="AB16" s="237">
        <f t="shared" si="0"/>
        <v>0.45723000000000003</v>
      </c>
      <c r="AC16" s="237">
        <f t="shared" si="1"/>
        <v>2318.8882500000004</v>
      </c>
      <c r="AD16" s="237">
        <f t="shared" si="2"/>
        <v>2318.8882500000004</v>
      </c>
      <c r="AE16" s="237"/>
      <c r="AG16" s="48">
        <v>2028</v>
      </c>
      <c r="AH16" s="105">
        <f t="shared" si="3"/>
        <v>2318.8882500000004</v>
      </c>
      <c r="AI16" s="105">
        <f t="shared" si="4"/>
        <v>2736.2881350000002</v>
      </c>
      <c r="AJ16" s="105">
        <f t="shared" si="5"/>
        <v>21.797549550000006</v>
      </c>
      <c r="AK16" s="105">
        <f t="shared" si="6"/>
        <v>100.17597240000002</v>
      </c>
      <c r="AL16" s="105">
        <f t="shared" si="7"/>
        <v>0</v>
      </c>
      <c r="AM16" s="105">
        <f t="shared" si="8"/>
        <v>7306.781513167195</v>
      </c>
      <c r="AO16" s="262">
        <v>2</v>
      </c>
      <c r="AP16" s="264">
        <f t="shared" ref="AP16:AP79" si="10">AR15</f>
        <v>-873851.96125968476</v>
      </c>
      <c r="AQ16" s="264">
        <f t="shared" si="9"/>
        <v>167748.22106473413</v>
      </c>
      <c r="AR16" s="265">
        <f>AQ16+AR15</f>
        <v>-706103.7401949506</v>
      </c>
      <c r="AT16" s="525" t="s">
        <v>38</v>
      </c>
      <c r="AU16" s="526"/>
      <c r="FM16" s="446">
        <v>7.0000000000000007E-2</v>
      </c>
    </row>
    <row r="17" spans="1:169" ht="19.899999999999999" customHeight="1" thickTop="1">
      <c r="C17" s="496" t="s">
        <v>6215</v>
      </c>
      <c r="D17" s="500">
        <v>4.3200000000000002E-2</v>
      </c>
      <c r="F17" s="486" t="s">
        <v>5860</v>
      </c>
      <c r="G17" s="489">
        <f>VLOOKUP(T29,'Fator k '!A:P,16,FALSE)</f>
        <v>1.06</v>
      </c>
      <c r="I17" s="517" t="s">
        <v>6187</v>
      </c>
      <c r="J17" s="518">
        <v>7.0000000000000001E-3</v>
      </c>
      <c r="S17" s="506" t="s">
        <v>3859</v>
      </c>
      <c r="T17" s="510">
        <f>SUM(T15:T16)</f>
        <v>0.80059756097560975</v>
      </c>
      <c r="Y17" s="248">
        <v>2029</v>
      </c>
      <c r="Z17" s="237">
        <v>1</v>
      </c>
      <c r="AA17" s="237">
        <f>VLOOKUP($AA$8,TARIFAFIOB!$D$5:$E$48,2,0)*Z17</f>
        <v>0.22140000000000001</v>
      </c>
      <c r="AB17" s="237">
        <f t="shared" si="0"/>
        <v>0.43508999999999998</v>
      </c>
      <c r="AC17" s="237">
        <f t="shared" si="1"/>
        <v>2576.5425</v>
      </c>
      <c r="AD17" s="237">
        <f t="shared" si="2"/>
        <v>2576.5425</v>
      </c>
      <c r="AE17" s="237"/>
      <c r="AG17" s="48">
        <v>2029</v>
      </c>
      <c r="AH17" s="105">
        <f t="shared" si="3"/>
        <v>2576.5425</v>
      </c>
      <c r="AI17" s="105">
        <f t="shared" si="4"/>
        <v>3040.32015</v>
      </c>
      <c r="AJ17" s="105">
        <f t="shared" si="5"/>
        <v>24.219499500000001</v>
      </c>
      <c r="AK17" s="105">
        <f t="shared" si="6"/>
        <v>111.30663600000001</v>
      </c>
      <c r="AL17" s="105">
        <f t="shared" si="7"/>
        <v>0</v>
      </c>
      <c r="AM17" s="105">
        <f t="shared" si="8"/>
        <v>7306.781513167195</v>
      </c>
      <c r="AO17" s="262">
        <v>3</v>
      </c>
      <c r="AP17" s="264">
        <f t="shared" si="10"/>
        <v>-706103.7401949506</v>
      </c>
      <c r="AQ17" s="264">
        <f t="shared" si="9"/>
        <v>177813.11432861819</v>
      </c>
      <c r="AR17" s="265">
        <f t="shared" ref="AR17:AR38" si="11">AQ17+AR16</f>
        <v>-528290.62586633244</v>
      </c>
      <c r="AT17" s="270" t="s">
        <v>36</v>
      </c>
      <c r="AU17" s="271">
        <f>(X45*25)*0.7097</f>
        <v>4327026.2446949994</v>
      </c>
      <c r="FM17" s="446">
        <v>0.08</v>
      </c>
    </row>
    <row r="18" spans="1:169" ht="19.899999999999999" customHeight="1">
      <c r="C18" s="496" t="s">
        <v>6282</v>
      </c>
      <c r="D18" s="499">
        <v>0.63</v>
      </c>
      <c r="F18" s="536" t="s">
        <v>5862</v>
      </c>
      <c r="G18" s="536"/>
      <c r="AA18" s="472"/>
      <c r="AD18" s="229"/>
      <c r="AO18" s="262">
        <v>4</v>
      </c>
      <c r="AP18" s="264">
        <f t="shared" si="10"/>
        <v>-528290.62586633244</v>
      </c>
      <c r="AQ18" s="264">
        <f t="shared" si="9"/>
        <v>188481.90118833529</v>
      </c>
      <c r="AR18" s="265">
        <f t="shared" si="11"/>
        <v>-339808.72467799718</v>
      </c>
      <c r="AT18" s="272" t="s">
        <v>39</v>
      </c>
      <c r="AU18" s="271">
        <f>(X45*25)*5.04*10^-4</f>
        <v>3072.8775924000001</v>
      </c>
      <c r="FM18" s="447">
        <v>0.09</v>
      </c>
    </row>
    <row r="19" spans="1:169" ht="19.899999999999999" customHeight="1" thickBot="1">
      <c r="C19" s="496" t="s">
        <v>6082</v>
      </c>
      <c r="D19" s="485">
        <v>33</v>
      </c>
      <c r="F19" s="485" t="s">
        <v>5841</v>
      </c>
      <c r="G19" s="489">
        <f>AVERAGE(G27:G38)</f>
        <v>4.62</v>
      </c>
      <c r="V19" s="236" t="s">
        <v>5841</v>
      </c>
      <c r="W19" s="273">
        <v>4.6500000000000004</v>
      </c>
      <c r="AD19" s="229"/>
      <c r="AO19" s="262">
        <v>5</v>
      </c>
      <c r="AP19" s="264">
        <f t="shared" si="10"/>
        <v>-339808.72467799718</v>
      </c>
      <c r="AQ19" s="264">
        <f t="shared" si="9"/>
        <v>199790.81525963545</v>
      </c>
      <c r="AR19" s="265">
        <f t="shared" si="11"/>
        <v>-140017.90941836173</v>
      </c>
      <c r="AT19" s="249" t="s">
        <v>40</v>
      </c>
      <c r="AU19" s="274">
        <f>(D46)*5.3622972</f>
        <v>131336.78161605529</v>
      </c>
      <c r="FM19" s="446">
        <v>0.1</v>
      </c>
    </row>
    <row r="20" spans="1:169" ht="19.899999999999999" customHeight="1">
      <c r="C20" s="496" t="s">
        <v>3810</v>
      </c>
      <c r="D20" s="499">
        <v>0.5</v>
      </c>
      <c r="F20" s="536" t="s">
        <v>5863</v>
      </c>
      <c r="G20" s="536"/>
      <c r="V20" s="236" t="s">
        <v>5844</v>
      </c>
      <c r="W20" s="273">
        <f>G22</f>
        <v>3.6960000000000002</v>
      </c>
      <c r="AD20" s="8"/>
      <c r="AO20" s="262">
        <v>6</v>
      </c>
      <c r="AP20" s="264">
        <f t="shared" si="10"/>
        <v>-140017.90941836173</v>
      </c>
      <c r="AQ20" s="264">
        <f t="shared" si="9"/>
        <v>211778.26417521358</v>
      </c>
      <c r="AR20" s="265">
        <f t="shared" si="11"/>
        <v>71760.354756851855</v>
      </c>
      <c r="FM20" s="446">
        <v>0.11</v>
      </c>
    </row>
    <row r="21" spans="1:169" ht="19.899999999999999" customHeight="1">
      <c r="C21" s="496" t="s">
        <v>6324</v>
      </c>
      <c r="D21" s="485" t="s">
        <v>6331</v>
      </c>
      <c r="E21" s="470"/>
      <c r="F21" s="485" t="s">
        <v>5843</v>
      </c>
      <c r="G21" s="485" t="s">
        <v>6354</v>
      </c>
      <c r="I21" s="541"/>
      <c r="J21" s="529" t="s">
        <v>3864</v>
      </c>
      <c r="K21" s="192"/>
      <c r="L21" s="192"/>
      <c r="M21" s="192"/>
      <c r="V21" s="236" t="s">
        <v>5842</v>
      </c>
      <c r="W21" s="275">
        <f>W20*(1+J11)</f>
        <v>3.5112000000000001</v>
      </c>
      <c r="AO21" s="262">
        <v>7</v>
      </c>
      <c r="AP21" s="264">
        <f t="shared" si="10"/>
        <v>71760.354756851855</v>
      </c>
      <c r="AQ21" s="264">
        <f t="shared" si="9"/>
        <v>224484.96002572641</v>
      </c>
      <c r="AR21" s="265">
        <f t="shared" si="11"/>
        <v>296245.31478257827</v>
      </c>
      <c r="AT21" s="230" t="s">
        <v>5959</v>
      </c>
      <c r="AU21" s="277">
        <f>SUM(AM35:AM326)</f>
        <v>0</v>
      </c>
      <c r="FM21" s="447">
        <v>0.12</v>
      </c>
    </row>
    <row r="22" spans="1:169" ht="19.899999999999999" customHeight="1">
      <c r="C22" s="496" t="s">
        <v>3861</v>
      </c>
      <c r="D22" s="501">
        <v>69.61</v>
      </c>
      <c r="F22" s="486" t="s">
        <v>5845</v>
      </c>
      <c r="G22" s="489" cm="1">
        <f t="array" ref="G22">_xlfn.IFS(G21="Norte",G19*1,G21="Noroeste",G19*0.92,G21="Nordeste",G19*0.92,G21="Leste",G19*0.8,G21="Oeste",G19*0.8,G21="Sudeste",G19*0.85,G21="Sul",G19*0.3)</f>
        <v>3.6960000000000002</v>
      </c>
      <c r="I22" s="542"/>
      <c r="J22" s="530"/>
      <c r="K22" s="192"/>
      <c r="V22" s="236" t="s">
        <v>5846</v>
      </c>
      <c r="W22" s="275">
        <f>W21*G17</f>
        <v>3.7218720000000003</v>
      </c>
      <c r="AO22" s="262">
        <v>8</v>
      </c>
      <c r="AP22" s="264">
        <f t="shared" si="10"/>
        <v>296245.31478257827</v>
      </c>
      <c r="AQ22" s="264">
        <f t="shared" si="9"/>
        <v>237954.05762726997</v>
      </c>
      <c r="AR22" s="265">
        <f t="shared" si="11"/>
        <v>534199.37240984826</v>
      </c>
      <c r="AT22" s="230" t="s">
        <v>5960</v>
      </c>
      <c r="AU22" s="277">
        <f>AU21-AP11</f>
        <v>-1032105</v>
      </c>
      <c r="FM22" s="446">
        <v>0.13</v>
      </c>
    </row>
    <row r="23" spans="1:169" ht="19.899999999999999" customHeight="1">
      <c r="C23" s="496" t="s">
        <v>6081</v>
      </c>
      <c r="D23" s="485">
        <v>1</v>
      </c>
      <c r="F23" s="490"/>
      <c r="G23" s="490"/>
      <c r="I23" s="543"/>
      <c r="J23" s="531"/>
      <c r="K23" s="198"/>
      <c r="N23" s="192"/>
      <c r="O23" s="192"/>
      <c r="S23" s="235" t="s">
        <v>5965</v>
      </c>
      <c r="T23" s="278">
        <f>D45</f>
        <v>24492.633794347559</v>
      </c>
      <c r="V23" s="236" t="s">
        <v>5847</v>
      </c>
      <c r="W23" s="275">
        <f>W22</f>
        <v>3.7218720000000003</v>
      </c>
      <c r="AE23" s="279"/>
      <c r="AF23" s="276"/>
      <c r="AO23" s="262">
        <v>9</v>
      </c>
      <c r="AP23" s="264">
        <f t="shared" si="10"/>
        <v>534199.37240984826</v>
      </c>
      <c r="AQ23" s="264">
        <f t="shared" si="9"/>
        <v>252231.30108490618</v>
      </c>
      <c r="AR23" s="265">
        <f t="shared" si="11"/>
        <v>786430.67349475448</v>
      </c>
      <c r="AT23" s="230" t="s">
        <v>5961</v>
      </c>
      <c r="AU23" s="280">
        <f>AU21/AP11</f>
        <v>0</v>
      </c>
      <c r="FM23" s="446">
        <v>0.14000000000000001</v>
      </c>
    </row>
    <row r="24" spans="1:169" ht="19.899999999999999" customHeight="1">
      <c r="C24" s="496" t="s">
        <v>6135</v>
      </c>
      <c r="D24" s="502" t="s">
        <v>6346</v>
      </c>
      <c r="F24" s="490"/>
      <c r="G24" s="490"/>
      <c r="I24" s="538"/>
      <c r="J24" s="529" t="s">
        <v>6057</v>
      </c>
      <c r="K24" s="192"/>
      <c r="O24" s="192"/>
      <c r="S24" s="235" t="s">
        <v>5951</v>
      </c>
      <c r="T24" s="278">
        <f>X51</f>
        <v>445</v>
      </c>
      <c r="AF24" s="281"/>
      <c r="AJ24" s="478" t="s">
        <v>6315</v>
      </c>
      <c r="AK24" s="478" t="s">
        <v>6344</v>
      </c>
      <c r="AL24" s="478" t="s">
        <v>3816</v>
      </c>
      <c r="AM24" s="267"/>
      <c r="AN24" s="267"/>
      <c r="AO24" s="262">
        <v>10</v>
      </c>
      <c r="AP24" s="264">
        <f t="shared" si="10"/>
        <v>786430.67349475448</v>
      </c>
      <c r="AQ24" s="264">
        <f t="shared" si="9"/>
        <v>267365.17915000056</v>
      </c>
      <c r="AR24" s="265">
        <f t="shared" si="11"/>
        <v>1053795.852644755</v>
      </c>
      <c r="AT24" s="230" t="s">
        <v>5967</v>
      </c>
      <c r="AU24" s="134">
        <f>((AP10*25)-AP11)/AP11</f>
        <v>2.6162822475992051</v>
      </c>
      <c r="FM24" s="447">
        <v>0.15</v>
      </c>
    </row>
    <row r="25" spans="1:169" ht="19.899999999999999" customHeight="1" thickBot="1">
      <c r="C25" s="496" t="s">
        <v>6311</v>
      </c>
      <c r="D25" s="493">
        <v>2023</v>
      </c>
      <c r="E25" s="484"/>
      <c r="F25" s="490"/>
      <c r="G25" s="490"/>
      <c r="I25" s="539"/>
      <c r="J25" s="530"/>
      <c r="O25" s="192"/>
      <c r="Q25" s="253"/>
      <c r="R25" s="1"/>
      <c r="S25" s="235" t="s">
        <v>6313</v>
      </c>
      <c r="T25" s="278">
        <f>AD44</f>
        <v>222.02192137420039</v>
      </c>
      <c r="U25" s="229"/>
      <c r="V25" s="1"/>
      <c r="AE25" s="279"/>
      <c r="AF25" s="276"/>
      <c r="AG25" s="230" t="s">
        <v>3811</v>
      </c>
      <c r="AH25" s="239">
        <f>W10*T15</f>
        <v>11240.973475609755</v>
      </c>
      <c r="AJ25" s="48">
        <v>2023</v>
      </c>
      <c r="AK25" s="480">
        <f>$AH$33-AM11</f>
        <v>12441.276630527926</v>
      </c>
      <c r="AL25" s="480">
        <f>AK25*12</f>
        <v>149295.31956633512</v>
      </c>
      <c r="AM25" s="267"/>
      <c r="AN25" s="267"/>
      <c r="AO25" s="262">
        <v>11</v>
      </c>
      <c r="AP25" s="264">
        <f t="shared" si="10"/>
        <v>1053795.852644755</v>
      </c>
      <c r="AQ25" s="264">
        <f t="shared" si="9"/>
        <v>283407.08989900065</v>
      </c>
      <c r="AR25" s="265">
        <f t="shared" si="11"/>
        <v>1337202.9425437558</v>
      </c>
      <c r="FM25" s="446">
        <v>0.16</v>
      </c>
    </row>
    <row r="26" spans="1:169" ht="19.899999999999999" customHeight="1" thickTop="1">
      <c r="C26" s="490"/>
      <c r="D26" s="503"/>
      <c r="F26" s="490"/>
      <c r="G26" s="490"/>
      <c r="I26" s="540"/>
      <c r="J26" s="531"/>
      <c r="K26" s="192"/>
      <c r="O26" s="192"/>
      <c r="Q26" s="256"/>
      <c r="R26" s="1"/>
      <c r="S26" s="235" t="s">
        <v>5964</v>
      </c>
      <c r="T26" s="283">
        <f>T24</f>
        <v>445</v>
      </c>
      <c r="V26" s="1"/>
      <c r="AE26" s="279"/>
      <c r="AF26" s="276"/>
      <c r="AG26" s="438" t="s">
        <v>3812</v>
      </c>
      <c r="AH26" s="239">
        <f>W10*T16</f>
        <v>7392.9347560975611</v>
      </c>
      <c r="AJ26" s="48">
        <v>2024</v>
      </c>
      <c r="AK26" s="480">
        <f t="shared" ref="AK26:AK31" si="12">$AH$33-AM12</f>
        <v>12441.276630527926</v>
      </c>
      <c r="AL26" s="480">
        <f t="shared" ref="AL26:AL31" si="13">AK26*12</f>
        <v>149295.31956633512</v>
      </c>
      <c r="AM26" s="267"/>
      <c r="AN26" s="267"/>
      <c r="AO26" s="262">
        <v>12</v>
      </c>
      <c r="AP26" s="264">
        <f t="shared" si="10"/>
        <v>1337202.9425437558</v>
      </c>
      <c r="AQ26" s="264">
        <f t="shared" si="9"/>
        <v>300411.51529294072</v>
      </c>
      <c r="AR26" s="265">
        <f t="shared" si="11"/>
        <v>1637614.4578366964</v>
      </c>
      <c r="FM26" s="446">
        <v>0.17</v>
      </c>
    </row>
    <row r="27" spans="1:169" ht="19.899999999999999" customHeight="1">
      <c r="C27" s="490"/>
      <c r="D27" s="490"/>
      <c r="F27" s="485" t="s">
        <v>6083</v>
      </c>
      <c r="G27" s="485">
        <v>4.8600000000000003</v>
      </c>
      <c r="K27" s="200"/>
      <c r="N27" s="192"/>
      <c r="O27" s="192"/>
      <c r="Q27" s="261"/>
      <c r="V27" s="1"/>
      <c r="AE27" s="284"/>
      <c r="AF27" s="285"/>
      <c r="AG27" s="438" t="s">
        <v>42</v>
      </c>
      <c r="AH27" s="239">
        <f>W12*T12</f>
        <v>186.66682837804876</v>
      </c>
      <c r="AJ27" s="48">
        <v>2025</v>
      </c>
      <c r="AK27" s="480">
        <f t="shared" si="12"/>
        <v>12441.276630527926</v>
      </c>
      <c r="AL27" s="480">
        <f t="shared" si="13"/>
        <v>149295.31956633512</v>
      </c>
      <c r="AM27" s="267"/>
      <c r="AN27" s="267"/>
      <c r="AO27" s="262">
        <v>13</v>
      </c>
      <c r="AP27" s="264">
        <f t="shared" si="10"/>
        <v>1637614.4578366964</v>
      </c>
      <c r="AQ27" s="264">
        <f t="shared" si="9"/>
        <v>318436.20621051715</v>
      </c>
      <c r="AR27" s="265">
        <f t="shared" si="11"/>
        <v>1956050.6640472135</v>
      </c>
      <c r="FM27" s="447">
        <v>0.18</v>
      </c>
    </row>
    <row r="28" spans="1:169" s="192" customFormat="1" ht="19.899999999999999" customHeight="1">
      <c r="A28" s="194"/>
      <c r="B28" s="185"/>
      <c r="C28" s="485" t="s">
        <v>3832</v>
      </c>
      <c r="D28" s="485" t="s">
        <v>3855</v>
      </c>
      <c r="E28" s="205"/>
      <c r="F28" s="485" t="s">
        <v>6084</v>
      </c>
      <c r="G28" s="485">
        <v>5.36</v>
      </c>
      <c r="H28" s="185"/>
      <c r="K28" s="197"/>
      <c r="M28" s="201"/>
      <c r="P28" s="1"/>
      <c r="Q28" s="266"/>
      <c r="R28"/>
      <c r="S28"/>
      <c r="T28"/>
      <c r="U28"/>
      <c r="V28"/>
      <c r="W28" s="1"/>
      <c r="X28"/>
      <c r="Y28"/>
      <c r="Z28"/>
      <c r="AA28"/>
      <c r="AB28"/>
      <c r="AC28"/>
      <c r="AD28"/>
      <c r="AE28" s="286"/>
      <c r="AF28" s="285"/>
      <c r="AG28" s="438" t="s">
        <v>43</v>
      </c>
      <c r="AH28" s="239">
        <f>W12*T13</f>
        <v>857.87308360975601</v>
      </c>
      <c r="AJ28" s="327">
        <v>2026</v>
      </c>
      <c r="AK28" s="480">
        <f t="shared" si="12"/>
        <v>12441.276630527926</v>
      </c>
      <c r="AL28" s="480">
        <f t="shared" si="13"/>
        <v>149295.31956633512</v>
      </c>
      <c r="AM28" s="267"/>
      <c r="AN28" s="267"/>
      <c r="AO28" s="262">
        <v>14</v>
      </c>
      <c r="AP28" s="264">
        <f t="shared" si="10"/>
        <v>1956050.6640472135</v>
      </c>
      <c r="AQ28" s="264">
        <f t="shared" si="9"/>
        <v>337542.37858314818</v>
      </c>
      <c r="AR28" s="265">
        <f t="shared" si="11"/>
        <v>2293593.0426303619</v>
      </c>
      <c r="AS28"/>
      <c r="AT28" s="1"/>
      <c r="AU28" s="1"/>
      <c r="AV28" s="1"/>
      <c r="AW28" s="1"/>
      <c r="AX28" s="1"/>
      <c r="AY28" s="1"/>
      <c r="AZ28" s="1"/>
      <c r="FM28" s="446">
        <v>0.19</v>
      </c>
    </row>
    <row r="29" spans="1:169" s="192" customFormat="1" ht="19.899999999999999" customHeight="1" thickBot="1">
      <c r="A29" s="194"/>
      <c r="C29" s="485" t="s">
        <v>6083</v>
      </c>
      <c r="D29" s="485">
        <v>23960</v>
      </c>
      <c r="E29" s="205"/>
      <c r="F29" s="485" t="s">
        <v>6085</v>
      </c>
      <c r="G29" s="485">
        <v>4.8499999999999996</v>
      </c>
      <c r="H29" s="185"/>
      <c r="I29" s="197"/>
      <c r="J29" s="197"/>
      <c r="K29" s="202"/>
      <c r="N29" s="185"/>
      <c r="P29" s="1"/>
      <c r="Q29" s="268"/>
      <c r="R29"/>
      <c r="S29" s="486" t="s">
        <v>5895</v>
      </c>
      <c r="T29" s="511" t="str">
        <f>G13&amp;G15</f>
        <v>Latitude 2320</v>
      </c>
      <c r="U29"/>
      <c r="V29"/>
      <c r="W29" s="1"/>
      <c r="X29"/>
      <c r="Y29"/>
      <c r="Z29"/>
      <c r="AA29" s="1"/>
      <c r="AB29"/>
      <c r="AC29"/>
      <c r="AD29"/>
      <c r="AE29" s="284"/>
      <c r="AF29" s="282"/>
      <c r="AG29" s="438" t="s">
        <v>3813</v>
      </c>
      <c r="AH29" s="239">
        <f>AH25*T14</f>
        <v>2023.3752256097559</v>
      </c>
      <c r="AJ29" s="327">
        <v>2027</v>
      </c>
      <c r="AK29" s="480">
        <f t="shared" si="12"/>
        <v>12441.276630527926</v>
      </c>
      <c r="AL29" s="480">
        <f t="shared" si="13"/>
        <v>149295.31956633512</v>
      </c>
      <c r="AM29" s="267"/>
      <c r="AN29" s="267"/>
      <c r="AO29" s="262">
        <v>15</v>
      </c>
      <c r="AP29" s="264">
        <f t="shared" si="10"/>
        <v>2293593.0426303619</v>
      </c>
      <c r="AQ29" s="264">
        <f t="shared" si="9"/>
        <v>357794.92129813717</v>
      </c>
      <c r="AR29" s="265">
        <f t="shared" si="11"/>
        <v>2651387.9639284993</v>
      </c>
      <c r="AS29"/>
      <c r="AT29" s="1"/>
      <c r="AU29" s="1"/>
      <c r="AV29" s="1"/>
      <c r="AW29" s="1"/>
      <c r="AX29" s="1"/>
      <c r="AY29" s="1"/>
      <c r="AZ29" s="1"/>
      <c r="FM29" s="446">
        <v>0.2</v>
      </c>
    </row>
    <row r="30" spans="1:169" s="192" customFormat="1" ht="19.899999999999999" customHeight="1" thickTop="1">
      <c r="A30" s="194"/>
      <c r="C30" s="485" t="s">
        <v>6084</v>
      </c>
      <c r="D30" s="485">
        <v>24240</v>
      </c>
      <c r="E30" s="205"/>
      <c r="F30" s="485" t="s">
        <v>6086</v>
      </c>
      <c r="G30" s="485">
        <v>4.66</v>
      </c>
      <c r="H30" s="185"/>
      <c r="I30" s="197"/>
      <c r="J30" s="197"/>
      <c r="K30" s="202"/>
      <c r="N30" s="185"/>
      <c r="P30" s="1"/>
      <c r="Q30"/>
      <c r="R30"/>
      <c r="S30" s="1"/>
      <c r="T30" s="1"/>
      <c r="U30"/>
      <c r="V30"/>
      <c r="W30" s="288" t="s">
        <v>3832</v>
      </c>
      <c r="X30" s="288" t="s">
        <v>6192</v>
      </c>
      <c r="Y30" s="288" t="s">
        <v>6266</v>
      </c>
      <c r="Z30" s="288" t="s">
        <v>6265</v>
      </c>
      <c r="AA30" s="1"/>
      <c r="AB30"/>
      <c r="AC30"/>
      <c r="AD30"/>
      <c r="AE30"/>
      <c r="AF30" s="276"/>
      <c r="AG30" s="438" t="s">
        <v>3814</v>
      </c>
      <c r="AH30" s="239">
        <f>AH26*T14</f>
        <v>1330.7282560975609</v>
      </c>
      <c r="AJ30" s="327">
        <v>2028</v>
      </c>
      <c r="AK30" s="480">
        <f t="shared" si="12"/>
        <v>12441.276630527926</v>
      </c>
      <c r="AL30" s="480">
        <f t="shared" si="13"/>
        <v>149295.31956633512</v>
      </c>
      <c r="AM30" s="267"/>
      <c r="AN30" s="267"/>
      <c r="AO30" s="262">
        <v>16</v>
      </c>
      <c r="AP30" s="264">
        <f t="shared" si="10"/>
        <v>2651387.9639284993</v>
      </c>
      <c r="AQ30" s="264">
        <f t="shared" si="9"/>
        <v>379262.61657602532</v>
      </c>
      <c r="AR30" s="265">
        <f t="shared" si="11"/>
        <v>3030650.5805045245</v>
      </c>
      <c r="AS30" s="1"/>
      <c r="AT30" s="1"/>
      <c r="AU30" s="1"/>
      <c r="AV30" s="1"/>
      <c r="AW30" s="1"/>
      <c r="AX30" s="1"/>
      <c r="AY30" s="1"/>
      <c r="AZ30" s="1"/>
      <c r="FM30" s="447">
        <v>0.21</v>
      </c>
    </row>
    <row r="31" spans="1:169" ht="19.899999999999999" customHeight="1">
      <c r="B31" s="203"/>
      <c r="C31" s="485" t="s">
        <v>6085</v>
      </c>
      <c r="D31" s="485">
        <v>24280</v>
      </c>
      <c r="E31" s="205"/>
      <c r="F31" s="485" t="s">
        <v>6087</v>
      </c>
      <c r="G31" s="485">
        <v>4.0199999999999996</v>
      </c>
      <c r="I31" s="197"/>
      <c r="J31" s="197"/>
      <c r="K31" s="200"/>
      <c r="N31" s="197"/>
      <c r="O31" s="192"/>
      <c r="U31" s="1"/>
      <c r="W31" s="289" t="s">
        <v>0</v>
      </c>
      <c r="X31" s="248">
        <f>($T$23*G27*30*$J$16)/100</f>
        <v>21379.018500000002</v>
      </c>
      <c r="Y31" s="248">
        <f t="shared" ref="Y31:Y42" si="14">D29+$D$41</f>
        <v>23960</v>
      </c>
      <c r="Z31" s="248">
        <f t="shared" ref="Z31:Z42" si="15">D29</f>
        <v>23960</v>
      </c>
      <c r="AA31" s="1"/>
      <c r="AF31" s="290"/>
      <c r="AG31" s="438" t="s">
        <v>6231</v>
      </c>
      <c r="AH31" s="239">
        <f>W16</f>
        <v>0</v>
      </c>
      <c r="AJ31" s="327">
        <v>2029</v>
      </c>
      <c r="AK31" s="480">
        <f t="shared" si="12"/>
        <v>12441.276630527926</v>
      </c>
      <c r="AL31" s="480">
        <f t="shared" si="13"/>
        <v>149295.31956633512</v>
      </c>
      <c r="AM31" s="267"/>
      <c r="AN31" s="267"/>
      <c r="AO31" s="262">
        <v>17</v>
      </c>
      <c r="AP31" s="264">
        <f t="shared" si="10"/>
        <v>3030650.5805045245</v>
      </c>
      <c r="AQ31" s="264">
        <f t="shared" si="9"/>
        <v>402018.3735705869</v>
      </c>
      <c r="AR31" s="265">
        <f t="shared" si="11"/>
        <v>3432668.9540751115</v>
      </c>
      <c r="AS31" s="8"/>
      <c r="AT31" s="1"/>
      <c r="AU31" s="1"/>
      <c r="AV31" s="1"/>
      <c r="AW31" s="1"/>
      <c r="AX31" s="1"/>
      <c r="AY31" s="1"/>
      <c r="AZ31" s="1"/>
      <c r="FM31" s="446">
        <v>0.22</v>
      </c>
    </row>
    <row r="32" spans="1:169" ht="19.899999999999999" customHeight="1">
      <c r="B32" s="203"/>
      <c r="C32" s="485" t="s">
        <v>6086</v>
      </c>
      <c r="D32" s="485">
        <v>27540</v>
      </c>
      <c r="E32" s="205"/>
      <c r="F32" s="485" t="s">
        <v>6088</v>
      </c>
      <c r="G32" s="485">
        <v>3.9</v>
      </c>
      <c r="H32" s="204" t="s">
        <v>3815</v>
      </c>
      <c r="I32" s="197"/>
      <c r="J32" s="197"/>
      <c r="K32" s="200"/>
      <c r="N32" s="197"/>
      <c r="O32" s="192"/>
      <c r="U32" s="1"/>
      <c r="W32" s="289" t="s">
        <v>1</v>
      </c>
      <c r="X32" s="248">
        <f>($T$23*G28*30*$J$16)/100</f>
        <v>23578.506000000001</v>
      </c>
      <c r="Y32" s="248">
        <f t="shared" si="14"/>
        <v>24240</v>
      </c>
      <c r="Z32" s="248">
        <f t="shared" si="15"/>
        <v>24240</v>
      </c>
      <c r="AC32" s="291"/>
      <c r="AE32" s="279"/>
      <c r="AF32" s="276"/>
      <c r="AG32" s="475" t="s">
        <v>3863</v>
      </c>
      <c r="AH32" s="239">
        <f>D22</f>
        <v>69.61</v>
      </c>
      <c r="AI32" s="282"/>
      <c r="AJ32" s="48"/>
      <c r="AK32" s="481"/>
      <c r="AL32" s="481"/>
      <c r="AM32" s="267"/>
      <c r="AN32" s="267"/>
      <c r="AO32" s="262">
        <v>18</v>
      </c>
      <c r="AP32" s="264">
        <f t="shared" si="10"/>
        <v>3432668.9540751115</v>
      </c>
      <c r="AQ32" s="264">
        <f t="shared" si="9"/>
        <v>426139.47598482209</v>
      </c>
      <c r="AR32" s="265">
        <f t="shared" si="11"/>
        <v>3858808.4300599336</v>
      </c>
      <c r="AS32" s="8"/>
      <c r="AT32" s="1"/>
      <c r="AU32" s="1"/>
      <c r="AV32" s="1"/>
      <c r="AW32" s="1"/>
      <c r="AX32" s="1"/>
      <c r="AY32" s="1"/>
      <c r="AZ32" s="1"/>
      <c r="FM32" s="446">
        <v>0.23</v>
      </c>
    </row>
    <row r="33" spans="2:169" ht="19.899999999999999" customHeight="1">
      <c r="B33" s="203"/>
      <c r="C33" s="485" t="s">
        <v>6087</v>
      </c>
      <c r="D33" s="485">
        <v>23080</v>
      </c>
      <c r="E33" s="205"/>
      <c r="F33" s="485" t="s">
        <v>6089</v>
      </c>
      <c r="G33" s="485">
        <v>3.93</v>
      </c>
      <c r="H33" s="205"/>
      <c r="I33" s="197"/>
      <c r="J33" s="197"/>
      <c r="K33" s="200"/>
      <c r="L33" s="200"/>
      <c r="M33" s="200"/>
      <c r="N33" s="200"/>
      <c r="O33" s="200"/>
      <c r="P33" s="279"/>
      <c r="Q33" s="279"/>
      <c r="R33" s="279"/>
      <c r="S33" s="506" t="s">
        <v>5930</v>
      </c>
      <c r="T33" s="489" t="str">
        <f>G42&amp;" "&amp;G43</f>
        <v>Jinko 550</v>
      </c>
      <c r="U33" s="279"/>
      <c r="W33" s="289" t="s">
        <v>2</v>
      </c>
      <c r="X33" s="248">
        <f t="shared" ref="X33:X42" si="16">($T$23*G29*30*$J$16)/100</f>
        <v>21335.028749999994</v>
      </c>
      <c r="Y33" s="248">
        <f t="shared" si="14"/>
        <v>24280</v>
      </c>
      <c r="Z33" s="248">
        <f t="shared" si="15"/>
        <v>24280</v>
      </c>
      <c r="AE33" s="279"/>
      <c r="AF33" s="279"/>
      <c r="AG33" s="438" t="s">
        <v>3862</v>
      </c>
      <c r="AH33" s="239">
        <f>(AH25+AH26+AH31+AH27+AH28+AH32)</f>
        <v>19748.058143695122</v>
      </c>
      <c r="AI33" s="276"/>
      <c r="AJ33" s="481"/>
      <c r="AK33" s="482" t="s">
        <v>6345</v>
      </c>
      <c r="AL33" s="483" cm="1">
        <f t="array" ref="AL33">_xlfn.IFS($D$25=2023,AVERAGE(AL25:AL31),$D$25=2024,AVERAGE(AL26:AL31),$D$25=2025,AVERAGE(AL27:AL31),$D$25=2026,AVERAGE(AL28:AL31),$D$25=2027,AVERAGE(AL29:AL31),$D$25=2028,AVERAGE(AL30:AL31),$D$25=2029,AL31)</f>
        <v>149295.31956633509</v>
      </c>
      <c r="AM33" s="267"/>
      <c r="AN33" s="267"/>
      <c r="AO33" s="262">
        <v>19</v>
      </c>
      <c r="AP33" s="264">
        <f t="shared" si="10"/>
        <v>3858808.4300599336</v>
      </c>
      <c r="AQ33" s="264">
        <f t="shared" si="9"/>
        <v>451707.84454391146</v>
      </c>
      <c r="AR33" s="265">
        <f t="shared" si="11"/>
        <v>4310516.2746038446</v>
      </c>
      <c r="AS33" s="1"/>
      <c r="AT33" s="1"/>
      <c r="AU33" s="1"/>
      <c r="AV33" s="1"/>
      <c r="AW33" s="1"/>
      <c r="AX33" s="1"/>
      <c r="AY33" s="1"/>
      <c r="AZ33" s="1"/>
      <c r="FM33" s="447">
        <v>0.24</v>
      </c>
    </row>
    <row r="34" spans="2:169" ht="19.899999999999999" customHeight="1">
      <c r="B34" s="203"/>
      <c r="C34" s="485" t="s">
        <v>6088</v>
      </c>
      <c r="D34" s="485">
        <v>21360</v>
      </c>
      <c r="E34" s="205"/>
      <c r="F34" s="485" t="s">
        <v>6090</v>
      </c>
      <c r="G34" s="485">
        <v>4.84</v>
      </c>
      <c r="H34" s="205"/>
      <c r="I34" s="197"/>
      <c r="J34" s="197"/>
      <c r="K34" s="200"/>
      <c r="L34" s="197"/>
      <c r="M34" s="197"/>
      <c r="N34" s="197"/>
      <c r="O34" s="192"/>
      <c r="S34" s="506" t="s">
        <v>6243</v>
      </c>
      <c r="T34" s="489" t="str">
        <f>G42</f>
        <v>Jinko</v>
      </c>
      <c r="W34" s="289" t="s">
        <v>3</v>
      </c>
      <c r="X34" s="248">
        <f t="shared" si="16"/>
        <v>20499.2235</v>
      </c>
      <c r="Y34" s="248">
        <f t="shared" si="14"/>
        <v>27540</v>
      </c>
      <c r="Z34" s="248">
        <f t="shared" si="15"/>
        <v>27540</v>
      </c>
      <c r="AE34" s="292"/>
      <c r="AF34" s="279"/>
      <c r="AG34" s="279"/>
      <c r="AH34" s="279"/>
      <c r="AI34" s="279"/>
      <c r="AJ34" s="267"/>
      <c r="AK34" s="267"/>
      <c r="AL34" s="267"/>
      <c r="AM34" s="267"/>
      <c r="AN34" s="267"/>
      <c r="AO34" s="262">
        <v>20</v>
      </c>
      <c r="AP34" s="264">
        <f t="shared" si="10"/>
        <v>4310516.2746038446</v>
      </c>
      <c r="AQ34" s="264">
        <f t="shared" si="9"/>
        <v>478810.31521654612</v>
      </c>
      <c r="AR34" s="265">
        <f t="shared" si="11"/>
        <v>4789326.5898203906</v>
      </c>
      <c r="AS34" s="1"/>
      <c r="AT34" s="1"/>
      <c r="AU34" s="1"/>
      <c r="AV34" s="1"/>
      <c r="AW34" s="1"/>
      <c r="AX34" s="1"/>
      <c r="AY34" s="1"/>
      <c r="AZ34" s="1"/>
      <c r="FM34" s="446">
        <v>0.25</v>
      </c>
    </row>
    <row r="35" spans="2:169" ht="19.899999999999999" customHeight="1">
      <c r="B35" s="203"/>
      <c r="C35" s="485" t="s">
        <v>6089</v>
      </c>
      <c r="D35" s="485">
        <v>22680</v>
      </c>
      <c r="E35" s="205"/>
      <c r="F35" s="485" t="s">
        <v>6091</v>
      </c>
      <c r="G35" s="485">
        <v>4.4800000000000004</v>
      </c>
      <c r="H35" s="205"/>
      <c r="K35" s="200"/>
      <c r="L35" s="200"/>
      <c r="M35" s="200"/>
      <c r="N35" s="200"/>
      <c r="S35" s="506" t="s">
        <v>6001</v>
      </c>
      <c r="T35" s="512" t="str">
        <f>CONCATENATE($G$42,$G$43,$G$44,$G$45)</f>
        <v>Jinko550MonoHalfcell</v>
      </c>
      <c r="W35" s="289" t="s">
        <v>4</v>
      </c>
      <c r="X35" s="248">
        <f t="shared" si="16"/>
        <v>17683.879499999995</v>
      </c>
      <c r="Y35" s="248">
        <f t="shared" si="14"/>
        <v>23080</v>
      </c>
      <c r="Z35" s="248">
        <f t="shared" si="15"/>
        <v>23080</v>
      </c>
      <c r="AE35" s="293"/>
      <c r="AF35" s="279"/>
      <c r="AG35" s="279"/>
      <c r="AH35" s="279"/>
      <c r="AI35" s="279"/>
      <c r="AJ35" s="267"/>
      <c r="AK35" s="267"/>
      <c r="AL35" s="267"/>
      <c r="AM35" s="267"/>
      <c r="AN35" s="267"/>
      <c r="AO35" s="262">
        <v>21</v>
      </c>
      <c r="AP35" s="264">
        <f t="shared" si="10"/>
        <v>4789326.5898203906</v>
      </c>
      <c r="AQ35" s="264">
        <f t="shared" si="9"/>
        <v>507538.934129539</v>
      </c>
      <c r="AR35" s="265">
        <f t="shared" si="11"/>
        <v>5296865.5239499295</v>
      </c>
      <c r="AS35" s="1"/>
      <c r="AT35" s="1"/>
      <c r="AU35" s="1"/>
      <c r="AV35" s="1"/>
      <c r="AW35" s="1"/>
      <c r="AX35" s="1"/>
      <c r="AY35" s="1"/>
      <c r="AZ35" s="1"/>
      <c r="FM35" s="446">
        <v>0.26</v>
      </c>
    </row>
    <row r="36" spans="2:169" ht="19.899999999999999" customHeight="1">
      <c r="B36" s="206"/>
      <c r="C36" s="485" t="s">
        <v>6090</v>
      </c>
      <c r="D36" s="485">
        <v>24000</v>
      </c>
      <c r="E36" s="205"/>
      <c r="F36" s="485" t="s">
        <v>6092</v>
      </c>
      <c r="G36" s="485">
        <v>4.66</v>
      </c>
      <c r="H36" s="205"/>
      <c r="K36" s="200"/>
      <c r="L36" s="200"/>
      <c r="M36" s="200"/>
      <c r="N36" s="200"/>
      <c r="S36" s="506" t="s">
        <v>6130</v>
      </c>
      <c r="T36" s="489" t="str">
        <f>VLOOKUP($T$35,'Módulos '!B:S,2,0)</f>
        <v>JKM550N-72HL4</v>
      </c>
      <c r="W36" s="289" t="s">
        <v>5</v>
      </c>
      <c r="X36" s="248">
        <f t="shared" si="16"/>
        <v>17156.002499999999</v>
      </c>
      <c r="Y36" s="248">
        <f t="shared" si="14"/>
        <v>21360</v>
      </c>
      <c r="Z36" s="248">
        <f t="shared" si="15"/>
        <v>21360</v>
      </c>
      <c r="AF36" s="279"/>
      <c r="AG36" s="279"/>
      <c r="AH36" s="279"/>
      <c r="AI36" s="279"/>
      <c r="AJ36" s="267"/>
      <c r="AK36" s="267"/>
      <c r="AL36" s="267"/>
      <c r="AM36" s="267"/>
      <c r="AN36" s="267"/>
      <c r="AO36" s="262">
        <v>22</v>
      </c>
      <c r="AP36" s="264">
        <f t="shared" si="10"/>
        <v>5296865.5239499295</v>
      </c>
      <c r="AQ36" s="264">
        <f t="shared" si="9"/>
        <v>537991.27017731138</v>
      </c>
      <c r="AR36" s="265">
        <f t="shared" si="11"/>
        <v>5834856.7941272408</v>
      </c>
      <c r="AS36" s="1"/>
      <c r="AT36" s="1"/>
      <c r="AU36" s="1"/>
      <c r="AV36" s="1"/>
      <c r="AW36" s="1"/>
      <c r="AX36" s="1"/>
      <c r="AY36" s="1"/>
      <c r="AZ36" s="1"/>
      <c r="FM36" s="447">
        <v>0.27</v>
      </c>
    </row>
    <row r="37" spans="2:169" ht="19.899999999999999" customHeight="1">
      <c r="B37" s="206"/>
      <c r="C37" s="485" t="s">
        <v>6091</v>
      </c>
      <c r="D37" s="485">
        <v>19720</v>
      </c>
      <c r="E37" s="205"/>
      <c r="F37" s="485" t="s">
        <v>6093</v>
      </c>
      <c r="G37" s="485">
        <v>4.72</v>
      </c>
      <c r="H37" s="205"/>
      <c r="K37" s="200"/>
      <c r="L37" s="200"/>
      <c r="M37" s="200"/>
      <c r="N37" s="200"/>
      <c r="S37" s="506" t="s">
        <v>5917</v>
      </c>
      <c r="T37" s="488">
        <f>VLOOKUP($T$35,'Módulos '!B:S,3,0)</f>
        <v>550</v>
      </c>
      <c r="W37" s="289" t="s">
        <v>6</v>
      </c>
      <c r="X37" s="248">
        <f t="shared" si="16"/>
        <v>17287.971750000001</v>
      </c>
      <c r="Y37" s="248">
        <f t="shared" si="14"/>
        <v>22680</v>
      </c>
      <c r="Z37" s="248">
        <f t="shared" si="15"/>
        <v>22680</v>
      </c>
      <c r="AF37" s="279"/>
      <c r="AG37" s="279"/>
      <c r="AH37" s="279"/>
      <c r="AI37" s="279"/>
      <c r="AJ37" s="267"/>
      <c r="AK37" s="267"/>
      <c r="AL37" s="267"/>
      <c r="AM37" s="267"/>
      <c r="AN37" s="267"/>
      <c r="AO37" s="262">
        <v>23</v>
      </c>
      <c r="AP37" s="264">
        <f t="shared" si="10"/>
        <v>5834856.7941272408</v>
      </c>
      <c r="AQ37" s="264">
        <f t="shared" si="9"/>
        <v>570270.74638795014</v>
      </c>
      <c r="AR37" s="265">
        <f t="shared" si="11"/>
        <v>6405127.5405151909</v>
      </c>
      <c r="AS37" s="1"/>
      <c r="AT37" s="1"/>
      <c r="AU37" s="1"/>
      <c r="AV37" s="1"/>
      <c r="AW37" s="1"/>
      <c r="AX37" s="1"/>
      <c r="AY37" s="1"/>
      <c r="AZ37" s="1"/>
      <c r="FM37" s="446">
        <v>0.28000000000000003</v>
      </c>
    </row>
    <row r="38" spans="2:169" ht="19.899999999999999" customHeight="1" thickBot="1">
      <c r="B38" s="207"/>
      <c r="C38" s="485" t="s">
        <v>6092</v>
      </c>
      <c r="D38" s="485">
        <v>20720</v>
      </c>
      <c r="E38" s="205"/>
      <c r="F38" s="485" t="s">
        <v>6094</v>
      </c>
      <c r="G38" s="485">
        <v>5.16</v>
      </c>
      <c r="H38" s="205"/>
      <c r="K38" s="200"/>
      <c r="L38" s="197"/>
      <c r="M38" s="197"/>
      <c r="N38" s="197"/>
      <c r="Q38" s="253"/>
      <c r="R38" s="1"/>
      <c r="S38" s="506" t="s">
        <v>5923</v>
      </c>
      <c r="T38" s="489">
        <f>VLOOKUP($T$35,'Módulos '!B:S,4,0)</f>
        <v>40.9</v>
      </c>
      <c r="W38" s="289" t="s">
        <v>7</v>
      </c>
      <c r="X38" s="248">
        <f t="shared" si="16"/>
        <v>21291.039000000001</v>
      </c>
      <c r="Y38" s="248">
        <f t="shared" si="14"/>
        <v>24000</v>
      </c>
      <c r="Z38" s="248">
        <f t="shared" si="15"/>
        <v>24000</v>
      </c>
      <c r="AF38" s="279"/>
      <c r="AG38" s="279"/>
      <c r="AH38" s="279"/>
      <c r="AI38" s="279"/>
      <c r="AJ38" s="267"/>
      <c r="AK38" s="267"/>
      <c r="AL38" s="267"/>
      <c r="AM38" s="267"/>
      <c r="AN38" s="267"/>
      <c r="AO38" s="262">
        <v>24</v>
      </c>
      <c r="AP38" s="264">
        <f t="shared" si="10"/>
        <v>6405127.5405151909</v>
      </c>
      <c r="AQ38" s="264">
        <f t="shared" si="9"/>
        <v>604486.99117122707</v>
      </c>
      <c r="AR38" s="265">
        <f t="shared" si="11"/>
        <v>7009614.5316864178</v>
      </c>
      <c r="AS38" s="1"/>
      <c r="AT38" s="1"/>
      <c r="AU38" s="1"/>
      <c r="AV38" s="1"/>
      <c r="AW38" s="1"/>
      <c r="AX38" s="1"/>
      <c r="AY38" s="1"/>
      <c r="AZ38" s="1"/>
      <c r="FM38" s="446">
        <v>0.28999999999999998</v>
      </c>
    </row>
    <row r="39" spans="2:169" ht="19.899999999999999" customHeight="1" thickTop="1" thickBot="1">
      <c r="B39" s="208"/>
      <c r="C39" s="485" t="s">
        <v>6093</v>
      </c>
      <c r="D39" s="485">
        <v>22800</v>
      </c>
      <c r="E39" s="205"/>
      <c r="F39" s="490"/>
      <c r="G39" s="490"/>
      <c r="H39" s="205"/>
      <c r="K39" s="200"/>
      <c r="L39" s="197"/>
      <c r="M39" s="197"/>
      <c r="N39" s="197"/>
      <c r="O39" s="192"/>
      <c r="Q39" s="256"/>
      <c r="R39" s="1"/>
      <c r="S39" s="506" t="s">
        <v>5924</v>
      </c>
      <c r="T39" s="489">
        <f>VLOOKUP($T$35,'Módulos '!B:S,5,0)</f>
        <v>13.45</v>
      </c>
      <c r="W39" s="289" t="s">
        <v>8</v>
      </c>
      <c r="X39" s="248">
        <f t="shared" si="16"/>
        <v>19707.407999999999</v>
      </c>
      <c r="Y39" s="248">
        <f t="shared" si="14"/>
        <v>19720</v>
      </c>
      <c r="Z39" s="248">
        <f t="shared" si="15"/>
        <v>19720</v>
      </c>
      <c r="AC39" s="294" t="s">
        <v>5839</v>
      </c>
      <c r="AD39" s="295">
        <f>D45</f>
        <v>24492.633794347559</v>
      </c>
      <c r="AF39" s="279"/>
      <c r="AG39" s="279"/>
      <c r="AH39" s="279"/>
      <c r="AI39" s="279"/>
      <c r="AK39" s="267"/>
      <c r="AL39" s="267"/>
      <c r="AM39" s="267"/>
      <c r="AN39" s="267"/>
      <c r="AO39" s="296">
        <v>25</v>
      </c>
      <c r="AP39" s="297">
        <f t="shared" si="10"/>
        <v>7009614.5316864178</v>
      </c>
      <c r="AQ39" s="297">
        <f t="shared" si="9"/>
        <v>640756.21064150066</v>
      </c>
      <c r="AR39" s="298">
        <f t="shared" ref="AR39" si="17">AQ39+AR38</f>
        <v>7650370.7423279183</v>
      </c>
      <c r="AS39" s="1"/>
      <c r="AT39" s="1"/>
      <c r="AU39" s="1"/>
      <c r="AV39" s="1"/>
      <c r="AW39" s="1"/>
      <c r="AX39" s="1"/>
      <c r="AY39" s="1"/>
      <c r="AZ39" s="1"/>
      <c r="FM39" s="447">
        <v>0.3</v>
      </c>
    </row>
    <row r="40" spans="2:169" ht="19.899999999999999" customHeight="1">
      <c r="B40" s="209"/>
      <c r="C40" s="485" t="s">
        <v>6094</v>
      </c>
      <c r="D40" s="485">
        <v>24920</v>
      </c>
      <c r="E40" s="205"/>
      <c r="F40" s="490"/>
      <c r="G40" s="490"/>
      <c r="H40" s="205"/>
      <c r="K40" s="200"/>
      <c r="L40" s="200"/>
      <c r="M40" s="200"/>
      <c r="N40" s="200"/>
      <c r="Q40" s="261"/>
      <c r="S40" s="506" t="s">
        <v>5925</v>
      </c>
      <c r="T40" s="489">
        <f>VLOOKUP($T$35,'Módulos '!B:S,6,0)</f>
        <v>49.62</v>
      </c>
      <c r="W40" s="289" t="s">
        <v>9</v>
      </c>
      <c r="X40" s="248">
        <f t="shared" si="16"/>
        <v>20499.2235</v>
      </c>
      <c r="Y40" s="248">
        <f t="shared" si="14"/>
        <v>20720</v>
      </c>
      <c r="Z40" s="248">
        <f t="shared" si="15"/>
        <v>20720</v>
      </c>
      <c r="AC40" s="294"/>
      <c r="AD40" s="295"/>
      <c r="AF40" s="279"/>
      <c r="AG40" s="279"/>
      <c r="AH40" s="279"/>
      <c r="AI40" s="279"/>
      <c r="AK40" s="267"/>
      <c r="AL40" s="267"/>
      <c r="AM40" s="267"/>
      <c r="AN40" s="267"/>
      <c r="AO40" s="262">
        <v>26</v>
      </c>
      <c r="AP40" s="299">
        <f t="shared" si="10"/>
        <v>7650370.7423279183</v>
      </c>
      <c r="AQ40" s="264">
        <f t="shared" si="9"/>
        <v>679201.58327999071</v>
      </c>
      <c r="AR40" s="300">
        <f t="shared" ref="AR40:AR103" si="18">AQ40+AR39</f>
        <v>8329572.3256079089</v>
      </c>
      <c r="FM40" s="446">
        <v>0.31</v>
      </c>
    </row>
    <row r="41" spans="2:169" ht="19.899999999999999" customHeight="1">
      <c r="C41" s="485" t="s">
        <v>3860</v>
      </c>
      <c r="D41" s="485"/>
      <c r="F41" s="490"/>
      <c r="G41" s="491"/>
      <c r="H41" s="205"/>
      <c r="K41" s="197"/>
      <c r="L41" s="200"/>
      <c r="M41" s="200"/>
      <c r="N41" s="200"/>
      <c r="Q41" s="266"/>
      <c r="S41" s="506" t="s">
        <v>5926</v>
      </c>
      <c r="T41" s="489">
        <f>VLOOKUP($T$35,'Módulos '!B:S,7,0)</f>
        <v>14.03</v>
      </c>
      <c r="W41" s="289" t="s">
        <v>10</v>
      </c>
      <c r="X41" s="248">
        <f t="shared" si="16"/>
        <v>20763.161999999997</v>
      </c>
      <c r="Y41" s="248">
        <f t="shared" si="14"/>
        <v>22800</v>
      </c>
      <c r="Z41" s="248">
        <f t="shared" si="15"/>
        <v>22800</v>
      </c>
      <c r="AC41" s="294" t="s">
        <v>5963</v>
      </c>
      <c r="AD41" s="295">
        <f>AD39/30</f>
        <v>816.42112647825195</v>
      </c>
      <c r="AF41" s="279"/>
      <c r="AG41" s="279"/>
      <c r="AH41" s="279"/>
      <c r="AI41" s="279"/>
      <c r="AK41" s="267"/>
      <c r="AL41" s="267"/>
      <c r="AM41" s="267"/>
      <c r="AN41" s="267"/>
      <c r="AO41" s="262">
        <v>27</v>
      </c>
      <c r="AP41" s="299">
        <f t="shared" si="10"/>
        <v>8329572.3256079089</v>
      </c>
      <c r="AQ41" s="264">
        <f t="shared" si="9"/>
        <v>719953.67827679031</v>
      </c>
      <c r="AR41" s="300">
        <f t="shared" si="18"/>
        <v>9049526.0038846992</v>
      </c>
      <c r="FM41" s="446">
        <v>0.32</v>
      </c>
    </row>
    <row r="42" spans="2:169" ht="19.899999999999999" customHeight="1" thickBot="1">
      <c r="C42" s="490"/>
      <c r="D42" s="490"/>
      <c r="E42" s="205"/>
      <c r="F42" s="485" t="s">
        <v>5927</v>
      </c>
      <c r="G42" s="492" t="s">
        <v>6036</v>
      </c>
      <c r="N42" s="192"/>
      <c r="Q42" s="268"/>
      <c r="S42" s="506" t="s">
        <v>6131</v>
      </c>
      <c r="T42" s="513">
        <f>VLOOKUP($T$35,'Módulos '!B:S,8,0)</f>
        <v>0.21329999999999999</v>
      </c>
      <c r="W42" s="289" t="s">
        <v>11</v>
      </c>
      <c r="X42" s="248">
        <f t="shared" si="16"/>
        <v>22698.710999999999</v>
      </c>
      <c r="Y42" s="248">
        <f t="shared" si="14"/>
        <v>24920</v>
      </c>
      <c r="Z42" s="248">
        <f t="shared" si="15"/>
        <v>24920</v>
      </c>
      <c r="AC42" s="294" t="s">
        <v>5937</v>
      </c>
      <c r="AD42" s="295">
        <f>W23</f>
        <v>3.7218720000000003</v>
      </c>
      <c r="AF42" s="279"/>
      <c r="AG42" s="279"/>
      <c r="AH42" s="279"/>
      <c r="AI42" s="279"/>
      <c r="AK42" s="267"/>
      <c r="AL42" s="267"/>
      <c r="AM42" s="267"/>
      <c r="AN42" s="267"/>
      <c r="AO42" s="262">
        <v>28</v>
      </c>
      <c r="AP42" s="299">
        <f t="shared" si="10"/>
        <v>9049526.0038846992</v>
      </c>
      <c r="AQ42" s="264">
        <f t="shared" si="9"/>
        <v>763150.89897339779</v>
      </c>
      <c r="AR42" s="300">
        <f t="shared" si="18"/>
        <v>9812676.9028580971</v>
      </c>
      <c r="FM42" s="447">
        <v>0.33</v>
      </c>
    </row>
    <row r="43" spans="2:169" ht="19.899999999999999" customHeight="1" thickTop="1">
      <c r="C43" s="496" t="s">
        <v>5840</v>
      </c>
      <c r="D43" s="504">
        <f>SUM(D29:D40)</f>
        <v>279300</v>
      </c>
      <c r="E43" s="205"/>
      <c r="F43" s="485" t="s">
        <v>5929</v>
      </c>
      <c r="G43" s="493">
        <v>550</v>
      </c>
      <c r="S43" s="506" t="s">
        <v>5919</v>
      </c>
      <c r="T43" s="513">
        <f>VLOOKUP($T$35,'Módulos '!B:S,9,0)</f>
        <v>-3.5000000000000001E-3</v>
      </c>
      <c r="AC43" s="294" t="s">
        <v>5936</v>
      </c>
      <c r="AD43" s="301">
        <f>AD41/AD42</f>
        <v>219.35765831770999</v>
      </c>
      <c r="AF43" s="279"/>
      <c r="AG43" s="279"/>
      <c r="AH43" s="279"/>
      <c r="AI43" s="279"/>
      <c r="AO43" s="262">
        <v>29</v>
      </c>
      <c r="AP43" s="299">
        <f t="shared" si="10"/>
        <v>9812676.9028580971</v>
      </c>
      <c r="AQ43" s="264">
        <f t="shared" si="9"/>
        <v>808939.95291180175</v>
      </c>
      <c r="AR43" s="300">
        <f t="shared" si="18"/>
        <v>10621616.855769899</v>
      </c>
      <c r="FM43" s="446">
        <v>0.34</v>
      </c>
    </row>
    <row r="44" spans="2:169" ht="19.899999999999999" customHeight="1">
      <c r="C44" s="496" t="s">
        <v>6195</v>
      </c>
      <c r="D44" s="505">
        <f>IFERROR(AVERAGE(D29:D40),0)</f>
        <v>23275</v>
      </c>
      <c r="F44" s="485" t="s">
        <v>6126</v>
      </c>
      <c r="G44" s="493" t="s">
        <v>6127</v>
      </c>
      <c r="H44" s="205"/>
      <c r="M44" s="192"/>
      <c r="S44" s="506" t="s">
        <v>5920</v>
      </c>
      <c r="T44" s="513">
        <f>VLOOKUP($T$35,'Módulos '!B:S,10,0)</f>
        <v>-2.8E-3</v>
      </c>
      <c r="W44" s="289" t="s">
        <v>3808</v>
      </c>
      <c r="X44" s="248">
        <f>AVERAGE(X31:X42)</f>
        <v>20323.264500000001</v>
      </c>
      <c r="Y44" s="248">
        <f>AVERAGEIF(Y31:Y42,"&gt;0",Y31:Y42)+D41</f>
        <v>23275</v>
      </c>
      <c r="Z44" s="248">
        <f>AVERAGEIF(Z31:Z42,"&gt;0",Z31:Z42)</f>
        <v>23275</v>
      </c>
      <c r="AC44" s="294" t="s">
        <v>5956</v>
      </c>
      <c r="AD44" s="302">
        <f>AD43/AD56</f>
        <v>222.02192137420039</v>
      </c>
      <c r="AF44" s="279"/>
      <c r="AG44" s="279"/>
      <c r="AH44" s="279"/>
      <c r="AI44" s="279"/>
      <c r="AO44" s="262">
        <v>30</v>
      </c>
      <c r="AP44" s="299">
        <f t="shared" si="10"/>
        <v>10621616.855769899</v>
      </c>
      <c r="AQ44" s="264">
        <f t="shared" si="9"/>
        <v>857476.35008650983</v>
      </c>
      <c r="AR44" s="300">
        <f t="shared" si="18"/>
        <v>11479093.205856409</v>
      </c>
      <c r="FM44" s="446">
        <v>0.35</v>
      </c>
    </row>
    <row r="45" spans="2:169" ht="19.899999999999999" customHeight="1">
      <c r="C45" s="186" t="s">
        <v>3858</v>
      </c>
      <c r="D45" s="219">
        <f>((D44+D41)/(J16))*D18</f>
        <v>24492.633794347559</v>
      </c>
      <c r="F45" s="494" t="s">
        <v>6128</v>
      </c>
      <c r="G45" s="493" t="s">
        <v>6129</v>
      </c>
      <c r="H45" s="210"/>
      <c r="S45" s="506" t="s">
        <v>5921</v>
      </c>
      <c r="T45" s="514">
        <f>VLOOKUP($T$35,'Módulos '!B:S,11,0)</f>
        <v>4.8000000000000001E-4</v>
      </c>
      <c r="W45" s="289" t="s">
        <v>3809</v>
      </c>
      <c r="X45" s="248">
        <f>SUM(X31:X42)</f>
        <v>243879.174</v>
      </c>
      <c r="Y45" s="248">
        <f>Y44*12</f>
        <v>279300</v>
      </c>
      <c r="Z45" s="248">
        <f>Z44*12</f>
        <v>279300</v>
      </c>
      <c r="AC45" s="294" t="s">
        <v>5938</v>
      </c>
      <c r="AD45" s="303">
        <f>_xlfn.CEILING.MATH(AD43*1.2,0.01)</f>
        <v>263.23</v>
      </c>
      <c r="AF45" s="279"/>
      <c r="AG45" s="279"/>
      <c r="AH45" s="279"/>
      <c r="AI45" s="279"/>
      <c r="AO45" s="262">
        <v>31</v>
      </c>
      <c r="AP45" s="299">
        <f t="shared" si="10"/>
        <v>11479093.205856409</v>
      </c>
      <c r="AQ45" s="264">
        <f t="shared" si="9"/>
        <v>908924.93109170068</v>
      </c>
      <c r="AR45" s="300">
        <f t="shared" si="18"/>
        <v>12388018.136948109</v>
      </c>
      <c r="FM45" s="447">
        <v>0.36</v>
      </c>
    </row>
    <row r="46" spans="2:169" ht="19.899999999999999" customHeight="1">
      <c r="C46" s="186" t="s">
        <v>6196</v>
      </c>
      <c r="D46" s="220">
        <f>D45</f>
        <v>24492.633794347559</v>
      </c>
      <c r="E46" s="211"/>
      <c r="F46" s="485" t="s">
        <v>5934</v>
      </c>
      <c r="G46" s="493">
        <v>26</v>
      </c>
      <c r="H46" s="192"/>
      <c r="I46" s="192"/>
      <c r="S46" s="506" t="s">
        <v>6134</v>
      </c>
      <c r="T46" s="515">
        <f>VLOOKUP($T$35,'Módulos '!B:S,15,0)</f>
        <v>2.578716</v>
      </c>
      <c r="AC46" s="294" t="s">
        <v>6038</v>
      </c>
      <c r="AD46" s="304">
        <f>G54</f>
        <v>2</v>
      </c>
      <c r="AF46" s="279"/>
      <c r="AG46" s="279"/>
      <c r="AH46" s="279"/>
      <c r="AI46" s="279"/>
      <c r="AO46" s="262">
        <v>32</v>
      </c>
      <c r="AP46" s="299">
        <f t="shared" si="10"/>
        <v>12388018.136948109</v>
      </c>
      <c r="AQ46" s="264">
        <f t="shared" si="9"/>
        <v>963460.42695720249</v>
      </c>
      <c r="AR46" s="300">
        <f t="shared" si="18"/>
        <v>13351478.563905312</v>
      </c>
      <c r="FM46" s="446">
        <v>0.37</v>
      </c>
    </row>
    <row r="47" spans="2:169" ht="19.899999999999999" customHeight="1">
      <c r="C47" s="186" t="s">
        <v>6197</v>
      </c>
      <c r="D47" s="221">
        <f>D46/1.3</f>
        <v>18840.487534113505</v>
      </c>
      <c r="F47" s="490"/>
      <c r="G47" s="495"/>
      <c r="H47" s="192"/>
      <c r="I47" s="192"/>
      <c r="S47" s="506" t="s">
        <v>6132</v>
      </c>
      <c r="T47" s="515">
        <f>VLOOKUP($T$35,'Módulos '!B:S,18,0)</f>
        <v>28</v>
      </c>
      <c r="AC47" s="294"/>
      <c r="AD47" s="305"/>
      <c r="AO47" s="262">
        <v>33</v>
      </c>
      <c r="AP47" s="299">
        <f t="shared" si="10"/>
        <v>13351478.563905312</v>
      </c>
      <c r="AQ47" s="264">
        <f t="shared" ref="AQ47:AQ78" si="19">$AP$10*(1+$AR$11)^AO47</f>
        <v>1021268.0525746347</v>
      </c>
      <c r="AR47" s="300">
        <f t="shared" si="18"/>
        <v>14372746.616479946</v>
      </c>
      <c r="FM47" s="446">
        <v>0.38</v>
      </c>
    </row>
    <row r="48" spans="2:169" ht="24.6" customHeight="1">
      <c r="F48" s="490"/>
      <c r="G48" s="495"/>
      <c r="H48" s="192"/>
      <c r="I48" s="192"/>
      <c r="S48" s="506" t="s">
        <v>5932</v>
      </c>
      <c r="T48" s="488">
        <f>T37*(1+($G$46*T43))</f>
        <v>499.95</v>
      </c>
      <c r="U48" s="306"/>
      <c r="AC48" s="532" t="s">
        <v>5939</v>
      </c>
      <c r="AD48" s="533"/>
      <c r="AO48" s="262">
        <v>34</v>
      </c>
      <c r="AP48" s="299">
        <f t="shared" si="10"/>
        <v>14372746.616479946</v>
      </c>
      <c r="AQ48" s="264">
        <f t="shared" si="19"/>
        <v>1082544.1357291129</v>
      </c>
      <c r="AR48" s="300">
        <f t="shared" si="18"/>
        <v>15455290.75220906</v>
      </c>
      <c r="FM48" s="447">
        <v>0.39</v>
      </c>
    </row>
    <row r="49" spans="3:169" ht="19.899999999999999" customHeight="1">
      <c r="F49" s="485" t="s">
        <v>5941</v>
      </c>
      <c r="G49" s="485" t="s">
        <v>5969</v>
      </c>
      <c r="H49" s="192"/>
      <c r="I49" s="192"/>
      <c r="S49" s="506" t="s">
        <v>5935</v>
      </c>
      <c r="T49" s="488">
        <f>T40*(1+($G$46*T44))</f>
        <v>46.007663999999998</v>
      </c>
      <c r="U49" s="306"/>
      <c r="V49" s="8"/>
      <c r="AC49" s="294" t="s">
        <v>5940</v>
      </c>
      <c r="AD49" s="303" t="str">
        <f>G49</f>
        <v>Growatt</v>
      </c>
      <c r="AO49" s="262">
        <v>35</v>
      </c>
      <c r="AP49" s="299">
        <f t="shared" si="10"/>
        <v>15455290.75220906</v>
      </c>
      <c r="AQ49" s="264">
        <f t="shared" si="19"/>
        <v>1147496.7838728598</v>
      </c>
      <c r="AR49" s="300">
        <f t="shared" si="18"/>
        <v>16602787.536081919</v>
      </c>
      <c r="FM49" s="446">
        <v>0.4</v>
      </c>
    </row>
    <row r="50" spans="3:169" ht="19.899999999999999" customHeight="1">
      <c r="C50" s="184"/>
      <c r="D50" s="184"/>
      <c r="F50" s="485" t="s">
        <v>5976</v>
      </c>
      <c r="G50" s="485" t="s">
        <v>6037</v>
      </c>
      <c r="H50" s="192"/>
      <c r="I50" s="192"/>
      <c r="S50" s="506" t="s">
        <v>5933</v>
      </c>
      <c r="T50" s="489">
        <f>T41*(1+($G$46*T45))</f>
        <v>14.2050944</v>
      </c>
      <c r="U50" s="306"/>
      <c r="V50" s="1"/>
      <c r="AC50" s="294" t="s">
        <v>6000</v>
      </c>
      <c r="AD50" s="307" t="str">
        <f>CONCATENATE($G$52,$G$49,G53,$G$50,$G$51)</f>
        <v>InversorGrowatt75Trifasico7S</v>
      </c>
      <c r="AO50" s="262">
        <v>36</v>
      </c>
      <c r="AP50" s="299">
        <f t="shared" si="10"/>
        <v>16602787.536081919</v>
      </c>
      <c r="AQ50" s="264">
        <f t="shared" si="19"/>
        <v>1216346.5909052314</v>
      </c>
      <c r="AR50" s="300">
        <f t="shared" si="18"/>
        <v>17819134.126987152</v>
      </c>
      <c r="FM50" s="446">
        <v>0.41</v>
      </c>
    </row>
    <row r="51" spans="3:169" ht="19.899999999999999" customHeight="1" thickBot="1">
      <c r="C51" s="184"/>
      <c r="D51" s="184"/>
      <c r="F51" s="485" t="s">
        <v>5975</v>
      </c>
      <c r="G51" s="485" t="s">
        <v>6277</v>
      </c>
      <c r="Q51" s="253"/>
      <c r="R51" s="1"/>
      <c r="U51" s="229"/>
      <c r="W51" s="235" t="s">
        <v>5952</v>
      </c>
      <c r="X51" s="304">
        <f>_xlfn.CEILING.MATH((AD44*1000)/T48,1)</f>
        <v>445</v>
      </c>
      <c r="Z51" s="534" t="s">
        <v>6039</v>
      </c>
      <c r="AA51" s="534"/>
      <c r="AC51" s="294" t="s">
        <v>5972</v>
      </c>
      <c r="AD51" s="303" t="str">
        <f>VLOOKUP(AD50,Inversores!D:N,3,0)</f>
        <v>MAX75KTL3-LV</v>
      </c>
      <c r="AO51" s="262">
        <v>37</v>
      </c>
      <c r="AP51" s="299">
        <f t="shared" si="10"/>
        <v>17819134.126987152</v>
      </c>
      <c r="AQ51" s="264">
        <f t="shared" si="19"/>
        <v>1289327.3863595454</v>
      </c>
      <c r="AR51" s="300">
        <f t="shared" si="18"/>
        <v>19108461.513346698</v>
      </c>
      <c r="FM51" s="447">
        <v>0.42</v>
      </c>
    </row>
    <row r="52" spans="3:169" ht="19.899999999999999" customHeight="1" thickTop="1" thickBot="1">
      <c r="C52" s="186" t="s">
        <v>5912</v>
      </c>
      <c r="D52" s="222">
        <f>D45</f>
        <v>24492.633794347559</v>
      </c>
      <c r="F52" s="485" t="s">
        <v>5977</v>
      </c>
      <c r="G52" s="485" t="s">
        <v>5981</v>
      </c>
      <c r="Q52" s="256"/>
      <c r="R52" s="1"/>
      <c r="U52" s="8"/>
      <c r="W52" s="235" t="s">
        <v>5953</v>
      </c>
      <c r="X52" s="304">
        <f>_xlfn.CEILING.MATH(AD54/T38,1)</f>
        <v>7</v>
      </c>
      <c r="Y52" s="1"/>
      <c r="Z52" s="287" t="s">
        <v>6255</v>
      </c>
      <c r="AA52" s="304">
        <f>ROUNDDOWN(AD60*1.2,0.5)</f>
        <v>144</v>
      </c>
      <c r="AB52" s="1"/>
      <c r="AC52" s="294" t="s">
        <v>6205</v>
      </c>
      <c r="AD52" s="303">
        <f>VLOOKUP(AD50,Inversores!D:N,4,0)</f>
        <v>75</v>
      </c>
      <c r="AE52" s="1"/>
      <c r="AF52" s="1"/>
      <c r="AG52" s="1"/>
      <c r="AJ52" s="1"/>
      <c r="AO52" s="262">
        <v>38</v>
      </c>
      <c r="AP52" s="299">
        <f t="shared" si="10"/>
        <v>19108461.513346698</v>
      </c>
      <c r="AQ52" s="264">
        <f t="shared" si="19"/>
        <v>1366687.0295411183</v>
      </c>
      <c r="AR52" s="300">
        <f t="shared" si="18"/>
        <v>20475148.542887818</v>
      </c>
      <c r="FM52" s="446">
        <v>0.43</v>
      </c>
    </row>
    <row r="53" spans="3:169" ht="19.899999999999999" customHeight="1" thickBot="1">
      <c r="C53" s="186" t="s">
        <v>5911</v>
      </c>
      <c r="D53" s="223">
        <f>W11</f>
        <v>100</v>
      </c>
      <c r="F53" s="494" t="s">
        <v>6203</v>
      </c>
      <c r="G53" s="485">
        <v>75</v>
      </c>
      <c r="I53" s="213" t="s">
        <v>6268</v>
      </c>
      <c r="J53" s="214">
        <f>AD45</f>
        <v>263.23</v>
      </c>
      <c r="Q53" s="261"/>
      <c r="U53" s="1"/>
      <c r="W53" s="235" t="s">
        <v>5954</v>
      </c>
      <c r="X53" s="304">
        <f>INT(ROUNDDOWN(AD55/T38,1))</f>
        <v>24</v>
      </c>
      <c r="Y53" s="308"/>
      <c r="Z53" s="287" t="s">
        <v>6256</v>
      </c>
      <c r="AA53" s="304" cm="1">
        <f t="array" ref="AA53">_xlfn.IFS(AA52&lt;10,10,AND(AA52&gt;=10,AA52&lt;16),16,AND(AA52&gt;=16,AA52&lt;20),20,AND(AA52&gt;=20,AA52&lt;25),25,AND(AA52&gt;=25,AA52&lt;32),32,AND(AA52&gt;=32,AA52&lt;=40),40,AND(AA52&gt;40,AA52&lt;50),50,AND(AA52&gt;=50,AA52&lt;63),63,AND(AA52&gt;=63,AA52&lt;80),80,AND(AA52&gt;=80,AA52&lt;90),90,AND(AA52&gt;=90,AA52&lt;100),100,AND(AA52&gt;=100,AA52&lt;125),125,AND(AA52&gt;=125,AA52&lt;150),150,AND(AA52&gt;=150,AA52&lt;160),160)</f>
        <v>150</v>
      </c>
      <c r="AB53" s="1"/>
      <c r="AC53" s="294" t="s">
        <v>5942</v>
      </c>
      <c r="AD53" s="303" t="str">
        <f>VLOOKUP(AD50,Inversores!D:N,5,0)</f>
        <v>200-1000</v>
      </c>
      <c r="AE53" s="1"/>
      <c r="AF53" s="1"/>
      <c r="AG53" s="1"/>
      <c r="AH53" s="1"/>
      <c r="AI53" s="1"/>
      <c r="AJ53" s="1"/>
      <c r="AO53" s="262">
        <v>39</v>
      </c>
      <c r="AP53" s="299">
        <f t="shared" si="10"/>
        <v>20475148.542887818</v>
      </c>
      <c r="AQ53" s="264">
        <f t="shared" si="19"/>
        <v>1448688.2513135856</v>
      </c>
      <c r="AR53" s="300">
        <f t="shared" si="18"/>
        <v>21923836.794201404</v>
      </c>
      <c r="FM53" s="446">
        <v>0.44</v>
      </c>
    </row>
    <row r="54" spans="3:169" ht="19.899999999999999" customHeight="1">
      <c r="C54" s="186" t="s">
        <v>5910</v>
      </c>
      <c r="D54" s="224">
        <f>(D52-D53)/30</f>
        <v>813.08779314491869</v>
      </c>
      <c r="F54" s="494" t="s">
        <v>6304</v>
      </c>
      <c r="G54" s="485">
        <v>2</v>
      </c>
      <c r="Q54" s="266"/>
      <c r="W54" s="235" t="s">
        <v>5955</v>
      </c>
      <c r="X54" s="309">
        <f>CEILING(AD59/T50,1)</f>
        <v>2</v>
      </c>
      <c r="Z54" s="287" t="s">
        <v>6257</v>
      </c>
      <c r="AA54" s="304" cm="1">
        <f t="array" ref="AA54">_xlfn.IFS(AA52&lt;24,2.5,AND(AA52&gt;=24,AA52&lt;28),4,AND(AA52&gt;=28,AA52&lt;36),6,AND(AA52&gt;=36,AA52&lt;50),10,AND(AA52&gt;=50,AA52&lt;68),16,AND(AA52&gt;=68,AA52&lt;89),25,AND(AA52&gt;=89,AA52&lt;110),35,AND(AA52&gt;=110,AA52&lt;134 ),50,AND(AA52&gt;=134,AA52&lt;171 ),70,AND(AA52&gt;=171,AA52&lt;207 ),95)</f>
        <v>70</v>
      </c>
      <c r="AC54" s="294" t="s">
        <v>5943</v>
      </c>
      <c r="AD54" s="303">
        <f>VLOOKUP(AD50,Inversores!D:N,6,0)</f>
        <v>250</v>
      </c>
      <c r="AH54" s="1"/>
      <c r="AI54" s="1"/>
      <c r="AJ54" s="310"/>
      <c r="AO54" s="262">
        <v>40</v>
      </c>
      <c r="AP54" s="299">
        <f t="shared" si="10"/>
        <v>21923836.794201404</v>
      </c>
      <c r="AQ54" s="264">
        <f t="shared" si="19"/>
        <v>1535609.5463924005</v>
      </c>
      <c r="AR54" s="300">
        <f t="shared" si="18"/>
        <v>23459446.340593804</v>
      </c>
      <c r="FM54" s="447">
        <v>0.45</v>
      </c>
    </row>
    <row r="55" spans="3:169" ht="19.899999999999999" customHeight="1" thickBot="1">
      <c r="C55" s="186" t="s">
        <v>5847</v>
      </c>
      <c r="D55" s="225">
        <f>W23</f>
        <v>3.7218720000000003</v>
      </c>
      <c r="E55" s="187"/>
      <c r="Q55" s="268"/>
      <c r="Z55" s="534" t="s">
        <v>6040</v>
      </c>
      <c r="AA55" s="534"/>
      <c r="AC55" s="294" t="s">
        <v>6136</v>
      </c>
      <c r="AD55" s="303">
        <f>VLOOKUP(AD50,Inversores!D:M,7,0)</f>
        <v>1000</v>
      </c>
      <c r="AJ55" s="311"/>
      <c r="AO55" s="262">
        <v>41</v>
      </c>
      <c r="AP55" s="299">
        <f t="shared" si="10"/>
        <v>23459446.340593804</v>
      </c>
      <c r="AQ55" s="264">
        <f t="shared" si="19"/>
        <v>1627746.1191759442</v>
      </c>
      <c r="AR55" s="300">
        <f t="shared" si="18"/>
        <v>25087192.459769748</v>
      </c>
      <c r="FM55" s="446">
        <v>0.46</v>
      </c>
    </row>
    <row r="56" spans="3:169" ht="19.899999999999999" customHeight="1" thickTop="1">
      <c r="C56" s="186" t="s">
        <v>6194</v>
      </c>
      <c r="D56" s="222">
        <f>D54/D55</f>
        <v>218.46205166242112</v>
      </c>
      <c r="Z56" s="287" t="s">
        <v>6258</v>
      </c>
      <c r="AA56" s="304">
        <f>X54*T39</f>
        <v>26.9</v>
      </c>
      <c r="AC56" s="294" t="s">
        <v>6131</v>
      </c>
      <c r="AD56" s="312">
        <f>VLOOKUP(AD50,Inversores!D:M,9,0)</f>
        <v>0.98799999999999999</v>
      </c>
      <c r="AO56" s="262">
        <v>42</v>
      </c>
      <c r="AP56" s="299">
        <f t="shared" si="10"/>
        <v>25087192.459769748</v>
      </c>
      <c r="AQ56" s="264">
        <f t="shared" si="19"/>
        <v>1725410.8863265014</v>
      </c>
      <c r="AR56" s="300">
        <f t="shared" si="18"/>
        <v>26812603.346096251</v>
      </c>
      <c r="FM56" s="446">
        <v>0.47</v>
      </c>
    </row>
    <row r="57" spans="3:169" ht="19.899999999999999" customHeight="1">
      <c r="C57" s="186" t="s">
        <v>6193</v>
      </c>
      <c r="D57" s="226">
        <f>AD52</f>
        <v>75</v>
      </c>
      <c r="Z57" s="287" t="s">
        <v>6259</v>
      </c>
      <c r="AA57" s="304" cm="1">
        <f t="array" ref="AA57">_xlfn.IFS(AA56&lt;35,4,AND(AA56&gt;=35,AA56&lt;44),6,AND(AA56&gt;=44,AA56&lt;61),10,AND(AA56&gt;=61,AA56&lt;79),16)</f>
        <v>4</v>
      </c>
      <c r="AC57" s="294" t="s">
        <v>5944</v>
      </c>
      <c r="AD57" s="303" t="str">
        <f>VLOOKUP(AD50,Inversores!D:M,10,0)</f>
        <v>Trifasico</v>
      </c>
      <c r="AO57" s="262">
        <v>43</v>
      </c>
      <c r="AP57" s="299">
        <f t="shared" si="10"/>
        <v>26812603.346096251</v>
      </c>
      <c r="AQ57" s="264">
        <f t="shared" si="19"/>
        <v>1828935.5395060917</v>
      </c>
      <c r="AR57" s="300">
        <f t="shared" si="18"/>
        <v>28641538.885602344</v>
      </c>
      <c r="FM57" s="447">
        <v>0.48</v>
      </c>
    </row>
    <row r="58" spans="3:169" ht="19.899999999999999" customHeight="1">
      <c r="Z58" s="287" t="s">
        <v>6254</v>
      </c>
      <c r="AA58" s="304">
        <f>AD59*0.9</f>
        <v>23.400000000000002</v>
      </c>
      <c r="AC58" s="313" t="s">
        <v>6222</v>
      </c>
      <c r="AD58" s="303" t="str">
        <f>VLOOKUP(AD50,Inversores!D:P,12,0)</f>
        <v>220/380</v>
      </c>
      <c r="AO58" s="262">
        <v>44</v>
      </c>
      <c r="AP58" s="299">
        <f t="shared" si="10"/>
        <v>28641538.885602344</v>
      </c>
      <c r="AQ58" s="264">
        <f t="shared" si="19"/>
        <v>1938671.6718764573</v>
      </c>
      <c r="AR58" s="300">
        <f t="shared" si="18"/>
        <v>30580210.5574788</v>
      </c>
      <c r="FM58" s="446">
        <v>0.49</v>
      </c>
    </row>
    <row r="59" spans="3:169" ht="19.899999999999999" customHeight="1">
      <c r="AC59" s="294" t="s">
        <v>6220</v>
      </c>
      <c r="AD59" s="303">
        <f>VLOOKUP(AD50,Inversores!D:M,8,0)</f>
        <v>26</v>
      </c>
      <c r="AO59" s="262">
        <v>45</v>
      </c>
      <c r="AP59" s="299">
        <f t="shared" si="10"/>
        <v>30580210.5574788</v>
      </c>
      <c r="AQ59" s="264">
        <f t="shared" si="19"/>
        <v>2054991.9721890448</v>
      </c>
      <c r="AR59" s="300">
        <f t="shared" si="18"/>
        <v>32635202.529667847</v>
      </c>
      <c r="FM59" s="446">
        <v>0.5</v>
      </c>
    </row>
    <row r="60" spans="3:169" ht="19.899999999999999" customHeight="1">
      <c r="AC60" s="294" t="s">
        <v>6221</v>
      </c>
      <c r="AD60" s="303">
        <f>VLOOKUP(AD50,Inversores!D:N,11,0)</f>
        <v>120.8</v>
      </c>
      <c r="AO60" s="262">
        <v>46</v>
      </c>
      <c r="AP60" s="299">
        <f t="shared" si="10"/>
        <v>32635202.529667847</v>
      </c>
      <c r="AQ60" s="264">
        <f t="shared" si="19"/>
        <v>2178291.4905203874</v>
      </c>
      <c r="AR60" s="300">
        <f t="shared" si="18"/>
        <v>34813494.020188235</v>
      </c>
      <c r="FM60" s="447">
        <v>0.51</v>
      </c>
    </row>
    <row r="61" spans="3:169" ht="15.75" customHeight="1">
      <c r="AC61" s="294" t="s">
        <v>5999</v>
      </c>
      <c r="AD61" s="303" t="str">
        <f>VLOOKUP(AD50,Inversores!D:P,13,0)</f>
        <v>7S</v>
      </c>
      <c r="AO61" s="262">
        <v>47</v>
      </c>
      <c r="AP61" s="299">
        <f t="shared" si="10"/>
        <v>34813494.020188235</v>
      </c>
      <c r="AQ61" s="264">
        <f t="shared" si="19"/>
        <v>2308988.9799516113</v>
      </c>
      <c r="AR61" s="300">
        <f t="shared" si="18"/>
        <v>37122483.000139847</v>
      </c>
      <c r="FM61" s="446">
        <v>0.52</v>
      </c>
    </row>
    <row r="62" spans="3:169" ht="15.75" customHeight="1">
      <c r="AO62" s="262">
        <v>48</v>
      </c>
      <c r="AP62" s="299">
        <f t="shared" si="10"/>
        <v>37122483.000139847</v>
      </c>
      <c r="AQ62" s="264">
        <f t="shared" si="19"/>
        <v>2447528.3187487074</v>
      </c>
      <c r="AR62" s="300">
        <f t="shared" si="18"/>
        <v>39570011.318888552</v>
      </c>
      <c r="FM62" s="446">
        <v>0.53</v>
      </c>
    </row>
    <row r="63" spans="3:169" ht="15.75" customHeight="1">
      <c r="AO63" s="262">
        <v>49</v>
      </c>
      <c r="AP63" s="299">
        <f t="shared" si="10"/>
        <v>39570011.318888552</v>
      </c>
      <c r="AQ63" s="264">
        <f t="shared" si="19"/>
        <v>2594380.0178736304</v>
      </c>
      <c r="AR63" s="300">
        <f t="shared" si="18"/>
        <v>42164391.336762182</v>
      </c>
      <c r="FM63" s="447">
        <v>0.54</v>
      </c>
    </row>
    <row r="64" spans="3:169" ht="15.75" customHeight="1">
      <c r="AO64" s="262">
        <v>50</v>
      </c>
      <c r="AP64" s="299">
        <f t="shared" si="10"/>
        <v>42164391.336762182</v>
      </c>
      <c r="AQ64" s="264">
        <f t="shared" si="19"/>
        <v>2750042.8189460477</v>
      </c>
      <c r="AR64" s="300">
        <f t="shared" si="18"/>
        <v>44914434.155708231</v>
      </c>
      <c r="FM64" s="446">
        <v>0.55000000000000004</v>
      </c>
    </row>
    <row r="65" spans="4:169" ht="15.75" customHeight="1">
      <c r="AO65" s="262">
        <v>51</v>
      </c>
      <c r="AP65" s="299">
        <f t="shared" si="10"/>
        <v>44914434.155708231</v>
      </c>
      <c r="AQ65" s="264">
        <f t="shared" si="19"/>
        <v>2915045.3880828111</v>
      </c>
      <c r="AR65" s="300">
        <f t="shared" si="18"/>
        <v>47829479.543791041</v>
      </c>
      <c r="FM65" s="446">
        <v>0.56000000000000005</v>
      </c>
    </row>
    <row r="66" spans="4:169" ht="15.75" customHeight="1">
      <c r="AO66" s="262">
        <v>52</v>
      </c>
      <c r="AP66" s="299">
        <f t="shared" si="10"/>
        <v>47829479.543791041</v>
      </c>
      <c r="AQ66" s="264">
        <f t="shared" si="19"/>
        <v>3089948.1113677798</v>
      </c>
      <c r="AR66" s="300">
        <f t="shared" si="18"/>
        <v>50919427.655158818</v>
      </c>
      <c r="FM66" s="447">
        <v>0.56999999999999995</v>
      </c>
    </row>
    <row r="67" spans="4:169" ht="15.75" customHeight="1" thickBot="1">
      <c r="Q67" s="253"/>
      <c r="R67" s="1"/>
      <c r="AO67" s="262">
        <v>53</v>
      </c>
      <c r="AP67" s="299">
        <f t="shared" si="10"/>
        <v>50919427.655158818</v>
      </c>
      <c r="AQ67" s="264">
        <f t="shared" si="19"/>
        <v>3275344.9980498473</v>
      </c>
      <c r="AR67" s="300">
        <f t="shared" si="18"/>
        <v>54194772.653208666</v>
      </c>
      <c r="FM67" s="446">
        <v>0.57999999999999996</v>
      </c>
    </row>
    <row r="68" spans="4:169" ht="15.75" customHeight="1" thickTop="1">
      <c r="Q68" s="256"/>
      <c r="R68" s="1"/>
      <c r="AO68" s="262">
        <v>54</v>
      </c>
      <c r="AP68" s="299">
        <f t="shared" si="10"/>
        <v>54194772.653208666</v>
      </c>
      <c r="AQ68" s="264">
        <f t="shared" si="19"/>
        <v>3471865.6979328385</v>
      </c>
      <c r="AR68" s="300">
        <f t="shared" si="18"/>
        <v>57666638.351141505</v>
      </c>
      <c r="FM68" s="446">
        <v>0.59</v>
      </c>
    </row>
    <row r="69" spans="4:169" ht="15.75" customHeight="1">
      <c r="Q69" s="261"/>
      <c r="AO69" s="262">
        <v>55</v>
      </c>
      <c r="AP69" s="299">
        <f t="shared" si="10"/>
        <v>57666638.351141505</v>
      </c>
      <c r="AQ69" s="264">
        <f t="shared" si="19"/>
        <v>3680177.6398088089</v>
      </c>
      <c r="AR69" s="300">
        <f t="shared" si="18"/>
        <v>61346815.990950316</v>
      </c>
      <c r="FM69" s="447">
        <v>0.6</v>
      </c>
    </row>
    <row r="70" spans="4:169" ht="15.75" customHeight="1">
      <c r="Q70" s="266"/>
      <c r="AO70" s="262">
        <v>56</v>
      </c>
      <c r="AP70" s="299">
        <f t="shared" si="10"/>
        <v>61346815.990950316</v>
      </c>
      <c r="AQ70" s="264">
        <f t="shared" si="19"/>
        <v>3900988.298197337</v>
      </c>
      <c r="AR70" s="300">
        <f t="shared" si="18"/>
        <v>65247804.289147653</v>
      </c>
      <c r="FM70" s="446">
        <v>0.61</v>
      </c>
    </row>
    <row r="71" spans="4:169" ht="15.75" customHeight="1" thickBot="1">
      <c r="Q71" s="268"/>
      <c r="AO71" s="262">
        <v>57</v>
      </c>
      <c r="AP71" s="299">
        <f t="shared" si="10"/>
        <v>65247804.289147653</v>
      </c>
      <c r="AQ71" s="264">
        <f t="shared" si="19"/>
        <v>4135047.5960891773</v>
      </c>
      <c r="AR71" s="300">
        <f t="shared" si="18"/>
        <v>69382851.88523683</v>
      </c>
      <c r="FM71" s="446">
        <v>0.62</v>
      </c>
    </row>
    <row r="72" spans="4:169" ht="15.75" customHeight="1" thickTop="1">
      <c r="J72" s="217"/>
      <c r="AO72" s="262">
        <v>58</v>
      </c>
      <c r="AP72" s="299">
        <f t="shared" si="10"/>
        <v>69382851.88523683</v>
      </c>
      <c r="AQ72" s="264">
        <f t="shared" si="19"/>
        <v>4383150.4518545279</v>
      </c>
      <c r="AR72" s="300">
        <f t="shared" si="18"/>
        <v>73766002.337091357</v>
      </c>
      <c r="FM72" s="447">
        <v>0.63</v>
      </c>
    </row>
    <row r="73" spans="4:169" ht="15.75" customHeight="1">
      <c r="D73" s="216"/>
      <c r="J73" s="217"/>
      <c r="AO73" s="262">
        <v>59</v>
      </c>
      <c r="AP73" s="299">
        <f t="shared" si="10"/>
        <v>73766002.337091357</v>
      </c>
      <c r="AQ73" s="264">
        <f t="shared" si="19"/>
        <v>4646139.4789658003</v>
      </c>
      <c r="AR73" s="300">
        <f t="shared" si="18"/>
        <v>78412141.81605716</v>
      </c>
      <c r="FM73" s="446">
        <v>0.64</v>
      </c>
    </row>
    <row r="74" spans="4:169" ht="15.75" customHeight="1">
      <c r="D74" s="216"/>
      <c r="J74" s="217"/>
      <c r="AO74" s="262">
        <v>60</v>
      </c>
      <c r="AP74" s="299">
        <f t="shared" si="10"/>
        <v>78412141.81605716</v>
      </c>
      <c r="AQ74" s="264">
        <f t="shared" si="19"/>
        <v>4924907.8477037484</v>
      </c>
      <c r="AR74" s="300">
        <f t="shared" si="18"/>
        <v>83337049.663760915</v>
      </c>
      <c r="FM74" s="446">
        <v>0.65</v>
      </c>
    </row>
    <row r="75" spans="4:169" ht="15.75" customHeight="1">
      <c r="D75" s="216"/>
      <c r="J75" s="217"/>
      <c r="AO75" s="262">
        <v>61</v>
      </c>
      <c r="AP75" s="299">
        <f t="shared" si="10"/>
        <v>83337049.663760915</v>
      </c>
      <c r="AQ75" s="264">
        <f t="shared" si="19"/>
        <v>5220402.318565974</v>
      </c>
      <c r="AR75" s="300">
        <f t="shared" si="18"/>
        <v>88557451.982326895</v>
      </c>
      <c r="FM75" s="447">
        <v>0.66</v>
      </c>
    </row>
    <row r="76" spans="4:169" ht="15.75" customHeight="1">
      <c r="D76" s="216"/>
      <c r="J76" s="217"/>
      <c r="AO76" s="262">
        <v>62</v>
      </c>
      <c r="AP76" s="299">
        <f t="shared" si="10"/>
        <v>88557451.982326895</v>
      </c>
      <c r="AQ76" s="264">
        <f t="shared" si="19"/>
        <v>5533626.4576799329</v>
      </c>
      <c r="AR76" s="300">
        <f t="shared" si="18"/>
        <v>94091078.440006822</v>
      </c>
      <c r="FM76" s="446">
        <v>0.67</v>
      </c>
    </row>
    <row r="77" spans="4:169" ht="15.75" customHeight="1">
      <c r="D77" s="216"/>
      <c r="J77" s="217"/>
      <c r="AO77" s="262">
        <v>63</v>
      </c>
      <c r="AP77" s="299">
        <f t="shared" si="10"/>
        <v>94091078.440006822</v>
      </c>
      <c r="AQ77" s="264">
        <f t="shared" si="19"/>
        <v>5865644.0451407302</v>
      </c>
      <c r="AR77" s="300">
        <f t="shared" si="18"/>
        <v>99956722.485147551</v>
      </c>
      <c r="FM77" s="446">
        <v>0.68</v>
      </c>
    </row>
    <row r="78" spans="4:169" ht="15.75" customHeight="1">
      <c r="D78" s="216"/>
      <c r="J78" s="217"/>
      <c r="AO78" s="262">
        <v>64</v>
      </c>
      <c r="AP78" s="299">
        <f t="shared" si="10"/>
        <v>99956722.485147551</v>
      </c>
      <c r="AQ78" s="264">
        <f t="shared" si="19"/>
        <v>6217582.6878491724</v>
      </c>
      <c r="AR78" s="300">
        <f t="shared" si="18"/>
        <v>106174305.17299673</v>
      </c>
      <c r="FM78" s="447">
        <v>0.69</v>
      </c>
    </row>
    <row r="79" spans="4:169" ht="15.75" customHeight="1">
      <c r="D79" s="216"/>
      <c r="J79" s="217"/>
      <c r="AO79" s="262">
        <v>65</v>
      </c>
      <c r="AP79" s="299">
        <f t="shared" si="10"/>
        <v>106174305.17299673</v>
      </c>
      <c r="AQ79" s="264">
        <f t="shared" ref="AQ79:AQ104" si="20">$AP$10*(1+$AR$11)^AO79</f>
        <v>6590637.6491201222</v>
      </c>
      <c r="AR79" s="300">
        <f t="shared" si="18"/>
        <v>112764942.82211685</v>
      </c>
      <c r="FM79" s="446">
        <v>0.7</v>
      </c>
    </row>
    <row r="80" spans="4:169" ht="15.75" customHeight="1">
      <c r="D80" s="216"/>
      <c r="J80" s="217"/>
      <c r="AO80" s="262">
        <v>66</v>
      </c>
      <c r="AP80" s="299">
        <f t="shared" ref="AP80:AP104" si="21">AR79</f>
        <v>112764942.82211685</v>
      </c>
      <c r="AQ80" s="264">
        <f t="shared" si="20"/>
        <v>6986075.9080673307</v>
      </c>
      <c r="AR80" s="300">
        <f t="shared" si="18"/>
        <v>119751018.73018418</v>
      </c>
      <c r="FM80" s="446">
        <v>0.71</v>
      </c>
    </row>
    <row r="81" spans="4:169" ht="15.75" customHeight="1">
      <c r="D81" s="216"/>
      <c r="J81" s="217"/>
      <c r="AO81" s="262">
        <v>67</v>
      </c>
      <c r="AP81" s="299">
        <f t="shared" si="21"/>
        <v>119751018.73018418</v>
      </c>
      <c r="AQ81" s="264">
        <f t="shared" si="20"/>
        <v>7405240.4625513712</v>
      </c>
      <c r="AR81" s="300">
        <f t="shared" si="18"/>
        <v>127156259.19273555</v>
      </c>
      <c r="FM81" s="447">
        <v>0.72</v>
      </c>
    </row>
    <row r="82" spans="4:169" ht="15.75" customHeight="1">
      <c r="D82" s="216"/>
      <c r="J82" s="217"/>
      <c r="AO82" s="262">
        <v>68</v>
      </c>
      <c r="AP82" s="299">
        <f t="shared" si="21"/>
        <v>127156259.19273555</v>
      </c>
      <c r="AQ82" s="264">
        <f t="shared" si="20"/>
        <v>7849554.8903044546</v>
      </c>
      <c r="AR82" s="300">
        <f t="shared" si="18"/>
        <v>135005814.08304</v>
      </c>
      <c r="FM82" s="446">
        <v>0.73</v>
      </c>
    </row>
    <row r="83" spans="4:169" ht="15.75" customHeight="1">
      <c r="D83" s="216"/>
      <c r="J83" s="217"/>
      <c r="AO83" s="262">
        <v>69</v>
      </c>
      <c r="AP83" s="299">
        <f t="shared" si="21"/>
        <v>135005814.08304</v>
      </c>
      <c r="AQ83" s="264">
        <f t="shared" si="20"/>
        <v>8320528.1837227214</v>
      </c>
      <c r="AR83" s="300">
        <f t="shared" si="18"/>
        <v>143326342.26676273</v>
      </c>
      <c r="FM83" s="446">
        <v>0.74</v>
      </c>
    </row>
    <row r="84" spans="4:169" ht="15.75" customHeight="1">
      <c r="D84" s="216"/>
      <c r="J84" s="217"/>
      <c r="AO84" s="262">
        <v>70</v>
      </c>
      <c r="AP84" s="299">
        <f t="shared" si="21"/>
        <v>143326342.26676273</v>
      </c>
      <c r="AQ84" s="264">
        <f t="shared" si="20"/>
        <v>8819759.8747460861</v>
      </c>
      <c r="AR84" s="300">
        <f t="shared" si="18"/>
        <v>152146102.14150882</v>
      </c>
      <c r="FM84" s="447">
        <v>0.75</v>
      </c>
    </row>
    <row r="85" spans="4:169" ht="15.75" customHeight="1">
      <c r="D85" s="216"/>
      <c r="AO85" s="262">
        <v>71</v>
      </c>
      <c r="AP85" s="299">
        <f t="shared" si="21"/>
        <v>152146102.14150882</v>
      </c>
      <c r="AQ85" s="264">
        <f t="shared" si="20"/>
        <v>9348945.4672308527</v>
      </c>
      <c r="AR85" s="300">
        <f t="shared" si="18"/>
        <v>161495047.60873967</v>
      </c>
      <c r="FM85" s="446">
        <v>0.76</v>
      </c>
    </row>
    <row r="86" spans="4:169" ht="15.75" customHeight="1">
      <c r="AO86" s="262">
        <v>72</v>
      </c>
      <c r="AP86" s="299">
        <f t="shared" si="21"/>
        <v>161495047.60873967</v>
      </c>
      <c r="AQ86" s="264">
        <f t="shared" si="20"/>
        <v>9909882.1952647027</v>
      </c>
      <c r="AR86" s="300">
        <f t="shared" si="18"/>
        <v>171404929.80400437</v>
      </c>
      <c r="FM86" s="446">
        <v>0.77</v>
      </c>
    </row>
    <row r="87" spans="4:169" ht="15.75" customHeight="1">
      <c r="AO87" s="262">
        <v>73</v>
      </c>
      <c r="AP87" s="299">
        <f t="shared" si="21"/>
        <v>171404929.80400437</v>
      </c>
      <c r="AQ87" s="264">
        <f t="shared" si="20"/>
        <v>10504475.126980584</v>
      </c>
      <c r="AR87" s="300">
        <f t="shared" si="18"/>
        <v>181909404.93098494</v>
      </c>
      <c r="FM87" s="447">
        <v>0.78</v>
      </c>
    </row>
    <row r="88" spans="4:169" ht="15.75" customHeight="1">
      <c r="AO88" s="262">
        <v>74</v>
      </c>
      <c r="AP88" s="299">
        <f t="shared" si="21"/>
        <v>181909404.93098494</v>
      </c>
      <c r="AQ88" s="264">
        <f t="shared" si="20"/>
        <v>11134743.634599419</v>
      </c>
      <c r="AR88" s="300">
        <f t="shared" si="18"/>
        <v>193044148.56558436</v>
      </c>
      <c r="FM88" s="446">
        <v>0.79</v>
      </c>
    </row>
    <row r="89" spans="4:169" ht="15.75" customHeight="1">
      <c r="AO89" s="262">
        <v>75</v>
      </c>
      <c r="AP89" s="299">
        <f t="shared" si="21"/>
        <v>193044148.56558436</v>
      </c>
      <c r="AQ89" s="264">
        <f t="shared" si="20"/>
        <v>11802828.252675388</v>
      </c>
      <c r="AR89" s="300">
        <f t="shared" si="18"/>
        <v>204846976.81825975</v>
      </c>
      <c r="FM89" s="446">
        <v>0.8</v>
      </c>
    </row>
    <row r="90" spans="4:169" ht="15.75" customHeight="1">
      <c r="AO90" s="262">
        <v>76</v>
      </c>
      <c r="AP90" s="299">
        <f t="shared" si="21"/>
        <v>204846976.81825975</v>
      </c>
      <c r="AQ90" s="264">
        <f t="shared" si="20"/>
        <v>12510997.947835911</v>
      </c>
      <c r="AR90" s="300">
        <f t="shared" si="18"/>
        <v>217357974.76609567</v>
      </c>
      <c r="FM90" s="447">
        <v>0.81</v>
      </c>
    </row>
    <row r="91" spans="4:169" ht="15.75" customHeight="1">
      <c r="AO91" s="262">
        <v>77</v>
      </c>
      <c r="AP91" s="299">
        <f t="shared" si="21"/>
        <v>217357974.76609567</v>
      </c>
      <c r="AQ91" s="264">
        <f t="shared" si="20"/>
        <v>13261657.824706066</v>
      </c>
      <c r="AR91" s="300">
        <f t="shared" si="18"/>
        <v>230619632.59080175</v>
      </c>
      <c r="FM91" s="446">
        <v>0.82</v>
      </c>
    </row>
    <row r="92" spans="4:169" ht="15.75" customHeight="1">
      <c r="AO92" s="262">
        <v>78</v>
      </c>
      <c r="AP92" s="299">
        <f t="shared" si="21"/>
        <v>230619632.59080175</v>
      </c>
      <c r="AQ92" s="264">
        <f t="shared" si="20"/>
        <v>14057357.294188431</v>
      </c>
      <c r="AR92" s="300">
        <f t="shared" si="18"/>
        <v>244676989.88499019</v>
      </c>
      <c r="FM92" s="446">
        <v>0.83</v>
      </c>
    </row>
    <row r="93" spans="4:169" ht="15.75" customHeight="1">
      <c r="AO93" s="262">
        <v>79</v>
      </c>
      <c r="AP93" s="299">
        <f t="shared" si="21"/>
        <v>244676989.88499019</v>
      </c>
      <c r="AQ93" s="264">
        <f t="shared" si="20"/>
        <v>14900798.731839741</v>
      </c>
      <c r="AR93" s="300">
        <f t="shared" si="18"/>
        <v>259577788.61682993</v>
      </c>
      <c r="FM93" s="447">
        <v>0.84</v>
      </c>
    </row>
    <row r="94" spans="4:169" ht="15.75" customHeight="1">
      <c r="AO94" s="262">
        <v>80</v>
      </c>
      <c r="AP94" s="299">
        <f t="shared" si="21"/>
        <v>259577788.61682993</v>
      </c>
      <c r="AQ94" s="264">
        <f t="shared" si="20"/>
        <v>15794846.65575012</v>
      </c>
      <c r="AR94" s="300">
        <f t="shared" si="18"/>
        <v>275372635.27258003</v>
      </c>
      <c r="FM94" s="446">
        <v>0.85</v>
      </c>
    </row>
    <row r="95" spans="4:169" ht="15.75" customHeight="1">
      <c r="AO95" s="262">
        <v>81</v>
      </c>
      <c r="AP95" s="299">
        <f t="shared" si="21"/>
        <v>275372635.27258003</v>
      </c>
      <c r="AQ95" s="264">
        <f t="shared" si="20"/>
        <v>16742537.455095131</v>
      </c>
      <c r="AR95" s="300">
        <f t="shared" si="18"/>
        <v>292115172.72767514</v>
      </c>
      <c r="FM95" s="446">
        <v>0.86</v>
      </c>
    </row>
    <row r="96" spans="4:169" ht="15.75" customHeight="1">
      <c r="AO96" s="262">
        <v>82</v>
      </c>
      <c r="AP96" s="299">
        <f t="shared" si="21"/>
        <v>292115172.72767514</v>
      </c>
      <c r="AQ96" s="264">
        <f t="shared" si="20"/>
        <v>17747089.702400837</v>
      </c>
      <c r="AR96" s="300">
        <f t="shared" si="18"/>
        <v>309862262.430076</v>
      </c>
      <c r="FM96" s="447">
        <v>0.87</v>
      </c>
    </row>
    <row r="97" spans="41:169" ht="15.75" customHeight="1">
      <c r="AO97" s="262">
        <v>83</v>
      </c>
      <c r="AP97" s="299">
        <f t="shared" si="21"/>
        <v>309862262.430076</v>
      </c>
      <c r="AQ97" s="264">
        <f t="shared" si="20"/>
        <v>18811915.08454489</v>
      </c>
      <c r="AR97" s="300">
        <f t="shared" si="18"/>
        <v>328674177.5146209</v>
      </c>
      <c r="FM97" s="446">
        <v>0.88</v>
      </c>
    </row>
    <row r="98" spans="41:169" ht="15.75" customHeight="1">
      <c r="AO98" s="262">
        <v>84</v>
      </c>
      <c r="AP98" s="299">
        <f t="shared" si="21"/>
        <v>328674177.5146209</v>
      </c>
      <c r="AQ98" s="264">
        <f t="shared" si="20"/>
        <v>19940629.989617582</v>
      </c>
      <c r="AR98" s="300">
        <f t="shared" si="18"/>
        <v>348614807.50423849</v>
      </c>
      <c r="FM98" s="446">
        <v>0.89</v>
      </c>
    </row>
    <row r="99" spans="41:169" ht="15.75" customHeight="1">
      <c r="AO99" s="262">
        <v>85</v>
      </c>
      <c r="AP99" s="299">
        <f t="shared" si="21"/>
        <v>348614807.50423849</v>
      </c>
      <c r="AQ99" s="264">
        <f t="shared" si="20"/>
        <v>21137067.78899464</v>
      </c>
      <c r="AR99" s="300">
        <f t="shared" si="18"/>
        <v>369751875.29323316</v>
      </c>
      <c r="FM99" s="447">
        <v>0.9</v>
      </c>
    </row>
    <row r="100" spans="41:169" ht="15.75" customHeight="1">
      <c r="AO100" s="262">
        <v>86</v>
      </c>
      <c r="AP100" s="299">
        <f t="shared" si="21"/>
        <v>369751875.29323316</v>
      </c>
      <c r="AQ100" s="264">
        <f t="shared" si="20"/>
        <v>22405291.856334321</v>
      </c>
      <c r="AR100" s="300">
        <f t="shared" si="18"/>
        <v>392157167.14956748</v>
      </c>
      <c r="FM100" s="446">
        <v>1</v>
      </c>
    </row>
    <row r="101" spans="41:169" ht="15.75" customHeight="1">
      <c r="AO101" s="262">
        <v>87</v>
      </c>
      <c r="AP101" s="299">
        <f t="shared" si="21"/>
        <v>392157167.14956748</v>
      </c>
      <c r="AQ101" s="264">
        <f t="shared" si="20"/>
        <v>23749609.367714386</v>
      </c>
      <c r="AR101" s="300">
        <f t="shared" si="18"/>
        <v>415906776.51728189</v>
      </c>
      <c r="FM101" s="446"/>
    </row>
    <row r="102" spans="41:169" ht="15.75" customHeight="1">
      <c r="AO102" s="262">
        <v>88</v>
      </c>
      <c r="AP102" s="299">
        <f t="shared" si="21"/>
        <v>415906776.51728189</v>
      </c>
      <c r="AQ102" s="264">
        <f t="shared" si="20"/>
        <v>25174585.929777246</v>
      </c>
      <c r="AR102" s="300">
        <f t="shared" si="18"/>
        <v>441081362.44705915</v>
      </c>
      <c r="FM102" s="447"/>
    </row>
    <row r="103" spans="41:169" ht="15.75" customHeight="1">
      <c r="AO103" s="262">
        <v>89</v>
      </c>
      <c r="AP103" s="299">
        <f t="shared" si="21"/>
        <v>441081362.44705915</v>
      </c>
      <c r="AQ103" s="264">
        <f t="shared" si="20"/>
        <v>26685061.085563879</v>
      </c>
      <c r="AR103" s="300">
        <f t="shared" si="18"/>
        <v>467766423.53262305</v>
      </c>
      <c r="FM103" s="446"/>
    </row>
    <row r="104" spans="41:169" ht="15.75" customHeight="1">
      <c r="AO104" s="314">
        <v>90</v>
      </c>
      <c r="AP104" s="299">
        <f t="shared" si="21"/>
        <v>467766423.53262305</v>
      </c>
      <c r="AQ104" s="264">
        <f t="shared" si="20"/>
        <v>28286164.750697713</v>
      </c>
      <c r="AR104" s="315">
        <f t="shared" ref="AR104" si="22">AQ104+AR103</f>
        <v>496052588.28332078</v>
      </c>
      <c r="FM104" s="446"/>
    </row>
    <row r="105" spans="41:169" ht="15.75" customHeight="1">
      <c r="FM105" s="447"/>
    </row>
    <row r="106" spans="41:169" ht="15.75" customHeight="1">
      <c r="FM106" s="446"/>
    </row>
    <row r="107" spans="41:169" ht="15.75" customHeight="1">
      <c r="FM107" s="446"/>
    </row>
    <row r="108" spans="41:169" ht="15.75" customHeight="1">
      <c r="FM108" s="447"/>
    </row>
    <row r="109" spans="41:169" ht="15.75" customHeight="1">
      <c r="FM109" s="446"/>
    </row>
    <row r="110" spans="41:169" ht="15.75" customHeight="1"/>
    <row r="111" spans="41:169" ht="15.75" customHeight="1"/>
    <row r="112" spans="41:169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6">
    <mergeCell ref="AC48:AD48"/>
    <mergeCell ref="Z55:AA55"/>
    <mergeCell ref="A1:A11"/>
    <mergeCell ref="F16:G16"/>
    <mergeCell ref="F18:G18"/>
    <mergeCell ref="F20:G20"/>
    <mergeCell ref="F8:G8"/>
    <mergeCell ref="I24:I26"/>
    <mergeCell ref="I21:I23"/>
    <mergeCell ref="J21:J23"/>
    <mergeCell ref="Z51:AA51"/>
    <mergeCell ref="AT8:AU8"/>
    <mergeCell ref="AT16:AU16"/>
    <mergeCell ref="AQ8:AR8"/>
    <mergeCell ref="AO8:AP8"/>
    <mergeCell ref="J24:J26"/>
  </mergeCells>
  <phoneticPr fontId="23" type="noConversion"/>
  <dataValidations count="25">
    <dataValidation type="list" allowBlank="1" showInputMessage="1" showErrorMessage="1" sqref="D11" xr:uid="{00000000-0002-0000-0000-000000000000}">
      <formula1>Cidade</formula1>
    </dataValidation>
    <dataValidation type="list" allowBlank="1" showInputMessage="1" showErrorMessage="1" sqref="G43" xr:uid="{A3056985-5F7A-EB41-8EC4-F1F34F205B14}">
      <formula1>"270,280,300,320,325,330,335,340,345,350,355,360,365,370,375,380,385,390,395,400,405,410,415,420,425,430,435,440,445,450,455,460,465,470,475,480,485,490,495,500,505,510,515,520,525,530,535,540,545,550,555,560,565,570,575,580,585,590,595,600,605,610,615,620"</formula1>
    </dataValidation>
    <dataValidation type="list" allowBlank="1" showInputMessage="1" showErrorMessage="1" sqref="J11" xr:uid="{6F62F313-654D-9944-A103-B61A1EA43BE2}">
      <formula1>"-2%,-3%,-4%,-5%,-6%,-7%,-8%,-9%,-10%"</formula1>
    </dataValidation>
    <dataValidation type="list" allowBlank="1" showInputMessage="1" showErrorMessage="1" sqref="D20" xr:uid="{6C132552-E0B8-BC4A-B844-8399A1B12AF5}">
      <formula1>"0%,5%,10%,15%,20%,25%,30%,35%,40%,45%,50%,55%,60%,70%,75%,80%,85%,90%,95%,100%"</formula1>
    </dataValidation>
    <dataValidation type="whole" allowBlank="1" showInputMessage="1" showErrorMessage="1" errorTitle="Valor não permitido" error="O consumo deve ser um número inteiro" sqref="E42:E43 G41:H41 H44 E28 D29:E40" xr:uid="{A45A1DE4-F35E-344C-ABE0-AC57A283C816}">
      <formula1>0</formula1>
      <formula2>999999999999999</formula2>
    </dataValidation>
    <dataValidation type="list" allowBlank="1" showInputMessage="1" showErrorMessage="1" sqref="D23" xr:uid="{98ADB6AF-3478-C44F-986D-A0EFF0B86F87}">
      <formula1>"0,1,2,3,4,5,6,7,8,9,10,11,12"</formula1>
    </dataValidation>
    <dataValidation type="list" allowBlank="1" showInputMessage="1" showErrorMessage="1" sqref="D21" xr:uid="{7FDA45F5-45A4-DF4F-A359-0F6BB85EFD08}">
      <formula1>"MONOFASICO,BIFASICO,TRIFASICO"</formula1>
    </dataValidation>
    <dataValidation type="list" allowBlank="1" showInputMessage="1" showErrorMessage="1" sqref="G21" xr:uid="{84B36CAD-0E23-492A-BC45-B857A462D601}">
      <formula1>"Norte,Nordeste,Leste,Oeste,Noroeste"</formula1>
    </dataValidation>
    <dataValidation type="list" allowBlank="1" showInputMessage="1" showErrorMessage="1" sqref="D15" xr:uid="{5C300110-C3DB-4139-B406-03C3DB541760}">
      <formula1>"1%,2%,3%,4%,5%,6%,7%,8%,9%,10%,11%,12%,13%,14%,15%,16%,17%,18%,19%,20%,21%,22%,23%,24%,25%,26%,27%,28%,29%,30%"</formula1>
    </dataValidation>
    <dataValidation type="list" allowBlank="1" showInputMessage="1" showErrorMessage="1" sqref="G42" xr:uid="{F68F7BFD-35A6-4FD2-BF48-4093731D312E}">
      <formula1>"Longi,ZNShine,Trina Solar, Canadian,Risen,Jinko,BYD,JA Solar,DAH Solar, Astronergy,Amerisolar"</formula1>
    </dataValidation>
    <dataValidation type="list" allowBlank="1" showInputMessage="1" showErrorMessage="1" sqref="G46" xr:uid="{002D2338-A4A4-48BC-BB67-34CDE4963E55}">
      <formula1>"19,20,21,22,23,24,25,26,27,28,29,30,31,32,33,34,35,36"</formula1>
    </dataValidation>
    <dataValidation type="list" allowBlank="1" showInputMessage="1" showErrorMessage="1" sqref="G49" xr:uid="{A10FE40C-994B-490F-A3A8-A4E61FF84D2E}">
      <formula1>"Growatt,Deye,Sofar,WEG,Solis,Sungrow,Renovigi,Fronius,APSystems,Hoymiles,PHB,Intelbras,Huawei,Deye,Canadian,SolarEdge"</formula1>
    </dataValidation>
    <dataValidation type="list" allowBlank="1" showInputMessage="1" showErrorMessage="1" sqref="G50" xr:uid="{CD6571FF-2954-4B30-ACB9-5E4E5BBBCFB1}">
      <formula1>"Monofasico,Bifasico,Trifasico"</formula1>
    </dataValidation>
    <dataValidation type="list" allowBlank="1" showInputMessage="1" showErrorMessage="1" sqref="G51" xr:uid="{6B78F2CB-3943-4713-BA87-0B4004902C02}">
      <formula1>"1S,2S,3S,4S,5S,6S,7S"</formula1>
    </dataValidation>
    <dataValidation type="list" allowBlank="1" showInputMessage="1" showErrorMessage="1" sqref="G52" xr:uid="{F16025FF-0B47-4626-81B9-53EA1E5A0FBF}">
      <formula1>"Inversor,MicroInversor"</formula1>
    </dataValidation>
    <dataValidation type="list" allowBlank="1" showInputMessage="1" showErrorMessage="1" sqref="G44" xr:uid="{C6E79AE3-72D6-414B-8DE2-FACB6C8C8934}">
      <formula1>"Mono,Poli"</formula1>
    </dataValidation>
    <dataValidation type="list" allowBlank="1" showInputMessage="1" showErrorMessage="1" sqref="G45" xr:uid="{D5E77419-A352-4707-9A5F-B32161FC1E62}">
      <formula1>"Fullcell,Halfcell"</formula1>
    </dataValidation>
    <dataValidation type="list" allowBlank="1" showInputMessage="1" showErrorMessage="1" sqref="D9" xr:uid="{511252FE-10DB-412B-87A1-85CD924D6FC7}">
      <formula1>"Telha de Cerâmica,Telha de Concreto,Telha Fibrocimento,Telha Métalica,Telha Metálica Sanduiche, Telha Metálica Trapezoidal,Telha Romana,Telha Inglesa, Laje,Solo,Carport,"</formula1>
    </dataValidation>
    <dataValidation type="list" allowBlank="1" showInputMessage="1" showErrorMessage="1" sqref="G53" xr:uid="{A5032FBA-F56F-473E-90C3-2818EBFE7224}">
      <mc:AlternateContent xmlns:x12ac="http://schemas.microsoft.com/office/spreadsheetml/2011/1/ac" xmlns:mc="http://schemas.openxmlformats.org/markup-compatibility/2006">
        <mc:Choice Requires="x12ac">
          <x12ac:list>"0,78","1,5","1,8",2,"2,5","2,9",3,"3,6",4,"4,2","4,6",5,6,7,8,9,10,15,20,25,30,36,40,45,50,55,60,75</x12ac:list>
        </mc:Choice>
        <mc:Fallback>
          <formula1>"0,78,1,5,1,8,2,2,5,2,9,3,3,6,4,4,2,4,6,5,6,7,8,9,10,15,20,25,30,36,40,45,50,55,60,75"</formula1>
        </mc:Fallback>
      </mc:AlternateContent>
    </dataValidation>
    <dataValidation type="list" allowBlank="1" showInputMessage="1" showErrorMessage="1" sqref="G9" xr:uid="{275359BF-4A04-459C-807B-E98D8FE45301}">
      <formula1>"Solo, Telhado"</formula1>
    </dataValidation>
    <dataValidation type="list" allowBlank="1" showInputMessage="1" showErrorMessage="1" sqref="G54" xr:uid="{D48C927D-CD39-4AE2-A0B6-4553D7A9B7F3}">
      <formula1>"1,2,3,4,5,6,7,8,9,10"</formula1>
    </dataValidation>
    <dataValidation type="list" allowBlank="1" showInputMessage="1" showErrorMessage="1" sqref="D18" xr:uid="{968F7855-3EBB-4841-B3AB-A1B127AAD6E2}">
      <formula1>$FM$19:$FM$109</formula1>
    </dataValidation>
    <dataValidation type="list" allowBlank="1" showInputMessage="1" showErrorMessage="1" sqref="D6" xr:uid="{0D387C3B-D564-456A-8932-F02D82844C0A}">
      <formula1>"Igor, Daniel,Fabio,Hugo"</formula1>
    </dataValidation>
    <dataValidation type="list" allowBlank="1" showInputMessage="1" showErrorMessage="1" sqref="D25" xr:uid="{D0762F2A-4CC4-4F0F-B4B6-2538050592FA}">
      <formula1>"2023,2024,2025,2026,2027,2028,2029"</formula1>
    </dataValidation>
    <dataValidation type="list" allowBlank="1" showInputMessage="1" showErrorMessage="1" sqref="D24" xr:uid="{DF825EA3-1030-485D-968F-C0F2059479B1}">
      <formula1>"Verde,Amarela,Vermelha I,Vermelha II,Escassez Hídrica"</formula1>
    </dataValidation>
  </dataValidations>
  <hyperlinks>
    <hyperlink ref="D8" r:id="rId1" xr:uid="{07F93A22-1918-4886-88A2-E967EC1942E3}"/>
  </hyperlinks>
  <pageMargins left="0.511811024" right="0.511811024" top="0.78740157499999996" bottom="0.78740157499999996" header="0" footer="0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PLANILHA3!$C$3:$C$29</xm:f>
          </x14:formula1>
          <xm:sqref>D10</xm:sqref>
        </x14:dataValidation>
        <x14:dataValidation type="list" allowBlank="1" showInputMessage="1" showErrorMessage="1" xr:uid="{E7ABEF09-4EE2-D747-A5C5-36B53EE82746}">
          <x14:formula1>
            <xm:f>'Tarifa - B3 '!$D$5:$D$48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AW71"/>
  <sheetViews>
    <sheetView showGridLines="0" topLeftCell="B1" zoomScaleNormal="100" workbookViewId="0">
      <selection activeCell="E5" sqref="E5"/>
    </sheetView>
  </sheetViews>
  <sheetFormatPr defaultColWidth="14.42578125" defaultRowHeight="19.899999999999999" customHeight="1"/>
  <cols>
    <col min="1" max="1" width="30.7109375" style="194" customWidth="1"/>
    <col min="2" max="2" width="11.28515625" style="185" customWidth="1"/>
    <col min="3" max="3" width="51.42578125" style="185" bestFit="1" customWidth="1"/>
    <col min="4" max="4" width="22.85546875" style="185" bestFit="1" customWidth="1"/>
    <col min="5" max="5" width="22.28515625" style="185" bestFit="1" customWidth="1"/>
    <col min="6" max="6" width="45" style="185" bestFit="1" customWidth="1"/>
    <col min="7" max="7" width="21.42578125" style="185" customWidth="1"/>
    <col min="8" max="8" width="18.28515625" style="192" bestFit="1" customWidth="1"/>
    <col min="9" max="9" width="12.140625" style="192" customWidth="1"/>
    <col min="10" max="10" width="10.7109375" style="192" customWidth="1"/>
    <col min="11" max="11" width="13.28515625" style="185" bestFit="1" customWidth="1"/>
    <col min="12" max="12" width="18.5703125" style="185" customWidth="1"/>
    <col min="13" max="13" width="4.5703125" style="185" customWidth="1"/>
    <col min="14" max="17" width="15" style="185" bestFit="1" customWidth="1"/>
    <col min="18" max="18" width="16.42578125" style="185" bestFit="1" customWidth="1"/>
    <col min="19" max="19" width="13" style="185" customWidth="1"/>
    <col min="20" max="20" width="10.7109375" style="185" bestFit="1" customWidth="1"/>
    <col min="21" max="21" width="16" style="185" bestFit="1" customWidth="1"/>
    <col min="22" max="22" width="15" style="185" customWidth="1"/>
    <col min="23" max="16384" width="14.42578125" style="185"/>
  </cols>
  <sheetData>
    <row r="1" spans="1:49" s="319" customFormat="1" ht="19.899999999999999" customHeight="1">
      <c r="A1" s="535"/>
      <c r="B1" s="185"/>
      <c r="C1" s="184"/>
      <c r="D1" s="184"/>
      <c r="E1" s="318">
        <f>'DADOS INICIAIS'!T25</f>
        <v>222.02192137420039</v>
      </c>
      <c r="F1" s="184"/>
      <c r="G1" s="184"/>
      <c r="H1" s="184"/>
      <c r="I1" s="184"/>
      <c r="J1" s="184"/>
      <c r="K1" s="184"/>
      <c r="L1" s="184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</row>
    <row r="2" spans="1:49" ht="19.899999999999999" customHeight="1" thickBot="1">
      <c r="A2" s="535"/>
      <c r="E2" s="320"/>
      <c r="H2" s="185"/>
      <c r="J2" s="184"/>
      <c r="K2" s="184"/>
      <c r="L2" s="184"/>
      <c r="M2" s="321"/>
      <c r="N2" s="321"/>
      <c r="O2" s="321"/>
      <c r="P2" s="321"/>
      <c r="Q2" s="321"/>
      <c r="R2" s="321"/>
    </row>
    <row r="3" spans="1:49" ht="19.899999999999999" customHeight="1" thickBot="1">
      <c r="A3" s="535"/>
      <c r="C3" s="215"/>
      <c r="D3" s="215"/>
      <c r="E3" s="322"/>
      <c r="H3" s="215"/>
      <c r="J3" s="184"/>
      <c r="K3" s="184"/>
      <c r="L3" s="552" t="s">
        <v>6236</v>
      </c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4"/>
    </row>
    <row r="4" spans="1:49" ht="19.899999999999999" customHeight="1" thickBot="1">
      <c r="A4" s="535"/>
      <c r="C4" s="324" t="s">
        <v>6314</v>
      </c>
      <c r="D4" s="325">
        <f>(E5*'DADOS INICIAIS'!T37/1000)</f>
        <v>244.75</v>
      </c>
      <c r="E4" s="323" t="s">
        <v>3876</v>
      </c>
      <c r="K4" s="192"/>
      <c r="L4" s="549" t="s">
        <v>6235</v>
      </c>
      <c r="M4" s="550"/>
      <c r="N4" s="550"/>
      <c r="O4" s="550"/>
      <c r="P4" s="550"/>
      <c r="Q4" s="550"/>
      <c r="R4" s="550"/>
      <c r="S4" s="550"/>
      <c r="T4" s="550"/>
      <c r="U4" s="550"/>
      <c r="V4" s="550"/>
      <c r="W4" s="550"/>
      <c r="X4" s="551"/>
    </row>
    <row r="5" spans="1:49" ht="19.899999999999999" customHeight="1" thickBot="1">
      <c r="A5" s="535"/>
      <c r="C5" s="324" t="s">
        <v>6312</v>
      </c>
      <c r="D5" s="325">
        <f>'DADOS INICIAIS'!T25</f>
        <v>222.02192137420039</v>
      </c>
      <c r="E5" s="326">
        <f>'DADOS INICIAIS'!T24</f>
        <v>445</v>
      </c>
      <c r="F5" s="186" t="s">
        <v>27</v>
      </c>
      <c r="G5" s="186" t="s">
        <v>26</v>
      </c>
      <c r="H5" s="186" t="s">
        <v>41</v>
      </c>
      <c r="I5" s="186" t="s">
        <v>3854</v>
      </c>
      <c r="K5" s="192"/>
      <c r="L5" s="558" t="s">
        <v>45</v>
      </c>
      <c r="M5" s="559"/>
      <c r="N5" s="327">
        <v>2</v>
      </c>
      <c r="O5" s="327">
        <v>4</v>
      </c>
      <c r="P5" s="327">
        <v>8</v>
      </c>
      <c r="Q5" s="327">
        <v>12</v>
      </c>
      <c r="R5" s="327">
        <v>30</v>
      </c>
      <c r="S5" s="327">
        <v>50</v>
      </c>
      <c r="T5" s="327">
        <v>75</v>
      </c>
      <c r="U5" s="327">
        <v>150</v>
      </c>
      <c r="V5" s="327">
        <v>300</v>
      </c>
      <c r="W5" s="327">
        <v>500</v>
      </c>
      <c r="X5" s="328">
        <v>1000</v>
      </c>
    </row>
    <row r="6" spans="1:49" ht="19.899999999999999" customHeight="1" thickBot="1">
      <c r="C6" s="372" t="s">
        <v>6333</v>
      </c>
      <c r="D6" s="183">
        <f>_xlfn.IFS(D4&lt;=2,D4*N6*1000,AND(D4&gt;2,D4&lt;=4),D4*N6*1000,AND(D4&gt;4,D4&lt;=8),D4*O6*1000,AND(D4&gt;8,D4&lt;=12),D4*P6*1000,AND(D4&gt;12,D4&lt;=30),D4*Q6*1000,AND(D4&gt;30,D4&lt;=50),D4*R6*1000,AND(D4&gt;50,D4&lt;=75),D4*S6*1000,AND(D4&gt;75,D4&lt;=150),D4*T6*1000,AND(D4&gt;150,D4&lt;=300),D4*U6*1000,AND(D4&gt;300,D4&lt;=1000),D4*V6*1000)</f>
        <v>281462.5</v>
      </c>
      <c r="E6" s="329" t="s">
        <v>6157</v>
      </c>
      <c r="F6" s="186" t="str">
        <f t="shared" ref="F6:F15" si="0">C6</f>
        <v>PROJETO+HOMOLOGAÇÃO</v>
      </c>
      <c r="G6" s="373">
        <f>D6-D7</f>
        <v>214712.5</v>
      </c>
      <c r="H6" s="374">
        <f t="shared" ref="H6:H18" si="1">G6/$G$20</f>
        <v>0.20803358185455936</v>
      </c>
      <c r="I6" s="375">
        <f>G6/$D$5/1000</f>
        <v>0.96707792938211301</v>
      </c>
      <c r="K6" s="212"/>
      <c r="L6" s="555" t="s">
        <v>6237</v>
      </c>
      <c r="M6" s="556"/>
      <c r="N6" s="331">
        <v>2.44</v>
      </c>
      <c r="O6" s="331">
        <v>1.67</v>
      </c>
      <c r="P6" s="331">
        <v>1.32</v>
      </c>
      <c r="Q6" s="331">
        <v>1.2</v>
      </c>
      <c r="R6" s="331">
        <v>1.1299999999999999</v>
      </c>
      <c r="S6" s="331">
        <v>1.04</v>
      </c>
      <c r="T6" s="331">
        <v>1.22</v>
      </c>
      <c r="U6" s="332">
        <v>1.1499999999999999</v>
      </c>
      <c r="V6" s="331">
        <v>1.05</v>
      </c>
      <c r="W6" s="332">
        <v>1.05</v>
      </c>
      <c r="X6" s="474">
        <v>1.18</v>
      </c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192"/>
      <c r="AQ6" s="192"/>
      <c r="AR6" s="192"/>
      <c r="AS6" s="192"/>
      <c r="AT6" s="192"/>
      <c r="AU6" s="192"/>
      <c r="AV6" s="192"/>
      <c r="AW6" s="192"/>
    </row>
    <row r="7" spans="1:49" ht="19.899999999999999" customHeight="1" thickBot="1">
      <c r="C7" s="372" t="s">
        <v>6267</v>
      </c>
      <c r="D7" s="183">
        <f>E5*150</f>
        <v>66750</v>
      </c>
      <c r="E7" s="326" t="str">
        <f>'DADOS INICIAIS'!D9</f>
        <v>Telha Metálica Trapezoidal</v>
      </c>
      <c r="F7" s="186" t="str">
        <f t="shared" si="0"/>
        <v>MÃO DE OBRA TERCEIRA</v>
      </c>
      <c r="G7" s="373">
        <f t="shared" ref="G7:G16" si="2">D7</f>
        <v>66750</v>
      </c>
      <c r="H7" s="374">
        <f t="shared" si="1"/>
        <v>6.467365239001846E-2</v>
      </c>
      <c r="I7" s="375">
        <f t="shared" ref="I7:I15" si="3">G7/$D$5/1000</f>
        <v>0.30064598840894707</v>
      </c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2"/>
      <c r="AT7" s="192"/>
      <c r="AU7" s="192"/>
      <c r="AV7" s="192"/>
      <c r="AW7" s="192"/>
    </row>
    <row r="8" spans="1:49" ht="19.899999999999999" customHeight="1" thickBot="1">
      <c r="C8" s="186" t="s">
        <v>3820</v>
      </c>
      <c r="D8" s="333">
        <v>475000</v>
      </c>
      <c r="E8" s="329" t="s">
        <v>6293</v>
      </c>
      <c r="F8" s="186" t="str">
        <f t="shared" si="0"/>
        <v>MATERIAL FOTOVOLTAICO</v>
      </c>
      <c r="G8" s="373">
        <f t="shared" si="2"/>
        <v>475000</v>
      </c>
      <c r="H8" s="374">
        <f t="shared" si="1"/>
        <v>0.46022449266305271</v>
      </c>
      <c r="I8" s="375">
        <f t="shared" si="3"/>
        <v>2.1394283819363271</v>
      </c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2"/>
      <c r="AQ8" s="192"/>
      <c r="AR8" s="192"/>
      <c r="AS8" s="192"/>
      <c r="AT8" s="192"/>
      <c r="AU8" s="192"/>
      <c r="AV8" s="192"/>
      <c r="AW8" s="192"/>
    </row>
    <row r="9" spans="1:49" ht="19.899999999999999" customHeight="1">
      <c r="C9" s="186" t="s">
        <v>6339</v>
      </c>
      <c r="D9" s="333">
        <v>2000</v>
      </c>
      <c r="E9" s="326" t="str">
        <f>D19</f>
        <v>ALDO</v>
      </c>
      <c r="F9" s="186" t="str">
        <f t="shared" si="0"/>
        <v>PAINEL DE PROTEÇÃO CA</v>
      </c>
      <c r="G9" s="373">
        <f t="shared" si="2"/>
        <v>2000</v>
      </c>
      <c r="H9" s="374">
        <f t="shared" si="1"/>
        <v>1.9377873375286429E-3</v>
      </c>
      <c r="I9" s="375">
        <f t="shared" si="3"/>
        <v>9.0081195028897977E-3</v>
      </c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</row>
    <row r="10" spans="1:49" ht="19.899999999999999" customHeight="1">
      <c r="C10" s="186" t="s">
        <v>6334</v>
      </c>
      <c r="D10" s="333">
        <v>10000</v>
      </c>
      <c r="E10" s="187"/>
      <c r="F10" s="186" t="str">
        <f t="shared" si="0"/>
        <v>STRING BOX CC</v>
      </c>
      <c r="G10" s="373">
        <f t="shared" si="2"/>
        <v>10000</v>
      </c>
      <c r="H10" s="374">
        <f t="shared" si="1"/>
        <v>9.6889366876432154E-3</v>
      </c>
      <c r="I10" s="375">
        <f t="shared" si="3"/>
        <v>4.5040597514448999E-2</v>
      </c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</row>
    <row r="11" spans="1:49" ht="19.899999999999999" customHeight="1">
      <c r="C11" s="186" t="s">
        <v>6335</v>
      </c>
      <c r="D11" s="333">
        <v>10000</v>
      </c>
      <c r="E11" s="187"/>
      <c r="F11" s="186" t="str">
        <f t="shared" si="0"/>
        <v>MATERIAL CA</v>
      </c>
      <c r="G11" s="373">
        <f t="shared" si="2"/>
        <v>10000</v>
      </c>
      <c r="H11" s="374">
        <f t="shared" si="1"/>
        <v>9.6889366876432154E-3</v>
      </c>
      <c r="I11" s="375">
        <f t="shared" si="3"/>
        <v>4.5040597514448999E-2</v>
      </c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</row>
    <row r="12" spans="1:49" ht="19.899999999999999" customHeight="1">
      <c r="C12" s="186" t="s">
        <v>6336</v>
      </c>
      <c r="D12" s="333">
        <v>230000</v>
      </c>
      <c r="E12" s="187"/>
      <c r="F12" s="186" t="str">
        <f t="shared" si="0"/>
        <v>ESTRUTURA COBERTURA</v>
      </c>
      <c r="G12" s="373">
        <f t="shared" si="2"/>
        <v>230000</v>
      </c>
      <c r="H12" s="374">
        <f t="shared" si="1"/>
        <v>0.22284554381579394</v>
      </c>
      <c r="I12" s="375">
        <f t="shared" si="3"/>
        <v>1.035933742832327</v>
      </c>
      <c r="K12" s="192"/>
      <c r="L12" s="192"/>
      <c r="M12" s="197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</row>
    <row r="13" spans="1:49" ht="19.899999999999999" customHeight="1">
      <c r="C13" s="186" t="s">
        <v>6281</v>
      </c>
      <c r="D13" s="333">
        <v>3000</v>
      </c>
      <c r="E13" s="187"/>
      <c r="F13" s="186" t="str">
        <f t="shared" si="0"/>
        <v>ELETRODUTO</v>
      </c>
      <c r="G13" s="373">
        <f t="shared" si="2"/>
        <v>3000</v>
      </c>
      <c r="H13" s="374">
        <f t="shared" si="1"/>
        <v>2.9066810062929643E-3</v>
      </c>
      <c r="I13" s="375">
        <f t="shared" si="3"/>
        <v>1.3512179254334698E-2</v>
      </c>
      <c r="K13" s="546"/>
      <c r="L13" s="547" t="s">
        <v>3864</v>
      </c>
      <c r="M13" s="20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</row>
    <row r="14" spans="1:49" ht="40.9" customHeight="1">
      <c r="C14" s="186" t="s">
        <v>6280</v>
      </c>
      <c r="D14" s="333">
        <v>0</v>
      </c>
      <c r="E14" s="187"/>
      <c r="F14" s="186" t="str">
        <f t="shared" si="0"/>
        <v xml:space="preserve">CUSTO VIAGEM </v>
      </c>
      <c r="G14" s="373">
        <f t="shared" si="2"/>
        <v>0</v>
      </c>
      <c r="H14" s="374">
        <f t="shared" si="1"/>
        <v>0</v>
      </c>
      <c r="I14" s="375">
        <f t="shared" si="3"/>
        <v>0</v>
      </c>
      <c r="K14" s="546"/>
      <c r="L14" s="547"/>
      <c r="M14" s="20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</row>
    <row r="15" spans="1:49" ht="19.899999999999999" customHeight="1">
      <c r="C15" s="186" t="s">
        <v>6338</v>
      </c>
      <c r="D15" s="333">
        <v>5000</v>
      </c>
      <c r="E15" s="335"/>
      <c r="F15" s="186" t="str">
        <f t="shared" si="0"/>
        <v xml:space="preserve">LUCRO  </v>
      </c>
      <c r="G15" s="373">
        <f t="shared" si="2"/>
        <v>5000</v>
      </c>
      <c r="H15" s="374">
        <f t="shared" si="1"/>
        <v>4.8444683438216077E-3</v>
      </c>
      <c r="I15" s="375">
        <f t="shared" si="3"/>
        <v>2.2520298757224499E-2</v>
      </c>
      <c r="K15" s="546"/>
      <c r="L15" s="547"/>
      <c r="M15" s="200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</row>
    <row r="16" spans="1:49" ht="19.899999999999999" customHeight="1">
      <c r="C16" s="186" t="s">
        <v>3877</v>
      </c>
      <c r="D16" s="378">
        <f>(D6)+(D9*5%)+D15-D7</f>
        <v>219812.5</v>
      </c>
      <c r="E16" s="187"/>
      <c r="F16" s="186" t="s">
        <v>3875</v>
      </c>
      <c r="G16" s="373">
        <f t="shared" si="2"/>
        <v>219812.5</v>
      </c>
      <c r="H16" s="374">
        <f t="shared" si="1"/>
        <v>0.2129749395652574</v>
      </c>
      <c r="I16" s="375">
        <f>G16/$D$5/1000</f>
        <v>0.99004863411448196</v>
      </c>
      <c r="K16" s="538"/>
      <c r="L16" s="547" t="s">
        <v>6057</v>
      </c>
      <c r="M16" s="200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  <c r="AV16" s="192"/>
      <c r="AW16" s="192"/>
    </row>
    <row r="17" spans="3:49" ht="15">
      <c r="C17" s="186" t="s">
        <v>3824</v>
      </c>
      <c r="D17" s="336">
        <v>0.04</v>
      </c>
      <c r="E17" s="187"/>
      <c r="F17" s="186" t="s">
        <v>3828</v>
      </c>
      <c r="G17" s="373">
        <f>SUM(G6:G14)</f>
        <v>1011462.5</v>
      </c>
      <c r="H17" s="374">
        <f t="shared" si="1"/>
        <v>0.97999961244253253</v>
      </c>
      <c r="I17" s="375">
        <f>G17/$D$5/1000</f>
        <v>4.5556875363458369</v>
      </c>
      <c r="K17" s="539"/>
      <c r="L17" s="547"/>
      <c r="M17" s="200"/>
      <c r="Y17" s="192"/>
      <c r="Z17" s="192"/>
      <c r="AA17" s="192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  <c r="AV17" s="192"/>
      <c r="AW17" s="192"/>
    </row>
    <row r="18" spans="3:49" ht="19.899999999999999" customHeight="1">
      <c r="C18" s="337" t="s">
        <v>3830</v>
      </c>
      <c r="D18" s="336">
        <v>0.02</v>
      </c>
      <c r="F18" s="186" t="s">
        <v>3827</v>
      </c>
      <c r="G18" s="373">
        <f>((G17)/(1-D18))*D18</f>
        <v>20642.091836734693</v>
      </c>
      <c r="H18" s="374">
        <f t="shared" si="1"/>
        <v>1.9999992090663929E-2</v>
      </c>
      <c r="I18" s="375">
        <f>G18/$D$5/1000</f>
        <v>9.2973215027466055E-2</v>
      </c>
      <c r="K18" s="540"/>
      <c r="L18" s="547"/>
      <c r="M18" s="200"/>
      <c r="Y18" s="192"/>
      <c r="Z18" s="192"/>
      <c r="AA18" s="192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2"/>
    </row>
    <row r="19" spans="3:49" ht="15">
      <c r="C19" s="186" t="s">
        <v>3829</v>
      </c>
      <c r="D19" s="340" t="s">
        <v>6296</v>
      </c>
      <c r="F19" s="186" t="s">
        <v>5962</v>
      </c>
      <c r="G19" s="338">
        <v>0.02</v>
      </c>
      <c r="H19" s="339"/>
      <c r="I19" s="330"/>
      <c r="M19" s="200"/>
      <c r="Y19" s="192"/>
      <c r="Z19" s="192"/>
      <c r="AA19" s="192"/>
      <c r="AB19" s="341"/>
      <c r="AC19" s="192"/>
      <c r="AD19" s="192"/>
      <c r="AE19" s="192"/>
      <c r="AF19" s="192"/>
      <c r="AG19" s="192"/>
      <c r="AH19" s="192"/>
      <c r="AI19" s="192"/>
      <c r="AJ19" s="192"/>
      <c r="AK19" s="192"/>
      <c r="AL19" s="192"/>
      <c r="AM19" s="192"/>
      <c r="AN19" s="192"/>
      <c r="AO19" s="192"/>
      <c r="AP19" s="557"/>
      <c r="AQ19" s="557"/>
      <c r="AR19" s="192"/>
      <c r="AS19" s="192"/>
      <c r="AT19" s="192"/>
      <c r="AU19" s="192"/>
      <c r="AV19" s="192"/>
      <c r="AW19" s="192"/>
    </row>
    <row r="20" spans="3:49" ht="19.899999999999999" customHeight="1">
      <c r="C20" s="186" t="s">
        <v>5914</v>
      </c>
      <c r="D20" s="378" t="str">
        <f>'DADOS INICIAIS'!G42</f>
        <v>Jinko</v>
      </c>
      <c r="F20" s="186" t="s">
        <v>3826</v>
      </c>
      <c r="G20" s="373">
        <f>ROUNDUP(G18+G17,0)</f>
        <v>1032105</v>
      </c>
      <c r="H20" s="376"/>
      <c r="I20" s="377">
        <f>I17+I18</f>
        <v>4.6486607513733027</v>
      </c>
      <c r="K20" s="192"/>
      <c r="L20" s="190"/>
      <c r="M20" s="187"/>
      <c r="Y20" s="192"/>
      <c r="Z20" s="192"/>
      <c r="AA20" s="192"/>
      <c r="AB20" s="342"/>
      <c r="AC20" s="192"/>
      <c r="AD20" s="192"/>
      <c r="AE20" s="192"/>
      <c r="AF20" s="192"/>
      <c r="AG20" s="192"/>
      <c r="AH20" s="192"/>
      <c r="AI20" s="343"/>
      <c r="AJ20" s="343"/>
      <c r="AK20" s="192"/>
      <c r="AL20" s="192"/>
      <c r="AM20" s="192"/>
      <c r="AN20" s="192"/>
      <c r="AO20" s="192"/>
      <c r="AP20" s="344"/>
      <c r="AQ20" s="345"/>
      <c r="AR20" s="192"/>
      <c r="AS20" s="192"/>
      <c r="AT20" s="192"/>
      <c r="AU20" s="192"/>
      <c r="AV20" s="192"/>
      <c r="AW20" s="192"/>
    </row>
    <row r="21" spans="3:49" ht="19.899999999999999" customHeight="1">
      <c r="C21" s="186" t="s">
        <v>5913</v>
      </c>
      <c r="D21" s="378" t="str">
        <f>'DADOS INICIAIS'!G49</f>
        <v>Growatt</v>
      </c>
      <c r="E21" s="192"/>
      <c r="F21" s="186" t="s">
        <v>6294</v>
      </c>
      <c r="G21" s="445">
        <f>ROUNDUP(G20-(G20*G19),0)</f>
        <v>1011463</v>
      </c>
      <c r="K21" s="192"/>
      <c r="L21" s="548"/>
      <c r="Y21" s="192"/>
      <c r="Z21" s="192"/>
      <c r="AA21" s="192"/>
      <c r="AB21" s="34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344"/>
      <c r="AQ21" s="345"/>
      <c r="AR21" s="192"/>
      <c r="AS21" s="192"/>
      <c r="AT21" s="192"/>
      <c r="AU21" s="192"/>
      <c r="AV21" s="192"/>
      <c r="AW21" s="192"/>
    </row>
    <row r="22" spans="3:49" ht="19.899999999999999" customHeight="1">
      <c r="K22" s="192"/>
      <c r="L22" s="548"/>
      <c r="Y22" s="192"/>
      <c r="Z22" s="192"/>
      <c r="AA22" s="192"/>
      <c r="AB22" s="342"/>
      <c r="AC22" s="192"/>
      <c r="AD22" s="192"/>
      <c r="AE22" s="192"/>
      <c r="AF22" s="192"/>
      <c r="AG22" s="192"/>
      <c r="AH22" s="192"/>
      <c r="AI22" s="192"/>
      <c r="AJ22" s="192"/>
      <c r="AK22" s="192"/>
      <c r="AL22" s="192"/>
      <c r="AM22" s="192"/>
      <c r="AN22" s="192"/>
      <c r="AO22" s="192"/>
      <c r="AP22" s="344"/>
      <c r="AQ22" s="345"/>
      <c r="AR22" s="192"/>
      <c r="AS22" s="192"/>
      <c r="AT22" s="192"/>
      <c r="AU22" s="192"/>
      <c r="AV22" s="192"/>
      <c r="AW22" s="192"/>
    </row>
    <row r="23" spans="3:49" ht="30" customHeight="1">
      <c r="E23" s="4">
        <v>16</v>
      </c>
      <c r="H23" s="185"/>
      <c r="I23" s="185"/>
      <c r="K23" s="190"/>
      <c r="L23" s="548"/>
      <c r="Y23" s="192"/>
      <c r="Z23" s="342"/>
      <c r="AA23" s="342"/>
      <c r="AB23" s="342"/>
      <c r="AC23" s="192"/>
      <c r="AD23" s="192"/>
      <c r="AE23" s="192"/>
      <c r="AF23" s="192"/>
      <c r="AG23" s="192"/>
      <c r="AH23" s="192"/>
      <c r="AI23" s="192"/>
      <c r="AJ23" s="192"/>
      <c r="AK23" s="192"/>
      <c r="AL23" s="192"/>
      <c r="AM23" s="192"/>
      <c r="AN23" s="192"/>
      <c r="AO23" s="192"/>
      <c r="AP23" s="344"/>
      <c r="AQ23" s="345"/>
      <c r="AR23" s="192"/>
      <c r="AS23" s="192"/>
      <c r="AT23" s="192"/>
      <c r="AU23" s="192"/>
      <c r="AV23" s="192"/>
      <c r="AW23" s="192"/>
    </row>
    <row r="24" spans="3:49" ht="30" customHeight="1" thickBot="1">
      <c r="D24" s="192"/>
      <c r="H24" s="185"/>
      <c r="I24" s="190"/>
      <c r="K24" s="195"/>
      <c r="Y24" s="192"/>
      <c r="Z24" s="342"/>
      <c r="AA24" s="342"/>
      <c r="AB24" s="34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344"/>
      <c r="AQ24" s="345"/>
      <c r="AR24" s="192"/>
      <c r="AS24" s="192"/>
      <c r="AT24" s="192"/>
      <c r="AU24" s="192"/>
      <c r="AV24" s="192"/>
      <c r="AW24" s="192"/>
    </row>
    <row r="25" spans="3:49" ht="30" customHeight="1" thickTop="1" thickBot="1">
      <c r="C25" s="346" t="s">
        <v>28</v>
      </c>
      <c r="D25" s="346" t="s">
        <v>26</v>
      </c>
      <c r="F25" s="347" t="s">
        <v>3825</v>
      </c>
      <c r="G25" s="379">
        <f>G16</f>
        <v>219812.5</v>
      </c>
      <c r="H25" s="380">
        <f>G25/$G$20</f>
        <v>0.2129749395652574</v>
      </c>
      <c r="I25" s="348"/>
      <c r="K25" s="192"/>
      <c r="Y25" s="192"/>
      <c r="Z25" s="342"/>
      <c r="AA25" s="342"/>
      <c r="AB25" s="34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344"/>
      <c r="AQ25" s="345"/>
      <c r="AR25" s="192"/>
      <c r="AS25" s="192"/>
      <c r="AT25" s="192"/>
      <c r="AU25" s="192"/>
      <c r="AV25" s="192"/>
      <c r="AW25" s="192"/>
    </row>
    <row r="26" spans="3:49" ht="19.899999999999999" customHeight="1" thickTop="1">
      <c r="C26" s="346" t="s">
        <v>29</v>
      </c>
      <c r="D26" s="392">
        <f>$G$20</f>
        <v>1032105</v>
      </c>
      <c r="F26" s="349" t="s">
        <v>3824</v>
      </c>
      <c r="G26" s="381">
        <f>D17*G20</f>
        <v>41284.200000000004</v>
      </c>
      <c r="H26" s="382">
        <f>G26/$G$20</f>
        <v>0.04</v>
      </c>
      <c r="K26" s="192"/>
      <c r="L26" s="190"/>
      <c r="Y26" s="192"/>
      <c r="Z26" s="192"/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  <c r="AM26" s="192"/>
      <c r="AN26" s="192"/>
      <c r="AO26" s="192"/>
      <c r="AP26" s="344"/>
      <c r="AQ26" s="345"/>
      <c r="AR26" s="192"/>
      <c r="AS26" s="192"/>
      <c r="AT26" s="192"/>
      <c r="AU26" s="192"/>
      <c r="AV26" s="192"/>
      <c r="AW26" s="192"/>
    </row>
    <row r="27" spans="3:49" ht="25.15" customHeight="1" thickBot="1">
      <c r="C27" s="350" t="s">
        <v>30</v>
      </c>
      <c r="D27" s="156">
        <v>12</v>
      </c>
      <c r="F27" s="351" t="s">
        <v>3823</v>
      </c>
      <c r="G27" s="383">
        <f>G25-G26</f>
        <v>178528.3</v>
      </c>
      <c r="H27" s="384">
        <f>G27/$G$20</f>
        <v>0.17297493956525739</v>
      </c>
      <c r="I27" s="348"/>
      <c r="K27" s="192"/>
      <c r="Y27" s="192"/>
      <c r="Z27" s="544"/>
      <c r="AA27" s="545"/>
      <c r="AB27" s="35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344"/>
      <c r="AQ27" s="345"/>
      <c r="AR27" s="192"/>
      <c r="AS27" s="192"/>
      <c r="AT27" s="192"/>
      <c r="AU27" s="192"/>
      <c r="AV27" s="192"/>
      <c r="AW27" s="192"/>
    </row>
    <row r="28" spans="3:49" ht="19.899999999999999" customHeight="1" thickTop="1" thickBot="1">
      <c r="C28" s="199"/>
      <c r="D28" s="353"/>
      <c r="E28" s="193"/>
      <c r="F28" s="198"/>
      <c r="G28" s="1"/>
      <c r="H28" s="385"/>
      <c r="I28" s="354"/>
      <c r="L28" s="354"/>
      <c r="Y28" s="192"/>
      <c r="Z28" s="355"/>
      <c r="AA28" s="192"/>
      <c r="AB28" s="356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344"/>
      <c r="AQ28" s="345"/>
      <c r="AR28" s="192"/>
      <c r="AS28" s="192"/>
      <c r="AT28" s="192"/>
      <c r="AU28" s="192"/>
      <c r="AV28" s="192"/>
      <c r="AW28" s="192"/>
    </row>
    <row r="29" spans="3:49" ht="19.899999999999999" customHeight="1" thickBot="1">
      <c r="C29" s="357" t="s">
        <v>31</v>
      </c>
      <c r="D29" s="155">
        <v>1.4999999999999999E-2</v>
      </c>
      <c r="F29" s="347" t="s">
        <v>3822</v>
      </c>
      <c r="G29" s="386">
        <f>G20/'DADOS INICIAIS'!$D$46</f>
        <v>42.139404388522337</v>
      </c>
      <c r="H29" s="387">
        <f>G29/1000</f>
        <v>4.2139404388522338E-2</v>
      </c>
      <c r="I29" s="354"/>
      <c r="Y29" s="192"/>
      <c r="Z29" s="355"/>
      <c r="AA29" s="192"/>
      <c r="AB29" s="358"/>
      <c r="AC29" s="192"/>
      <c r="AD29" s="359"/>
      <c r="AE29" s="359"/>
      <c r="AF29" s="359"/>
      <c r="AG29" s="359"/>
      <c r="AH29" s="359"/>
      <c r="AI29" s="359"/>
      <c r="AJ29" s="359"/>
      <c r="AK29" s="359"/>
      <c r="AL29" s="359"/>
      <c r="AM29" s="359"/>
      <c r="AN29" s="359"/>
      <c r="AO29" s="359"/>
      <c r="AP29" s="344"/>
      <c r="AQ29" s="345"/>
      <c r="AR29" s="192"/>
      <c r="AS29" s="192"/>
      <c r="AT29" s="192"/>
      <c r="AU29" s="192"/>
      <c r="AV29" s="192"/>
      <c r="AW29" s="192"/>
    </row>
    <row r="30" spans="3:49" ht="19.899999999999999" customHeight="1" thickBot="1">
      <c r="C30" s="199"/>
      <c r="D30" s="353"/>
      <c r="E30" s="192"/>
      <c r="F30" s="349" t="s">
        <v>3821</v>
      </c>
      <c r="G30" s="388">
        <f>(G6+G7+G8+G9+G11+G12+G14)/'DADOS INICIAIS'!$D$46</f>
        <v>40.765828141783039</v>
      </c>
      <c r="H30" s="389">
        <f>G30/1000</f>
        <v>4.0765828141783041E-2</v>
      </c>
      <c r="I30" s="354"/>
      <c r="L30" s="354"/>
      <c r="Y30" s="192"/>
      <c r="Z30" s="355"/>
      <c r="AA30" s="192"/>
      <c r="AB30" s="356"/>
      <c r="AC30" s="192"/>
      <c r="AD30" s="360"/>
      <c r="AE30" s="360"/>
      <c r="AF30" s="360"/>
      <c r="AG30" s="360"/>
      <c r="AH30" s="360"/>
      <c r="AI30" s="360"/>
      <c r="AJ30" s="360"/>
      <c r="AK30" s="360"/>
      <c r="AL30" s="360"/>
      <c r="AM30" s="360"/>
      <c r="AN30" s="360"/>
      <c r="AO30" s="360"/>
      <c r="AP30" s="344"/>
      <c r="AQ30" s="345"/>
      <c r="AR30" s="192"/>
      <c r="AS30" s="192"/>
      <c r="AT30" s="192"/>
      <c r="AU30" s="192"/>
      <c r="AV30" s="192"/>
      <c r="AW30" s="192"/>
    </row>
    <row r="31" spans="3:49" ht="19.899999999999999" customHeight="1" thickBot="1">
      <c r="C31" s="361" t="s">
        <v>32</v>
      </c>
      <c r="D31" s="448">
        <f>-PMT(D29,D27,D26)</f>
        <v>94623.379078483413</v>
      </c>
      <c r="E31" s="192"/>
      <c r="F31" s="362" t="s">
        <v>3831</v>
      </c>
      <c r="G31" s="390">
        <f>(G16+G10+G13)/'DADOS INICIAIS'!$D$46</f>
        <v>9.5054089304894909</v>
      </c>
      <c r="H31" s="391">
        <f>G31/1000</f>
        <v>9.5054089304894909E-3</v>
      </c>
      <c r="I31" s="363"/>
      <c r="K31" s="354"/>
      <c r="Y31" s="192"/>
      <c r="Z31" s="355"/>
      <c r="AA31" s="192"/>
      <c r="AB31" s="364"/>
      <c r="AC31" s="341"/>
      <c r="AD31" s="342"/>
      <c r="AE31" s="342"/>
      <c r="AF31" s="342"/>
      <c r="AG31" s="342"/>
      <c r="AH31" s="342"/>
      <c r="AI31" s="342"/>
      <c r="AJ31" s="342"/>
      <c r="AK31" s="342"/>
      <c r="AL31" s="342"/>
      <c r="AM31" s="342"/>
      <c r="AN31" s="342"/>
      <c r="AO31" s="342"/>
      <c r="AP31" s="344"/>
      <c r="AQ31" s="345"/>
      <c r="AR31" s="192"/>
      <c r="AS31" s="192"/>
      <c r="AT31" s="192"/>
      <c r="AU31" s="192"/>
      <c r="AV31" s="192"/>
      <c r="AW31" s="192"/>
    </row>
    <row r="32" spans="3:49" ht="19.899999999999999" customHeight="1" thickBot="1">
      <c r="E32" s="185" t="s">
        <v>6278</v>
      </c>
      <c r="K32" s="354"/>
      <c r="Y32" s="192"/>
      <c r="Z32" s="355"/>
      <c r="AA32" s="192"/>
      <c r="AB32" s="356"/>
      <c r="AC32" s="341"/>
      <c r="AD32" s="342"/>
      <c r="AE32" s="342"/>
      <c r="AF32" s="342"/>
      <c r="AG32" s="342"/>
      <c r="AH32" s="342"/>
      <c r="AI32" s="342"/>
      <c r="AJ32" s="342"/>
      <c r="AK32" s="342"/>
      <c r="AL32" s="342"/>
      <c r="AM32" s="342"/>
      <c r="AN32" s="342"/>
      <c r="AO32" s="342"/>
      <c r="AP32" s="344"/>
      <c r="AQ32" s="345"/>
      <c r="AR32" s="192"/>
      <c r="AS32" s="192"/>
      <c r="AT32" s="192"/>
      <c r="AU32" s="192"/>
      <c r="AV32" s="192"/>
      <c r="AW32" s="192"/>
    </row>
    <row r="33" spans="3:49" ht="19.899999999999999" customHeight="1" thickTop="1" thickBot="1">
      <c r="C33" s="346" t="s">
        <v>28</v>
      </c>
      <c r="D33" s="346" t="s">
        <v>26</v>
      </c>
      <c r="K33" s="354"/>
      <c r="Y33" s="192"/>
      <c r="Z33" s="355"/>
      <c r="AA33" s="192"/>
      <c r="AB33" s="365"/>
      <c r="AC33" s="341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44"/>
      <c r="AQ33" s="345"/>
      <c r="AR33" s="192"/>
      <c r="AS33" s="192"/>
      <c r="AT33" s="192"/>
      <c r="AU33" s="192"/>
      <c r="AV33" s="192"/>
      <c r="AW33" s="192"/>
    </row>
    <row r="34" spans="3:49" ht="19.899999999999999" customHeight="1" thickTop="1">
      <c r="C34" s="346" t="s">
        <v>29</v>
      </c>
      <c r="D34" s="392">
        <f>$G$20</f>
        <v>1032105</v>
      </c>
      <c r="K34" s="354"/>
      <c r="Y34" s="192"/>
      <c r="Z34" s="192"/>
      <c r="AA34" s="192"/>
      <c r="AB34" s="192"/>
      <c r="AC34" s="367"/>
      <c r="AD34" s="356"/>
      <c r="AE34" s="192"/>
      <c r="AF34" s="192"/>
      <c r="AG34" s="192"/>
      <c r="AH34" s="192"/>
      <c r="AI34" s="192"/>
      <c r="AJ34" s="192"/>
      <c r="AK34" s="192"/>
      <c r="AL34" s="192"/>
      <c r="AM34" s="192"/>
      <c r="AN34" s="192"/>
      <c r="AO34" s="192"/>
      <c r="AP34" s="344"/>
      <c r="AQ34" s="345"/>
      <c r="AR34" s="192"/>
      <c r="AS34" s="192"/>
      <c r="AT34" s="192"/>
      <c r="AU34" s="192"/>
      <c r="AV34" s="192"/>
      <c r="AW34" s="192"/>
    </row>
    <row r="35" spans="3:49" ht="19.899999999999999" customHeight="1" thickBot="1">
      <c r="C35" s="350" t="s">
        <v>30</v>
      </c>
      <c r="D35" s="156">
        <v>48</v>
      </c>
      <c r="J35" s="368"/>
      <c r="K35" s="354"/>
      <c r="Y35" s="192"/>
      <c r="Z35" s="544"/>
      <c r="AA35" s="545"/>
      <c r="AB35" s="341"/>
      <c r="AC35" s="367"/>
      <c r="AD35" s="366"/>
      <c r="AE35" s="192"/>
      <c r="AF35" s="192"/>
      <c r="AG35" s="192"/>
      <c r="AH35" s="192"/>
      <c r="AI35" s="192"/>
      <c r="AJ35" s="192"/>
      <c r="AK35" s="192"/>
      <c r="AL35" s="192"/>
      <c r="AM35" s="192"/>
      <c r="AN35" s="192"/>
      <c r="AO35" s="192"/>
      <c r="AP35" s="192"/>
      <c r="AQ35" s="369"/>
      <c r="AR35" s="192"/>
      <c r="AS35" s="192"/>
      <c r="AT35" s="192"/>
      <c r="AU35" s="192"/>
      <c r="AV35" s="192"/>
      <c r="AW35" s="192"/>
    </row>
    <row r="36" spans="3:49" ht="19.899999999999999" customHeight="1" thickTop="1" thickBot="1">
      <c r="C36" s="199"/>
      <c r="D36" s="353"/>
      <c r="F36" s="192"/>
      <c r="H36" s="185"/>
      <c r="J36" s="370"/>
      <c r="K36" s="354"/>
      <c r="Y36" s="192"/>
      <c r="Z36" s="192"/>
      <c r="AA36" s="342"/>
      <c r="AB36" s="342"/>
      <c r="AC36" s="192"/>
      <c r="AD36" s="192"/>
      <c r="AE36" s="192"/>
      <c r="AF36" s="192"/>
      <c r="AG36" s="192"/>
      <c r="AH36" s="192"/>
      <c r="AI36" s="192"/>
      <c r="AJ36" s="192"/>
      <c r="AK36" s="192"/>
      <c r="AL36" s="192"/>
      <c r="AM36" s="192"/>
      <c r="AN36" s="192"/>
      <c r="AO36" s="192"/>
      <c r="AP36" s="192"/>
      <c r="AQ36" s="192"/>
      <c r="AR36" s="192"/>
      <c r="AS36" s="192"/>
      <c r="AT36" s="192"/>
      <c r="AU36" s="192"/>
      <c r="AV36" s="192"/>
      <c r="AW36" s="192"/>
    </row>
    <row r="37" spans="3:49" ht="19.899999999999999" customHeight="1" thickBot="1">
      <c r="C37" s="357" t="s">
        <v>31</v>
      </c>
      <c r="D37" s="155">
        <v>1.4999999999999999E-2</v>
      </c>
      <c r="F37" s="215"/>
      <c r="H37" s="185"/>
      <c r="K37" s="192"/>
      <c r="Y37" s="192"/>
      <c r="Z37" s="192"/>
      <c r="AA37" s="342"/>
      <c r="AB37" s="34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</row>
    <row r="38" spans="3:49" ht="19.899999999999999" customHeight="1" thickBot="1">
      <c r="C38" s="199"/>
      <c r="D38" s="353"/>
      <c r="F38" s="192"/>
      <c r="H38" s="185"/>
      <c r="K38" s="192"/>
      <c r="Y38" s="192"/>
      <c r="Z38" s="192"/>
      <c r="AA38" s="371"/>
      <c r="AB38" s="371"/>
      <c r="AC38" s="192"/>
      <c r="AD38" s="192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</row>
    <row r="39" spans="3:49" ht="19.899999999999999" customHeight="1" thickBot="1">
      <c r="C39" s="361" t="s">
        <v>32</v>
      </c>
      <c r="D39" s="448">
        <f>-PMT(D37,D35,D34)</f>
        <v>30318.083970582255</v>
      </c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  <c r="AM39" s="192"/>
      <c r="AN39" s="192"/>
      <c r="AO39" s="192"/>
      <c r="AP39" s="192"/>
      <c r="AQ39" s="192"/>
      <c r="AR39" s="192"/>
      <c r="AS39" s="192"/>
      <c r="AT39" s="192"/>
      <c r="AU39" s="192"/>
      <c r="AV39" s="192"/>
      <c r="AW39" s="192"/>
    </row>
    <row r="40" spans="3:49" ht="19.899999999999999" customHeight="1" thickBot="1"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2"/>
      <c r="AT40" s="192"/>
      <c r="AU40" s="192"/>
      <c r="AV40" s="192"/>
      <c r="AW40" s="192"/>
    </row>
    <row r="41" spans="3:49" ht="19.899999999999999" customHeight="1" thickTop="1" thickBot="1">
      <c r="C41" s="346" t="s">
        <v>28</v>
      </c>
      <c r="D41" s="346" t="s">
        <v>26</v>
      </c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</row>
    <row r="42" spans="3:49" ht="19.899999999999999" customHeight="1" thickTop="1">
      <c r="C42" s="346" t="s">
        <v>29</v>
      </c>
      <c r="D42" s="392">
        <f>$G$20</f>
        <v>1032105</v>
      </c>
      <c r="Y42" s="192"/>
      <c r="Z42" s="192"/>
      <c r="AA42" s="192"/>
      <c r="AB42" s="192"/>
      <c r="AC42" s="192"/>
      <c r="AD42" s="192"/>
      <c r="AE42" s="192"/>
      <c r="AF42" s="192"/>
      <c r="AG42" s="192"/>
      <c r="AH42" s="192"/>
      <c r="AI42" s="192"/>
      <c r="AJ42" s="192"/>
      <c r="AK42" s="192"/>
      <c r="AL42" s="192"/>
      <c r="AM42" s="192"/>
      <c r="AN42" s="192"/>
      <c r="AO42" s="192"/>
      <c r="AP42" s="192"/>
      <c r="AQ42" s="192"/>
      <c r="AR42" s="192"/>
      <c r="AS42" s="192"/>
      <c r="AT42" s="192"/>
      <c r="AU42" s="192"/>
      <c r="AV42" s="192"/>
      <c r="AW42" s="192"/>
    </row>
    <row r="43" spans="3:49" ht="19.899999999999999" customHeight="1" thickBot="1">
      <c r="C43" s="350" t="s">
        <v>30</v>
      </c>
      <c r="D43" s="156">
        <v>48</v>
      </c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</row>
    <row r="44" spans="3:49" ht="19.899999999999999" customHeight="1" thickTop="1" thickBot="1">
      <c r="C44" s="199"/>
      <c r="D44" s="353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</row>
    <row r="45" spans="3:49" ht="19.899999999999999" customHeight="1" thickBot="1">
      <c r="C45" s="357" t="s">
        <v>31</v>
      </c>
      <c r="D45" s="155">
        <v>1.4999999999999999E-2</v>
      </c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</row>
    <row r="46" spans="3:49" ht="19.899999999999999" customHeight="1" thickBot="1">
      <c r="C46" s="199"/>
      <c r="D46" s="353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</row>
    <row r="47" spans="3:49" ht="19.899999999999999" customHeight="1" thickBot="1">
      <c r="C47" s="361" t="s">
        <v>32</v>
      </c>
      <c r="D47" s="448">
        <f>-PMT(D45,D43,D42)</f>
        <v>30318.083970582255</v>
      </c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</row>
    <row r="48" spans="3:49" ht="19.899999999999999" customHeight="1" thickBot="1"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</row>
    <row r="49" spans="3:49" ht="19.899999999999999" customHeight="1" thickTop="1" thickBot="1">
      <c r="C49" s="346" t="s">
        <v>28</v>
      </c>
      <c r="D49" s="346" t="s">
        <v>26</v>
      </c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</row>
    <row r="50" spans="3:49" ht="19.899999999999999" customHeight="1" thickTop="1">
      <c r="C50" s="346" t="s">
        <v>29</v>
      </c>
      <c r="D50" s="392">
        <f>$G$20</f>
        <v>1032105</v>
      </c>
      <c r="H50" s="363"/>
      <c r="Y50" s="192"/>
      <c r="Z50" s="192"/>
      <c r="AA50" s="192"/>
      <c r="AB50" s="192"/>
      <c r="AC50" s="192"/>
      <c r="AD50" s="192"/>
      <c r="AE50" s="192"/>
      <c r="AF50" s="192"/>
      <c r="AG50" s="192"/>
      <c r="AH50" s="192"/>
      <c r="AI50" s="192"/>
      <c r="AJ50" s="192"/>
      <c r="AK50" s="192"/>
      <c r="AL50" s="192"/>
      <c r="AM50" s="192"/>
      <c r="AN50" s="192"/>
      <c r="AO50" s="192"/>
      <c r="AP50" s="192"/>
      <c r="AQ50" s="192"/>
      <c r="AR50" s="192"/>
      <c r="AS50" s="192"/>
      <c r="AT50" s="192"/>
      <c r="AU50" s="192"/>
      <c r="AV50" s="192"/>
      <c r="AW50" s="192"/>
    </row>
    <row r="51" spans="3:49" ht="19.899999999999999" customHeight="1" thickBot="1">
      <c r="C51" s="350" t="s">
        <v>30</v>
      </c>
      <c r="D51" s="156">
        <v>60</v>
      </c>
      <c r="I51" s="193"/>
      <c r="J51" s="354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</row>
    <row r="52" spans="3:49" ht="19.899999999999999" customHeight="1" thickTop="1" thickBot="1">
      <c r="C52" s="199"/>
      <c r="D52" s="353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  <c r="AM52" s="192"/>
      <c r="AN52" s="192"/>
      <c r="AO52" s="192"/>
      <c r="AP52" s="192"/>
      <c r="AQ52" s="192"/>
      <c r="AR52" s="192"/>
      <c r="AS52" s="192"/>
      <c r="AT52" s="192"/>
      <c r="AU52" s="192"/>
      <c r="AV52" s="192"/>
      <c r="AW52" s="192"/>
    </row>
    <row r="53" spans="3:49" ht="19.899999999999999" customHeight="1" thickBot="1">
      <c r="C53" s="357" t="s">
        <v>31</v>
      </c>
      <c r="D53" s="155">
        <v>1.4999999999999999E-2</v>
      </c>
    </row>
    <row r="54" spans="3:49" ht="19.899999999999999" customHeight="1" thickBot="1">
      <c r="C54" s="199"/>
      <c r="D54" s="353"/>
    </row>
    <row r="55" spans="3:49" ht="19.899999999999999" customHeight="1" thickBot="1">
      <c r="C55" s="361" t="s">
        <v>32</v>
      </c>
      <c r="D55" s="448">
        <f>-PMT(D53,D51,D50)</f>
        <v>26208.683414656422</v>
      </c>
    </row>
    <row r="56" spans="3:49" ht="19.899999999999999" customHeight="1" thickBot="1"/>
    <row r="57" spans="3:49" ht="19.899999999999999" customHeight="1" thickTop="1" thickBot="1">
      <c r="C57" s="346" t="s">
        <v>28</v>
      </c>
      <c r="D57" s="346" t="s">
        <v>26</v>
      </c>
    </row>
    <row r="58" spans="3:49" ht="19.899999999999999" customHeight="1" thickTop="1">
      <c r="C58" s="346" t="s">
        <v>29</v>
      </c>
      <c r="D58" s="392">
        <f>$G$20</f>
        <v>1032105</v>
      </c>
    </row>
    <row r="59" spans="3:49" ht="19.899999999999999" customHeight="1" thickBot="1">
      <c r="C59" s="350" t="s">
        <v>30</v>
      </c>
      <c r="D59" s="156">
        <v>120</v>
      </c>
    </row>
    <row r="60" spans="3:49" ht="19.899999999999999" customHeight="1" thickTop="1" thickBot="1">
      <c r="C60" s="199"/>
      <c r="D60" s="353"/>
    </row>
    <row r="61" spans="3:49" ht="19.899999999999999" customHeight="1" thickBot="1">
      <c r="C61" s="357" t="s">
        <v>31</v>
      </c>
      <c r="D61" s="155">
        <v>1.4999999999999999E-2</v>
      </c>
    </row>
    <row r="62" spans="3:49" ht="19.899999999999999" customHeight="1" thickBot="1">
      <c r="C62" s="199"/>
      <c r="D62" s="353"/>
    </row>
    <row r="63" spans="3:49" ht="19.899999999999999" customHeight="1" thickBot="1">
      <c r="C63" s="361" t="s">
        <v>32</v>
      </c>
      <c r="D63" s="448">
        <f>-PMT(D61,D59,D58)</f>
        <v>18597.00448562079</v>
      </c>
    </row>
    <row r="64" spans="3:49" ht="19.899999999999999" customHeight="1" thickBot="1"/>
    <row r="65" spans="3:4" ht="19.899999999999999" customHeight="1" thickTop="1" thickBot="1">
      <c r="C65" s="346" t="s">
        <v>28</v>
      </c>
      <c r="D65" s="346" t="s">
        <v>26</v>
      </c>
    </row>
    <row r="66" spans="3:4" ht="19.899999999999999" customHeight="1" thickTop="1">
      <c r="C66" s="346" t="s">
        <v>29</v>
      </c>
      <c r="D66" s="392">
        <f>$G$20</f>
        <v>1032105</v>
      </c>
    </row>
    <row r="67" spans="3:4" ht="19.899999999999999" customHeight="1" thickBot="1">
      <c r="C67" s="350" t="s">
        <v>30</v>
      </c>
      <c r="D67" s="156">
        <v>150</v>
      </c>
    </row>
    <row r="68" spans="3:4" ht="19.899999999999999" customHeight="1" thickTop="1" thickBot="1">
      <c r="C68" s="199"/>
      <c r="D68" s="353"/>
    </row>
    <row r="69" spans="3:4" ht="19.899999999999999" customHeight="1" thickBot="1">
      <c r="C69" s="357" t="s">
        <v>31</v>
      </c>
      <c r="D69" s="155">
        <v>1.4999999999999999E-2</v>
      </c>
    </row>
    <row r="70" spans="3:4" ht="19.899999999999999" customHeight="1" thickBot="1">
      <c r="C70" s="199"/>
      <c r="D70" s="353"/>
    </row>
    <row r="71" spans="3:4" ht="19.899999999999999" customHeight="1" thickBot="1">
      <c r="C71" s="361" t="s">
        <v>32</v>
      </c>
      <c r="D71" s="448">
        <f>-PMT(D69,D67,D66)</f>
        <v>17339.989056430437</v>
      </c>
    </row>
  </sheetData>
  <mergeCells count="13">
    <mergeCell ref="L4:X4"/>
    <mergeCell ref="L3:X3"/>
    <mergeCell ref="L6:M6"/>
    <mergeCell ref="A1:A5"/>
    <mergeCell ref="AP19:AQ19"/>
    <mergeCell ref="L5:M5"/>
    <mergeCell ref="Z27:AA27"/>
    <mergeCell ref="Z35:AA35"/>
    <mergeCell ref="K13:K15"/>
    <mergeCell ref="L13:L15"/>
    <mergeCell ref="K16:K18"/>
    <mergeCell ref="L16:L18"/>
    <mergeCell ref="L21:L23"/>
  </mergeCells>
  <dataValidations count="4">
    <dataValidation type="list" allowBlank="1" showErrorMessage="1" sqref="AB27" xr:uid="{00000000-0002-0000-0300-000000000000}">
      <formula1>"Bifásico,Trifásico"</formula1>
    </dataValidation>
    <dataValidation type="list" allowBlank="1" showInputMessage="1" showErrorMessage="1" sqref="D17" xr:uid="{7DC55361-B187-1941-89D1-F476FF249EC8}">
      <formula1>"0%,1%,2%,3%,4%,5%,6%,7%,8%"</formula1>
    </dataValidation>
    <dataValidation type="list" allowBlank="1" showInputMessage="1" showErrorMessage="1" sqref="D19" xr:uid="{2043628D-CABF-1B40-8EF2-E6121574ABB4}">
      <formula1>"FORTLEV,FOTUS,ALDO,SOU ENERGY,ECORI,SICES,MAZZER,RENOVIGI,GENYX,BLUESUN,BALFAR,SUNO,OUTRO"</formula1>
    </dataValidation>
    <dataValidation type="list" allowBlank="1" showInputMessage="1" showErrorMessage="1" sqref="G19" xr:uid="{365CE79F-4462-4E77-B738-B1F7770C7EB0}">
      <mc:AlternateContent xmlns:x12ac="http://schemas.microsoft.com/office/spreadsheetml/2011/1/ac" xmlns:mc="http://schemas.openxmlformats.org/markup-compatibility/2006">
        <mc:Choice Requires="x12ac">
          <x12ac:list>0,"0,01","0,02","0,03","0,04","0,05","0,06","0,07","0,08","0,09","0,1"</x12ac:list>
        </mc:Choice>
        <mc:Fallback>
          <formula1>"0,0,01,0,02,0,03,0,04,0,05,0,06,0,07,0,08,0,09,0,1"</formula1>
        </mc:Fallback>
      </mc:AlternateContent>
    </dataValidation>
  </dataValidations>
  <pageMargins left="0.511811024" right="0.511811024" top="0.78740157499999996" bottom="0.78740157499999996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Scroll Bar 6">
              <controlPr locked="0" defaultSize="0" autoPict="0">
                <anchor moveWithCells="1">
                  <from>
                    <xdr:col>3</xdr:col>
                    <xdr:colOff>19050</xdr:colOff>
                    <xdr:row>27</xdr:row>
                    <xdr:rowOff>57150</xdr:rowOff>
                  </from>
                  <to>
                    <xdr:col>3</xdr:col>
                    <xdr:colOff>914400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Scroll Bar 7">
              <controlPr locked="0" defaultSize="0" autoPict="0">
                <anchor moveWithCells="1">
                  <from>
                    <xdr:col>3</xdr:col>
                    <xdr:colOff>19050</xdr:colOff>
                    <xdr:row>29</xdr:row>
                    <xdr:rowOff>38100</xdr:rowOff>
                  </from>
                  <to>
                    <xdr:col>3</xdr:col>
                    <xdr:colOff>942975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6" name="Scroll Bar 35">
              <controlPr locked="0" defaultSize="0" autoPict="0">
                <anchor moveWithCells="1">
                  <from>
                    <xdr:col>3</xdr:col>
                    <xdr:colOff>19050</xdr:colOff>
                    <xdr:row>35</xdr:row>
                    <xdr:rowOff>57150</xdr:rowOff>
                  </from>
                  <to>
                    <xdr:col>3</xdr:col>
                    <xdr:colOff>914400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7" name="Scroll Bar 36">
              <controlPr locked="0" defaultSize="0" autoPict="0">
                <anchor moveWithCells="1">
                  <from>
                    <xdr:col>3</xdr:col>
                    <xdr:colOff>19050</xdr:colOff>
                    <xdr:row>37</xdr:row>
                    <xdr:rowOff>38100</xdr:rowOff>
                  </from>
                  <to>
                    <xdr:col>3</xdr:col>
                    <xdr:colOff>933450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8" name="Scroll Bar 37">
              <controlPr locked="0" defaultSize="0" autoPict="0">
                <anchor moveWithCells="1">
                  <from>
                    <xdr:col>3</xdr:col>
                    <xdr:colOff>19050</xdr:colOff>
                    <xdr:row>35</xdr:row>
                    <xdr:rowOff>57150</xdr:rowOff>
                  </from>
                  <to>
                    <xdr:col>3</xdr:col>
                    <xdr:colOff>914400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9" name="Scroll Bar 38">
              <controlPr locked="0" defaultSize="0" autoPict="0">
                <anchor moveWithCells="1">
                  <from>
                    <xdr:col>3</xdr:col>
                    <xdr:colOff>19050</xdr:colOff>
                    <xdr:row>37</xdr:row>
                    <xdr:rowOff>38100</xdr:rowOff>
                  </from>
                  <to>
                    <xdr:col>3</xdr:col>
                    <xdr:colOff>933450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10" name="Scroll Bar 39">
              <controlPr locked="0" defaultSize="0" autoPict="0">
                <anchor moveWithCells="1">
                  <from>
                    <xdr:col>3</xdr:col>
                    <xdr:colOff>19050</xdr:colOff>
                    <xdr:row>43</xdr:row>
                    <xdr:rowOff>57150</xdr:rowOff>
                  </from>
                  <to>
                    <xdr:col>3</xdr:col>
                    <xdr:colOff>914400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11" name="Scroll Bar 40">
              <controlPr locked="0" defaultSize="0" autoPict="0">
                <anchor moveWithCells="1">
                  <from>
                    <xdr:col>3</xdr:col>
                    <xdr:colOff>19050</xdr:colOff>
                    <xdr:row>45</xdr:row>
                    <xdr:rowOff>38100</xdr:rowOff>
                  </from>
                  <to>
                    <xdr:col>3</xdr:col>
                    <xdr:colOff>933450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12" name="Scroll Bar 41">
              <controlPr locked="0" defaultSize="0" autoPict="0">
                <anchor moveWithCells="1">
                  <from>
                    <xdr:col>3</xdr:col>
                    <xdr:colOff>19050</xdr:colOff>
                    <xdr:row>43</xdr:row>
                    <xdr:rowOff>57150</xdr:rowOff>
                  </from>
                  <to>
                    <xdr:col>3</xdr:col>
                    <xdr:colOff>914400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13" name="Scroll Bar 42">
              <controlPr locked="0" defaultSize="0" autoPict="0">
                <anchor moveWithCells="1">
                  <from>
                    <xdr:col>3</xdr:col>
                    <xdr:colOff>19050</xdr:colOff>
                    <xdr:row>45</xdr:row>
                    <xdr:rowOff>38100</xdr:rowOff>
                  </from>
                  <to>
                    <xdr:col>3</xdr:col>
                    <xdr:colOff>933450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14" name="Scroll Bar 43">
              <controlPr locked="0" defaultSize="0" autoPict="0">
                <anchor moveWithCells="1">
                  <from>
                    <xdr:col>3</xdr:col>
                    <xdr:colOff>19050</xdr:colOff>
                    <xdr:row>51</xdr:row>
                    <xdr:rowOff>57150</xdr:rowOff>
                  </from>
                  <to>
                    <xdr:col>3</xdr:col>
                    <xdr:colOff>914400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15" name="Scroll Bar 44">
              <controlPr locked="0" defaultSize="0" autoPict="0">
                <anchor moveWithCells="1">
                  <from>
                    <xdr:col>3</xdr:col>
                    <xdr:colOff>19050</xdr:colOff>
                    <xdr:row>53</xdr:row>
                    <xdr:rowOff>38100</xdr:rowOff>
                  </from>
                  <to>
                    <xdr:col>3</xdr:col>
                    <xdr:colOff>933450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16" name="Scroll Bar 45">
              <controlPr locked="0" defaultSize="0" autoPict="0">
                <anchor moveWithCells="1">
                  <from>
                    <xdr:col>3</xdr:col>
                    <xdr:colOff>19050</xdr:colOff>
                    <xdr:row>51</xdr:row>
                    <xdr:rowOff>57150</xdr:rowOff>
                  </from>
                  <to>
                    <xdr:col>3</xdr:col>
                    <xdr:colOff>914400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17" name="Scroll Bar 46">
              <controlPr locked="0" defaultSize="0" autoPict="0">
                <anchor moveWithCells="1">
                  <from>
                    <xdr:col>3</xdr:col>
                    <xdr:colOff>19050</xdr:colOff>
                    <xdr:row>53</xdr:row>
                    <xdr:rowOff>38100</xdr:rowOff>
                  </from>
                  <to>
                    <xdr:col>3</xdr:col>
                    <xdr:colOff>933450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18" name="Scroll Bar 47">
              <controlPr locked="0" defaultSize="0" autoPict="0">
                <anchor moveWithCells="1">
                  <from>
                    <xdr:col>3</xdr:col>
                    <xdr:colOff>19050</xdr:colOff>
                    <xdr:row>59</xdr:row>
                    <xdr:rowOff>57150</xdr:rowOff>
                  </from>
                  <to>
                    <xdr:col>3</xdr:col>
                    <xdr:colOff>914400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19" name="Scroll Bar 48">
              <controlPr locked="0" defaultSize="0" autoPict="0">
                <anchor moveWithCells="1">
                  <from>
                    <xdr:col>3</xdr:col>
                    <xdr:colOff>19050</xdr:colOff>
                    <xdr:row>61</xdr:row>
                    <xdr:rowOff>38100</xdr:rowOff>
                  </from>
                  <to>
                    <xdr:col>3</xdr:col>
                    <xdr:colOff>933450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3" r:id="rId20" name="Scroll Bar 49">
              <controlPr locked="0" defaultSize="0" autoPict="0">
                <anchor moveWithCells="1">
                  <from>
                    <xdr:col>3</xdr:col>
                    <xdr:colOff>19050</xdr:colOff>
                    <xdr:row>59</xdr:row>
                    <xdr:rowOff>57150</xdr:rowOff>
                  </from>
                  <to>
                    <xdr:col>3</xdr:col>
                    <xdr:colOff>914400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4" r:id="rId21" name="Scroll Bar 50">
              <controlPr locked="0" defaultSize="0" autoPict="0">
                <anchor moveWithCells="1">
                  <from>
                    <xdr:col>3</xdr:col>
                    <xdr:colOff>19050</xdr:colOff>
                    <xdr:row>61</xdr:row>
                    <xdr:rowOff>38100</xdr:rowOff>
                  </from>
                  <to>
                    <xdr:col>3</xdr:col>
                    <xdr:colOff>933450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5" r:id="rId22" name="Scroll Bar 51">
              <controlPr locked="0" defaultSize="0" autoPict="0">
                <anchor moveWithCells="1">
                  <from>
                    <xdr:col>3</xdr:col>
                    <xdr:colOff>19050</xdr:colOff>
                    <xdr:row>67</xdr:row>
                    <xdr:rowOff>57150</xdr:rowOff>
                  </from>
                  <to>
                    <xdr:col>3</xdr:col>
                    <xdr:colOff>914400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6" r:id="rId23" name="Scroll Bar 52">
              <controlPr locked="0" defaultSize="0" autoPict="0">
                <anchor moveWithCells="1">
                  <from>
                    <xdr:col>3</xdr:col>
                    <xdr:colOff>19050</xdr:colOff>
                    <xdr:row>69</xdr:row>
                    <xdr:rowOff>38100</xdr:rowOff>
                  </from>
                  <to>
                    <xdr:col>3</xdr:col>
                    <xdr:colOff>933450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7" r:id="rId24" name="Scroll Bar 53">
              <controlPr locked="0" defaultSize="0" autoPict="0">
                <anchor moveWithCells="1">
                  <from>
                    <xdr:col>3</xdr:col>
                    <xdr:colOff>19050</xdr:colOff>
                    <xdr:row>67</xdr:row>
                    <xdr:rowOff>57150</xdr:rowOff>
                  </from>
                  <to>
                    <xdr:col>3</xdr:col>
                    <xdr:colOff>914400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8" r:id="rId25" name="Scroll Bar 54">
              <controlPr locked="0" defaultSize="0" autoPict="0">
                <anchor moveWithCells="1">
                  <from>
                    <xdr:col>3</xdr:col>
                    <xdr:colOff>19050</xdr:colOff>
                    <xdr:row>69</xdr:row>
                    <xdr:rowOff>38100</xdr:rowOff>
                  </from>
                  <to>
                    <xdr:col>3</xdr:col>
                    <xdr:colOff>933450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478B5-C68E-1347-95A9-C59F09FE28FF}">
  <sheetPr codeName="Planilha1"/>
  <dimension ref="A1:P37"/>
  <sheetViews>
    <sheetView showGridLines="0" topLeftCell="A8" zoomScale="85" zoomScaleNormal="85" workbookViewId="0">
      <selection activeCell="I19" sqref="I19"/>
    </sheetView>
  </sheetViews>
  <sheetFormatPr defaultColWidth="11.42578125" defaultRowHeight="15"/>
  <cols>
    <col min="1" max="1" width="30.7109375" style="398" customWidth="1"/>
    <col min="2" max="2" width="15.28515625" customWidth="1"/>
    <col min="3" max="3" width="40.140625" bestFit="1" customWidth="1"/>
    <col min="4" max="4" width="25.7109375" bestFit="1" customWidth="1"/>
    <col min="5" max="5" width="9.7109375" customWidth="1"/>
    <col min="6" max="6" width="9.140625" customWidth="1"/>
    <col min="7" max="7" width="35.7109375" customWidth="1"/>
    <col min="8" max="8" width="16.42578125" customWidth="1"/>
    <col min="9" max="9" width="16.7109375" customWidth="1"/>
    <col min="10" max="10" width="14.28515625" bestFit="1" customWidth="1"/>
    <col min="11" max="11" width="34.7109375" bestFit="1" customWidth="1"/>
    <col min="12" max="12" width="12.7109375" customWidth="1"/>
    <col min="14" max="14" width="40.140625" bestFit="1" customWidth="1"/>
  </cols>
  <sheetData>
    <row r="1" spans="1:16" ht="31.5">
      <c r="A1" s="560"/>
      <c r="B1" s="2"/>
      <c r="M1" s="227"/>
      <c r="N1" s="227"/>
      <c r="O1" t="s">
        <v>3871</v>
      </c>
      <c r="P1" s="393">
        <f>H19</f>
        <v>19748.058143695122</v>
      </c>
    </row>
    <row r="2" spans="1:16" ht="22.15" customHeight="1" thickBot="1">
      <c r="A2" s="560"/>
      <c r="B2" s="2"/>
      <c r="N2" s="227"/>
      <c r="O2" t="s">
        <v>3870</v>
      </c>
      <c r="P2" s="393">
        <f>I19</f>
        <v>7306.781513167195</v>
      </c>
    </row>
    <row r="3" spans="1:16" ht="15.75" thickBot="1">
      <c r="A3" s="560"/>
      <c r="B3" s="2"/>
      <c r="C3" s="394" t="s">
        <v>25</v>
      </c>
      <c r="D3" s="394" t="s">
        <v>47</v>
      </c>
    </row>
    <row r="4" spans="1:16" ht="13.9" customHeight="1" thickBot="1">
      <c r="A4" s="560"/>
      <c r="C4" s="395" t="s">
        <v>45</v>
      </c>
      <c r="D4" s="396">
        <f>ORÇAMENTO!D4</f>
        <v>244.75</v>
      </c>
    </row>
    <row r="5" spans="1:16" ht="15.75" thickBot="1">
      <c r="A5" s="560"/>
      <c r="C5" s="395" t="s">
        <v>14</v>
      </c>
      <c r="D5" s="397">
        <f>'DADOS INICIAIS'!T24</f>
        <v>445</v>
      </c>
      <c r="E5" s="1"/>
      <c r="G5" s="316" t="s">
        <v>25</v>
      </c>
      <c r="H5" s="316" t="s">
        <v>47</v>
      </c>
      <c r="K5" s="1"/>
      <c r="L5" s="1"/>
    </row>
    <row r="6" spans="1:16" ht="15.75" thickBot="1">
      <c r="C6" s="395" t="s">
        <v>46</v>
      </c>
      <c r="D6" s="396">
        <f>D5*'DADOS INICIAIS'!T46</f>
        <v>1147.52862</v>
      </c>
      <c r="E6" s="1"/>
      <c r="G6" s="372" t="s">
        <v>36</v>
      </c>
      <c r="H6" s="218">
        <f>'DADOS INICIAIS'!AU17</f>
        <v>4327026.2446949994</v>
      </c>
      <c r="K6" s="1"/>
      <c r="L6" s="1"/>
    </row>
    <row r="7" spans="1:16" ht="15.75" thickBot="1">
      <c r="C7" s="395" t="s">
        <v>6199</v>
      </c>
      <c r="D7" s="399">
        <f>D5*'DADOS INICIAIS'!T47</f>
        <v>12460</v>
      </c>
      <c r="E7" s="1"/>
      <c r="G7" s="372" t="s">
        <v>39</v>
      </c>
      <c r="H7" s="218">
        <f>'DADOS INICIAIS'!AU18</f>
        <v>3072.8775924000001</v>
      </c>
      <c r="K7" s="1"/>
      <c r="L7" s="1"/>
      <c r="M7" s="1"/>
    </row>
    <row r="8" spans="1:16" ht="15.75" thickBot="1">
      <c r="C8" s="395" t="s">
        <v>5915</v>
      </c>
      <c r="D8" s="397" t="str">
        <f>ORÇAMENTO!D20</f>
        <v>Jinko</v>
      </c>
      <c r="E8" s="1"/>
      <c r="G8" s="372" t="s">
        <v>3853</v>
      </c>
      <c r="H8" s="400">
        <f>'DADOS INICIAIS'!AU19</f>
        <v>131336.78161605529</v>
      </c>
      <c r="K8" s="1"/>
      <c r="L8" s="1"/>
      <c r="M8" s="1"/>
    </row>
    <row r="9" spans="1:16" ht="15.75" thickBot="1">
      <c r="C9" s="395" t="s">
        <v>6158</v>
      </c>
      <c r="D9" s="397" t="str">
        <f>'DADOS INICIAIS'!T36</f>
        <v>JKM550N-72HL4</v>
      </c>
      <c r="E9" s="1"/>
      <c r="H9" s="1"/>
      <c r="I9" s="401"/>
      <c r="J9" s="402"/>
      <c r="K9" s="1"/>
      <c r="L9" s="1"/>
      <c r="M9" s="1"/>
    </row>
    <row r="10" spans="1:16" ht="15.75" thickBot="1">
      <c r="C10" s="395" t="s">
        <v>5916</v>
      </c>
      <c r="D10" s="397" t="str">
        <f>ORÇAMENTO!D21</f>
        <v>Growatt</v>
      </c>
      <c r="E10" s="1"/>
      <c r="H10" s="1"/>
      <c r="I10" s="401"/>
      <c r="J10" s="402"/>
      <c r="K10" s="1"/>
      <c r="L10" s="1"/>
      <c r="M10" s="1"/>
    </row>
    <row r="11" spans="1:16">
      <c r="C11" s="403" t="s">
        <v>6137</v>
      </c>
      <c r="D11" s="397" t="str">
        <f>'DADOS INICIAIS'!AD51</f>
        <v>MAX75KTL3-LV</v>
      </c>
      <c r="E11" s="1"/>
      <c r="H11" s="1"/>
      <c r="I11" s="1"/>
      <c r="J11" s="1"/>
      <c r="K11" s="1"/>
      <c r="L11" s="1"/>
      <c r="M11" s="1"/>
    </row>
    <row r="12" spans="1:16" ht="15.75" thickBot="1">
      <c r="C12" s="403" t="s">
        <v>6198</v>
      </c>
      <c r="D12" s="404">
        <f>'DADOS INICIAIS'!AD46</f>
        <v>2</v>
      </c>
      <c r="E12" s="1"/>
      <c r="H12" s="1"/>
      <c r="I12" s="1"/>
      <c r="J12" s="1"/>
      <c r="K12" s="1"/>
      <c r="L12" s="1"/>
      <c r="M12" s="1"/>
    </row>
    <row r="13" spans="1:16" ht="15.75" thickBot="1">
      <c r="C13" s="395" t="s">
        <v>3636</v>
      </c>
      <c r="D13" s="404">
        <f>'DADOS INICIAIS'!X44</f>
        <v>20323.264500000001</v>
      </c>
      <c r="E13" s="1"/>
      <c r="I13" s="254"/>
      <c r="J13" s="1"/>
      <c r="K13" s="1"/>
      <c r="L13" s="1"/>
      <c r="M13" s="1"/>
    </row>
    <row r="14" spans="1:16" ht="15.75" thickBot="1">
      <c r="C14" s="395" t="s">
        <v>33</v>
      </c>
      <c r="D14" s="404">
        <f>'DADOS INICIAIS'!X45</f>
        <v>243879.174</v>
      </c>
      <c r="E14" s="1"/>
      <c r="G14" s="405"/>
      <c r="H14" s="254"/>
      <c r="I14" s="1"/>
      <c r="J14" s="1"/>
      <c r="K14" s="1"/>
      <c r="L14" s="1"/>
      <c r="M14" s="1"/>
    </row>
    <row r="15" spans="1:16" ht="15.75" thickBot="1">
      <c r="C15" s="395" t="s">
        <v>3833</v>
      </c>
      <c r="D15" s="396">
        <f>D13/'DADOS INICIAIS'!Z44</f>
        <v>0.87318000000000007</v>
      </c>
      <c r="E15" s="1"/>
      <c r="G15" s="316" t="s">
        <v>25</v>
      </c>
      <c r="H15" s="316" t="s">
        <v>3868</v>
      </c>
      <c r="I15" s="316" t="s">
        <v>3869</v>
      </c>
      <c r="J15" s="406"/>
      <c r="K15" s="1"/>
      <c r="M15" s="1"/>
    </row>
    <row r="16" spans="1:16">
      <c r="E16" s="1"/>
      <c r="G16" s="372" t="s">
        <v>3872</v>
      </c>
      <c r="H16" s="407">
        <f>'DADOS INICIAIS'!AH33</f>
        <v>19748.058143695122</v>
      </c>
      <c r="I16" s="407">
        <f>'DADOS INICIAIS'!AM34</f>
        <v>0</v>
      </c>
      <c r="J16" s="408"/>
      <c r="K16" s="1"/>
      <c r="M16" s="1"/>
    </row>
    <row r="17" spans="3:13">
      <c r="E17" s="1"/>
      <c r="G17" s="372" t="s">
        <v>3866</v>
      </c>
      <c r="H17" s="407">
        <f>'DADOS INICIAIS'!Z19</f>
        <v>0</v>
      </c>
      <c r="I17" s="407">
        <f>'DADOS INICIAIS'!AC19</f>
        <v>0</v>
      </c>
    </row>
    <row r="18" spans="3:13">
      <c r="E18" s="1"/>
      <c r="G18" s="372" t="s">
        <v>3867</v>
      </c>
      <c r="H18" s="407">
        <f>SUM('DADOS INICIAIS'!AH27:AH30)</f>
        <v>4398.6433936951216</v>
      </c>
      <c r="I18" s="407"/>
    </row>
    <row r="19" spans="3:13">
      <c r="E19" s="1" t="s">
        <v>5974</v>
      </c>
      <c r="G19" s="372" t="s">
        <v>3865</v>
      </c>
      <c r="H19" s="409">
        <f>'DADOS INICIAIS'!W13</f>
        <v>19748.058143695122</v>
      </c>
      <c r="I19" s="409" cm="1">
        <f t="array" ref="I19">_xlfn.IFS('DADOS INICIAIS'!$D$25=2023,'DADOS INICIAIS'!AM11,'DADOS INICIAIS'!$D$25=2024,'DADOS INICIAIS'!AM12,'DADOS INICIAIS'!$D$25=2025,'DADOS INICIAIS'!AM13,'DADOS INICIAIS'!$D$25=2026,'DADOS INICIAIS'!AM14,'DADOS INICIAIS'!$D$25=2027,'DADOS INICIAIS'!AM15,'DADOS INICIAIS'!$D$25=2028,'DADOS INICIAIS'!AM16,'DADOS INICIAIS'!$D$25=2029,'DADOS INICIAIS'!AM17)</f>
        <v>7306.781513167195</v>
      </c>
      <c r="J19" s="1"/>
      <c r="K19" s="1"/>
    </row>
    <row r="20" spans="3:13">
      <c r="E20" s="1"/>
      <c r="J20" s="1"/>
    </row>
    <row r="21" spans="3:13">
      <c r="E21" s="1"/>
      <c r="G21" s="410" t="s">
        <v>48</v>
      </c>
      <c r="H21" s="411">
        <f>H19-I19</f>
        <v>12441.276630527926</v>
      </c>
      <c r="J21" s="1"/>
      <c r="K21" s="1"/>
      <c r="L21" s="1"/>
      <c r="M21" s="412"/>
    </row>
    <row r="22" spans="3:13">
      <c r="G22" s="410" t="s">
        <v>3834</v>
      </c>
      <c r="H22" s="413">
        <f>H21/H19</f>
        <v>0.63</v>
      </c>
      <c r="M22" s="412"/>
    </row>
    <row r="23" spans="3:13" ht="15.75" thickBot="1">
      <c r="M23" s="414"/>
    </row>
    <row r="24" spans="3:13" ht="15.75" thickBot="1">
      <c r="C24" s="394" t="s">
        <v>25</v>
      </c>
      <c r="D24" s="394" t="s">
        <v>47</v>
      </c>
      <c r="J24" s="240"/>
      <c r="K24" s="405"/>
      <c r="L24" s="415"/>
      <c r="M24" s="414"/>
    </row>
    <row r="25" spans="3:13" ht="15.75" thickBot="1">
      <c r="C25" s="395" t="s">
        <v>3637</v>
      </c>
      <c r="D25" s="416">
        <f>H21*12</f>
        <v>149295.31956633512</v>
      </c>
      <c r="E25" s="1"/>
      <c r="K25" s="254"/>
      <c r="L25" s="1"/>
    </row>
    <row r="26" spans="3:13" ht="15.75" thickBot="1">
      <c r="C26" s="395" t="s">
        <v>3836</v>
      </c>
      <c r="D26" s="416">
        <f>'DADOS INICIAIS'!$AR$39</f>
        <v>7650370.7423279183</v>
      </c>
      <c r="E26" s="417"/>
    </row>
    <row r="27" spans="3:13" ht="15.75" thickBot="1">
      <c r="C27" s="395" t="s">
        <v>19</v>
      </c>
      <c r="D27" s="418">
        <f>'DADOS INICIAIS'!AU10</f>
        <v>0.16426400568692912</v>
      </c>
      <c r="E27" s="419"/>
    </row>
    <row r="28" spans="3:13" ht="15.75" thickBot="1">
      <c r="C28" s="395" t="s">
        <v>3873</v>
      </c>
      <c r="D28" s="418">
        <f>(1+'DADOS INICIAIS'!AU10)^(1/12)-1</f>
        <v>1.2754751107783679E-2</v>
      </c>
      <c r="E28" s="1"/>
    </row>
    <row r="29" spans="3:13" ht="15.75" thickBot="1">
      <c r="C29" s="395" t="s">
        <v>50</v>
      </c>
      <c r="D29" s="420" t="str">
        <f>'DADOS INICIAIS'!AU12</f>
        <v xml:space="preserve">5 Anos 7 Meses </v>
      </c>
      <c r="E29" s="1"/>
    </row>
    <row r="30" spans="3:13" ht="15.75" thickBot="1">
      <c r="C30" s="395" t="s">
        <v>3835</v>
      </c>
      <c r="D30" s="394" t="s">
        <v>47</v>
      </c>
    </row>
    <row r="31" spans="3:13" ht="15.75" thickBot="1">
      <c r="C31" s="395" t="s">
        <v>49</v>
      </c>
      <c r="D31" s="421">
        <f>ORÇAMENTO!G21</f>
        <v>1011463</v>
      </c>
    </row>
    <row r="32" spans="3:13" ht="15.75" thickBot="1">
      <c r="C32" s="395" t="str">
        <f>_xlfn.CONCAT("Parcela do Financiamento (",ORÇAMENTO!D27,"x)")</f>
        <v>Parcela do Financiamento (12x)</v>
      </c>
      <c r="D32" s="422">
        <f>ORÇAMENTO!D31</f>
        <v>94623.379078483413</v>
      </c>
    </row>
    <row r="37" spans="3:4">
      <c r="C37" s="405"/>
      <c r="D37" s="423"/>
    </row>
  </sheetData>
  <mergeCells count="1">
    <mergeCell ref="A1:A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FA348-1D0F-4B85-A528-89742C186349}">
  <sheetPr codeName="Planilha10"/>
  <dimension ref="B2:AR3"/>
  <sheetViews>
    <sheetView topLeftCell="AI1" zoomScale="130" zoomScaleNormal="130" workbookViewId="0">
      <selection activeCell="AQ9" sqref="AQ9"/>
    </sheetView>
  </sheetViews>
  <sheetFormatPr defaultRowHeight="15"/>
  <cols>
    <col min="2" max="2" width="26.28515625" bestFit="1" customWidth="1"/>
    <col min="3" max="3" width="34.5703125" bestFit="1" customWidth="1"/>
    <col min="4" max="4" width="34.5703125" customWidth="1"/>
    <col min="5" max="5" width="18.85546875" bestFit="1" customWidth="1"/>
    <col min="6" max="6" width="20.140625" bestFit="1" customWidth="1"/>
    <col min="7" max="7" width="34.5703125" bestFit="1" customWidth="1"/>
    <col min="8" max="8" width="16.5703125" bestFit="1" customWidth="1"/>
    <col min="9" max="9" width="19.28515625" bestFit="1" customWidth="1"/>
    <col min="10" max="10" width="16.5703125" customWidth="1"/>
    <col min="11" max="11" width="21.85546875" bestFit="1" customWidth="1"/>
    <col min="12" max="12" width="18.7109375" customWidth="1"/>
    <col min="13" max="13" width="16.28515625" bestFit="1" customWidth="1"/>
    <col min="14" max="14" width="16.28515625" customWidth="1"/>
    <col min="15" max="15" width="19.7109375" bestFit="1" customWidth="1"/>
    <col min="16" max="16" width="21.85546875" bestFit="1" customWidth="1"/>
    <col min="17" max="17" width="19.7109375" bestFit="1" customWidth="1"/>
    <col min="18" max="18" width="18.42578125" bestFit="1" customWidth="1"/>
    <col min="19" max="19" width="17.85546875" customWidth="1"/>
    <col min="20" max="20" width="25.42578125" bestFit="1" customWidth="1"/>
    <col min="21" max="21" width="24.42578125" bestFit="1" customWidth="1"/>
    <col min="22" max="22" width="24.42578125" customWidth="1"/>
    <col min="23" max="23" width="23.140625" bestFit="1" customWidth="1"/>
    <col min="24" max="24" width="22.42578125" bestFit="1" customWidth="1"/>
    <col min="25" max="25" width="16.140625" bestFit="1" customWidth="1"/>
    <col min="26" max="26" width="28.5703125" bestFit="1" customWidth="1"/>
    <col min="27" max="27" width="28.5703125" customWidth="1"/>
    <col min="28" max="28" width="21.140625" bestFit="1" customWidth="1"/>
    <col min="29" max="29" width="14" bestFit="1" customWidth="1"/>
    <col min="30" max="30" width="35.42578125" bestFit="1" customWidth="1"/>
    <col min="31" max="31" width="32.7109375" bestFit="1" customWidth="1"/>
    <col min="32" max="32" width="21" bestFit="1" customWidth="1"/>
    <col min="33" max="33" width="18.28515625" bestFit="1" customWidth="1"/>
    <col min="34" max="34" width="16.28515625" bestFit="1" customWidth="1"/>
    <col min="35" max="35" width="11.7109375" bestFit="1" customWidth="1"/>
    <col min="36" max="36" width="15.7109375" bestFit="1" customWidth="1"/>
    <col min="37" max="37" width="11.7109375" bestFit="1" customWidth="1"/>
    <col min="38" max="38" width="19.28515625" bestFit="1" customWidth="1"/>
    <col min="39" max="39" width="12.28515625" bestFit="1" customWidth="1"/>
    <col min="40" max="42" width="12.42578125" bestFit="1" customWidth="1"/>
    <col min="43" max="43" width="19.42578125" customWidth="1"/>
  </cols>
  <sheetData>
    <row r="2" spans="2:44">
      <c r="B2" s="46" t="s">
        <v>6160</v>
      </c>
      <c r="C2" s="46" t="s">
        <v>6161</v>
      </c>
      <c r="D2" s="46" t="s">
        <v>6162</v>
      </c>
      <c r="E2" s="46" t="s">
        <v>6163</v>
      </c>
      <c r="F2" s="46" t="s">
        <v>6164</v>
      </c>
      <c r="G2" s="46" t="s">
        <v>6165</v>
      </c>
      <c r="H2" s="46" t="s">
        <v>6166</v>
      </c>
      <c r="I2" s="46" t="s">
        <v>6291</v>
      </c>
      <c r="J2" s="46" t="s">
        <v>6292</v>
      </c>
      <c r="K2" s="46" t="s">
        <v>6167</v>
      </c>
      <c r="L2" s="46" t="s">
        <v>6190</v>
      </c>
      <c r="M2" s="46" t="s">
        <v>6168</v>
      </c>
      <c r="N2" s="46" t="s">
        <v>6159</v>
      </c>
      <c r="O2" s="46" t="s">
        <v>6169</v>
      </c>
      <c r="P2" s="46" t="s">
        <v>6170</v>
      </c>
      <c r="Q2" s="46" t="s">
        <v>6191</v>
      </c>
      <c r="R2" s="46" t="s">
        <v>6171</v>
      </c>
      <c r="S2" s="46" t="s">
        <v>6172</v>
      </c>
      <c r="T2" s="46" t="s">
        <v>6173</v>
      </c>
      <c r="U2" s="46" t="s">
        <v>6174</v>
      </c>
      <c r="V2" s="46" t="s">
        <v>6186</v>
      </c>
      <c r="W2" s="46" t="s">
        <v>6175</v>
      </c>
      <c r="X2" s="46" t="s">
        <v>6176</v>
      </c>
      <c r="Y2" s="46" t="s">
        <v>6177</v>
      </c>
      <c r="Z2" s="46" t="s">
        <v>6178</v>
      </c>
      <c r="AA2" s="46" t="s">
        <v>6179</v>
      </c>
      <c r="AB2" s="46" t="s">
        <v>6189</v>
      </c>
      <c r="AC2" s="46" t="s">
        <v>6180</v>
      </c>
      <c r="AD2" s="46" t="s">
        <v>6181</v>
      </c>
      <c r="AE2" s="46" t="s">
        <v>6182</v>
      </c>
      <c r="AF2" s="46" t="s">
        <v>6183</v>
      </c>
      <c r="AG2" s="46" t="s">
        <v>6184</v>
      </c>
      <c r="AH2" s="46" t="s">
        <v>6185</v>
      </c>
      <c r="AI2" s="46" t="s">
        <v>36</v>
      </c>
      <c r="AJ2" s="46" t="s">
        <v>39</v>
      </c>
      <c r="AK2" s="46" t="s">
        <v>40</v>
      </c>
      <c r="AL2" s="46" t="s">
        <v>6297</v>
      </c>
      <c r="AM2" s="46" t="s">
        <v>6298</v>
      </c>
      <c r="AN2" s="46" t="s">
        <v>6299</v>
      </c>
      <c r="AO2" s="46" t="s">
        <v>6300</v>
      </c>
      <c r="AP2" s="46" t="s">
        <v>6301</v>
      </c>
      <c r="AQ2" s="46" t="s">
        <v>6302</v>
      </c>
      <c r="AR2" s="46" t="s">
        <v>6347</v>
      </c>
    </row>
    <row r="3" spans="2:44">
      <c r="B3" s="157" t="s">
        <v>6188</v>
      </c>
      <c r="C3" s="2" t="str">
        <f>'DADOS INICIAIS'!D4</f>
        <v>Hortifruti Nações</v>
      </c>
      <c r="D3" s="2" t="str">
        <f>'DADOS INICIAIS'!D6</f>
        <v>Fabio</v>
      </c>
      <c r="E3" s="2" t="str">
        <f>'DADOS INICIAIS'!D7</f>
        <v>(11) 91398-8583</v>
      </c>
      <c r="F3" s="159">
        <v>10</v>
      </c>
      <c r="G3" s="2" t="str">
        <f>'DADOS INICIAIS'!D8</f>
        <v>comercial@danigengenharia.com.br</v>
      </c>
      <c r="H3" s="2" t="str">
        <f>'DADOS INICIAIS'!D9</f>
        <v>Telha Metálica Trapezoidal</v>
      </c>
      <c r="I3" s="2" t="str">
        <f>CONCATENATE('DADOS INICIAIS'!D12," - ",'DADOS INICIAIS'!D11)</f>
        <v>Avenida das Nações, 2171 - Santo André</v>
      </c>
      <c r="J3" s="2" t="str">
        <f>'DADOS INICIAIS'!D13</f>
        <v>09271-000</v>
      </c>
      <c r="K3" s="158" t="str">
        <f>'RESUMO FINAL'!D8</f>
        <v>Jinko</v>
      </c>
      <c r="L3" s="2">
        <f>'DADOS INICIAIS'!T37</f>
        <v>550</v>
      </c>
      <c r="M3" s="158" t="str">
        <f>'RESUMO FINAL'!D9</f>
        <v>JKM550N-72HL4</v>
      </c>
      <c r="N3" s="2">
        <f>ORÇAMENTO!E5</f>
        <v>445</v>
      </c>
      <c r="O3" s="178" t="str">
        <f>ORÇAMENTO!E7</f>
        <v>Telha Metálica Trapezoidal</v>
      </c>
      <c r="P3" s="178" t="str">
        <f>'DADOS INICIAIS'!AD49</f>
        <v>Growatt</v>
      </c>
      <c r="Q3" s="154">
        <f>'DADOS INICIAIS'!G53</f>
        <v>75</v>
      </c>
      <c r="R3" s="2" t="str">
        <f>'DADOS INICIAIS'!AD51</f>
        <v>MAX75KTL3-LV</v>
      </c>
      <c r="S3" s="154">
        <f>'DADOS INICIAIS'!AD46</f>
        <v>2</v>
      </c>
      <c r="T3" s="2" t="str">
        <f>_xlfn.CEILING.MATH('DADOS INICIAIS'!D44,1)&amp;"KWh"</f>
        <v>23275KWh</v>
      </c>
      <c r="U3" s="56" t="str">
        <f>CONCATENATE(CEILING('RESUMO FINAL'!D4,0.05)," ","KWp")</f>
        <v>244,75 KWp</v>
      </c>
      <c r="V3" s="160" t="str">
        <f>CONCATENATE(CEILING('RESUMO FINAL'!D14,1)," ","kWh")</f>
        <v>243880 kWh</v>
      </c>
      <c r="W3" s="55">
        <f>'DADOS INICIAIS'!AP10</f>
        <v>149295.31956633509</v>
      </c>
      <c r="X3" s="55">
        <f>ORÇAMENTO!G20</f>
        <v>1032105</v>
      </c>
      <c r="Y3" s="56" t="str">
        <f>'RESUMO FINAL'!D29</f>
        <v xml:space="preserve">5 Anos 7 Meses </v>
      </c>
      <c r="Z3" s="55">
        <f>'RESUMO FINAL'!H19</f>
        <v>19748.058143695122</v>
      </c>
      <c r="AA3" s="55">
        <f>'RESUMO FINAL'!I19</f>
        <v>7306.781513167195</v>
      </c>
      <c r="AB3" s="56">
        <f>('DADOS INICIAIS'!AU13)*100</f>
        <v>17.664245034063573</v>
      </c>
      <c r="AC3" s="56">
        <f>'RESUMO FINAL'!D6</f>
        <v>1147.52862</v>
      </c>
      <c r="AD3" s="56">
        <f>('DADOS INICIAIS'!D20)*100</f>
        <v>50</v>
      </c>
      <c r="AE3" s="56">
        <f>100-AD3</f>
        <v>50</v>
      </c>
      <c r="AF3" s="56">
        <f>'DADOS INICIAIS'!T17</f>
        <v>0.80059756097560975</v>
      </c>
      <c r="AG3" s="2">
        <f>('DADOS INICIAIS'!J17)*100</f>
        <v>0.70000000000000007</v>
      </c>
      <c r="AH3" s="56">
        <f>('DADOS INICIAIS'!AR11)*100</f>
        <v>6</v>
      </c>
      <c r="AI3" s="441">
        <f>INT('RESUMO FINAL'!$H$6)</f>
        <v>4327026</v>
      </c>
      <c r="AJ3" s="439">
        <f>INT('RESUMO FINAL'!$H$7)</f>
        <v>3072</v>
      </c>
      <c r="AK3" s="440">
        <f>INT('RESUMO FINAL'!$H$8)</f>
        <v>131336</v>
      </c>
      <c r="AL3" s="55">
        <f>ORÇAMENTO!G21</f>
        <v>1011463</v>
      </c>
      <c r="AM3" s="449">
        <f>ROUND(ORÇAMENTO!D31,0)</f>
        <v>94623</v>
      </c>
      <c r="AN3" s="449">
        <f>ROUND(ORÇAMENTO!D47,0)</f>
        <v>30318</v>
      </c>
      <c r="AO3" s="449">
        <f>ROUND(ORÇAMENTO!D55,0)</f>
        <v>26209</v>
      </c>
      <c r="AP3" s="449">
        <f>ROUND(ORÇAMENTO!D63,0)</f>
        <v>18597</v>
      </c>
      <c r="AQ3" s="449">
        <f>ROUND(ORÇAMENTO!D71,0)</f>
        <v>17340</v>
      </c>
      <c r="AR3">
        <f>('DADOS INICIAIS'!D18)*100</f>
        <v>63</v>
      </c>
    </row>
  </sheetData>
  <conditionalFormatting sqref="T2:T3">
    <cfRule type="duplicateValues" dxfId="0" priority="2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9B77A-C502-43F5-A886-1073A787DABC}">
  <dimension ref="B3:M138"/>
  <sheetViews>
    <sheetView showGridLines="0" zoomScale="55" zoomScaleNormal="55" workbookViewId="0">
      <selection activeCell="K9" sqref="K9"/>
    </sheetView>
  </sheetViews>
  <sheetFormatPr defaultRowHeight="15"/>
  <cols>
    <col min="3" max="3" width="25.42578125" customWidth="1"/>
    <col min="4" max="4" width="15" bestFit="1" customWidth="1"/>
    <col min="7" max="7" width="33.85546875" bestFit="1" customWidth="1"/>
    <col min="8" max="8" width="16.28515625" customWidth="1"/>
    <col min="9" max="9" width="8.85546875" customWidth="1"/>
    <col min="10" max="10" width="22.85546875" bestFit="1" customWidth="1"/>
    <col min="11" max="11" width="15.5703125" customWidth="1"/>
    <col min="12" max="12" width="13.140625" customWidth="1"/>
  </cols>
  <sheetData>
    <row r="3" spans="3:11" ht="15.75" thickBot="1"/>
    <row r="4" spans="3:11" ht="24" customHeight="1">
      <c r="C4" s="564" t="s">
        <v>6244</v>
      </c>
      <c r="D4" s="565"/>
      <c r="G4" s="564" t="s">
        <v>6248</v>
      </c>
      <c r="H4" s="565"/>
      <c r="J4" s="564" t="s">
        <v>6262</v>
      </c>
      <c r="K4" s="565"/>
    </row>
    <row r="5" spans="3:11">
      <c r="C5" s="566"/>
      <c r="D5" s="567"/>
      <c r="G5" s="566"/>
      <c r="H5" s="567"/>
      <c r="J5" s="566"/>
      <c r="K5" s="567"/>
    </row>
    <row r="6" spans="3:11">
      <c r="C6" s="424" t="s">
        <v>6202</v>
      </c>
      <c r="D6" s="425">
        <f>'RESUMO FINAL'!D4</f>
        <v>244.75</v>
      </c>
      <c r="G6" s="426" t="s">
        <v>6249</v>
      </c>
      <c r="H6" s="427">
        <f>'DADOS INICIAIS'!AD45</f>
        <v>263.23</v>
      </c>
      <c r="J6" s="428" t="s">
        <v>6254</v>
      </c>
      <c r="K6" s="429">
        <f>'DADOS INICIAIS'!AA58</f>
        <v>23.400000000000002</v>
      </c>
    </row>
    <row r="7" spans="3:11">
      <c r="C7" s="426" t="s">
        <v>6245</v>
      </c>
      <c r="D7" s="430" t="str">
        <f>ORÇAMENTO!E7</f>
        <v>Telha Metálica Trapezoidal</v>
      </c>
      <c r="G7" s="426" t="s">
        <v>6239</v>
      </c>
      <c r="H7" s="430">
        <f>'DADOS INICIAIS'!AD46</f>
        <v>2</v>
      </c>
      <c r="J7" s="428" t="s">
        <v>6263</v>
      </c>
      <c r="K7" s="430">
        <f>'DADOS INICIAIS'!AA57</f>
        <v>4</v>
      </c>
    </row>
    <row r="8" spans="3:11" ht="15.75" thickBot="1">
      <c r="C8" s="431" t="s">
        <v>6246</v>
      </c>
      <c r="D8" s="432">
        <f>'DADOS INICIAIS'!D19</f>
        <v>33</v>
      </c>
      <c r="G8" s="426" t="s">
        <v>6238</v>
      </c>
      <c r="H8" s="427" t="str">
        <f>'DADOS INICIAIS'!AD49</f>
        <v>Growatt</v>
      </c>
      <c r="J8" s="428" t="s">
        <v>6261</v>
      </c>
      <c r="K8" s="430">
        <f>'DADOS INICIAIS'!AA53</f>
        <v>150</v>
      </c>
    </row>
    <row r="9" spans="3:11" ht="15.75" thickBot="1">
      <c r="G9" s="426" t="s">
        <v>3038</v>
      </c>
      <c r="H9" s="427" t="str">
        <f>'DADOS INICIAIS'!AD51</f>
        <v>MAX75KTL3-LV</v>
      </c>
      <c r="J9" s="174" t="s">
        <v>6260</v>
      </c>
      <c r="K9" s="433">
        <f>'DADOS INICIAIS'!AA54</f>
        <v>70</v>
      </c>
    </row>
    <row r="10" spans="3:11" ht="15.75" thickBot="1">
      <c r="G10" s="426" t="s">
        <v>6252</v>
      </c>
      <c r="H10" s="427" t="str">
        <f>'DADOS INICIAIS'!AD61</f>
        <v>7S</v>
      </c>
    </row>
    <row r="11" spans="3:11" ht="18" customHeight="1">
      <c r="C11" s="564" t="s">
        <v>6247</v>
      </c>
      <c r="D11" s="565"/>
      <c r="G11" s="426" t="s">
        <v>6250</v>
      </c>
      <c r="H11" s="427" t="str">
        <f>'DADOS INICIAIS'!AD53</f>
        <v>200-1000</v>
      </c>
    </row>
    <row r="12" spans="3:11" ht="20.25" customHeight="1">
      <c r="C12" s="566"/>
      <c r="D12" s="567"/>
      <c r="G12" s="426" t="s">
        <v>6264</v>
      </c>
      <c r="H12" s="427">
        <f>'DADOS INICIAIS'!AD59</f>
        <v>26</v>
      </c>
    </row>
    <row r="13" spans="3:11" ht="18" customHeight="1">
      <c r="C13" s="434" t="s">
        <v>6239</v>
      </c>
      <c r="D13" s="427">
        <f>'RESUMO FINAL'!D5</f>
        <v>445</v>
      </c>
      <c r="G13" s="426" t="s">
        <v>6253</v>
      </c>
      <c r="H13" s="427" t="str">
        <f>'DADOS INICIAIS'!AD58</f>
        <v>220/380</v>
      </c>
    </row>
    <row r="14" spans="3:11" ht="15" customHeight="1">
      <c r="C14" s="434" t="s">
        <v>6242</v>
      </c>
      <c r="D14" s="430">
        <f>'DADOS INICIAIS'!X53</f>
        <v>24</v>
      </c>
      <c r="G14" s="426" t="s">
        <v>6210</v>
      </c>
      <c r="H14" s="427">
        <f>'DADOS INICIAIS'!AD60</f>
        <v>120.8</v>
      </c>
    </row>
    <row r="15" spans="3:11" ht="15.75" thickBot="1">
      <c r="C15" s="434" t="s">
        <v>6238</v>
      </c>
      <c r="D15" s="429" t="str">
        <f>'DADOS INICIAIS'!T34</f>
        <v>Jinko</v>
      </c>
      <c r="G15" s="431" t="s">
        <v>6251</v>
      </c>
      <c r="H15" s="432" t="str">
        <f>'DADOS INICIAIS'!AD57</f>
        <v>Trifasico</v>
      </c>
    </row>
    <row r="16" spans="3:11">
      <c r="C16" s="434" t="s">
        <v>3038</v>
      </c>
      <c r="D16" s="429" t="str">
        <f>'DADOS INICIAIS'!T36</f>
        <v>JKM550N-72HL4</v>
      </c>
    </row>
    <row r="17" spans="2:13">
      <c r="C17" s="434" t="s">
        <v>6240</v>
      </c>
      <c r="D17" s="430">
        <f>'DADOS INICIAIS'!T37</f>
        <v>550</v>
      </c>
    </row>
    <row r="18" spans="2:13" ht="15.75" thickBot="1">
      <c r="C18" s="435" t="s">
        <v>6241</v>
      </c>
      <c r="D18" s="436">
        <f>'RESUMO FINAL'!D6</f>
        <v>1147.52862</v>
      </c>
    </row>
    <row r="20" spans="2:13"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</row>
    <row r="21" spans="2:13">
      <c r="B21" s="185"/>
      <c r="C21" s="437" t="s">
        <v>6274</v>
      </c>
      <c r="D21" s="334" t="s">
        <v>6283</v>
      </c>
      <c r="E21" s="334"/>
      <c r="F21" s="334"/>
      <c r="G21" s="334"/>
      <c r="H21" s="334"/>
      <c r="I21" s="334"/>
      <c r="J21" s="334"/>
      <c r="K21" s="334"/>
      <c r="L21" s="334"/>
      <c r="M21" s="334"/>
    </row>
    <row r="22" spans="2:13">
      <c r="B22" s="185"/>
      <c r="C22" s="185"/>
      <c r="D22" s="561"/>
      <c r="E22" s="562"/>
      <c r="F22" s="562"/>
      <c r="G22" s="562"/>
      <c r="H22" s="562"/>
      <c r="I22" s="562"/>
      <c r="J22" s="562"/>
      <c r="K22" s="562"/>
      <c r="L22" s="562"/>
      <c r="M22" s="563"/>
    </row>
    <row r="23" spans="2:13"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</row>
    <row r="24" spans="2:13"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</row>
    <row r="25" spans="2:13"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</row>
    <row r="26" spans="2:13"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</row>
    <row r="27" spans="2:13"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</row>
    <row r="28" spans="2:13"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</row>
    <row r="29" spans="2:13"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</row>
    <row r="30" spans="2:13"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</row>
    <row r="31" spans="2:13"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</row>
    <row r="32" spans="2:13"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</row>
    <row r="33" spans="2:13"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</row>
    <row r="34" spans="2:13"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</row>
    <row r="35" spans="2:13"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</row>
    <row r="36" spans="2:13"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</row>
    <row r="37" spans="2:13">
      <c r="B37" s="185"/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</row>
    <row r="38" spans="2:13">
      <c r="B38" s="185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</row>
    <row r="39" spans="2:13">
      <c r="B39" s="185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</row>
    <row r="40" spans="2:13"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</row>
    <row r="41" spans="2:13">
      <c r="B41" s="185"/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</row>
    <row r="42" spans="2:13"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</row>
    <row r="43" spans="2:13">
      <c r="B43" s="185"/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</row>
    <row r="44" spans="2:13">
      <c r="B44" s="185"/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</row>
    <row r="45" spans="2:13">
      <c r="B45" s="185"/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</row>
    <row r="46" spans="2:13">
      <c r="B46" s="185"/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</row>
    <row r="47" spans="2:13">
      <c r="B47" s="185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</row>
    <row r="48" spans="2:13"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</row>
    <row r="49" spans="2:13">
      <c r="B49" s="185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</row>
    <row r="50" spans="2:13">
      <c r="B50" s="185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</row>
    <row r="51" spans="2:13">
      <c r="B51" s="185"/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</row>
    <row r="52" spans="2:13">
      <c r="B52" s="185"/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</row>
    <row r="53" spans="2:13">
      <c r="B53" s="185"/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</row>
    <row r="54" spans="2:13">
      <c r="B54" s="185"/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</row>
    <row r="55" spans="2:13">
      <c r="B55" s="185"/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</row>
    <row r="56" spans="2:13">
      <c r="B56" s="185"/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</row>
    <row r="57" spans="2:13">
      <c r="B57" s="185"/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</row>
    <row r="58" spans="2:13">
      <c r="B58" s="185"/>
      <c r="C58" s="185"/>
      <c r="D58" s="185"/>
      <c r="E58" s="185"/>
      <c r="F58" s="185"/>
      <c r="G58" s="185"/>
      <c r="H58" s="185"/>
      <c r="I58" s="185"/>
      <c r="J58" s="185"/>
      <c r="K58" s="185"/>
      <c r="L58" s="185"/>
      <c r="M58" s="185"/>
    </row>
    <row r="59" spans="2:13"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</row>
    <row r="60" spans="2:13"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</row>
    <row r="61" spans="2:13"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</row>
    <row r="62" spans="2:13"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</row>
    <row r="63" spans="2:13">
      <c r="B63" s="185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</row>
    <row r="64" spans="2:13"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</row>
    <row r="65" spans="2:13">
      <c r="B65" s="185"/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</row>
    <row r="66" spans="2:13">
      <c r="B66" s="185"/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</row>
    <row r="67" spans="2:13"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</row>
    <row r="68" spans="2:13">
      <c r="B68" s="185"/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</row>
    <row r="69" spans="2:13">
      <c r="B69" s="185"/>
      <c r="C69" s="185"/>
      <c r="D69" s="185"/>
      <c r="E69" s="185"/>
      <c r="F69" s="185"/>
      <c r="G69" s="185"/>
      <c r="H69" s="185"/>
      <c r="I69" s="185"/>
      <c r="J69" s="185"/>
      <c r="K69" s="185"/>
      <c r="L69" s="185"/>
      <c r="M69" s="185"/>
    </row>
    <row r="70" spans="2:13">
      <c r="B70" s="185"/>
      <c r="C70" s="185"/>
      <c r="D70" s="185"/>
      <c r="E70" s="185"/>
      <c r="F70" s="185"/>
      <c r="G70" s="185"/>
      <c r="H70" s="185"/>
      <c r="I70" s="185"/>
      <c r="J70" s="185"/>
      <c r="K70" s="185"/>
      <c r="L70" s="185"/>
      <c r="M70" s="185"/>
    </row>
    <row r="71" spans="2:13"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</row>
    <row r="72" spans="2:13">
      <c r="B72" s="185"/>
      <c r="C72" s="185"/>
      <c r="D72" s="185"/>
      <c r="E72" s="185"/>
      <c r="F72" s="185"/>
      <c r="G72" s="185"/>
      <c r="H72" s="185"/>
      <c r="I72" s="185"/>
      <c r="J72" s="185"/>
      <c r="K72" s="185"/>
      <c r="L72" s="185"/>
      <c r="M72" s="185"/>
    </row>
    <row r="73" spans="2:13"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</row>
    <row r="74" spans="2:13">
      <c r="B74" s="185"/>
      <c r="C74" s="185"/>
      <c r="D74" s="185"/>
      <c r="E74" s="185"/>
      <c r="F74" s="185"/>
      <c r="G74" s="185"/>
      <c r="H74" s="185"/>
      <c r="I74" s="185"/>
      <c r="J74" s="185"/>
      <c r="K74" s="185"/>
      <c r="L74" s="185"/>
      <c r="M74" s="185"/>
    </row>
    <row r="75" spans="2:13"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</row>
    <row r="76" spans="2:13">
      <c r="B76" s="185"/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</row>
    <row r="77" spans="2:13">
      <c r="B77" s="185"/>
      <c r="C77" s="185"/>
      <c r="D77" s="185"/>
      <c r="E77" s="185"/>
      <c r="F77" s="185"/>
      <c r="G77" s="185"/>
      <c r="H77" s="185"/>
      <c r="I77" s="185"/>
      <c r="J77" s="185"/>
      <c r="K77" s="185"/>
      <c r="L77" s="185"/>
      <c r="M77" s="185"/>
    </row>
    <row r="78" spans="2:13"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</row>
    <row r="79" spans="2:13">
      <c r="B79" s="185"/>
      <c r="C79" s="185"/>
      <c r="D79" s="185"/>
      <c r="E79" s="185"/>
      <c r="F79" s="185"/>
      <c r="G79" s="185"/>
      <c r="H79" s="185"/>
      <c r="I79" s="185"/>
      <c r="J79" s="185"/>
      <c r="K79" s="185"/>
      <c r="L79" s="185"/>
      <c r="M79" s="185"/>
    </row>
    <row r="80" spans="2:13">
      <c r="B80" s="185"/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</row>
    <row r="81" spans="2:13">
      <c r="B81" s="185"/>
      <c r="C81" s="185"/>
      <c r="D81" s="185"/>
      <c r="E81" s="185"/>
      <c r="F81" s="185"/>
      <c r="G81" s="185"/>
      <c r="H81" s="185"/>
      <c r="I81" s="185"/>
      <c r="J81" s="185"/>
      <c r="K81" s="185"/>
      <c r="L81" s="185"/>
      <c r="M81" s="185"/>
    </row>
    <row r="82" spans="2:13">
      <c r="B82" s="185"/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</row>
    <row r="83" spans="2:13">
      <c r="B83" s="185"/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</row>
    <row r="84" spans="2:13">
      <c r="B84" s="185"/>
      <c r="C84" s="185"/>
      <c r="D84" s="185"/>
      <c r="E84" s="185"/>
      <c r="F84" s="185"/>
      <c r="G84" s="185"/>
      <c r="H84" s="185"/>
      <c r="I84" s="185"/>
      <c r="J84" s="185"/>
      <c r="K84" s="185"/>
      <c r="L84" s="185"/>
      <c r="M84" s="185"/>
    </row>
    <row r="85" spans="2:13">
      <c r="B85" s="185"/>
      <c r="C85" s="185"/>
      <c r="D85" s="185"/>
      <c r="E85" s="185"/>
      <c r="F85" s="185"/>
      <c r="G85" s="185"/>
      <c r="H85" s="185"/>
      <c r="I85" s="185"/>
      <c r="J85" s="185"/>
      <c r="K85" s="185"/>
      <c r="L85" s="185"/>
      <c r="M85" s="185"/>
    </row>
    <row r="86" spans="2:13">
      <c r="B86" s="185"/>
      <c r="C86" s="185"/>
      <c r="D86" s="185"/>
      <c r="E86" s="185"/>
      <c r="F86" s="185"/>
      <c r="G86" s="185"/>
      <c r="H86" s="185"/>
      <c r="I86" s="185"/>
      <c r="J86" s="185"/>
      <c r="K86" s="185"/>
      <c r="L86" s="185"/>
      <c r="M86" s="185"/>
    </row>
    <row r="87" spans="2:13">
      <c r="B87" s="185"/>
      <c r="C87" s="185"/>
      <c r="D87" s="185"/>
      <c r="E87" s="185"/>
      <c r="F87" s="185"/>
      <c r="G87" s="185"/>
      <c r="H87" s="185"/>
      <c r="I87" s="185"/>
      <c r="J87" s="185"/>
      <c r="K87" s="185"/>
      <c r="L87" s="185"/>
      <c r="M87" s="185"/>
    </row>
    <row r="88" spans="2:13">
      <c r="B88" s="185"/>
      <c r="C88" s="185"/>
      <c r="D88" s="185"/>
      <c r="E88" s="185"/>
      <c r="F88" s="185"/>
      <c r="G88" s="185"/>
      <c r="H88" s="185"/>
      <c r="I88" s="185"/>
      <c r="J88" s="185"/>
      <c r="K88" s="185"/>
      <c r="L88" s="185"/>
      <c r="M88" s="185"/>
    </row>
    <row r="89" spans="2:13"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</row>
    <row r="90" spans="2:13">
      <c r="B90" s="185"/>
      <c r="C90" s="185"/>
      <c r="D90" s="185"/>
      <c r="E90" s="185"/>
      <c r="F90" s="185"/>
      <c r="G90" s="185"/>
      <c r="H90" s="185"/>
      <c r="I90" s="185"/>
      <c r="J90" s="185"/>
      <c r="K90" s="185"/>
      <c r="L90" s="185"/>
      <c r="M90" s="185"/>
    </row>
    <row r="91" spans="2:13">
      <c r="B91" s="185"/>
      <c r="C91" s="185"/>
      <c r="D91" s="185"/>
      <c r="E91" s="185"/>
      <c r="F91" s="185"/>
      <c r="G91" s="185"/>
      <c r="H91" s="185"/>
      <c r="I91" s="185"/>
      <c r="J91" s="185"/>
      <c r="K91" s="185"/>
      <c r="L91" s="185"/>
      <c r="M91" s="185"/>
    </row>
    <row r="92" spans="2:13">
      <c r="B92" s="185"/>
      <c r="C92" s="185"/>
      <c r="D92" s="185"/>
      <c r="E92" s="185"/>
      <c r="F92" s="185"/>
      <c r="G92" s="185"/>
      <c r="H92" s="185"/>
      <c r="I92" s="185"/>
      <c r="J92" s="185"/>
      <c r="K92" s="185"/>
      <c r="L92" s="185"/>
      <c r="M92" s="185"/>
    </row>
    <row r="93" spans="2:13">
      <c r="B93" s="185"/>
      <c r="C93" s="185"/>
      <c r="D93" s="185"/>
      <c r="E93" s="185"/>
      <c r="F93" s="185"/>
      <c r="G93" s="185"/>
      <c r="H93" s="185"/>
      <c r="I93" s="185"/>
      <c r="J93" s="185"/>
      <c r="K93" s="185"/>
      <c r="L93" s="185"/>
      <c r="M93" s="185"/>
    </row>
    <row r="94" spans="2:13"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</row>
    <row r="95" spans="2:13">
      <c r="B95" s="185"/>
      <c r="C95" s="185"/>
      <c r="D95" s="185"/>
      <c r="E95" s="185"/>
      <c r="F95" s="185"/>
      <c r="G95" s="185"/>
      <c r="H95" s="185"/>
      <c r="I95" s="185"/>
      <c r="J95" s="185"/>
      <c r="K95" s="185"/>
      <c r="L95" s="185"/>
      <c r="M95" s="185"/>
    </row>
    <row r="96" spans="2:13">
      <c r="B96" s="185"/>
      <c r="C96" s="185"/>
      <c r="D96" s="185"/>
      <c r="E96" s="185"/>
      <c r="F96" s="185"/>
      <c r="G96" s="185"/>
      <c r="H96" s="185"/>
      <c r="I96" s="185"/>
      <c r="J96" s="185"/>
      <c r="K96" s="185"/>
      <c r="L96" s="185"/>
      <c r="M96" s="185"/>
    </row>
    <row r="97" spans="2:13">
      <c r="B97" s="185"/>
      <c r="C97" s="185"/>
      <c r="D97" s="185"/>
      <c r="E97" s="185"/>
      <c r="F97" s="185"/>
      <c r="G97" s="185"/>
      <c r="H97" s="185"/>
      <c r="I97" s="185"/>
      <c r="J97" s="185"/>
      <c r="K97" s="185"/>
      <c r="L97" s="185"/>
      <c r="M97" s="185"/>
    </row>
    <row r="98" spans="2:13">
      <c r="B98" s="185"/>
      <c r="C98" s="185"/>
      <c r="D98" s="185"/>
      <c r="E98" s="185"/>
      <c r="F98" s="185"/>
      <c r="G98" s="185"/>
      <c r="H98" s="185"/>
      <c r="I98" s="185"/>
      <c r="J98" s="185"/>
      <c r="K98" s="185"/>
      <c r="L98" s="185"/>
      <c r="M98" s="185"/>
    </row>
    <row r="99" spans="2:13">
      <c r="B99" s="185"/>
      <c r="C99" s="185"/>
      <c r="D99" s="185"/>
      <c r="E99" s="185"/>
      <c r="F99" s="185"/>
      <c r="G99" s="185"/>
      <c r="H99" s="185"/>
      <c r="I99" s="185"/>
      <c r="J99" s="185"/>
      <c r="K99" s="185"/>
      <c r="L99" s="185"/>
      <c r="M99" s="185"/>
    </row>
    <row r="100" spans="2:13">
      <c r="B100" s="185"/>
      <c r="C100" s="185"/>
      <c r="D100" s="185"/>
      <c r="E100" s="185"/>
      <c r="F100" s="185"/>
      <c r="G100" s="185"/>
      <c r="H100" s="185"/>
      <c r="I100" s="185"/>
      <c r="J100" s="185"/>
      <c r="K100" s="185"/>
      <c r="L100" s="185"/>
      <c r="M100" s="185"/>
    </row>
    <row r="101" spans="2:13">
      <c r="B101" s="185"/>
      <c r="C101" s="185"/>
      <c r="D101" s="185"/>
      <c r="E101" s="185"/>
      <c r="F101" s="185"/>
      <c r="G101" s="185"/>
      <c r="H101" s="185"/>
      <c r="I101" s="185"/>
      <c r="J101" s="185"/>
      <c r="K101" s="185"/>
      <c r="L101" s="185"/>
      <c r="M101" s="185"/>
    </row>
    <row r="102" spans="2:13">
      <c r="B102" s="185"/>
      <c r="C102" s="185"/>
      <c r="D102" s="185"/>
      <c r="E102" s="185"/>
      <c r="F102" s="185"/>
      <c r="G102" s="185"/>
      <c r="H102" s="185"/>
      <c r="I102" s="185"/>
      <c r="J102" s="185"/>
      <c r="K102" s="185"/>
      <c r="L102" s="185"/>
      <c r="M102" s="185"/>
    </row>
    <row r="103" spans="2:13">
      <c r="B103" s="185"/>
      <c r="C103" s="185"/>
      <c r="D103" s="185"/>
      <c r="E103" s="185"/>
      <c r="F103" s="185"/>
      <c r="G103" s="185"/>
      <c r="H103" s="185"/>
      <c r="I103" s="185"/>
      <c r="J103" s="185"/>
      <c r="K103" s="185"/>
      <c r="L103" s="185"/>
      <c r="M103" s="185"/>
    </row>
    <row r="104" spans="2:13">
      <c r="B104" s="185"/>
      <c r="C104" s="185"/>
      <c r="D104" s="185"/>
      <c r="E104" s="185"/>
      <c r="F104" s="185"/>
      <c r="G104" s="185"/>
      <c r="H104" s="185"/>
      <c r="I104" s="185"/>
      <c r="J104" s="185"/>
      <c r="K104" s="185"/>
      <c r="L104" s="185"/>
      <c r="M104" s="185"/>
    </row>
    <row r="105" spans="2:13">
      <c r="B105" s="185"/>
      <c r="C105" s="185"/>
      <c r="D105" s="185"/>
      <c r="E105" s="185"/>
      <c r="F105" s="185"/>
      <c r="G105" s="185"/>
      <c r="H105" s="185"/>
      <c r="I105" s="185"/>
      <c r="J105" s="185"/>
      <c r="K105" s="185"/>
      <c r="L105" s="185"/>
      <c r="M105" s="185"/>
    </row>
    <row r="106" spans="2:13">
      <c r="B106" s="185"/>
      <c r="C106" s="185"/>
      <c r="D106" s="185"/>
      <c r="E106" s="185"/>
      <c r="F106" s="185"/>
      <c r="G106" s="185"/>
      <c r="H106" s="185"/>
      <c r="I106" s="185"/>
      <c r="J106" s="185"/>
      <c r="K106" s="185"/>
      <c r="L106" s="185"/>
      <c r="M106" s="185"/>
    </row>
    <row r="107" spans="2:13">
      <c r="B107" s="185"/>
      <c r="C107" s="185"/>
      <c r="D107" s="185"/>
      <c r="E107" s="185"/>
      <c r="F107" s="185"/>
      <c r="G107" s="185"/>
      <c r="H107" s="185"/>
      <c r="I107" s="185"/>
      <c r="J107" s="185"/>
      <c r="K107" s="185"/>
      <c r="L107" s="185"/>
      <c r="M107" s="185"/>
    </row>
    <row r="108" spans="2:13">
      <c r="B108" s="185"/>
      <c r="C108" s="185"/>
      <c r="D108" s="185"/>
      <c r="E108" s="185"/>
      <c r="F108" s="185"/>
      <c r="G108" s="185"/>
      <c r="H108" s="185"/>
      <c r="I108" s="185"/>
      <c r="J108" s="185"/>
      <c r="K108" s="185"/>
      <c r="L108" s="185"/>
      <c r="M108" s="185"/>
    </row>
    <row r="109" spans="2:13">
      <c r="B109" s="185"/>
      <c r="C109" s="185"/>
      <c r="D109" s="185"/>
      <c r="E109" s="185"/>
      <c r="F109" s="185"/>
      <c r="G109" s="185"/>
      <c r="H109" s="185"/>
      <c r="I109" s="185"/>
      <c r="J109" s="185"/>
      <c r="K109" s="185"/>
      <c r="L109" s="185"/>
      <c r="M109" s="185"/>
    </row>
    <row r="110" spans="2:13">
      <c r="B110" s="185"/>
      <c r="C110" s="185"/>
      <c r="D110" s="185"/>
      <c r="E110" s="185"/>
      <c r="F110" s="185"/>
      <c r="G110" s="185"/>
      <c r="H110" s="185"/>
      <c r="I110" s="185"/>
      <c r="J110" s="185"/>
      <c r="K110" s="185"/>
      <c r="L110" s="185"/>
      <c r="M110" s="185"/>
    </row>
    <row r="111" spans="2:13">
      <c r="B111" s="185"/>
      <c r="C111" s="185"/>
      <c r="D111" s="185"/>
      <c r="E111" s="185"/>
      <c r="F111" s="185"/>
      <c r="G111" s="185"/>
      <c r="H111" s="185"/>
      <c r="I111" s="185"/>
      <c r="J111" s="185"/>
      <c r="K111" s="185"/>
      <c r="L111" s="185"/>
      <c r="M111" s="185"/>
    </row>
    <row r="112" spans="2:13">
      <c r="B112" s="185"/>
      <c r="C112" s="185"/>
      <c r="D112" s="185"/>
      <c r="E112" s="185"/>
      <c r="F112" s="185"/>
      <c r="G112" s="185"/>
      <c r="H112" s="185"/>
      <c r="I112" s="185"/>
      <c r="J112" s="185"/>
      <c r="K112" s="185"/>
      <c r="L112" s="185"/>
      <c r="M112" s="185"/>
    </row>
    <row r="113" spans="2:13">
      <c r="B113" s="185"/>
      <c r="C113" s="185"/>
      <c r="D113" s="185"/>
      <c r="E113" s="185"/>
      <c r="F113" s="185"/>
      <c r="G113" s="185"/>
      <c r="H113" s="185"/>
      <c r="I113" s="185"/>
      <c r="J113" s="185"/>
      <c r="K113" s="185"/>
      <c r="L113" s="185"/>
      <c r="M113" s="185"/>
    </row>
    <row r="114" spans="2:13">
      <c r="B114" s="185"/>
      <c r="C114" s="185"/>
      <c r="D114" s="185"/>
      <c r="E114" s="185"/>
      <c r="F114" s="185"/>
      <c r="G114" s="185"/>
      <c r="H114" s="185"/>
      <c r="I114" s="185"/>
      <c r="J114" s="185"/>
      <c r="K114" s="185"/>
      <c r="L114" s="185"/>
      <c r="M114" s="185"/>
    </row>
    <row r="115" spans="2:13">
      <c r="B115" s="185"/>
      <c r="C115" s="185"/>
      <c r="D115" s="185"/>
      <c r="E115" s="185"/>
      <c r="F115" s="185"/>
      <c r="G115" s="185"/>
      <c r="H115" s="185"/>
      <c r="I115" s="185"/>
      <c r="J115" s="185"/>
      <c r="K115" s="185"/>
      <c r="L115" s="185"/>
      <c r="M115" s="185"/>
    </row>
    <row r="116" spans="2:13">
      <c r="B116" s="185"/>
      <c r="C116" s="185"/>
      <c r="D116" s="185"/>
      <c r="E116" s="185"/>
      <c r="F116" s="185"/>
      <c r="G116" s="185"/>
      <c r="H116" s="185"/>
      <c r="I116" s="185"/>
      <c r="J116" s="185"/>
      <c r="K116" s="185"/>
      <c r="L116" s="185"/>
      <c r="M116" s="185"/>
    </row>
    <row r="117" spans="2:13">
      <c r="B117" s="185"/>
      <c r="C117" s="185"/>
      <c r="D117" s="185"/>
      <c r="E117" s="185"/>
      <c r="F117" s="185"/>
      <c r="G117" s="185"/>
      <c r="H117" s="185"/>
      <c r="I117" s="185"/>
      <c r="J117" s="185"/>
      <c r="K117" s="185"/>
      <c r="L117" s="185"/>
      <c r="M117" s="185"/>
    </row>
    <row r="118" spans="2:13">
      <c r="B118" s="185"/>
      <c r="C118" s="185"/>
      <c r="D118" s="185"/>
      <c r="E118" s="185"/>
      <c r="F118" s="185"/>
      <c r="G118" s="185"/>
      <c r="H118" s="185"/>
      <c r="I118" s="185"/>
      <c r="J118" s="185"/>
      <c r="K118" s="185"/>
      <c r="L118" s="185"/>
      <c r="M118" s="185"/>
    </row>
    <row r="119" spans="2:13">
      <c r="B119" s="185"/>
      <c r="C119" s="185"/>
      <c r="D119" s="185"/>
      <c r="E119" s="185"/>
      <c r="F119" s="185"/>
      <c r="G119" s="185"/>
      <c r="H119" s="185"/>
      <c r="I119" s="185"/>
      <c r="J119" s="185"/>
      <c r="K119" s="185"/>
      <c r="L119" s="185"/>
      <c r="M119" s="185"/>
    </row>
    <row r="120" spans="2:13">
      <c r="B120" s="185"/>
      <c r="C120" s="185"/>
      <c r="D120" s="185"/>
      <c r="E120" s="185"/>
      <c r="F120" s="185"/>
      <c r="G120" s="185"/>
      <c r="H120" s="185"/>
      <c r="I120" s="185"/>
      <c r="J120" s="185"/>
      <c r="K120" s="185"/>
      <c r="L120" s="185"/>
      <c r="M120" s="185"/>
    </row>
    <row r="121" spans="2:13"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</row>
    <row r="122" spans="2:13"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</row>
    <row r="123" spans="2:13">
      <c r="B123" s="185"/>
      <c r="C123" s="185"/>
      <c r="D123" s="185"/>
      <c r="E123" s="185"/>
      <c r="F123" s="185"/>
      <c r="G123" s="185"/>
      <c r="H123" s="185"/>
      <c r="I123" s="185"/>
      <c r="J123" s="185"/>
      <c r="K123" s="185"/>
      <c r="L123" s="185"/>
      <c r="M123" s="185"/>
    </row>
    <row r="124" spans="2:13">
      <c r="B124" s="185"/>
      <c r="C124" s="185"/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</row>
    <row r="125" spans="2:13">
      <c r="B125" s="185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</row>
    <row r="126" spans="2:13">
      <c r="B126" s="185"/>
      <c r="C126" s="185"/>
      <c r="D126" s="185"/>
      <c r="E126" s="185"/>
      <c r="F126" s="185"/>
      <c r="G126" s="185"/>
      <c r="H126" s="185"/>
      <c r="I126" s="185"/>
      <c r="J126" s="185"/>
      <c r="K126" s="185"/>
      <c r="L126" s="185"/>
      <c r="M126" s="185"/>
    </row>
    <row r="127" spans="2:13">
      <c r="B127" s="185"/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</row>
    <row r="128" spans="2:13">
      <c r="B128" s="185"/>
      <c r="C128" s="185"/>
      <c r="D128" s="185"/>
      <c r="E128" s="185"/>
      <c r="F128" s="185"/>
      <c r="G128" s="185"/>
      <c r="H128" s="185"/>
      <c r="I128" s="185"/>
      <c r="J128" s="185"/>
      <c r="K128" s="185"/>
      <c r="L128" s="185"/>
      <c r="M128" s="185"/>
    </row>
    <row r="129" spans="2:13">
      <c r="B129" s="185"/>
      <c r="C129" s="185"/>
      <c r="D129" s="185"/>
      <c r="E129" s="185"/>
      <c r="F129" s="185"/>
      <c r="G129" s="185"/>
      <c r="H129" s="185"/>
      <c r="I129" s="185"/>
      <c r="J129" s="185"/>
      <c r="K129" s="185"/>
      <c r="L129" s="185"/>
      <c r="M129" s="185"/>
    </row>
    <row r="130" spans="2:13">
      <c r="B130" s="185"/>
      <c r="C130" s="185"/>
      <c r="D130" s="185"/>
      <c r="E130" s="185"/>
      <c r="F130" s="185"/>
      <c r="G130" s="185"/>
      <c r="H130" s="185"/>
      <c r="I130" s="185"/>
      <c r="J130" s="185"/>
      <c r="K130" s="185"/>
      <c r="L130" s="185"/>
      <c r="M130" s="185"/>
    </row>
    <row r="131" spans="2:13">
      <c r="B131" s="185"/>
      <c r="C131" s="185"/>
      <c r="D131" s="185"/>
      <c r="E131" s="185"/>
      <c r="F131" s="185"/>
      <c r="G131" s="185"/>
      <c r="H131" s="185"/>
      <c r="I131" s="185"/>
      <c r="J131" s="185"/>
      <c r="K131" s="185"/>
      <c r="L131" s="185"/>
      <c r="M131" s="185"/>
    </row>
    <row r="132" spans="2:13">
      <c r="B132" s="185"/>
      <c r="C132" s="185"/>
      <c r="D132" s="185"/>
      <c r="E132" s="185"/>
      <c r="F132" s="185"/>
      <c r="G132" s="185"/>
      <c r="H132" s="185"/>
      <c r="I132" s="185"/>
      <c r="J132" s="185"/>
      <c r="K132" s="185"/>
      <c r="L132" s="185"/>
      <c r="M132" s="185"/>
    </row>
    <row r="133" spans="2:13">
      <c r="B133" s="185"/>
      <c r="C133" s="185"/>
      <c r="D133" s="185"/>
      <c r="E133" s="185"/>
      <c r="F133" s="185"/>
      <c r="G133" s="185"/>
      <c r="H133" s="185"/>
      <c r="I133" s="185"/>
      <c r="J133" s="185"/>
      <c r="K133" s="185"/>
      <c r="L133" s="185"/>
      <c r="M133" s="185"/>
    </row>
    <row r="134" spans="2:13">
      <c r="B134" s="185"/>
      <c r="C134" s="185"/>
      <c r="D134" s="185"/>
      <c r="E134" s="185"/>
      <c r="F134" s="185"/>
      <c r="G134" s="185"/>
      <c r="H134" s="185"/>
      <c r="I134" s="185"/>
      <c r="J134" s="185"/>
      <c r="K134" s="185"/>
      <c r="L134" s="185"/>
      <c r="M134" s="185"/>
    </row>
    <row r="135" spans="2:13">
      <c r="B135" s="185"/>
      <c r="C135" s="185"/>
      <c r="D135" s="185"/>
      <c r="E135" s="185"/>
      <c r="F135" s="185"/>
      <c r="G135" s="185"/>
      <c r="H135" s="185"/>
      <c r="I135" s="185"/>
      <c r="J135" s="185"/>
      <c r="K135" s="185"/>
      <c r="L135" s="185"/>
      <c r="M135" s="185"/>
    </row>
    <row r="136" spans="2:13"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</row>
    <row r="137" spans="2:13">
      <c r="B137" s="185"/>
      <c r="C137" s="185"/>
      <c r="D137" s="185"/>
      <c r="E137" s="185"/>
      <c r="F137" s="185"/>
      <c r="G137" s="185"/>
      <c r="H137" s="185"/>
      <c r="I137" s="185"/>
      <c r="J137" s="185"/>
      <c r="K137" s="185"/>
      <c r="L137" s="185"/>
      <c r="M137" s="185"/>
    </row>
    <row r="138" spans="2:13">
      <c r="B138" s="185"/>
      <c r="C138" s="185"/>
      <c r="D138" s="185"/>
      <c r="E138" s="185"/>
      <c r="F138" s="185"/>
      <c r="G138" s="185"/>
      <c r="H138" s="185"/>
      <c r="I138" s="185"/>
      <c r="J138" s="185"/>
      <c r="K138" s="185"/>
      <c r="L138" s="185"/>
      <c r="M138" s="185"/>
    </row>
  </sheetData>
  <sheetProtection sheet="1" objects="1" scenarios="1"/>
  <mergeCells count="5">
    <mergeCell ref="D22:M22"/>
    <mergeCell ref="C4:D5"/>
    <mergeCell ref="G4:H5"/>
    <mergeCell ref="J4:K5"/>
    <mergeCell ref="C11:D1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74690-AE21-9B47-94B2-B217851AA43D}">
  <sheetPr codeName="Planilha3">
    <tabColor rgb="FFFF0000"/>
  </sheetPr>
  <dimension ref="C1:R48"/>
  <sheetViews>
    <sheetView workbookViewId="0">
      <pane ySplit="4" topLeftCell="A5" activePane="bottomLeft" state="frozen"/>
      <selection activeCell="C509" sqref="C509"/>
      <selection pane="bottomLeft" activeCell="E41" sqref="E41"/>
    </sheetView>
  </sheetViews>
  <sheetFormatPr defaultColWidth="10.7109375" defaultRowHeight="15.75"/>
  <cols>
    <col min="1" max="2" width="10.7109375" style="9"/>
    <col min="3" max="3" width="23.7109375" style="9" customWidth="1"/>
    <col min="4" max="4" width="25.28515625" style="9" customWidth="1"/>
    <col min="5" max="7" width="15.7109375" style="9" customWidth="1"/>
    <col min="8" max="8" width="22.28515625" style="9" bestFit="1" customWidth="1"/>
    <col min="9" max="9" width="10.7109375" style="9"/>
    <col min="10" max="10" width="15.7109375" style="9" customWidth="1"/>
    <col min="11" max="16384" width="10.7109375" style="9"/>
  </cols>
  <sheetData>
    <row r="1" spans="3:18" ht="16.5" thickBot="1">
      <c r="E1" s="570" t="s">
        <v>3641</v>
      </c>
      <c r="F1" s="571"/>
      <c r="G1" s="571"/>
    </row>
    <row r="2" spans="3:18" ht="16.5" thickBot="1"/>
    <row r="3" spans="3:18" ht="16.5" thickTop="1">
      <c r="C3" s="568" t="s">
        <v>3638</v>
      </c>
      <c r="D3" s="568" t="s">
        <v>3804</v>
      </c>
      <c r="E3" s="568" t="s">
        <v>52</v>
      </c>
      <c r="F3" s="568" t="s">
        <v>51</v>
      </c>
      <c r="G3" s="568" t="s">
        <v>3805</v>
      </c>
    </row>
    <row r="4" spans="3:18" ht="16.5" thickBot="1">
      <c r="C4" s="569"/>
      <c r="D4" s="569"/>
      <c r="E4" s="569"/>
      <c r="F4" s="569"/>
      <c r="G4" s="569"/>
    </row>
    <row r="5" spans="3:18" ht="16.5" thickTop="1">
      <c r="C5" s="10" t="s">
        <v>74</v>
      </c>
      <c r="D5" s="10" t="s">
        <v>3791</v>
      </c>
      <c r="E5" s="11">
        <v>0.38591999999999999</v>
      </c>
      <c r="F5" s="29">
        <v>0.19599</v>
      </c>
      <c r="G5" s="30">
        <f t="shared" ref="G5:G47" si="0">SUM(E5:F5)</f>
        <v>0.58190999999999993</v>
      </c>
    </row>
    <row r="6" spans="3:18">
      <c r="C6" s="12" t="s">
        <v>97</v>
      </c>
      <c r="D6" s="10" t="s">
        <v>3777</v>
      </c>
      <c r="E6" s="11">
        <v>0.39557999999999999</v>
      </c>
      <c r="F6" s="29">
        <v>0.23530000000000001</v>
      </c>
      <c r="G6" s="31">
        <f t="shared" si="0"/>
        <v>0.63088</v>
      </c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3:18">
      <c r="C7" s="12" t="s">
        <v>3837</v>
      </c>
      <c r="D7" s="10" t="s">
        <v>3838</v>
      </c>
      <c r="E7" s="11">
        <v>0.36244999999999999</v>
      </c>
      <c r="F7" s="29">
        <v>0.14280000000000001</v>
      </c>
      <c r="G7" s="31">
        <f>SUM(E7:F7)</f>
        <v>0.50524999999999998</v>
      </c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3:18" ht="20.25">
      <c r="C8" s="12" t="s">
        <v>230</v>
      </c>
      <c r="D8" s="12" t="s">
        <v>3775</v>
      </c>
      <c r="E8" s="11">
        <v>0.45018999999999998</v>
      </c>
      <c r="F8" s="29">
        <v>0.24329999999999999</v>
      </c>
      <c r="G8" s="31">
        <f t="shared" si="0"/>
        <v>0.69348999999999994</v>
      </c>
      <c r="I8" s="26"/>
      <c r="P8" s="24"/>
    </row>
    <row r="9" spans="3:18" ht="20.25">
      <c r="C9" s="12" t="s">
        <v>230</v>
      </c>
      <c r="D9" s="10" t="s">
        <v>3776</v>
      </c>
      <c r="E9" s="11">
        <v>0.38847999999999999</v>
      </c>
      <c r="F9" s="29">
        <v>0.1487</v>
      </c>
      <c r="G9" s="31">
        <f t="shared" si="0"/>
        <v>0.53717999999999999</v>
      </c>
      <c r="I9" s="26"/>
      <c r="P9" s="24"/>
    </row>
    <row r="10" spans="3:18" ht="20.25">
      <c r="C10" s="12" t="s">
        <v>296</v>
      </c>
      <c r="D10" s="12" t="s">
        <v>3787</v>
      </c>
      <c r="E10" s="11">
        <v>0.39457999999999999</v>
      </c>
      <c r="F10" s="29">
        <v>0.22499</v>
      </c>
      <c r="G10" s="31">
        <f t="shared" si="0"/>
        <v>0.61956999999999995</v>
      </c>
      <c r="I10" s="26"/>
      <c r="P10" s="24"/>
    </row>
    <row r="11" spans="3:18" ht="20.25">
      <c r="C11" s="10" t="s">
        <v>558</v>
      </c>
      <c r="D11" s="10" t="s">
        <v>3793</v>
      </c>
      <c r="E11" s="11">
        <v>0.33157999999999999</v>
      </c>
      <c r="F11" s="29">
        <v>0.25719999999999998</v>
      </c>
      <c r="G11" s="31">
        <f t="shared" si="0"/>
        <v>0.58877999999999997</v>
      </c>
      <c r="I11" s="26"/>
      <c r="J11" s="28"/>
      <c r="P11" s="24"/>
    </row>
    <row r="12" spans="3:18" ht="20.25">
      <c r="C12" s="12" t="s">
        <v>690</v>
      </c>
      <c r="D12" s="12" t="s">
        <v>3839</v>
      </c>
      <c r="E12" s="11">
        <v>0.27984999999999999</v>
      </c>
      <c r="F12" s="29">
        <v>0.25383</v>
      </c>
      <c r="G12" s="31">
        <f t="shared" si="0"/>
        <v>0.53367999999999993</v>
      </c>
      <c r="I12" s="26"/>
      <c r="P12" s="24"/>
    </row>
    <row r="13" spans="3:18" ht="20.25">
      <c r="C13" s="10" t="s">
        <v>690</v>
      </c>
      <c r="D13" s="10" t="s">
        <v>3778</v>
      </c>
      <c r="E13" s="11">
        <v>0.27187</v>
      </c>
      <c r="F13" s="29">
        <v>0.24290999999999999</v>
      </c>
      <c r="G13" s="31">
        <f t="shared" si="0"/>
        <v>0.51478000000000002</v>
      </c>
      <c r="I13" s="26"/>
      <c r="P13" s="24"/>
    </row>
    <row r="14" spans="3:18" ht="20.25">
      <c r="C14" s="12" t="s">
        <v>55</v>
      </c>
      <c r="D14" s="12" t="s">
        <v>3790</v>
      </c>
      <c r="E14" s="11">
        <v>0.29408000000000001</v>
      </c>
      <c r="F14" s="29">
        <v>0.26291999999999999</v>
      </c>
      <c r="G14" s="31">
        <f t="shared" si="0"/>
        <v>0.55699999999999994</v>
      </c>
      <c r="I14" s="26"/>
      <c r="P14" s="25"/>
    </row>
    <row r="15" spans="3:18" ht="20.25">
      <c r="C15" s="12" t="s">
        <v>55</v>
      </c>
      <c r="D15" s="10" t="s">
        <v>3792</v>
      </c>
      <c r="E15" s="11">
        <v>0.28452</v>
      </c>
      <c r="F15" s="29">
        <v>0.25478000000000001</v>
      </c>
      <c r="G15" s="31">
        <f t="shared" si="0"/>
        <v>0.5393</v>
      </c>
      <c r="I15" s="26"/>
      <c r="P15" s="24"/>
    </row>
    <row r="16" spans="3:18" ht="20.25">
      <c r="C16" s="12" t="s">
        <v>3844</v>
      </c>
      <c r="D16" s="10" t="s">
        <v>3845</v>
      </c>
      <c r="E16" s="11">
        <v>0.26696999999999999</v>
      </c>
      <c r="F16" s="29">
        <v>0.29477999999999999</v>
      </c>
      <c r="G16" s="31">
        <f t="shared" si="0"/>
        <v>0.56174999999999997</v>
      </c>
      <c r="I16" s="26"/>
      <c r="P16" s="24"/>
    </row>
    <row r="17" spans="3:16" ht="20.25">
      <c r="C17" s="12" t="s">
        <v>875</v>
      </c>
      <c r="D17" s="12" t="s">
        <v>3781</v>
      </c>
      <c r="E17" s="11">
        <v>0.42362</v>
      </c>
      <c r="F17" s="29">
        <v>0.20458999999999999</v>
      </c>
      <c r="G17" s="31">
        <f t="shared" si="0"/>
        <v>0.62820999999999994</v>
      </c>
      <c r="I17" s="26"/>
      <c r="P17" s="24"/>
    </row>
    <row r="18" spans="3:16" ht="21">
      <c r="C18" s="10" t="s">
        <v>991</v>
      </c>
      <c r="D18" s="10" t="s">
        <v>3795</v>
      </c>
      <c r="E18" s="11">
        <v>0.40656999999999999</v>
      </c>
      <c r="F18" s="29">
        <v>0.27693000000000001</v>
      </c>
      <c r="G18" s="31">
        <f t="shared" si="0"/>
        <v>0.6835</v>
      </c>
      <c r="I18" s="27"/>
      <c r="P18" s="24"/>
    </row>
    <row r="19" spans="3:16" ht="21">
      <c r="C19" s="10" t="s">
        <v>1076</v>
      </c>
      <c r="D19" s="10" t="s">
        <v>3846</v>
      </c>
      <c r="E19" s="11">
        <v>0.42310999999999999</v>
      </c>
      <c r="F19" s="29">
        <v>0.27054</v>
      </c>
      <c r="G19" s="31">
        <f t="shared" si="0"/>
        <v>0.69364999999999999</v>
      </c>
      <c r="I19" s="27"/>
      <c r="P19" s="24"/>
    </row>
    <row r="20" spans="3:16" ht="20.25">
      <c r="C20" s="12" t="s">
        <v>1126</v>
      </c>
      <c r="D20" s="12" t="s">
        <v>3782</v>
      </c>
      <c r="E20" s="11">
        <v>0.35376999999999997</v>
      </c>
      <c r="F20" s="29">
        <v>0.26434999999999997</v>
      </c>
      <c r="G20" s="31">
        <f t="shared" si="0"/>
        <v>0.61812</v>
      </c>
      <c r="I20" s="26"/>
      <c r="P20" s="24"/>
    </row>
    <row r="21" spans="3:16" ht="20.25">
      <c r="C21" s="10" t="s">
        <v>1695</v>
      </c>
      <c r="D21" s="10" t="s">
        <v>3779</v>
      </c>
      <c r="E21" s="11">
        <v>0.47693999999999998</v>
      </c>
      <c r="F21" s="29">
        <v>0.22627</v>
      </c>
      <c r="G21" s="31">
        <f t="shared" si="0"/>
        <v>0.70321</v>
      </c>
      <c r="I21" s="26"/>
      <c r="P21" s="24"/>
    </row>
    <row r="22" spans="3:16" ht="20.25">
      <c r="C22" s="12" t="s">
        <v>1789</v>
      </c>
      <c r="D22" s="10" t="s">
        <v>3789</v>
      </c>
      <c r="E22" s="11">
        <v>0.28575</v>
      </c>
      <c r="F22" s="29">
        <v>0.23133000000000001</v>
      </c>
      <c r="G22" s="31">
        <f t="shared" si="0"/>
        <v>0.51707999999999998</v>
      </c>
      <c r="I22" s="26"/>
      <c r="P22" s="24"/>
    </row>
    <row r="23" spans="3:16" ht="20.25">
      <c r="C23" s="12" t="s">
        <v>1789</v>
      </c>
      <c r="D23" s="12" t="s">
        <v>3796</v>
      </c>
      <c r="E23" s="11">
        <v>0.34399000000000002</v>
      </c>
      <c r="F23" s="29">
        <v>0.21812000000000001</v>
      </c>
      <c r="G23" s="31">
        <f t="shared" si="0"/>
        <v>0.56211</v>
      </c>
      <c r="I23" s="26"/>
      <c r="P23" s="24"/>
    </row>
    <row r="24" spans="3:16" ht="20.25">
      <c r="C24" s="12" t="s">
        <v>1921</v>
      </c>
      <c r="D24" s="10" t="s">
        <v>3847</v>
      </c>
      <c r="E24" s="11">
        <v>0.25086000000000003</v>
      </c>
      <c r="F24" s="29">
        <v>0.26190999999999998</v>
      </c>
      <c r="G24" s="31">
        <f t="shared" si="0"/>
        <v>0.51276999999999995</v>
      </c>
      <c r="I24" s="26"/>
      <c r="P24" s="24"/>
    </row>
    <row r="25" spans="3:16" ht="20.25">
      <c r="C25" s="12" t="s">
        <v>2140</v>
      </c>
      <c r="D25" s="10" t="s">
        <v>3780</v>
      </c>
      <c r="E25" s="11">
        <v>0.34515000000000001</v>
      </c>
      <c r="F25" s="29">
        <v>0.27433000000000002</v>
      </c>
      <c r="G25" s="31">
        <f t="shared" si="0"/>
        <v>0.61948000000000003</v>
      </c>
      <c r="I25" s="26"/>
      <c r="P25" s="24"/>
    </row>
    <row r="26" spans="3:16" ht="20.25">
      <c r="C26" s="12" t="s">
        <v>2256</v>
      </c>
      <c r="D26" s="12" t="s">
        <v>3783</v>
      </c>
      <c r="E26" s="11">
        <v>0.39621000000000001</v>
      </c>
      <c r="F26" s="29">
        <v>0.18561</v>
      </c>
      <c r="G26" s="31">
        <f t="shared" si="0"/>
        <v>0.58182</v>
      </c>
      <c r="I26" s="26"/>
      <c r="P26" s="24"/>
    </row>
    <row r="27" spans="3:16" ht="20.25">
      <c r="C27" s="12" t="s">
        <v>2388</v>
      </c>
      <c r="D27" s="10" t="s">
        <v>3840</v>
      </c>
      <c r="E27" s="11">
        <v>0.86738000000000004</v>
      </c>
      <c r="F27" s="29">
        <v>0.24029</v>
      </c>
      <c r="G27" s="31">
        <f t="shared" si="0"/>
        <v>1.1076700000000002</v>
      </c>
      <c r="I27" s="26"/>
      <c r="P27" s="24"/>
    </row>
    <row r="28" spans="3:16" ht="20.25">
      <c r="C28" s="10" t="s">
        <v>2388</v>
      </c>
      <c r="D28" s="10" t="s">
        <v>3841</v>
      </c>
      <c r="E28" s="11">
        <v>0.38016</v>
      </c>
      <c r="F28" s="29">
        <v>0.28227999999999998</v>
      </c>
      <c r="G28" s="31">
        <f t="shared" si="0"/>
        <v>0.66243999999999992</v>
      </c>
      <c r="I28" s="26"/>
      <c r="P28" s="24"/>
    </row>
    <row r="29" spans="3:16" ht="20.25">
      <c r="C29" s="10" t="s">
        <v>2388</v>
      </c>
      <c r="D29" s="10" t="s">
        <v>3842</v>
      </c>
      <c r="E29" s="11">
        <v>0.79240999999999995</v>
      </c>
      <c r="F29" s="29">
        <v>0.23133000000000001</v>
      </c>
      <c r="G29" s="31">
        <f t="shared" si="0"/>
        <v>1.0237399999999999</v>
      </c>
      <c r="I29" s="26"/>
      <c r="P29" s="24"/>
    </row>
    <row r="30" spans="3:16" ht="20.25">
      <c r="C30" s="10" t="s">
        <v>2388</v>
      </c>
      <c r="D30" s="10" t="s">
        <v>3843</v>
      </c>
      <c r="E30" s="11">
        <v>0.82374000000000003</v>
      </c>
      <c r="F30" s="29">
        <v>0.20172999999999999</v>
      </c>
      <c r="G30" s="31">
        <f t="shared" si="0"/>
        <v>1.0254700000000001</v>
      </c>
      <c r="I30" s="26"/>
      <c r="P30" s="24"/>
    </row>
    <row r="31" spans="3:16" ht="20.25">
      <c r="C31" s="10" t="s">
        <v>2388</v>
      </c>
      <c r="D31" s="10" t="s">
        <v>3794</v>
      </c>
      <c r="E31" s="11">
        <v>0.44501000000000002</v>
      </c>
      <c r="F31" s="29">
        <v>0.26943</v>
      </c>
      <c r="G31" s="31">
        <f t="shared" si="0"/>
        <v>0.71443999999999996</v>
      </c>
      <c r="I31" s="26"/>
      <c r="P31" s="24"/>
    </row>
    <row r="32" spans="3:16" ht="20.25">
      <c r="C32" s="10" t="s">
        <v>2388</v>
      </c>
      <c r="D32" s="12" t="s">
        <v>3798</v>
      </c>
      <c r="E32" s="11">
        <v>0.38945999999999997</v>
      </c>
      <c r="F32" s="29">
        <v>0.30459000000000003</v>
      </c>
      <c r="G32" s="31">
        <f t="shared" si="0"/>
        <v>0.69405000000000006</v>
      </c>
      <c r="I32" s="26"/>
      <c r="P32" s="24"/>
    </row>
    <row r="33" spans="3:16" ht="20.25">
      <c r="C33" s="10" t="s">
        <v>2449</v>
      </c>
      <c r="D33" s="10" t="s">
        <v>3788</v>
      </c>
      <c r="E33" s="11">
        <v>0.31340000000000001</v>
      </c>
      <c r="F33" s="29">
        <v>0.24564</v>
      </c>
      <c r="G33" s="31">
        <f t="shared" si="0"/>
        <v>0.55903999999999998</v>
      </c>
      <c r="I33" s="26"/>
      <c r="P33" s="24"/>
    </row>
    <row r="34" spans="3:16" ht="20.25">
      <c r="C34" s="10" t="s">
        <v>2552</v>
      </c>
      <c r="D34" s="10" t="s">
        <v>3848</v>
      </c>
      <c r="E34" s="11">
        <v>0.29026000000000002</v>
      </c>
      <c r="F34" s="29">
        <v>0.27000999999999997</v>
      </c>
      <c r="G34" s="31">
        <f t="shared" si="0"/>
        <v>0.56027000000000005</v>
      </c>
      <c r="I34" s="26"/>
      <c r="P34" s="24"/>
    </row>
    <row r="35" spans="3:16" ht="20.25">
      <c r="C35" s="10" t="s">
        <v>2893</v>
      </c>
      <c r="D35" s="12" t="s">
        <v>3785</v>
      </c>
      <c r="E35" s="11">
        <v>0.34987000000000001</v>
      </c>
      <c r="F35" s="29">
        <v>0.16450999999999999</v>
      </c>
      <c r="G35" s="31">
        <f t="shared" si="0"/>
        <v>0.51438000000000006</v>
      </c>
      <c r="I35" s="26"/>
      <c r="P35" s="24"/>
    </row>
    <row r="36" spans="3:16" ht="20.25">
      <c r="C36" s="10" t="s">
        <v>2929</v>
      </c>
      <c r="D36" s="10" t="s">
        <v>3786</v>
      </c>
      <c r="E36" s="11">
        <v>0.38813999999999999</v>
      </c>
      <c r="F36" s="29">
        <v>0.20116000000000001</v>
      </c>
      <c r="G36" s="31">
        <f t="shared" si="0"/>
        <v>0.58929999999999993</v>
      </c>
      <c r="I36" s="26"/>
      <c r="P36" s="24"/>
    </row>
    <row r="37" spans="3:16" ht="20.25">
      <c r="C37" s="10" t="s">
        <v>2939</v>
      </c>
      <c r="D37" s="10" t="s">
        <v>3849</v>
      </c>
      <c r="E37" s="11">
        <v>0.23158999999999999</v>
      </c>
      <c r="F37" s="29">
        <v>0.27439999999999998</v>
      </c>
      <c r="G37" s="31">
        <f t="shared" si="0"/>
        <v>0.50598999999999994</v>
      </c>
      <c r="I37" s="26"/>
      <c r="P37" s="24"/>
    </row>
    <row r="38" spans="3:16" ht="20.25">
      <c r="C38" s="10" t="s">
        <v>3122</v>
      </c>
      <c r="D38" s="12" t="s">
        <v>3800</v>
      </c>
      <c r="E38" s="11">
        <v>0.36598999999999998</v>
      </c>
      <c r="F38" s="29">
        <v>0.29592000000000002</v>
      </c>
      <c r="G38" s="31">
        <f t="shared" si="0"/>
        <v>0.66191</v>
      </c>
      <c r="H38" s="456" t="s">
        <v>6310</v>
      </c>
      <c r="I38" s="26"/>
      <c r="P38" s="24"/>
    </row>
    <row r="39" spans="3:16" ht="20.25">
      <c r="C39" s="10" t="s">
        <v>3122</v>
      </c>
      <c r="D39" s="455" t="s">
        <v>3802</v>
      </c>
      <c r="E39" s="11">
        <v>0.36087000000000002</v>
      </c>
      <c r="F39" s="29">
        <v>0.31930999999999998</v>
      </c>
      <c r="G39" s="31">
        <f t="shared" si="0"/>
        <v>0.68018000000000001</v>
      </c>
      <c r="H39" s="456" t="s">
        <v>6310</v>
      </c>
      <c r="I39" s="26"/>
      <c r="P39" s="24"/>
    </row>
    <row r="40" spans="3:16">
      <c r="C40" s="10" t="s">
        <v>3122</v>
      </c>
      <c r="D40" s="12" t="s">
        <v>3801</v>
      </c>
      <c r="E40" s="11">
        <v>0.37742999999999999</v>
      </c>
      <c r="F40" s="29">
        <v>0.27614</v>
      </c>
      <c r="G40" s="31">
        <f t="shared" si="0"/>
        <v>0.65356999999999998</v>
      </c>
      <c r="H40" s="456" t="s">
        <v>6310</v>
      </c>
      <c r="I40" s="26"/>
    </row>
    <row r="41" spans="3:16">
      <c r="C41" s="10" t="s">
        <v>3122</v>
      </c>
      <c r="D41" s="10" t="s">
        <v>3803</v>
      </c>
      <c r="E41" s="11">
        <v>0.39602999999999999</v>
      </c>
      <c r="F41" s="29">
        <v>0.26046000000000002</v>
      </c>
      <c r="G41" s="31">
        <f t="shared" si="0"/>
        <v>0.65649000000000002</v>
      </c>
      <c r="H41" s="456" t="s">
        <v>6310</v>
      </c>
      <c r="I41" s="26"/>
    </row>
    <row r="42" spans="3:16">
      <c r="C42" s="10" t="s">
        <v>3122</v>
      </c>
      <c r="D42" s="12" t="s">
        <v>3874</v>
      </c>
      <c r="E42" s="11">
        <v>0.31685999999999998</v>
      </c>
      <c r="F42" s="29">
        <v>0.24811</v>
      </c>
      <c r="G42" s="31">
        <f t="shared" si="0"/>
        <v>0.56496999999999997</v>
      </c>
      <c r="I42" s="26"/>
    </row>
    <row r="43" spans="3:16">
      <c r="C43" s="12" t="s">
        <v>3122</v>
      </c>
      <c r="D43" s="10" t="s">
        <v>3851</v>
      </c>
      <c r="E43" s="11">
        <v>0.42645</v>
      </c>
      <c r="F43" s="29">
        <v>0.26649</v>
      </c>
      <c r="G43" s="31">
        <f t="shared" si="0"/>
        <v>0.69294</v>
      </c>
      <c r="H43" s="456" t="s">
        <v>6310</v>
      </c>
      <c r="I43" s="26"/>
    </row>
    <row r="44" spans="3:16">
      <c r="C44" s="12" t="s">
        <v>3518</v>
      </c>
      <c r="D44" s="12" t="s">
        <v>3784</v>
      </c>
      <c r="E44" s="11">
        <v>0.51309000000000005</v>
      </c>
      <c r="F44" s="29">
        <v>0.26968999999999999</v>
      </c>
      <c r="G44" s="31">
        <f t="shared" si="0"/>
        <v>0.78278000000000003</v>
      </c>
      <c r="I44" s="26"/>
    </row>
    <row r="45" spans="3:16">
      <c r="C45" s="10" t="s">
        <v>3518</v>
      </c>
      <c r="D45" s="10" t="s">
        <v>3797</v>
      </c>
      <c r="E45" s="11">
        <v>0.34620000000000001</v>
      </c>
      <c r="F45" s="29">
        <v>0.23424</v>
      </c>
      <c r="G45" s="31">
        <f t="shared" si="0"/>
        <v>0.58044000000000007</v>
      </c>
      <c r="I45" s="26"/>
    </row>
    <row r="46" spans="3:16">
      <c r="C46" s="12" t="s">
        <v>3518</v>
      </c>
      <c r="D46" s="12" t="s">
        <v>3799</v>
      </c>
      <c r="E46" s="11">
        <v>0.40053</v>
      </c>
      <c r="F46" s="29">
        <v>0.21706</v>
      </c>
      <c r="G46" s="31">
        <f t="shared" si="0"/>
        <v>0.61758999999999997</v>
      </c>
      <c r="I46" s="26"/>
    </row>
    <row r="47" spans="3:16">
      <c r="C47" s="32" t="s">
        <v>3806</v>
      </c>
      <c r="D47" s="32" t="s">
        <v>3852</v>
      </c>
      <c r="E47" s="33">
        <v>0.42102000000000001</v>
      </c>
      <c r="F47" s="34">
        <v>0.22633</v>
      </c>
      <c r="G47" s="35">
        <f t="shared" si="0"/>
        <v>0.64734999999999998</v>
      </c>
      <c r="I47" s="26"/>
    </row>
    <row r="48" spans="3:16" ht="16.5" thickBot="1">
      <c r="C48" s="13" t="s">
        <v>3850</v>
      </c>
      <c r="D48" s="13" t="s">
        <v>3850</v>
      </c>
      <c r="E48" s="14">
        <v>0.5</v>
      </c>
      <c r="F48" s="15">
        <v>0.5</v>
      </c>
      <c r="G48" s="16">
        <f>SUM(E48:F48)</f>
        <v>1</v>
      </c>
      <c r="I48" s="26"/>
    </row>
  </sheetData>
  <mergeCells count="6">
    <mergeCell ref="C3:C4"/>
    <mergeCell ref="D3:D4"/>
    <mergeCell ref="E1:G1"/>
    <mergeCell ref="E3:E4"/>
    <mergeCell ref="F3:F4"/>
    <mergeCell ref="G3:G4"/>
  </mergeCells>
  <phoneticPr fontId="59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33262-27A0-4FAC-A4FF-E5D6EE6AF0A4}">
  <sheetPr>
    <tabColor rgb="FFFF0000"/>
  </sheetPr>
  <dimension ref="D1:P70"/>
  <sheetViews>
    <sheetView showGridLines="0" topLeftCell="B3" zoomScale="130" zoomScaleNormal="130" workbookViewId="0">
      <selection activeCell="D5" sqref="D5"/>
    </sheetView>
  </sheetViews>
  <sheetFormatPr defaultRowHeight="15"/>
  <cols>
    <col min="4" max="4" width="45.7109375" bestFit="1" customWidth="1"/>
    <col min="5" max="5" width="13.42578125" bestFit="1" customWidth="1"/>
    <col min="6" max="6" width="22.42578125" customWidth="1"/>
    <col min="7" max="7" width="27.42578125" bestFit="1" customWidth="1"/>
    <col min="8" max="8" width="27.85546875" bestFit="1" customWidth="1"/>
    <col min="9" max="9" width="25.140625" bestFit="1" customWidth="1"/>
    <col min="10" max="10" width="32.85546875" bestFit="1" customWidth="1"/>
    <col min="11" max="11" width="25" bestFit="1" customWidth="1"/>
    <col min="12" max="12" width="14.42578125" style="2" customWidth="1"/>
    <col min="13" max="13" width="15.42578125" bestFit="1" customWidth="1"/>
    <col min="14" max="14" width="28.7109375" bestFit="1" customWidth="1"/>
    <col min="15" max="15" width="33.42578125" bestFit="1" customWidth="1"/>
    <col min="16" max="16" width="17.7109375" customWidth="1"/>
    <col min="17" max="17" width="10.85546875" bestFit="1" customWidth="1"/>
  </cols>
  <sheetData>
    <row r="1" spans="4:16" hidden="1"/>
    <row r="2" spans="4:16" ht="45" customHeight="1">
      <c r="D2" s="572" t="s">
        <v>6200</v>
      </c>
      <c r="E2" s="572"/>
      <c r="F2" s="572"/>
      <c r="G2" s="572"/>
      <c r="H2" s="572"/>
      <c r="I2" s="572"/>
      <c r="J2" s="572"/>
      <c r="K2" s="572"/>
      <c r="L2" s="572"/>
      <c r="M2" s="572"/>
      <c r="N2" s="572"/>
      <c r="O2" s="572"/>
      <c r="P2" s="572"/>
    </row>
    <row r="3" spans="4:16" ht="15.75" thickBot="1"/>
    <row r="4" spans="4:16">
      <c r="D4" s="108" t="s">
        <v>5947</v>
      </c>
      <c r="E4" s="107" t="s">
        <v>6201</v>
      </c>
      <c r="F4" s="107" t="s">
        <v>6137</v>
      </c>
      <c r="G4" s="107" t="s">
        <v>6204</v>
      </c>
      <c r="H4" s="107" t="s">
        <v>6209</v>
      </c>
      <c r="I4" s="107" t="s">
        <v>6138</v>
      </c>
      <c r="J4" s="107" t="s">
        <v>6136</v>
      </c>
      <c r="K4" s="109" t="s">
        <v>6139</v>
      </c>
      <c r="L4" s="109" t="s">
        <v>6131</v>
      </c>
      <c r="M4" s="109" t="s">
        <v>6140</v>
      </c>
      <c r="N4" s="109" t="s">
        <v>6210</v>
      </c>
      <c r="O4" s="109" t="s">
        <v>6222</v>
      </c>
      <c r="P4" s="109" t="s">
        <v>5973</v>
      </c>
    </row>
    <row r="5" spans="4:16">
      <c r="D5" s="99" t="str">
        <f>CONCATENATE(E5,$D$4,G5,M5,P5)</f>
        <v>InversorPHB0,78Bifasico1S</v>
      </c>
      <c r="E5" s="98" t="s">
        <v>5981</v>
      </c>
      <c r="F5" s="110" t="s">
        <v>6048</v>
      </c>
      <c r="G5" s="90">
        <v>0.78</v>
      </c>
      <c r="H5" s="110" t="s">
        <v>6047</v>
      </c>
      <c r="I5" s="90">
        <v>50</v>
      </c>
      <c r="J5" s="90">
        <v>450</v>
      </c>
      <c r="K5" s="90">
        <v>12.5</v>
      </c>
      <c r="L5" s="91">
        <v>0.97399999999999998</v>
      </c>
      <c r="M5" s="110" t="s">
        <v>5998</v>
      </c>
      <c r="N5" s="90">
        <v>3.5</v>
      </c>
      <c r="O5" s="98" t="s">
        <v>6223</v>
      </c>
      <c r="P5" s="92" t="s">
        <v>5978</v>
      </c>
    </row>
    <row r="6" spans="4:16">
      <c r="D6" s="99" t="str">
        <f t="shared" ref="D6:D13" si="0">CONCATENATE(E6,$D$4,G6,M6,P6)</f>
        <v>InversorPHB1,5Bifasico1S</v>
      </c>
      <c r="E6" s="98" t="s">
        <v>5981</v>
      </c>
      <c r="F6" s="98" t="s">
        <v>6041</v>
      </c>
      <c r="G6" s="3">
        <v>1.5</v>
      </c>
      <c r="H6" s="98" t="s">
        <v>6042</v>
      </c>
      <c r="I6" s="3">
        <v>50</v>
      </c>
      <c r="J6" s="3">
        <v>400</v>
      </c>
      <c r="K6" s="3">
        <v>12.5</v>
      </c>
      <c r="L6" s="93">
        <v>0.97399999999999998</v>
      </c>
      <c r="M6" s="98" t="s">
        <v>5998</v>
      </c>
      <c r="N6" s="98">
        <v>7.2</v>
      </c>
      <c r="O6" s="98" t="s">
        <v>6223</v>
      </c>
      <c r="P6" s="94" t="s">
        <v>5978</v>
      </c>
    </row>
    <row r="7" spans="4:16">
      <c r="D7" s="99" t="str">
        <f t="shared" si="0"/>
        <v>InversorPHB1,8Monofasico1S</v>
      </c>
      <c r="E7" s="98" t="s">
        <v>5981</v>
      </c>
      <c r="F7" s="98" t="s">
        <v>6049</v>
      </c>
      <c r="G7" s="3">
        <v>1.8</v>
      </c>
      <c r="H7" s="98" t="s">
        <v>6042</v>
      </c>
      <c r="I7" s="3">
        <v>50</v>
      </c>
      <c r="J7" s="3">
        <v>400</v>
      </c>
      <c r="K7" s="3">
        <v>13</v>
      </c>
      <c r="L7" s="93">
        <v>0.97399999999999998</v>
      </c>
      <c r="M7" s="98" t="s">
        <v>6051</v>
      </c>
      <c r="N7" s="98">
        <v>14.3</v>
      </c>
      <c r="O7" s="98" t="s">
        <v>6224</v>
      </c>
      <c r="P7" s="94" t="s">
        <v>5978</v>
      </c>
    </row>
    <row r="8" spans="4:16">
      <c r="D8" s="99" t="str">
        <f t="shared" si="0"/>
        <v>InversorPHB2,9Monofasico2S</v>
      </c>
      <c r="E8" s="98" t="s">
        <v>5981</v>
      </c>
      <c r="F8" s="98" t="s">
        <v>6050</v>
      </c>
      <c r="G8" s="3">
        <v>2.9</v>
      </c>
      <c r="H8" s="98" t="s">
        <v>5946</v>
      </c>
      <c r="I8" s="3">
        <v>120</v>
      </c>
      <c r="J8" s="3">
        <v>550</v>
      </c>
      <c r="K8" s="3">
        <v>13</v>
      </c>
      <c r="L8" s="93">
        <v>0.96009999999999995</v>
      </c>
      <c r="M8" s="98" t="s">
        <v>6051</v>
      </c>
      <c r="N8" s="98">
        <v>23.8</v>
      </c>
      <c r="O8" s="98" t="s">
        <v>6224</v>
      </c>
      <c r="P8" s="94" t="s">
        <v>5997</v>
      </c>
    </row>
    <row r="9" spans="4:16">
      <c r="D9" s="99" t="str">
        <f t="shared" si="0"/>
        <v>InversorPHB3Bifasico1S</v>
      </c>
      <c r="E9" s="98" t="s">
        <v>5981</v>
      </c>
      <c r="F9" s="98" t="s">
        <v>5983</v>
      </c>
      <c r="G9" s="3">
        <v>3</v>
      </c>
      <c r="H9" s="98" t="s">
        <v>5945</v>
      </c>
      <c r="I9" s="3">
        <v>80</v>
      </c>
      <c r="J9" s="3">
        <v>450</v>
      </c>
      <c r="K9" s="3">
        <v>15</v>
      </c>
      <c r="L9" s="93">
        <v>0.97499999999999998</v>
      </c>
      <c r="M9" s="98" t="s">
        <v>5998</v>
      </c>
      <c r="N9" s="98">
        <v>13.5</v>
      </c>
      <c r="O9" s="98" t="s">
        <v>6223</v>
      </c>
      <c r="P9" s="94" t="s">
        <v>5978</v>
      </c>
    </row>
    <row r="10" spans="4:16">
      <c r="D10" s="99" t="str">
        <f t="shared" si="0"/>
        <v>InversorPHB5Bifasico2S</v>
      </c>
      <c r="E10" s="98" t="s">
        <v>5981</v>
      </c>
      <c r="F10" s="3" t="s">
        <v>5984</v>
      </c>
      <c r="G10" s="3">
        <v>5</v>
      </c>
      <c r="H10" s="98" t="s">
        <v>5946</v>
      </c>
      <c r="I10" s="3">
        <v>120</v>
      </c>
      <c r="J10" s="3">
        <v>550</v>
      </c>
      <c r="K10" s="3">
        <v>11</v>
      </c>
      <c r="L10" s="93">
        <v>0.97799999999999998</v>
      </c>
      <c r="M10" s="98" t="s">
        <v>5998</v>
      </c>
      <c r="N10" s="98">
        <v>22.8</v>
      </c>
      <c r="O10" s="98" t="s">
        <v>6223</v>
      </c>
      <c r="P10" s="94" t="s">
        <v>5997</v>
      </c>
    </row>
    <row r="11" spans="4:16">
      <c r="D11" s="99" t="str">
        <f t="shared" si="0"/>
        <v>InversorPHB6Bifasico2S</v>
      </c>
      <c r="E11" s="98" t="s">
        <v>5981</v>
      </c>
      <c r="F11" s="98" t="s">
        <v>6052</v>
      </c>
      <c r="G11" s="3">
        <v>6</v>
      </c>
      <c r="H11" s="98" t="s">
        <v>5946</v>
      </c>
      <c r="I11" s="3">
        <v>120</v>
      </c>
      <c r="J11" s="3">
        <v>550</v>
      </c>
      <c r="K11" s="3">
        <v>13</v>
      </c>
      <c r="L11" s="93">
        <v>0.97799999999999998</v>
      </c>
      <c r="M11" s="98" t="s">
        <v>5998</v>
      </c>
      <c r="N11" s="98">
        <v>27.3</v>
      </c>
      <c r="O11" s="98" t="s">
        <v>6223</v>
      </c>
      <c r="P11" s="94" t="s">
        <v>5997</v>
      </c>
    </row>
    <row r="12" spans="4:16">
      <c r="D12" s="99" t="str">
        <f t="shared" si="0"/>
        <v>InversorPHB8,5Bifasico3S</v>
      </c>
      <c r="E12" s="98" t="s">
        <v>5981</v>
      </c>
      <c r="F12" s="98" t="s">
        <v>6054</v>
      </c>
      <c r="G12" s="3">
        <v>8.5</v>
      </c>
      <c r="H12" s="98" t="s">
        <v>6053</v>
      </c>
      <c r="I12" s="3">
        <v>80</v>
      </c>
      <c r="J12" s="3">
        <v>550</v>
      </c>
      <c r="K12" s="3">
        <v>12.5</v>
      </c>
      <c r="L12" s="93">
        <v>0.97699999999999998</v>
      </c>
      <c r="M12" s="98" t="s">
        <v>5998</v>
      </c>
      <c r="N12" s="98">
        <v>42.5</v>
      </c>
      <c r="O12" s="98" t="s">
        <v>6223</v>
      </c>
      <c r="P12" s="94" t="s">
        <v>5980</v>
      </c>
    </row>
    <row r="13" spans="4:16" ht="12.6" customHeight="1">
      <c r="D13" s="99" t="str">
        <f t="shared" si="0"/>
        <v>InversorPHB12Trifasico2S</v>
      </c>
      <c r="E13" s="101" t="s">
        <v>5981</v>
      </c>
      <c r="F13" s="95" t="s">
        <v>6056</v>
      </c>
      <c r="G13" s="95">
        <v>12</v>
      </c>
      <c r="H13" s="95" t="s">
        <v>6055</v>
      </c>
      <c r="I13" s="95">
        <v>180</v>
      </c>
      <c r="J13" s="95">
        <v>650</v>
      </c>
      <c r="K13" s="95">
        <v>22</v>
      </c>
      <c r="L13" s="96">
        <v>0.98599999999999999</v>
      </c>
      <c r="M13" s="101" t="s">
        <v>6037</v>
      </c>
      <c r="N13" s="101">
        <v>31.9</v>
      </c>
      <c r="O13" s="101" t="s">
        <v>6225</v>
      </c>
      <c r="P13" s="97" t="s">
        <v>5997</v>
      </c>
    </row>
    <row r="14" spans="4:16" ht="15.75" thickBot="1"/>
    <row r="15" spans="4:16" ht="26.25">
      <c r="D15" s="113" t="s">
        <v>5979</v>
      </c>
      <c r="E15" s="121" t="s">
        <v>6201</v>
      </c>
      <c r="F15" s="121" t="s">
        <v>6137</v>
      </c>
      <c r="G15" s="111" t="s">
        <v>6204</v>
      </c>
      <c r="H15" s="111" t="s">
        <v>6209</v>
      </c>
      <c r="I15" s="112" t="s">
        <v>6138</v>
      </c>
      <c r="J15" s="112" t="s">
        <v>6136</v>
      </c>
      <c r="K15" s="113" t="s">
        <v>6139</v>
      </c>
      <c r="L15" s="114" t="s">
        <v>5982</v>
      </c>
      <c r="M15" s="115" t="s">
        <v>6140</v>
      </c>
      <c r="N15" s="115" t="s">
        <v>6210</v>
      </c>
      <c r="O15" s="115" t="s">
        <v>6222</v>
      </c>
      <c r="P15" s="115" t="s">
        <v>5973</v>
      </c>
    </row>
    <row r="16" spans="4:16">
      <c r="D16" s="99" t="str">
        <f>CONCATENATE(E16,$D$15,G16,M16,P16)</f>
        <v>InversorFronius3Bifasico2S</v>
      </c>
      <c r="E16" s="98" t="s">
        <v>5981</v>
      </c>
      <c r="F16" s="90" t="s">
        <v>5985</v>
      </c>
      <c r="G16" s="90">
        <v>3</v>
      </c>
      <c r="H16" s="98" t="s">
        <v>6046</v>
      </c>
      <c r="I16" s="90">
        <v>80</v>
      </c>
      <c r="J16" s="90">
        <v>710</v>
      </c>
      <c r="K16" s="90">
        <v>12</v>
      </c>
      <c r="L16" s="91">
        <v>0.98</v>
      </c>
      <c r="M16" s="110" t="s">
        <v>5998</v>
      </c>
      <c r="N16" s="110">
        <v>13</v>
      </c>
      <c r="O16" s="110" t="s">
        <v>6226</v>
      </c>
      <c r="P16" s="92" t="s">
        <v>5997</v>
      </c>
    </row>
    <row r="17" spans="4:16">
      <c r="D17" s="99" t="str">
        <f t="shared" ref="D17:D21" si="1">CONCATENATE(E17,$D$15,G17,M17,P17)</f>
        <v>InversorFronius4Bifasico2S</v>
      </c>
      <c r="E17" s="98" t="s">
        <v>5981</v>
      </c>
      <c r="F17" s="3" t="s">
        <v>5986</v>
      </c>
      <c r="G17" s="3">
        <v>4</v>
      </c>
      <c r="H17" s="98" t="s">
        <v>6045</v>
      </c>
      <c r="I17" s="3">
        <v>80</v>
      </c>
      <c r="J17" s="3">
        <v>710</v>
      </c>
      <c r="K17" s="3">
        <v>12</v>
      </c>
      <c r="L17" s="93">
        <v>0.98099999999999998</v>
      </c>
      <c r="M17" s="98" t="s">
        <v>5998</v>
      </c>
      <c r="N17" s="98">
        <v>17.399999999999999</v>
      </c>
      <c r="O17" s="98"/>
      <c r="P17" s="94" t="s">
        <v>5997</v>
      </c>
    </row>
    <row r="18" spans="4:16">
      <c r="D18" s="99" t="str">
        <f t="shared" si="1"/>
        <v>InversorFronius4,6Bifasico2S</v>
      </c>
      <c r="E18" s="98" t="s">
        <v>5981</v>
      </c>
      <c r="F18" s="3" t="s">
        <v>5987</v>
      </c>
      <c r="G18" s="3">
        <v>4.5999999999999996</v>
      </c>
      <c r="H18" s="98" t="s">
        <v>6044</v>
      </c>
      <c r="I18" s="3">
        <v>80</v>
      </c>
      <c r="J18" s="3">
        <v>710</v>
      </c>
      <c r="K18" s="3">
        <v>12</v>
      </c>
      <c r="L18" s="93">
        <v>0.98099999999999998</v>
      </c>
      <c r="M18" s="98" t="s">
        <v>5998</v>
      </c>
      <c r="N18" s="98">
        <v>20</v>
      </c>
      <c r="O18" s="98"/>
      <c r="P18" s="94" t="s">
        <v>5997</v>
      </c>
    </row>
    <row r="19" spans="4:16">
      <c r="D19" s="99" t="str">
        <f t="shared" si="1"/>
        <v>InversorFronius5Bifasico2S</v>
      </c>
      <c r="E19" s="98" t="s">
        <v>5981</v>
      </c>
      <c r="F19" s="3" t="s">
        <v>5988</v>
      </c>
      <c r="G19" s="3">
        <v>5</v>
      </c>
      <c r="H19" s="98" t="s">
        <v>6044</v>
      </c>
      <c r="I19" s="3">
        <v>80</v>
      </c>
      <c r="J19" s="3">
        <v>710</v>
      </c>
      <c r="K19" s="3">
        <v>12</v>
      </c>
      <c r="L19" s="93">
        <v>0.98099999999999998</v>
      </c>
      <c r="M19" s="98" t="s">
        <v>5998</v>
      </c>
      <c r="N19" s="98">
        <v>21.7</v>
      </c>
      <c r="O19" s="98"/>
      <c r="P19" s="94" t="s">
        <v>5997</v>
      </c>
    </row>
    <row r="20" spans="4:16">
      <c r="D20" s="99" t="str">
        <f t="shared" si="1"/>
        <v>InversorFronius6Bifasico2S</v>
      </c>
      <c r="E20" s="98" t="s">
        <v>5981</v>
      </c>
      <c r="F20" s="3" t="s">
        <v>5989</v>
      </c>
      <c r="G20" s="3">
        <v>6</v>
      </c>
      <c r="H20" s="98" t="s">
        <v>6044</v>
      </c>
      <c r="I20" s="3">
        <v>80</v>
      </c>
      <c r="J20" s="3">
        <v>710</v>
      </c>
      <c r="K20" s="3">
        <v>18</v>
      </c>
      <c r="L20" s="93">
        <v>0.98099999999999998</v>
      </c>
      <c r="M20" s="98" t="s">
        <v>5998</v>
      </c>
      <c r="N20" s="98">
        <v>26.1</v>
      </c>
      <c r="O20" s="98"/>
      <c r="P20" s="94" t="s">
        <v>5997</v>
      </c>
    </row>
    <row r="21" spans="4:16">
      <c r="D21" s="99" t="str">
        <f t="shared" si="1"/>
        <v>InversorFronius8,2Bifasico2S</v>
      </c>
      <c r="E21" s="101" t="s">
        <v>5981</v>
      </c>
      <c r="F21" s="95" t="s">
        <v>5990</v>
      </c>
      <c r="G21" s="95">
        <v>8.1999999999999993</v>
      </c>
      <c r="H21" s="101" t="s">
        <v>6043</v>
      </c>
      <c r="I21" s="95">
        <v>80</v>
      </c>
      <c r="J21" s="95">
        <v>710</v>
      </c>
      <c r="K21" s="95">
        <v>18</v>
      </c>
      <c r="L21" s="96">
        <v>0.98099999999999998</v>
      </c>
      <c r="M21" s="101" t="s">
        <v>5998</v>
      </c>
      <c r="N21" s="101">
        <v>35.700000000000003</v>
      </c>
      <c r="O21" s="101"/>
      <c r="P21" s="97" t="s">
        <v>5997</v>
      </c>
    </row>
    <row r="22" spans="4:16" ht="15.75" thickBot="1"/>
    <row r="23" spans="4:16" ht="27" thickBot="1">
      <c r="D23" s="102" t="s">
        <v>5991</v>
      </c>
      <c r="E23" s="129" t="s">
        <v>6201</v>
      </c>
      <c r="F23" s="129" t="s">
        <v>6137</v>
      </c>
      <c r="G23" s="130" t="s">
        <v>6204</v>
      </c>
      <c r="H23" s="130" t="s">
        <v>6209</v>
      </c>
      <c r="I23" s="131" t="s">
        <v>6138</v>
      </c>
      <c r="J23" s="131" t="s">
        <v>6136</v>
      </c>
      <c r="K23" s="131" t="s">
        <v>6139</v>
      </c>
      <c r="L23" s="130" t="s">
        <v>5982</v>
      </c>
      <c r="M23" s="132" t="s">
        <v>6140</v>
      </c>
      <c r="N23" s="132" t="s">
        <v>6210</v>
      </c>
      <c r="O23" s="132" t="s">
        <v>6222</v>
      </c>
      <c r="P23" s="132" t="s">
        <v>5973</v>
      </c>
    </row>
    <row r="24" spans="4:16">
      <c r="D24" s="99" t="str">
        <f>CONCATENATE(E24,$D$23,G24,M24,P24)</f>
        <v>InversorHuawei2Bifasico2S</v>
      </c>
      <c r="E24" s="98" t="s">
        <v>5981</v>
      </c>
      <c r="F24" s="161" t="s">
        <v>6028</v>
      </c>
      <c r="G24" s="90">
        <v>2</v>
      </c>
      <c r="H24" s="110" t="s">
        <v>6032</v>
      </c>
      <c r="I24" s="90">
        <v>120</v>
      </c>
      <c r="J24" s="90">
        <v>480</v>
      </c>
      <c r="K24" s="90">
        <v>11</v>
      </c>
      <c r="L24" s="91">
        <v>0.9840000000000001</v>
      </c>
      <c r="M24" s="110" t="s">
        <v>5998</v>
      </c>
      <c r="N24" s="110">
        <v>10</v>
      </c>
      <c r="O24" s="110"/>
      <c r="P24" s="92" t="s">
        <v>5997</v>
      </c>
    </row>
    <row r="25" spans="4:16">
      <c r="D25" s="99" t="str">
        <f t="shared" ref="D25:D27" si="2">CONCATENATE(E25,$D$23,G25,M25,P25)</f>
        <v>InversorHuawei3Bifasico2S</v>
      </c>
      <c r="E25" s="98" t="s">
        <v>5981</v>
      </c>
      <c r="F25" s="8" t="s">
        <v>6029</v>
      </c>
      <c r="G25" s="3">
        <v>3</v>
      </c>
      <c r="H25" s="98" t="s">
        <v>6033</v>
      </c>
      <c r="I25" s="3">
        <v>120</v>
      </c>
      <c r="J25" s="3">
        <v>480</v>
      </c>
      <c r="K25" s="3">
        <v>11</v>
      </c>
      <c r="L25" s="93">
        <v>0.98499999999999999</v>
      </c>
      <c r="M25" s="98" t="s">
        <v>5998</v>
      </c>
      <c r="N25" s="98">
        <v>15</v>
      </c>
      <c r="O25" s="98"/>
      <c r="P25" s="94" t="s">
        <v>5997</v>
      </c>
    </row>
    <row r="26" spans="4:16">
      <c r="D26" s="99" t="str">
        <f t="shared" si="2"/>
        <v>InversorHuawei4Bifasico2S</v>
      </c>
      <c r="E26" s="98" t="s">
        <v>5981</v>
      </c>
      <c r="F26" s="8" t="s">
        <v>6030</v>
      </c>
      <c r="G26" s="3">
        <v>4</v>
      </c>
      <c r="H26" s="98" t="s">
        <v>6034</v>
      </c>
      <c r="I26" s="3">
        <v>120</v>
      </c>
      <c r="J26" s="3">
        <v>480</v>
      </c>
      <c r="K26" s="3">
        <v>11</v>
      </c>
      <c r="L26" s="93">
        <v>0.98599999999999999</v>
      </c>
      <c r="M26" s="98" t="s">
        <v>5998</v>
      </c>
      <c r="N26" s="98">
        <v>20</v>
      </c>
      <c r="O26" s="98"/>
      <c r="P26" s="94" t="s">
        <v>5997</v>
      </c>
    </row>
    <row r="27" spans="4:16">
      <c r="D27" s="99" t="str">
        <f t="shared" si="2"/>
        <v>InversorHuawei5Bifasico2S</v>
      </c>
      <c r="E27" s="101" t="s">
        <v>5981</v>
      </c>
      <c r="F27" s="162" t="s">
        <v>6031</v>
      </c>
      <c r="G27" s="95">
        <v>5</v>
      </c>
      <c r="H27" s="101" t="s">
        <v>6035</v>
      </c>
      <c r="I27" s="95">
        <v>120</v>
      </c>
      <c r="J27" s="95">
        <v>480</v>
      </c>
      <c r="K27" s="95">
        <v>11</v>
      </c>
      <c r="L27" s="96">
        <v>0.98599999999999999</v>
      </c>
      <c r="M27" s="101" t="s">
        <v>5998</v>
      </c>
      <c r="N27" s="101">
        <v>25</v>
      </c>
      <c r="O27" s="101"/>
      <c r="P27" s="97" t="s">
        <v>5997</v>
      </c>
    </row>
    <row r="28" spans="4:16" ht="15.75" thickBot="1"/>
    <row r="29" spans="4:16" ht="26.25">
      <c r="D29" s="118" t="s">
        <v>5969</v>
      </c>
      <c r="E29" s="122" t="s">
        <v>6201</v>
      </c>
      <c r="F29" s="122" t="s">
        <v>6137</v>
      </c>
      <c r="G29" s="116" t="s">
        <v>6204</v>
      </c>
      <c r="H29" s="116" t="s">
        <v>6209</v>
      </c>
      <c r="I29" s="117" t="s">
        <v>6138</v>
      </c>
      <c r="J29" s="118" t="s">
        <v>6136</v>
      </c>
      <c r="K29" s="116" t="s">
        <v>6139</v>
      </c>
      <c r="L29" s="119" t="s">
        <v>5982</v>
      </c>
      <c r="M29" s="120" t="s">
        <v>6140</v>
      </c>
      <c r="N29" s="120" t="s">
        <v>6210</v>
      </c>
      <c r="O29" s="120" t="s">
        <v>6222</v>
      </c>
      <c r="P29" s="120" t="s">
        <v>5973</v>
      </c>
    </row>
    <row r="30" spans="4:16">
      <c r="D30" s="99" t="str">
        <f>CONCATENATE(E30,$D$29,G30,M30,P30)</f>
        <v>InversorGrowatt1Bifasico1S</v>
      </c>
      <c r="E30" s="180" t="s">
        <v>5981</v>
      </c>
      <c r="F30" s="90" t="s">
        <v>5992</v>
      </c>
      <c r="G30" s="90">
        <v>1</v>
      </c>
      <c r="H30" s="110" t="s">
        <v>5970</v>
      </c>
      <c r="I30" s="90">
        <v>50</v>
      </c>
      <c r="J30" s="90">
        <v>500</v>
      </c>
      <c r="K30" s="90">
        <v>13</v>
      </c>
      <c r="L30" s="91">
        <v>0.97399999999999998</v>
      </c>
      <c r="M30" s="110" t="s">
        <v>5998</v>
      </c>
      <c r="N30" s="90">
        <v>4.8</v>
      </c>
      <c r="O30" s="90"/>
      <c r="P30" s="92" t="s">
        <v>5978</v>
      </c>
    </row>
    <row r="31" spans="4:16">
      <c r="D31" s="99" t="str">
        <f t="shared" ref="D31:D49" si="3">CONCATENATE(E31,$D$29,G31,M31,P31)</f>
        <v>InversorGrowatt1,5Bifasico1S</v>
      </c>
      <c r="E31" s="181" t="s">
        <v>5981</v>
      </c>
      <c r="F31" s="3" t="s">
        <v>5993</v>
      </c>
      <c r="G31" s="3">
        <v>1.5</v>
      </c>
      <c r="H31" s="98" t="s">
        <v>5970</v>
      </c>
      <c r="I31" s="3">
        <v>50</v>
      </c>
      <c r="J31" s="3">
        <v>500</v>
      </c>
      <c r="K31" s="3">
        <v>13</v>
      </c>
      <c r="L31" s="93">
        <v>0.97399999999999998</v>
      </c>
      <c r="M31" s="98" t="s">
        <v>5998</v>
      </c>
      <c r="N31" s="98">
        <v>7.1</v>
      </c>
      <c r="O31" s="98"/>
      <c r="P31" s="94" t="s">
        <v>5978</v>
      </c>
    </row>
    <row r="32" spans="4:16">
      <c r="D32" s="99" t="str">
        <f t="shared" si="3"/>
        <v>InversorGrowatt2Bifasico1S</v>
      </c>
      <c r="E32" s="181" t="s">
        <v>5981</v>
      </c>
      <c r="F32" s="3" t="s">
        <v>5994</v>
      </c>
      <c r="G32" s="3">
        <v>2</v>
      </c>
      <c r="H32" s="98" t="s">
        <v>5970</v>
      </c>
      <c r="I32" s="3">
        <v>50</v>
      </c>
      <c r="J32" s="3">
        <v>500</v>
      </c>
      <c r="K32" s="3">
        <v>13</v>
      </c>
      <c r="L32" s="93">
        <v>0.97399999999999998</v>
      </c>
      <c r="M32" s="98" t="s">
        <v>5998</v>
      </c>
      <c r="N32" s="98">
        <v>9.5</v>
      </c>
      <c r="O32" s="98"/>
      <c r="P32" s="94" t="s">
        <v>5978</v>
      </c>
    </row>
    <row r="33" spans="4:16">
      <c r="D33" s="99" t="str">
        <f t="shared" si="3"/>
        <v>InversorGrowatt2,5Monofasico1S</v>
      </c>
      <c r="E33" s="181" t="s">
        <v>5981</v>
      </c>
      <c r="F33" s="3" t="s">
        <v>5995</v>
      </c>
      <c r="G33" s="3">
        <v>2.5</v>
      </c>
      <c r="H33" s="98" t="s">
        <v>5971</v>
      </c>
      <c r="I33" s="3">
        <v>80</v>
      </c>
      <c r="J33" s="3">
        <v>550</v>
      </c>
      <c r="K33" s="3">
        <v>13</v>
      </c>
      <c r="L33" s="93">
        <v>0.97599999999999998</v>
      </c>
      <c r="M33" s="98" t="s">
        <v>6051</v>
      </c>
      <c r="N33" s="98">
        <v>11.9</v>
      </c>
      <c r="O33" s="98" t="s">
        <v>6233</v>
      </c>
      <c r="P33" s="94" t="s">
        <v>5978</v>
      </c>
    </row>
    <row r="34" spans="4:16">
      <c r="D34" s="99" t="str">
        <f t="shared" si="3"/>
        <v>InversorGrowatt3Monofasico1S</v>
      </c>
      <c r="E34" s="181" t="s">
        <v>5981</v>
      </c>
      <c r="F34" s="3" t="s">
        <v>5996</v>
      </c>
      <c r="G34" s="3">
        <v>3</v>
      </c>
      <c r="H34" s="98" t="s">
        <v>5971</v>
      </c>
      <c r="I34" s="3">
        <v>80</v>
      </c>
      <c r="J34" s="3">
        <v>550</v>
      </c>
      <c r="K34" s="3">
        <v>13</v>
      </c>
      <c r="L34" s="93">
        <v>0.97599999999999998</v>
      </c>
      <c r="M34" s="98" t="s">
        <v>6051</v>
      </c>
      <c r="N34" s="98">
        <v>14.3</v>
      </c>
      <c r="O34" s="98" t="s">
        <v>6233</v>
      </c>
      <c r="P34" s="94" t="s">
        <v>5978</v>
      </c>
    </row>
    <row r="35" spans="4:16">
      <c r="D35" s="99" t="str">
        <f t="shared" si="3"/>
        <v>InversorGrowatt2,5Monofasico2S</v>
      </c>
      <c r="E35" s="181" t="s">
        <v>5981</v>
      </c>
      <c r="F35" s="3" t="s">
        <v>6002</v>
      </c>
      <c r="G35" s="3">
        <v>2.5</v>
      </c>
      <c r="H35" s="98" t="s">
        <v>6003</v>
      </c>
      <c r="I35" s="3">
        <v>100</v>
      </c>
      <c r="J35" s="3">
        <v>500</v>
      </c>
      <c r="K35" s="3">
        <v>12.5</v>
      </c>
      <c r="L35" s="93">
        <v>0.98199999999999998</v>
      </c>
      <c r="M35" s="98" t="s">
        <v>6051</v>
      </c>
      <c r="N35" s="3">
        <v>11.3</v>
      </c>
      <c r="O35" s="3" t="s">
        <v>6233</v>
      </c>
      <c r="P35" s="94" t="s">
        <v>5997</v>
      </c>
    </row>
    <row r="36" spans="4:16">
      <c r="D36" s="99" t="str">
        <f t="shared" si="3"/>
        <v>InversorGrowatt3Monofasico2S</v>
      </c>
      <c r="E36" s="181" t="s">
        <v>5981</v>
      </c>
      <c r="F36" s="3" t="s">
        <v>6010</v>
      </c>
      <c r="G36" s="3">
        <v>3</v>
      </c>
      <c r="H36" s="98" t="s">
        <v>6003</v>
      </c>
      <c r="I36" s="3">
        <v>100</v>
      </c>
      <c r="J36" s="3">
        <v>500</v>
      </c>
      <c r="K36" s="3">
        <v>12.5</v>
      </c>
      <c r="L36" s="93">
        <v>0.98199999999999998</v>
      </c>
      <c r="M36" s="98" t="s">
        <v>6051</v>
      </c>
      <c r="N36" s="3">
        <v>13.6</v>
      </c>
      <c r="O36" s="3" t="s">
        <v>6233</v>
      </c>
      <c r="P36" s="94" t="s">
        <v>5997</v>
      </c>
    </row>
    <row r="37" spans="4:16">
      <c r="D37" s="99" t="str">
        <f t="shared" si="3"/>
        <v>InversorGrowatt3,6Monofasico2S</v>
      </c>
      <c r="E37" s="181" t="s">
        <v>5981</v>
      </c>
      <c r="F37" s="3" t="s">
        <v>6005</v>
      </c>
      <c r="G37" s="3">
        <v>3.6</v>
      </c>
      <c r="H37" s="98" t="s">
        <v>6003</v>
      </c>
      <c r="I37" s="3">
        <v>100</v>
      </c>
      <c r="J37" s="3">
        <v>500</v>
      </c>
      <c r="K37" s="3">
        <v>12.5</v>
      </c>
      <c r="L37" s="93">
        <v>0.98199999999999998</v>
      </c>
      <c r="M37" s="98" t="s">
        <v>6051</v>
      </c>
      <c r="N37" s="3">
        <v>16</v>
      </c>
      <c r="O37" s="3" t="s">
        <v>6233</v>
      </c>
      <c r="P37" s="94" t="s">
        <v>5997</v>
      </c>
    </row>
    <row r="38" spans="4:16">
      <c r="D38" s="99" t="str">
        <f t="shared" si="3"/>
        <v>InversorGrowatt4,2Monofasico2S</v>
      </c>
      <c r="E38" s="181" t="s">
        <v>5981</v>
      </c>
      <c r="F38" s="3" t="s">
        <v>6006</v>
      </c>
      <c r="G38" s="3">
        <v>4.2</v>
      </c>
      <c r="H38" s="98" t="s">
        <v>6003</v>
      </c>
      <c r="I38" s="3">
        <v>100</v>
      </c>
      <c r="J38" s="3">
        <v>500</v>
      </c>
      <c r="K38" s="3">
        <v>12.5</v>
      </c>
      <c r="L38" s="93">
        <v>0.98399999999999999</v>
      </c>
      <c r="M38" s="98" t="s">
        <v>6051</v>
      </c>
      <c r="N38" s="3">
        <v>19</v>
      </c>
      <c r="O38" s="3" t="s">
        <v>6233</v>
      </c>
      <c r="P38" s="94" t="s">
        <v>5997</v>
      </c>
    </row>
    <row r="39" spans="4:16">
      <c r="D39" s="99" t="str">
        <f t="shared" si="3"/>
        <v>InversorGrowatt4,6Monofasico2S</v>
      </c>
      <c r="E39" s="181" t="s">
        <v>5981</v>
      </c>
      <c r="F39" s="3" t="s">
        <v>6007</v>
      </c>
      <c r="G39" s="3">
        <v>4.5999999999999996</v>
      </c>
      <c r="H39" s="98" t="s">
        <v>6004</v>
      </c>
      <c r="I39" s="3">
        <v>100</v>
      </c>
      <c r="J39" s="3">
        <v>550</v>
      </c>
      <c r="K39" s="3">
        <v>12.5</v>
      </c>
      <c r="L39" s="93">
        <v>0.98399999999999999</v>
      </c>
      <c r="M39" s="98" t="s">
        <v>6051</v>
      </c>
      <c r="N39" s="3">
        <v>20.9</v>
      </c>
      <c r="O39" s="3" t="s">
        <v>6233</v>
      </c>
      <c r="P39" s="94" t="s">
        <v>5997</v>
      </c>
    </row>
    <row r="40" spans="4:16">
      <c r="D40" s="99" t="str">
        <f t="shared" si="3"/>
        <v>InversorGrowatt5Monofasico2S</v>
      </c>
      <c r="E40" s="181" t="s">
        <v>5981</v>
      </c>
      <c r="F40" s="3" t="s">
        <v>6008</v>
      </c>
      <c r="G40" s="3">
        <v>5</v>
      </c>
      <c r="H40" s="98" t="s">
        <v>6004</v>
      </c>
      <c r="I40" s="3">
        <v>100</v>
      </c>
      <c r="J40" s="3">
        <v>550</v>
      </c>
      <c r="K40" s="3">
        <v>12.5</v>
      </c>
      <c r="L40" s="93">
        <v>0.98399999999999999</v>
      </c>
      <c r="M40" s="98" t="s">
        <v>6051</v>
      </c>
      <c r="N40" s="3">
        <v>22.7</v>
      </c>
      <c r="O40" s="3" t="s">
        <v>6233</v>
      </c>
      <c r="P40" s="94" t="s">
        <v>5997</v>
      </c>
    </row>
    <row r="41" spans="4:16">
      <c r="D41" s="99" t="str">
        <f t="shared" si="3"/>
        <v>InversorGrowatt6Monofasico2S</v>
      </c>
      <c r="E41" s="181" t="s">
        <v>5981</v>
      </c>
      <c r="F41" s="3" t="s">
        <v>6009</v>
      </c>
      <c r="G41" s="3">
        <v>6</v>
      </c>
      <c r="H41" s="98" t="s">
        <v>6004</v>
      </c>
      <c r="I41" s="3">
        <v>100</v>
      </c>
      <c r="J41" s="3">
        <v>550</v>
      </c>
      <c r="K41" s="3">
        <v>12.5</v>
      </c>
      <c r="L41" s="93">
        <v>0.98399999999999999</v>
      </c>
      <c r="M41" s="98" t="s">
        <v>6051</v>
      </c>
      <c r="N41" s="3">
        <v>27.2</v>
      </c>
      <c r="O41" s="3" t="s">
        <v>6233</v>
      </c>
      <c r="P41" s="94" t="s">
        <v>5997</v>
      </c>
    </row>
    <row r="42" spans="4:16">
      <c r="D42" s="99" t="str">
        <f t="shared" si="3"/>
        <v>InversorGrowatt7Monofasico2S</v>
      </c>
      <c r="E42" s="181" t="s">
        <v>5981</v>
      </c>
      <c r="F42" s="3" t="s">
        <v>6011</v>
      </c>
      <c r="G42" s="3">
        <v>7</v>
      </c>
      <c r="H42" s="98" t="s">
        <v>6004</v>
      </c>
      <c r="I42" s="3">
        <v>100</v>
      </c>
      <c r="J42" s="3">
        <v>550</v>
      </c>
      <c r="K42" s="3">
        <v>13.5</v>
      </c>
      <c r="L42" s="93">
        <v>0.98099999999999998</v>
      </c>
      <c r="M42" s="98" t="s">
        <v>6051</v>
      </c>
      <c r="N42" s="3">
        <v>33.5</v>
      </c>
      <c r="O42" s="3" t="s">
        <v>6233</v>
      </c>
      <c r="P42" s="94" t="s">
        <v>5997</v>
      </c>
    </row>
    <row r="43" spans="4:16">
      <c r="D43" s="99" t="str">
        <f t="shared" si="3"/>
        <v>InversorGrowatt8Monofasico2S</v>
      </c>
      <c r="E43" s="181" t="s">
        <v>5981</v>
      </c>
      <c r="F43" s="3" t="s">
        <v>6012</v>
      </c>
      <c r="G43" s="3">
        <v>8</v>
      </c>
      <c r="H43" s="98" t="s">
        <v>6004</v>
      </c>
      <c r="I43" s="3">
        <v>100</v>
      </c>
      <c r="J43" s="3">
        <v>550</v>
      </c>
      <c r="K43" s="3">
        <v>13.5</v>
      </c>
      <c r="L43" s="93">
        <v>0.98099999999999998</v>
      </c>
      <c r="M43" s="98" t="s">
        <v>6051</v>
      </c>
      <c r="N43" s="3">
        <v>38.299999999999997</v>
      </c>
      <c r="O43" s="3" t="s">
        <v>6233</v>
      </c>
      <c r="P43" s="94" t="s">
        <v>5997</v>
      </c>
    </row>
    <row r="44" spans="4:16">
      <c r="D44" s="99" t="str">
        <f t="shared" si="3"/>
        <v>InversorGrowatt9Monofasico3S</v>
      </c>
      <c r="E44" s="181" t="s">
        <v>5981</v>
      </c>
      <c r="F44" s="3" t="s">
        <v>6013</v>
      </c>
      <c r="G44" s="3">
        <v>9</v>
      </c>
      <c r="H44" s="98" t="s">
        <v>6004</v>
      </c>
      <c r="I44" s="3">
        <v>100</v>
      </c>
      <c r="J44" s="3">
        <v>550</v>
      </c>
      <c r="K44" s="3">
        <v>13.5</v>
      </c>
      <c r="L44" s="93">
        <v>0.98099999999999998</v>
      </c>
      <c r="M44" s="98" t="s">
        <v>6051</v>
      </c>
      <c r="N44" s="3">
        <v>43</v>
      </c>
      <c r="O44" s="3" t="s">
        <v>6233</v>
      </c>
      <c r="P44" s="94" t="s">
        <v>5980</v>
      </c>
    </row>
    <row r="45" spans="4:16">
      <c r="D45" s="99" t="str">
        <f t="shared" si="3"/>
        <v>InversorGrowatt10Monofasico3S</v>
      </c>
      <c r="E45" s="181" t="s">
        <v>5981</v>
      </c>
      <c r="F45" s="3" t="s">
        <v>6014</v>
      </c>
      <c r="G45" s="3">
        <v>10</v>
      </c>
      <c r="H45" s="98" t="s">
        <v>6004</v>
      </c>
      <c r="I45" s="3">
        <v>100</v>
      </c>
      <c r="J45" s="3">
        <v>550</v>
      </c>
      <c r="K45" s="3">
        <v>13.5</v>
      </c>
      <c r="L45" s="93">
        <v>0.98099999999999998</v>
      </c>
      <c r="M45" s="98" t="s">
        <v>6051</v>
      </c>
      <c r="N45" s="3">
        <v>45.5</v>
      </c>
      <c r="O45" s="3" t="s">
        <v>6233</v>
      </c>
      <c r="P45" s="94" t="s">
        <v>5980</v>
      </c>
    </row>
    <row r="46" spans="4:16">
      <c r="D46" s="99" t="str">
        <f t="shared" si="3"/>
        <v>InversorGrowatt15Trifasico4S</v>
      </c>
      <c r="E46" s="181" t="s">
        <v>5981</v>
      </c>
      <c r="F46" s="3" t="s">
        <v>6279</v>
      </c>
      <c r="G46" s="3">
        <v>15</v>
      </c>
      <c r="H46" s="98" t="s">
        <v>6270</v>
      </c>
      <c r="I46" s="3">
        <v>250</v>
      </c>
      <c r="J46" s="3">
        <v>850</v>
      </c>
      <c r="K46" s="3">
        <v>26</v>
      </c>
      <c r="L46" s="93">
        <v>0.98</v>
      </c>
      <c r="M46" s="98" t="s">
        <v>6037</v>
      </c>
      <c r="N46" s="3">
        <v>43.7</v>
      </c>
      <c r="O46" s="3" t="s">
        <v>6271</v>
      </c>
      <c r="P46" s="94" t="s">
        <v>6211</v>
      </c>
    </row>
    <row r="47" spans="4:16">
      <c r="D47" s="99" t="str">
        <f t="shared" si="3"/>
        <v>InversorGrowatt20Trifasico4S</v>
      </c>
      <c r="E47" s="181" t="s">
        <v>5981</v>
      </c>
      <c r="F47" s="3" t="s">
        <v>6269</v>
      </c>
      <c r="G47" s="3">
        <v>20</v>
      </c>
      <c r="H47" s="98" t="s">
        <v>6270</v>
      </c>
      <c r="I47" s="3">
        <v>250</v>
      </c>
      <c r="J47" s="3">
        <v>850</v>
      </c>
      <c r="K47" s="3">
        <v>26</v>
      </c>
      <c r="L47" s="93">
        <v>0.98</v>
      </c>
      <c r="M47" s="98" t="s">
        <v>6037</v>
      </c>
      <c r="N47" s="3">
        <v>58.3</v>
      </c>
      <c r="O47" s="3" t="s">
        <v>6271</v>
      </c>
      <c r="P47" s="94" t="s">
        <v>6211</v>
      </c>
    </row>
    <row r="48" spans="4:16">
      <c r="D48" s="99" t="str">
        <f t="shared" si="3"/>
        <v>InversorGrowatt36Trifasico3S</v>
      </c>
      <c r="E48" s="181" t="s">
        <v>5981</v>
      </c>
      <c r="F48" s="3" t="s">
        <v>6272</v>
      </c>
      <c r="G48" s="3">
        <v>36</v>
      </c>
      <c r="H48" s="98" t="s">
        <v>6273</v>
      </c>
      <c r="I48" s="3">
        <v>250</v>
      </c>
      <c r="J48" s="3">
        <v>1000</v>
      </c>
      <c r="K48" s="3">
        <v>52</v>
      </c>
      <c r="L48" s="93">
        <v>0.98799999999999999</v>
      </c>
      <c r="M48" s="98" t="s">
        <v>6037</v>
      </c>
      <c r="N48" s="3">
        <v>94.5</v>
      </c>
      <c r="O48" s="3" t="s">
        <v>6271</v>
      </c>
      <c r="P48" s="94" t="s">
        <v>5980</v>
      </c>
    </row>
    <row r="49" spans="4:16">
      <c r="D49" s="179" t="str">
        <f t="shared" si="3"/>
        <v>InversorGrowatt75Trifasico7S</v>
      </c>
      <c r="E49" s="182" t="s">
        <v>5981</v>
      </c>
      <c r="F49" s="95" t="s">
        <v>6275</v>
      </c>
      <c r="G49" s="95">
        <v>75</v>
      </c>
      <c r="H49" s="101" t="s">
        <v>6273</v>
      </c>
      <c r="I49" s="95">
        <v>250</v>
      </c>
      <c r="J49" s="95">
        <v>1000</v>
      </c>
      <c r="K49" s="95">
        <v>26</v>
      </c>
      <c r="L49" s="96">
        <v>0.98799999999999999</v>
      </c>
      <c r="M49" s="101" t="s">
        <v>6037</v>
      </c>
      <c r="N49" s="95">
        <v>120.8</v>
      </c>
      <c r="O49" s="95" t="s">
        <v>6276</v>
      </c>
      <c r="P49" s="97" t="s">
        <v>6277</v>
      </c>
    </row>
    <row r="50" spans="4:16" ht="15.75" thickBot="1"/>
    <row r="51" spans="4:16" ht="26.25">
      <c r="D51" s="123" t="s">
        <v>5931</v>
      </c>
      <c r="E51" s="124" t="s">
        <v>6201</v>
      </c>
      <c r="F51" s="124" t="s">
        <v>6137</v>
      </c>
      <c r="G51" s="125" t="s">
        <v>6204</v>
      </c>
      <c r="H51" s="125" t="s">
        <v>6209</v>
      </c>
      <c r="I51" s="126" t="s">
        <v>6138</v>
      </c>
      <c r="J51" s="123" t="s">
        <v>6136</v>
      </c>
      <c r="K51" s="125" t="s">
        <v>6139</v>
      </c>
      <c r="L51" s="127" t="s">
        <v>5982</v>
      </c>
      <c r="M51" s="128" t="s">
        <v>6140</v>
      </c>
      <c r="N51" s="128" t="s">
        <v>6210</v>
      </c>
      <c r="O51" s="128" t="s">
        <v>6222</v>
      </c>
      <c r="P51" s="128" t="s">
        <v>5973</v>
      </c>
    </row>
    <row r="52" spans="4:16">
      <c r="D52" s="99" t="str">
        <f>CONCATENATE(E52,$D$51,G52,M52,P52)</f>
        <v>InversorCanadian3Bifasico1S</v>
      </c>
      <c r="E52" s="98" t="s">
        <v>5981</v>
      </c>
      <c r="F52" s="90" t="s">
        <v>6019</v>
      </c>
      <c r="G52" s="90">
        <v>3</v>
      </c>
      <c r="H52" s="90" t="s">
        <v>6022</v>
      </c>
      <c r="I52" s="90">
        <v>90</v>
      </c>
      <c r="J52" s="90">
        <v>500</v>
      </c>
      <c r="K52" s="90">
        <v>11</v>
      </c>
      <c r="L52" s="91">
        <v>0.97499999999999998</v>
      </c>
      <c r="M52" s="110" t="s">
        <v>5998</v>
      </c>
      <c r="N52" s="90">
        <v>15.7</v>
      </c>
      <c r="O52" s="90"/>
      <c r="P52" s="92" t="s">
        <v>5978</v>
      </c>
    </row>
    <row r="53" spans="4:16">
      <c r="D53" s="99" t="str">
        <f t="shared" ref="D53:D59" si="4">CONCATENATE(E53,$D$51,G53,M53,P53)</f>
        <v>InversorCanadian4Bifasico2S</v>
      </c>
      <c r="E53" s="98" t="s">
        <v>5981</v>
      </c>
      <c r="F53" s="3" t="s">
        <v>6020</v>
      </c>
      <c r="G53" s="3">
        <v>4</v>
      </c>
      <c r="H53" s="3" t="s">
        <v>6023</v>
      </c>
      <c r="I53" s="3">
        <v>120</v>
      </c>
      <c r="J53" s="3">
        <v>520</v>
      </c>
      <c r="K53" s="3">
        <v>11</v>
      </c>
      <c r="L53" s="93">
        <v>0.98099999999999998</v>
      </c>
      <c r="M53" s="98" t="s">
        <v>5998</v>
      </c>
      <c r="N53" s="3">
        <v>21</v>
      </c>
      <c r="O53" s="3"/>
      <c r="P53" s="94" t="s">
        <v>5997</v>
      </c>
    </row>
    <row r="54" spans="4:16">
      <c r="D54" s="99" t="str">
        <f t="shared" si="4"/>
        <v>InversorCanadian5Bifasico2S</v>
      </c>
      <c r="E54" s="98" t="s">
        <v>5981</v>
      </c>
      <c r="F54" s="3" t="s">
        <v>6021</v>
      </c>
      <c r="G54" s="3">
        <v>5</v>
      </c>
      <c r="H54" s="3" t="s">
        <v>6023</v>
      </c>
      <c r="I54" s="3">
        <v>120</v>
      </c>
      <c r="J54" s="3">
        <v>520</v>
      </c>
      <c r="K54" s="3">
        <v>11</v>
      </c>
      <c r="L54" s="93">
        <v>0.98099999999999998</v>
      </c>
      <c r="M54" s="98" t="s">
        <v>5998</v>
      </c>
      <c r="N54" s="3">
        <v>25</v>
      </c>
      <c r="O54" s="3"/>
      <c r="P54" s="94" t="s">
        <v>5997</v>
      </c>
    </row>
    <row r="55" spans="4:16">
      <c r="D55" s="99" t="str">
        <f t="shared" si="4"/>
        <v>InversorCanadian7Bifasico3S</v>
      </c>
      <c r="E55" s="98" t="s">
        <v>5981</v>
      </c>
      <c r="F55" s="3" t="s">
        <v>6015</v>
      </c>
      <c r="G55" s="3">
        <v>7</v>
      </c>
      <c r="H55" s="98" t="s">
        <v>6018</v>
      </c>
      <c r="I55" s="3">
        <v>120</v>
      </c>
      <c r="J55" s="3">
        <v>500</v>
      </c>
      <c r="K55" s="3">
        <v>10</v>
      </c>
      <c r="L55" s="93">
        <v>0.98099999999999998</v>
      </c>
      <c r="M55" s="98" t="s">
        <v>5998</v>
      </c>
      <c r="N55" s="3">
        <v>33.700000000000003</v>
      </c>
      <c r="O55" s="3"/>
      <c r="P55" s="94" t="s">
        <v>5980</v>
      </c>
    </row>
    <row r="56" spans="4:16">
      <c r="D56" s="99" t="str">
        <f t="shared" si="4"/>
        <v>InversorCanadian8Bifasico3S</v>
      </c>
      <c r="E56" s="98" t="s">
        <v>5981</v>
      </c>
      <c r="F56" s="3" t="s">
        <v>6016</v>
      </c>
      <c r="G56" s="3">
        <v>8</v>
      </c>
      <c r="H56" s="98" t="s">
        <v>6018</v>
      </c>
      <c r="I56" s="3">
        <v>120</v>
      </c>
      <c r="J56" s="3">
        <v>500</v>
      </c>
      <c r="K56" s="3">
        <v>10</v>
      </c>
      <c r="L56" s="93">
        <v>0.98099999999999998</v>
      </c>
      <c r="M56" s="98" t="s">
        <v>5998</v>
      </c>
      <c r="N56" s="98">
        <v>36.6</v>
      </c>
      <c r="O56" s="98"/>
      <c r="P56" s="94" t="s">
        <v>5980</v>
      </c>
    </row>
    <row r="57" spans="4:16">
      <c r="D57" s="99" t="str">
        <f t="shared" si="4"/>
        <v>InversorCanadian9Bifasico3S</v>
      </c>
      <c r="E57" s="98" t="s">
        <v>5981</v>
      </c>
      <c r="F57" s="3" t="s">
        <v>6017</v>
      </c>
      <c r="G57" s="3">
        <v>9</v>
      </c>
      <c r="H57" s="98" t="s">
        <v>6018</v>
      </c>
      <c r="I57" s="3">
        <v>120</v>
      </c>
      <c r="J57" s="3">
        <v>500</v>
      </c>
      <c r="K57" s="3">
        <v>10</v>
      </c>
      <c r="L57" s="93">
        <v>0.98099999999999998</v>
      </c>
      <c r="M57" s="98" t="s">
        <v>5998</v>
      </c>
      <c r="N57" s="98">
        <v>41.3</v>
      </c>
      <c r="O57" s="98"/>
      <c r="P57" s="94" t="s">
        <v>5980</v>
      </c>
    </row>
    <row r="58" spans="4:16">
      <c r="D58" s="99" t="str">
        <f t="shared" si="4"/>
        <v>InversorCanadian15Trifasico 2S</v>
      </c>
      <c r="E58" s="98" t="s">
        <v>5981</v>
      </c>
      <c r="F58" s="98" t="s">
        <v>6026</v>
      </c>
      <c r="G58" s="3">
        <v>15</v>
      </c>
      <c r="H58" s="98" t="s">
        <v>6024</v>
      </c>
      <c r="I58" s="3">
        <v>180</v>
      </c>
      <c r="J58" s="3">
        <v>850</v>
      </c>
      <c r="K58" s="3">
        <v>22</v>
      </c>
      <c r="L58" s="93">
        <v>0.98699999999999999</v>
      </c>
      <c r="M58" s="98" t="s">
        <v>6025</v>
      </c>
      <c r="N58" s="98">
        <v>23.8</v>
      </c>
      <c r="O58" s="98"/>
      <c r="P58" s="94" t="s">
        <v>5997</v>
      </c>
    </row>
    <row r="59" spans="4:16">
      <c r="D59" s="99" t="str">
        <f t="shared" si="4"/>
        <v>InversorCanadian20Trifasico 2S</v>
      </c>
      <c r="E59" s="101" t="s">
        <v>5981</v>
      </c>
      <c r="F59" s="101" t="s">
        <v>6027</v>
      </c>
      <c r="G59" s="95">
        <v>20</v>
      </c>
      <c r="H59" s="101" t="s">
        <v>6024</v>
      </c>
      <c r="I59" s="95">
        <v>180</v>
      </c>
      <c r="J59" s="95">
        <v>850</v>
      </c>
      <c r="K59" s="95">
        <v>22</v>
      </c>
      <c r="L59" s="96">
        <v>0.98699999999999999</v>
      </c>
      <c r="M59" s="101" t="s">
        <v>6025</v>
      </c>
      <c r="N59" s="101">
        <v>31.8</v>
      </c>
      <c r="O59" s="101"/>
      <c r="P59" s="97" t="s">
        <v>5997</v>
      </c>
    </row>
    <row r="61" spans="4:16" ht="15.75" thickBot="1"/>
    <row r="62" spans="4:16" ht="15.75">
      <c r="D62" s="163" t="s">
        <v>6212</v>
      </c>
      <c r="E62" s="164" t="s">
        <v>6201</v>
      </c>
      <c r="F62" s="164" t="s">
        <v>6137</v>
      </c>
      <c r="G62" s="164" t="s">
        <v>6204</v>
      </c>
      <c r="H62" s="164" t="s">
        <v>6209</v>
      </c>
      <c r="I62" s="164" t="s">
        <v>6138</v>
      </c>
      <c r="J62" s="164" t="s">
        <v>6136</v>
      </c>
      <c r="K62" s="164" t="s">
        <v>6139</v>
      </c>
      <c r="L62" s="164" t="s">
        <v>5982</v>
      </c>
      <c r="M62" s="164" t="s">
        <v>6140</v>
      </c>
      <c r="N62" s="164" t="s">
        <v>6210</v>
      </c>
      <c r="O62" s="164" t="s">
        <v>6222</v>
      </c>
      <c r="P62" s="165" t="s">
        <v>5973</v>
      </c>
    </row>
    <row r="63" spans="4:16" ht="15.75" thickBot="1">
      <c r="D63" s="166" t="str">
        <f>CONCATENATE(E63,D62,G63,M63,P63)</f>
        <v>MicroInversorAPSystems1,5Bifasico4S</v>
      </c>
      <c r="E63" s="167" t="s">
        <v>6206</v>
      </c>
      <c r="F63" s="167" t="s">
        <v>6207</v>
      </c>
      <c r="G63" s="168">
        <v>1.5</v>
      </c>
      <c r="H63" s="167" t="s">
        <v>6208</v>
      </c>
      <c r="I63" s="168">
        <v>20</v>
      </c>
      <c r="J63" s="168">
        <v>60</v>
      </c>
      <c r="K63" s="168">
        <v>13.3</v>
      </c>
      <c r="L63" s="169">
        <v>0.995</v>
      </c>
      <c r="M63" s="167" t="s">
        <v>5998</v>
      </c>
      <c r="N63" s="168">
        <v>6.81</v>
      </c>
      <c r="O63" s="168"/>
      <c r="P63" s="170" t="s">
        <v>6211</v>
      </c>
    </row>
    <row r="64" spans="4:16" ht="15.75" thickBot="1"/>
    <row r="65" spans="4:16" ht="15.75">
      <c r="D65" s="173" t="s">
        <v>6217</v>
      </c>
      <c r="E65" s="171" t="s">
        <v>6201</v>
      </c>
      <c r="F65" s="171" t="s">
        <v>6137</v>
      </c>
      <c r="G65" s="171" t="s">
        <v>6204</v>
      </c>
      <c r="H65" s="171" t="s">
        <v>6209</v>
      </c>
      <c r="I65" s="171" t="s">
        <v>6138</v>
      </c>
      <c r="J65" s="171" t="s">
        <v>6136</v>
      </c>
      <c r="K65" s="171" t="s">
        <v>6139</v>
      </c>
      <c r="L65" s="171" t="s">
        <v>5982</v>
      </c>
      <c r="M65" s="171" t="s">
        <v>6140</v>
      </c>
      <c r="N65" s="171" t="s">
        <v>6210</v>
      </c>
      <c r="O65" s="171" t="s">
        <v>6222</v>
      </c>
      <c r="P65" s="172" t="s">
        <v>5973</v>
      </c>
    </row>
    <row r="66" spans="4:16" ht="15.75" thickBot="1">
      <c r="D66" s="166" t="str">
        <f>CONCATENATE(E66,$D$65,G66,M66,P66)</f>
        <v>MicroInversorDeye2Monofasico4S</v>
      </c>
      <c r="E66" s="176" t="s">
        <v>6206</v>
      </c>
      <c r="F66" s="167" t="s">
        <v>6218</v>
      </c>
      <c r="G66" s="168">
        <v>2</v>
      </c>
      <c r="H66" s="167" t="s">
        <v>6219</v>
      </c>
      <c r="I66" s="168">
        <v>20</v>
      </c>
      <c r="J66" s="168">
        <v>60</v>
      </c>
      <c r="K66" s="175">
        <v>13</v>
      </c>
      <c r="L66" s="177">
        <v>0.96499999999999997</v>
      </c>
      <c r="M66" s="167" t="s">
        <v>6051</v>
      </c>
      <c r="N66" s="168">
        <v>9.1</v>
      </c>
      <c r="O66" s="168">
        <v>220</v>
      </c>
      <c r="P66" s="170" t="s">
        <v>6211</v>
      </c>
    </row>
    <row r="67" spans="4:16" ht="15.75" thickBot="1"/>
    <row r="68" spans="4:16" ht="15.75">
      <c r="D68" s="452" t="s">
        <v>6305</v>
      </c>
      <c r="E68" s="453" t="s">
        <v>6201</v>
      </c>
      <c r="F68" s="453" t="s">
        <v>6137</v>
      </c>
      <c r="G68" s="453" t="s">
        <v>6204</v>
      </c>
      <c r="H68" s="453" t="s">
        <v>6209</v>
      </c>
      <c r="I68" s="453" t="s">
        <v>6138</v>
      </c>
      <c r="J68" s="453" t="s">
        <v>6136</v>
      </c>
      <c r="K68" s="453" t="s">
        <v>6139</v>
      </c>
      <c r="L68" s="453" t="s">
        <v>5982</v>
      </c>
      <c r="M68" s="453" t="s">
        <v>6140</v>
      </c>
      <c r="N68" s="453" t="s">
        <v>6210</v>
      </c>
      <c r="O68" s="453" t="s">
        <v>6222</v>
      </c>
      <c r="P68" s="454" t="s">
        <v>5973</v>
      </c>
    </row>
    <row r="69" spans="4:16" ht="15.75" thickBot="1">
      <c r="D69" s="174" t="str">
        <f>CONCATENATE(E69,$D$68,G69,M69,P69)</f>
        <v>MicroInversorHoymiles1,8Bifasico4S</v>
      </c>
      <c r="E69" s="167" t="s">
        <v>6206</v>
      </c>
      <c r="F69" s="167" t="s">
        <v>6308</v>
      </c>
      <c r="G69" s="168">
        <v>1.8</v>
      </c>
      <c r="H69" s="167" t="s">
        <v>6306</v>
      </c>
      <c r="I69" s="168">
        <v>22</v>
      </c>
      <c r="J69" s="168">
        <v>65</v>
      </c>
      <c r="K69" s="168">
        <v>13.3</v>
      </c>
      <c r="L69" s="169">
        <v>0.998</v>
      </c>
      <c r="M69" s="167" t="s">
        <v>5998</v>
      </c>
      <c r="N69" s="168">
        <v>8.18</v>
      </c>
      <c r="O69" s="168">
        <v>220</v>
      </c>
      <c r="P69" s="170" t="s">
        <v>6211</v>
      </c>
    </row>
    <row r="70" spans="4:16" ht="15.75" thickBot="1">
      <c r="D70" s="174" t="str">
        <f>CONCATENATE(E70,$D$68,G70,M70,P70)</f>
        <v>MicroInversorHoymiles2Bifasico4S</v>
      </c>
      <c r="E70" s="167" t="s">
        <v>6206</v>
      </c>
      <c r="F70" s="167" t="s">
        <v>6309</v>
      </c>
      <c r="G70" s="168">
        <v>2</v>
      </c>
      <c r="H70" s="167" t="s">
        <v>6306</v>
      </c>
      <c r="I70" s="168">
        <v>22</v>
      </c>
      <c r="J70" s="168">
        <v>65</v>
      </c>
      <c r="K70" s="168">
        <v>13.3</v>
      </c>
      <c r="L70" s="169">
        <v>0.998</v>
      </c>
      <c r="M70" s="167" t="s">
        <v>5998</v>
      </c>
      <c r="N70" s="168">
        <v>9.09</v>
      </c>
      <c r="O70" s="168">
        <v>220</v>
      </c>
      <c r="P70" s="170" t="s">
        <v>6211</v>
      </c>
    </row>
  </sheetData>
  <mergeCells count="1">
    <mergeCell ref="D2:P2"/>
  </mergeCells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C33BD-53D5-4E7B-BF3B-443819D2C4E4}">
  <sheetPr codeName="Planilha12">
    <tabColor rgb="FFFF0000"/>
  </sheetPr>
  <dimension ref="C1:S49"/>
  <sheetViews>
    <sheetView topLeftCell="A21" zoomScaleNormal="100" workbookViewId="0">
      <selection activeCell="C3" sqref="C3:E48"/>
    </sheetView>
  </sheetViews>
  <sheetFormatPr defaultColWidth="10.7109375" defaultRowHeight="15.75"/>
  <cols>
    <col min="1" max="2" width="10.7109375" style="9"/>
    <col min="3" max="3" width="23.7109375" style="9" customWidth="1"/>
    <col min="4" max="4" width="25.28515625" style="9" customWidth="1"/>
    <col min="5" max="5" width="21.140625" style="9" customWidth="1"/>
    <col min="6" max="6" width="29" style="9" customWidth="1"/>
    <col min="7" max="7" width="16.5703125" style="9" customWidth="1"/>
    <col min="8" max="8" width="15.7109375" style="9" customWidth="1"/>
    <col min="9" max="9" width="16.85546875" style="9" customWidth="1"/>
    <col min="10" max="16384" width="10.7109375" style="9"/>
  </cols>
  <sheetData>
    <row r="1" spans="3:19">
      <c r="E1" s="457"/>
    </row>
    <row r="2" spans="3:19" ht="16.5" thickBot="1"/>
    <row r="3" spans="3:19" ht="16.5" customHeight="1" thickTop="1">
      <c r="C3" s="568" t="s">
        <v>3638</v>
      </c>
      <c r="D3" s="568" t="s">
        <v>3804</v>
      </c>
      <c r="E3" s="568" t="s">
        <v>6319</v>
      </c>
      <c r="F3" s="574"/>
      <c r="G3" s="575"/>
      <c r="H3" s="575"/>
      <c r="I3" s="575"/>
    </row>
    <row r="4" spans="3:19" ht="16.5" thickBot="1">
      <c r="C4" s="569"/>
      <c r="D4" s="569"/>
      <c r="E4" s="569"/>
      <c r="F4" s="574"/>
      <c r="G4" s="575"/>
      <c r="H4" s="575"/>
      <c r="I4" s="575"/>
    </row>
    <row r="5" spans="3:19" ht="16.5" thickTop="1">
      <c r="C5" s="10" t="s">
        <v>74</v>
      </c>
      <c r="D5" s="10" t="s">
        <v>3791</v>
      </c>
      <c r="E5" s="465"/>
      <c r="H5" s="458"/>
      <c r="I5" s="463" t="s">
        <v>6317</v>
      </c>
      <c r="J5" s="463"/>
      <c r="K5" s="463"/>
      <c r="L5" s="463"/>
      <c r="M5" s="463"/>
      <c r="N5" s="463"/>
      <c r="O5" s="463"/>
      <c r="P5" s="463"/>
      <c r="Q5" s="463"/>
      <c r="R5" s="463"/>
      <c r="S5" s="458"/>
    </row>
    <row r="6" spans="3:19">
      <c r="C6" s="12" t="s">
        <v>97</v>
      </c>
      <c r="D6" s="10" t="s">
        <v>3777</v>
      </c>
      <c r="E6" s="465"/>
      <c r="G6" s="26"/>
      <c r="H6" s="459"/>
      <c r="I6" s="463" t="s">
        <v>6318</v>
      </c>
      <c r="J6" s="463"/>
      <c r="K6" s="463"/>
      <c r="L6" s="463"/>
      <c r="M6" s="463"/>
      <c r="N6" s="459"/>
      <c r="O6" s="459"/>
      <c r="P6" s="459"/>
      <c r="Q6" s="463"/>
      <c r="R6" s="463"/>
      <c r="S6" s="458"/>
    </row>
    <row r="7" spans="3:19">
      <c r="C7" s="12" t="s">
        <v>3837</v>
      </c>
      <c r="D7" s="10" t="s">
        <v>3838</v>
      </c>
      <c r="E7" s="465"/>
      <c r="G7" s="26"/>
      <c r="H7" s="459"/>
      <c r="I7" s="459"/>
      <c r="J7" s="459"/>
      <c r="K7" s="459"/>
      <c r="L7" s="459"/>
      <c r="M7" s="459"/>
      <c r="N7" s="459"/>
      <c r="O7" s="459"/>
      <c r="P7" s="459"/>
      <c r="Q7" s="463"/>
      <c r="R7" s="463"/>
      <c r="S7" s="458"/>
    </row>
    <row r="8" spans="3:19" ht="20.25" customHeight="1">
      <c r="C8" s="12" t="s">
        <v>230</v>
      </c>
      <c r="D8" s="12" t="s">
        <v>3775</v>
      </c>
      <c r="E8" s="465"/>
      <c r="G8" s="26"/>
      <c r="H8" s="458"/>
      <c r="I8" s="573" t="s">
        <v>6320</v>
      </c>
      <c r="J8" s="573"/>
      <c r="K8" s="573"/>
      <c r="L8" s="573"/>
      <c r="M8" s="573"/>
      <c r="N8" s="573"/>
      <c r="O8" s="573"/>
      <c r="P8" s="573"/>
      <c r="Q8" s="573"/>
      <c r="R8" s="573"/>
      <c r="S8" s="458"/>
    </row>
    <row r="9" spans="3:19" ht="20.25" customHeight="1">
      <c r="C9" s="12" t="s">
        <v>230</v>
      </c>
      <c r="D9" s="10" t="s">
        <v>3776</v>
      </c>
      <c r="E9" s="465"/>
      <c r="G9" s="26"/>
      <c r="H9" s="458"/>
      <c r="I9" s="573"/>
      <c r="J9" s="573"/>
      <c r="K9" s="573"/>
      <c r="L9" s="573"/>
      <c r="M9" s="573"/>
      <c r="N9" s="573"/>
      <c r="O9" s="573"/>
      <c r="P9" s="573"/>
      <c r="Q9" s="573"/>
      <c r="R9" s="573"/>
      <c r="S9" s="458"/>
    </row>
    <row r="10" spans="3:19" ht="20.25">
      <c r="C10" s="12" t="s">
        <v>296</v>
      </c>
      <c r="D10" s="12" t="s">
        <v>3787</v>
      </c>
      <c r="E10" s="465"/>
      <c r="G10" s="26"/>
      <c r="H10" s="458"/>
      <c r="I10" s="458"/>
      <c r="J10" s="458"/>
      <c r="K10" s="458"/>
      <c r="L10" s="458"/>
      <c r="M10" s="458"/>
      <c r="N10" s="460"/>
      <c r="O10" s="458"/>
      <c r="P10" s="458"/>
      <c r="Q10" s="458"/>
      <c r="R10" s="458"/>
      <c r="S10" s="458"/>
    </row>
    <row r="11" spans="3:19" ht="20.25">
      <c r="C11" s="10" t="s">
        <v>558</v>
      </c>
      <c r="D11" s="10" t="s">
        <v>3793</v>
      </c>
      <c r="E11" s="465"/>
      <c r="G11" s="26"/>
      <c r="H11" s="461"/>
      <c r="I11" s="458"/>
      <c r="J11" s="458"/>
      <c r="K11" s="458"/>
      <c r="L11" s="458"/>
      <c r="M11" s="458"/>
      <c r="N11" s="460"/>
      <c r="O11" s="458"/>
      <c r="P11" s="458"/>
      <c r="Q11" s="458"/>
      <c r="R11" s="458"/>
      <c r="S11" s="458"/>
    </row>
    <row r="12" spans="3:19" ht="20.25">
      <c r="C12" s="12" t="s">
        <v>690</v>
      </c>
      <c r="D12" s="12" t="s">
        <v>3839</v>
      </c>
      <c r="E12" s="465"/>
      <c r="G12" s="26"/>
      <c r="H12" s="458"/>
      <c r="I12" s="458"/>
      <c r="J12" s="458"/>
      <c r="K12" s="458"/>
      <c r="L12" s="458"/>
      <c r="M12" s="458"/>
      <c r="N12" s="460"/>
      <c r="O12" s="458"/>
      <c r="P12" s="458"/>
      <c r="Q12" s="458"/>
      <c r="R12" s="458"/>
      <c r="S12" s="458"/>
    </row>
    <row r="13" spans="3:19" ht="20.25">
      <c r="C13" s="10" t="s">
        <v>690</v>
      </c>
      <c r="D13" s="10" t="s">
        <v>3778</v>
      </c>
      <c r="E13" s="465"/>
      <c r="G13" s="26"/>
      <c r="H13" s="458"/>
      <c r="I13" s="458"/>
      <c r="J13" s="458"/>
      <c r="K13" s="458"/>
      <c r="L13" s="458"/>
      <c r="M13" s="458"/>
      <c r="N13" s="460"/>
      <c r="O13" s="458"/>
      <c r="P13" s="458"/>
      <c r="Q13" s="458"/>
      <c r="R13" s="458"/>
      <c r="S13" s="458"/>
    </row>
    <row r="14" spans="3:19" ht="20.25">
      <c r="C14" s="12" t="s">
        <v>55</v>
      </c>
      <c r="D14" s="12" t="s">
        <v>3790</v>
      </c>
      <c r="E14" s="465"/>
      <c r="G14" s="26"/>
      <c r="H14" s="458"/>
      <c r="I14" s="458"/>
      <c r="J14" s="458"/>
      <c r="K14" s="458"/>
      <c r="L14" s="458"/>
      <c r="M14" s="458"/>
      <c r="N14" s="462"/>
      <c r="O14" s="458"/>
      <c r="P14" s="458"/>
      <c r="Q14" s="458"/>
      <c r="R14" s="458"/>
      <c r="S14" s="458"/>
    </row>
    <row r="15" spans="3:19" ht="20.25">
      <c r="C15" s="12" t="s">
        <v>55</v>
      </c>
      <c r="D15" s="10" t="s">
        <v>3792</v>
      </c>
      <c r="E15" s="465"/>
      <c r="G15" s="26"/>
      <c r="H15" s="458"/>
      <c r="I15" s="458"/>
      <c r="J15" s="458"/>
      <c r="K15" s="458"/>
      <c r="L15" s="458"/>
      <c r="M15" s="458"/>
      <c r="N15" s="460"/>
      <c r="O15" s="458"/>
      <c r="P15" s="458"/>
      <c r="Q15" s="458"/>
      <c r="R15" s="458"/>
      <c r="S15" s="458"/>
    </row>
    <row r="16" spans="3:19" ht="20.25">
      <c r="C16" s="12" t="s">
        <v>3844</v>
      </c>
      <c r="D16" s="10" t="s">
        <v>3845</v>
      </c>
      <c r="E16" s="465"/>
      <c r="G16" s="26"/>
      <c r="H16" s="458"/>
      <c r="I16" s="458"/>
      <c r="J16" s="458"/>
      <c r="K16" s="458"/>
      <c r="L16" s="458"/>
      <c r="M16" s="458"/>
      <c r="N16" s="460"/>
      <c r="O16" s="458"/>
      <c r="P16" s="458"/>
      <c r="Q16" s="458"/>
      <c r="R16" s="458"/>
      <c r="S16" s="458"/>
    </row>
    <row r="17" spans="3:19" ht="20.25">
      <c r="C17" s="12" t="s">
        <v>875</v>
      </c>
      <c r="D17" s="12" t="s">
        <v>3781</v>
      </c>
      <c r="E17" s="465"/>
      <c r="G17" s="26"/>
      <c r="H17" s="458"/>
      <c r="I17" s="458"/>
      <c r="J17" s="458"/>
      <c r="K17" s="458"/>
      <c r="L17" s="458"/>
      <c r="M17" s="458"/>
      <c r="N17" s="460"/>
      <c r="O17" s="458"/>
      <c r="P17" s="458"/>
      <c r="Q17" s="458"/>
      <c r="R17" s="458"/>
      <c r="S17" s="458"/>
    </row>
    <row r="18" spans="3:19" ht="21">
      <c r="C18" s="10" t="s">
        <v>991</v>
      </c>
      <c r="D18" s="10" t="s">
        <v>3795</v>
      </c>
      <c r="E18" s="465"/>
      <c r="G18" s="27"/>
      <c r="H18" s="458"/>
      <c r="I18" s="458"/>
      <c r="J18" s="458"/>
      <c r="K18" s="458"/>
      <c r="L18" s="458"/>
      <c r="M18" s="458"/>
      <c r="N18" s="460"/>
      <c r="O18" s="458"/>
      <c r="P18" s="458"/>
      <c r="Q18" s="458"/>
      <c r="R18" s="458"/>
      <c r="S18" s="458"/>
    </row>
    <row r="19" spans="3:19" ht="21">
      <c r="C19" s="10" t="s">
        <v>1076</v>
      </c>
      <c r="D19" s="10" t="s">
        <v>3846</v>
      </c>
      <c r="E19" s="465"/>
      <c r="G19" s="27"/>
      <c r="H19" s="458"/>
      <c r="I19" s="458"/>
      <c r="J19" s="458"/>
      <c r="K19" s="458"/>
      <c r="L19" s="458"/>
      <c r="M19" s="458"/>
      <c r="N19" s="460"/>
      <c r="O19" s="458"/>
      <c r="P19" s="458"/>
      <c r="Q19" s="458"/>
      <c r="R19" s="458"/>
      <c r="S19" s="458"/>
    </row>
    <row r="20" spans="3:19" ht="20.25">
      <c r="C20" s="12" t="s">
        <v>1126</v>
      </c>
      <c r="D20" s="12" t="s">
        <v>3782</v>
      </c>
      <c r="E20" s="466">
        <f>232.76/1000</f>
        <v>0.23275999999999999</v>
      </c>
      <c r="F20" s="456" t="s">
        <v>6310</v>
      </c>
      <c r="G20" s="26"/>
      <c r="H20" s="458"/>
      <c r="I20" s="458"/>
      <c r="J20" s="458"/>
      <c r="K20" s="458"/>
      <c r="L20" s="458"/>
      <c r="M20" s="458"/>
      <c r="N20" s="460"/>
      <c r="O20" s="458"/>
      <c r="P20" s="458"/>
      <c r="Q20" s="458"/>
      <c r="R20" s="458"/>
      <c r="S20" s="458"/>
    </row>
    <row r="21" spans="3:19" ht="20.25">
      <c r="C21" s="10" t="s">
        <v>1695</v>
      </c>
      <c r="D21" s="10" t="s">
        <v>3779</v>
      </c>
      <c r="E21" s="465"/>
      <c r="G21" s="26"/>
      <c r="H21" s="458"/>
      <c r="I21" s="458"/>
      <c r="J21" s="458"/>
      <c r="K21" s="458"/>
      <c r="L21" s="458"/>
      <c r="M21" s="458"/>
      <c r="N21" s="460"/>
      <c r="O21" s="458"/>
      <c r="P21" s="458"/>
      <c r="Q21" s="458"/>
      <c r="R21" s="458"/>
      <c r="S21" s="458"/>
    </row>
    <row r="22" spans="3:19" ht="20.25">
      <c r="C22" s="12" t="s">
        <v>1789</v>
      </c>
      <c r="D22" s="10" t="s">
        <v>3789</v>
      </c>
      <c r="E22" s="465"/>
      <c r="G22" s="26"/>
      <c r="H22" s="458"/>
      <c r="I22" s="458"/>
      <c r="J22" s="458"/>
      <c r="K22" s="458"/>
      <c r="L22" s="458"/>
      <c r="M22" s="458"/>
      <c r="N22" s="460"/>
      <c r="O22" s="458"/>
      <c r="P22" s="458"/>
      <c r="Q22" s="458"/>
      <c r="R22" s="458"/>
      <c r="S22" s="458"/>
    </row>
    <row r="23" spans="3:19" ht="20.25">
      <c r="C23" s="12" t="s">
        <v>1789</v>
      </c>
      <c r="D23" s="12" t="s">
        <v>3796</v>
      </c>
      <c r="E23" s="465"/>
      <c r="G23" s="26"/>
      <c r="H23" s="458"/>
      <c r="I23" s="458"/>
      <c r="J23" s="458"/>
      <c r="K23" s="458"/>
      <c r="L23" s="458"/>
      <c r="M23" s="458"/>
      <c r="N23" s="460"/>
      <c r="O23" s="458"/>
      <c r="P23" s="458"/>
      <c r="Q23" s="458"/>
      <c r="R23" s="458"/>
      <c r="S23" s="458"/>
    </row>
    <row r="24" spans="3:19" ht="20.25">
      <c r="C24" s="12" t="s">
        <v>1921</v>
      </c>
      <c r="D24" s="10" t="s">
        <v>3847</v>
      </c>
      <c r="E24" s="465">
        <f>143.41/1000</f>
        <v>0.14341000000000001</v>
      </c>
      <c r="F24" s="456" t="s">
        <v>6310</v>
      </c>
      <c r="G24" s="26"/>
      <c r="H24" s="458"/>
      <c r="I24" s="458"/>
      <c r="J24" s="458"/>
      <c r="K24" s="458"/>
      <c r="L24" s="458"/>
      <c r="M24" s="458"/>
      <c r="N24" s="460"/>
      <c r="O24" s="458"/>
      <c r="P24" s="458"/>
      <c r="Q24" s="458"/>
      <c r="R24" s="458"/>
      <c r="S24" s="458"/>
    </row>
    <row r="25" spans="3:19" ht="20.25">
      <c r="C25" s="12" t="s">
        <v>2140</v>
      </c>
      <c r="D25" s="10" t="s">
        <v>3780</v>
      </c>
      <c r="E25" s="465"/>
      <c r="G25" s="26"/>
      <c r="H25" s="458"/>
      <c r="I25" s="458"/>
      <c r="J25" s="458"/>
      <c r="K25" s="458"/>
      <c r="L25" s="458"/>
      <c r="M25" s="458"/>
      <c r="N25" s="460"/>
      <c r="O25" s="458"/>
      <c r="P25" s="458"/>
      <c r="Q25" s="458"/>
      <c r="R25" s="458"/>
      <c r="S25" s="458"/>
    </row>
    <row r="26" spans="3:19" ht="20.25">
      <c r="C26" s="12" t="s">
        <v>2256</v>
      </c>
      <c r="D26" s="12" t="s">
        <v>3783</v>
      </c>
      <c r="E26" s="465"/>
      <c r="G26" s="26"/>
      <c r="N26" s="24"/>
    </row>
    <row r="27" spans="3:19" ht="20.25">
      <c r="C27" s="12" t="s">
        <v>2388</v>
      </c>
      <c r="D27" s="10" t="s">
        <v>3840</v>
      </c>
      <c r="E27" s="465"/>
      <c r="G27" s="26"/>
      <c r="N27" s="24"/>
    </row>
    <row r="28" spans="3:19" ht="20.25">
      <c r="C28" s="10" t="s">
        <v>2388</v>
      </c>
      <c r="D28" s="10" t="s">
        <v>3841</v>
      </c>
      <c r="E28" s="465"/>
      <c r="G28" s="26"/>
      <c r="N28" s="24"/>
    </row>
    <row r="29" spans="3:19" ht="20.25">
      <c r="C29" s="10" t="s">
        <v>2388</v>
      </c>
      <c r="D29" s="10" t="s">
        <v>3842</v>
      </c>
      <c r="E29" s="465"/>
      <c r="G29" s="26"/>
      <c r="N29" s="24"/>
    </row>
    <row r="30" spans="3:19" ht="20.25">
      <c r="C30" s="10" t="s">
        <v>2388</v>
      </c>
      <c r="D30" s="10" t="s">
        <v>3843</v>
      </c>
      <c r="E30" s="465"/>
      <c r="G30" s="26"/>
      <c r="N30" s="24"/>
    </row>
    <row r="31" spans="3:19" ht="20.25">
      <c r="C31" s="10" t="s">
        <v>2388</v>
      </c>
      <c r="D31" s="10" t="s">
        <v>3794</v>
      </c>
      <c r="E31" s="465">
        <f>248.16/1000</f>
        <v>0.24815999999999999</v>
      </c>
      <c r="F31" s="456" t="s">
        <v>6310</v>
      </c>
      <c r="G31" s="26"/>
      <c r="N31" s="24"/>
    </row>
    <row r="32" spans="3:19" ht="20.25">
      <c r="C32" s="10" t="s">
        <v>2388</v>
      </c>
      <c r="D32" s="12" t="s">
        <v>3798</v>
      </c>
      <c r="E32" s="465"/>
      <c r="G32" s="26"/>
      <c r="N32" s="24"/>
    </row>
    <row r="33" spans="3:14" ht="20.25">
      <c r="C33" s="10" t="s">
        <v>2449</v>
      </c>
      <c r="D33" s="10" t="s">
        <v>3788</v>
      </c>
      <c r="E33" s="465"/>
      <c r="G33" s="26"/>
      <c r="N33" s="24"/>
    </row>
    <row r="34" spans="3:14" ht="20.25">
      <c r="C34" s="10" t="s">
        <v>2552</v>
      </c>
      <c r="D34" s="10" t="s">
        <v>3848</v>
      </c>
      <c r="E34" s="465"/>
      <c r="G34" s="26"/>
      <c r="N34" s="24"/>
    </row>
    <row r="35" spans="3:14" ht="20.25">
      <c r="C35" s="10" t="s">
        <v>2893</v>
      </c>
      <c r="D35" s="12" t="s">
        <v>3785</v>
      </c>
      <c r="E35" s="465"/>
      <c r="G35" s="26"/>
      <c r="N35" s="24"/>
    </row>
    <row r="36" spans="3:14" ht="20.25">
      <c r="C36" s="10" t="s">
        <v>2929</v>
      </c>
      <c r="D36" s="10" t="s">
        <v>3786</v>
      </c>
      <c r="E36" s="465"/>
      <c r="G36" s="26"/>
      <c r="N36" s="24"/>
    </row>
    <row r="37" spans="3:14" ht="20.25">
      <c r="C37" s="10" t="s">
        <v>2939</v>
      </c>
      <c r="D37" s="10" t="s">
        <v>3849</v>
      </c>
      <c r="E37" s="465"/>
      <c r="G37" s="26"/>
      <c r="N37" s="24"/>
    </row>
    <row r="38" spans="3:14" ht="20.25">
      <c r="C38" s="10" t="s">
        <v>3122</v>
      </c>
      <c r="D38" s="12" t="s">
        <v>3800</v>
      </c>
      <c r="E38" s="465">
        <f>194.74/1000</f>
        <v>0.19474</v>
      </c>
      <c r="F38" s="456" t="s">
        <v>6310</v>
      </c>
      <c r="G38" s="26"/>
      <c r="N38" s="24"/>
    </row>
    <row r="39" spans="3:14" ht="20.25">
      <c r="C39" s="10" t="s">
        <v>3122</v>
      </c>
      <c r="D39" s="455" t="s">
        <v>3802</v>
      </c>
      <c r="E39" s="465">
        <f>174.21/1000</f>
        <v>0.17421</v>
      </c>
      <c r="F39" s="456" t="s">
        <v>6310</v>
      </c>
      <c r="G39" s="26"/>
      <c r="N39" s="24"/>
    </row>
    <row r="40" spans="3:14">
      <c r="C40" s="10" t="s">
        <v>3122</v>
      </c>
      <c r="D40" s="12" t="s">
        <v>3801</v>
      </c>
      <c r="E40" s="465">
        <f>204.7/1000</f>
        <v>0.20469999999999999</v>
      </c>
      <c r="F40" s="456" t="s">
        <v>6310</v>
      </c>
      <c r="G40" s="26"/>
    </row>
    <row r="41" spans="3:14">
      <c r="C41" s="10" t="s">
        <v>3122</v>
      </c>
      <c r="D41" s="10" t="s">
        <v>3803</v>
      </c>
      <c r="E41" s="465">
        <v>0.22140000000000001</v>
      </c>
      <c r="F41" s="456" t="s">
        <v>6310</v>
      </c>
      <c r="G41" s="26"/>
    </row>
    <row r="42" spans="3:14">
      <c r="C42" s="10" t="s">
        <v>3122</v>
      </c>
      <c r="D42" s="12" t="s">
        <v>3874</v>
      </c>
      <c r="E42" s="465"/>
      <c r="G42" s="26"/>
    </row>
    <row r="43" spans="3:14">
      <c r="C43" s="12" t="s">
        <v>3122</v>
      </c>
      <c r="D43" s="10" t="s">
        <v>3851</v>
      </c>
      <c r="E43" s="465">
        <f>195.62/1000</f>
        <v>0.19562000000000002</v>
      </c>
      <c r="F43" s="456" t="s">
        <v>6310</v>
      </c>
      <c r="G43" s="26"/>
    </row>
    <row r="44" spans="3:14">
      <c r="C44" s="12" t="s">
        <v>3518</v>
      </c>
      <c r="D44" s="12" t="s">
        <v>3784</v>
      </c>
      <c r="E44" s="11"/>
      <c r="G44" s="26"/>
    </row>
    <row r="45" spans="3:14">
      <c r="C45" s="10" t="s">
        <v>3518</v>
      </c>
      <c r="D45" s="10" t="s">
        <v>3797</v>
      </c>
      <c r="E45" s="11"/>
      <c r="G45" s="26"/>
    </row>
    <row r="46" spans="3:14">
      <c r="C46" s="12" t="s">
        <v>3518</v>
      </c>
      <c r="D46" s="12" t="s">
        <v>3799</v>
      </c>
      <c r="E46" s="11"/>
      <c r="G46" s="26"/>
    </row>
    <row r="47" spans="3:14">
      <c r="C47" s="32" t="s">
        <v>3806</v>
      </c>
      <c r="D47" s="32" t="s">
        <v>3852</v>
      </c>
      <c r="E47" s="33"/>
      <c r="G47" s="26"/>
    </row>
    <row r="48" spans="3:14" ht="16.5" thickBot="1">
      <c r="C48" s="13" t="s">
        <v>3850</v>
      </c>
      <c r="D48" s="13" t="s">
        <v>3850</v>
      </c>
      <c r="E48" s="14"/>
      <c r="G48" s="26"/>
    </row>
    <row r="49" spans="4:6">
      <c r="D49" s="469"/>
      <c r="F49" s="467"/>
    </row>
  </sheetData>
  <mergeCells count="5">
    <mergeCell ref="I8:R9"/>
    <mergeCell ref="F3:I4"/>
    <mergeCell ref="C3:C4"/>
    <mergeCell ref="D3:D4"/>
    <mergeCell ref="E3:E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2D42C-DBA8-488F-859A-B50FE8573655}">
  <sheetPr>
    <tabColor rgb="FFFF0000"/>
  </sheetPr>
  <dimension ref="A1:S79"/>
  <sheetViews>
    <sheetView topLeftCell="A23" zoomScale="70" zoomScaleNormal="70" workbookViewId="0">
      <selection activeCell="I55" sqref="I55"/>
    </sheetView>
  </sheetViews>
  <sheetFormatPr defaultRowHeight="15"/>
  <cols>
    <col min="2" max="2" width="30.140625" bestFit="1" customWidth="1"/>
    <col min="3" max="3" width="17.42578125" bestFit="1" customWidth="1"/>
    <col min="4" max="4" width="13.28515625" customWidth="1"/>
    <col min="5" max="5" width="13.7109375" style="2" customWidth="1"/>
    <col min="6" max="6" width="12" style="2" customWidth="1"/>
    <col min="7" max="7" width="12.7109375" style="2" customWidth="1"/>
    <col min="8" max="8" width="11.5703125" style="2" customWidth="1"/>
    <col min="9" max="9" width="12.7109375" style="2" customWidth="1"/>
    <col min="10" max="10" width="14.7109375" customWidth="1"/>
    <col min="11" max="11" width="16.42578125" customWidth="1"/>
    <col min="12" max="12" width="23.28515625" customWidth="1"/>
    <col min="13" max="13" width="19.140625" bestFit="1" customWidth="1"/>
    <col min="14" max="14" width="14.28515625" bestFit="1" customWidth="1"/>
    <col min="15" max="15" width="16.28515625" bestFit="1" customWidth="1"/>
    <col min="16" max="16" width="16.28515625" customWidth="1"/>
    <col min="17" max="18" width="9.140625" style="2"/>
    <col min="19" max="19" width="10" style="2" bestFit="1" customWidth="1"/>
  </cols>
  <sheetData>
    <row r="1" spans="1:19" ht="61.5" hidden="1">
      <c r="M1" s="572"/>
      <c r="N1" s="572"/>
      <c r="O1" s="572"/>
      <c r="P1" s="572"/>
      <c r="Q1" s="572"/>
      <c r="R1" s="572"/>
      <c r="S1" s="572"/>
    </row>
    <row r="2" spans="1:19" ht="61.5">
      <c r="B2" s="572" t="s">
        <v>6117</v>
      </c>
      <c r="C2" s="572"/>
      <c r="D2" s="572"/>
      <c r="E2" s="572"/>
      <c r="F2" s="572"/>
      <c r="G2" s="572"/>
      <c r="H2" s="572"/>
      <c r="I2" s="572"/>
      <c r="J2" s="572"/>
      <c r="K2" s="572"/>
      <c r="L2" s="572"/>
      <c r="M2" s="572"/>
      <c r="N2" s="572"/>
      <c r="O2" s="572"/>
      <c r="P2" s="572"/>
      <c r="Q2" s="572"/>
      <c r="R2" s="572"/>
      <c r="S2" s="572"/>
    </row>
    <row r="3" spans="1:19" ht="13.9" customHeight="1"/>
    <row r="4" spans="1:19" ht="15.75">
      <c r="M4" s="580" t="s">
        <v>5922</v>
      </c>
      <c r="N4" s="581"/>
      <c r="O4" s="581"/>
      <c r="P4" s="581"/>
    </row>
    <row r="5" spans="1:19" ht="15.75">
      <c r="B5" s="142" t="s">
        <v>6036</v>
      </c>
      <c r="C5" s="142" t="s">
        <v>3038</v>
      </c>
      <c r="D5" s="142" t="s">
        <v>6058</v>
      </c>
      <c r="E5" s="142" t="s">
        <v>6059</v>
      </c>
      <c r="F5" s="142" t="s">
        <v>6060</v>
      </c>
      <c r="G5" s="142" t="s">
        <v>6061</v>
      </c>
      <c r="H5" s="142" t="s">
        <v>6062</v>
      </c>
      <c r="I5" s="142" t="s">
        <v>5918</v>
      </c>
      <c r="J5" s="142" t="s">
        <v>5919</v>
      </c>
      <c r="K5" s="142" t="s">
        <v>5920</v>
      </c>
      <c r="L5" s="142" t="s">
        <v>5921</v>
      </c>
      <c r="M5" s="142" t="s">
        <v>6125</v>
      </c>
      <c r="N5" s="150" t="s">
        <v>6123</v>
      </c>
      <c r="O5" s="150" t="s">
        <v>6124</v>
      </c>
      <c r="P5" s="150" t="s">
        <v>6133</v>
      </c>
      <c r="Q5" s="150" t="s">
        <v>6063</v>
      </c>
      <c r="R5" s="150" t="s">
        <v>6064</v>
      </c>
      <c r="S5" s="148" t="s">
        <v>6065</v>
      </c>
    </row>
    <row r="6" spans="1:19">
      <c r="A6" t="s">
        <v>6036</v>
      </c>
      <c r="B6" s="143" t="str">
        <f>CONCATENATE($B$5,D6,Q6,R6)</f>
        <v>Jinko410MonoHalfcell</v>
      </c>
      <c r="C6" s="144" t="s">
        <v>6066</v>
      </c>
      <c r="D6" s="144">
        <v>410</v>
      </c>
      <c r="E6" s="144">
        <v>31.13</v>
      </c>
      <c r="F6" s="144">
        <v>13.17</v>
      </c>
      <c r="G6" s="144">
        <v>37.729999999999997</v>
      </c>
      <c r="H6" s="144">
        <v>13.91</v>
      </c>
      <c r="I6" s="145">
        <v>0.21</v>
      </c>
      <c r="J6" s="145">
        <v>-3.0000000000000001E-3</v>
      </c>
      <c r="K6" s="145">
        <v>-2.5000000000000001E-3</v>
      </c>
      <c r="L6" s="146">
        <v>4.6000000000000001E-4</v>
      </c>
      <c r="M6" s="135">
        <v>1722</v>
      </c>
      <c r="N6" s="135">
        <v>1134</v>
      </c>
      <c r="O6" s="135">
        <v>30</v>
      </c>
      <c r="P6" s="153">
        <f>(M6*N6)/1000000</f>
        <v>1.9527479999999999</v>
      </c>
      <c r="Q6" s="135" t="s">
        <v>6127</v>
      </c>
      <c r="R6" s="135" t="s">
        <v>6129</v>
      </c>
      <c r="S6" s="144">
        <v>22</v>
      </c>
    </row>
    <row r="7" spans="1:19">
      <c r="A7" t="s">
        <v>6036</v>
      </c>
      <c r="B7" s="143" t="str">
        <f t="shared" ref="B7:B17" si="0">CONCATENATE($B$5,D7,Q7,R7)</f>
        <v>Jinko415MonoHalfcell</v>
      </c>
      <c r="C7" s="144" t="s">
        <v>6067</v>
      </c>
      <c r="D7" s="144">
        <v>415</v>
      </c>
      <c r="E7" s="144">
        <v>31.32</v>
      </c>
      <c r="F7" s="144">
        <v>13.25</v>
      </c>
      <c r="G7" s="144">
        <v>37.92</v>
      </c>
      <c r="H7" s="144">
        <v>13.99</v>
      </c>
      <c r="I7" s="145">
        <v>0.21249999999999999</v>
      </c>
      <c r="J7" s="145">
        <v>-3.0000000000000001E-3</v>
      </c>
      <c r="K7" s="145">
        <v>-2.5000000000000001E-3</v>
      </c>
      <c r="L7" s="146">
        <v>4.6000000000000001E-4</v>
      </c>
      <c r="M7" s="135">
        <v>1722</v>
      </c>
      <c r="N7" s="135">
        <v>1134</v>
      </c>
      <c r="O7" s="135">
        <v>30</v>
      </c>
      <c r="P7" s="153">
        <f t="shared" ref="P7:P28" si="1">(M7*N7)/1000000</f>
        <v>1.9527479999999999</v>
      </c>
      <c r="Q7" s="135" t="s">
        <v>6127</v>
      </c>
      <c r="R7" s="135" t="s">
        <v>6129</v>
      </c>
      <c r="S7" s="144">
        <v>22</v>
      </c>
    </row>
    <row r="8" spans="1:19">
      <c r="A8" t="s">
        <v>6036</v>
      </c>
      <c r="B8" s="143" t="str">
        <f t="shared" si="0"/>
        <v>Jinko420MonoHalfcell</v>
      </c>
      <c r="C8" s="144" t="s">
        <v>6068</v>
      </c>
      <c r="D8" s="144">
        <v>420</v>
      </c>
      <c r="E8" s="144">
        <v>31.51</v>
      </c>
      <c r="F8" s="144">
        <v>13.33</v>
      </c>
      <c r="G8" s="144">
        <v>38.11</v>
      </c>
      <c r="H8" s="144">
        <v>14.07</v>
      </c>
      <c r="I8" s="145">
        <v>0.21510000000000001</v>
      </c>
      <c r="J8" s="145">
        <v>-3.0000000000000001E-3</v>
      </c>
      <c r="K8" s="145">
        <v>-2.5000000000000001E-3</v>
      </c>
      <c r="L8" s="146">
        <v>4.6000000000000001E-4</v>
      </c>
      <c r="M8" s="135">
        <v>1722</v>
      </c>
      <c r="N8" s="135">
        <v>1134</v>
      </c>
      <c r="O8" s="135">
        <v>30</v>
      </c>
      <c r="P8" s="153">
        <f t="shared" si="1"/>
        <v>1.9527479999999999</v>
      </c>
      <c r="Q8" s="135" t="s">
        <v>6127</v>
      </c>
      <c r="R8" s="135" t="s">
        <v>6129</v>
      </c>
      <c r="S8" s="144">
        <v>22</v>
      </c>
    </row>
    <row r="9" spans="1:19">
      <c r="A9" t="s">
        <v>6036</v>
      </c>
      <c r="B9" s="143" t="str">
        <f t="shared" si="0"/>
        <v>Jinko425MonoHalfcell</v>
      </c>
      <c r="C9" s="144" t="s">
        <v>6069</v>
      </c>
      <c r="D9" s="144">
        <v>425</v>
      </c>
      <c r="E9" s="141">
        <v>31.7</v>
      </c>
      <c r="F9" s="144">
        <v>13.41</v>
      </c>
      <c r="G9" s="141">
        <v>38.299999999999997</v>
      </c>
      <c r="H9" s="144">
        <v>14.15</v>
      </c>
      <c r="I9" s="145">
        <v>0.21759999999999999</v>
      </c>
      <c r="J9" s="145">
        <v>-3.0000000000000001E-3</v>
      </c>
      <c r="K9" s="145">
        <v>-2.5000000000000001E-3</v>
      </c>
      <c r="L9" s="146">
        <v>4.6000000000000001E-4</v>
      </c>
      <c r="M9" s="135">
        <v>1722</v>
      </c>
      <c r="N9" s="135">
        <v>1134</v>
      </c>
      <c r="O9" s="135">
        <v>30</v>
      </c>
      <c r="P9" s="153">
        <f t="shared" si="1"/>
        <v>1.9527479999999999</v>
      </c>
      <c r="Q9" s="135" t="s">
        <v>6127</v>
      </c>
      <c r="R9" s="135" t="s">
        <v>6129</v>
      </c>
      <c r="S9" s="144">
        <v>22</v>
      </c>
    </row>
    <row r="10" spans="1:19">
      <c r="A10" t="s">
        <v>6036</v>
      </c>
      <c r="B10" s="143" t="str">
        <f t="shared" si="0"/>
        <v>Jinko430MonoHalfcell</v>
      </c>
      <c r="C10" s="144" t="s">
        <v>6070</v>
      </c>
      <c r="D10" s="144">
        <v>430</v>
      </c>
      <c r="E10" s="144">
        <v>31.88</v>
      </c>
      <c r="F10" s="144">
        <v>13.49</v>
      </c>
      <c r="G10" s="144">
        <v>38.49</v>
      </c>
      <c r="H10" s="144">
        <v>14.23</v>
      </c>
      <c r="I10" s="145">
        <v>0.22020000000000001</v>
      </c>
      <c r="J10" s="145">
        <v>-3.0000000000000001E-3</v>
      </c>
      <c r="K10" s="145">
        <v>-2.5000000000000001E-3</v>
      </c>
      <c r="L10" s="146">
        <v>4.6000000000000001E-4</v>
      </c>
      <c r="M10" s="135">
        <v>1722</v>
      </c>
      <c r="N10" s="135">
        <v>1134</v>
      </c>
      <c r="O10" s="135">
        <v>30</v>
      </c>
      <c r="P10" s="153">
        <f t="shared" si="1"/>
        <v>1.9527479999999999</v>
      </c>
      <c r="Q10" s="135" t="s">
        <v>6127</v>
      </c>
      <c r="R10" s="135" t="s">
        <v>6129</v>
      </c>
      <c r="S10" s="144">
        <v>22</v>
      </c>
    </row>
    <row r="11" spans="1:19">
      <c r="A11" t="s">
        <v>6036</v>
      </c>
      <c r="B11" s="143" t="str">
        <f t="shared" si="0"/>
        <v>Jinko450MonoHalfcell</v>
      </c>
      <c r="C11" s="144" t="s">
        <v>6232</v>
      </c>
      <c r="D11" s="144">
        <v>450</v>
      </c>
      <c r="E11" s="144">
        <v>33.909999999999997</v>
      </c>
      <c r="F11" s="144">
        <v>13.27</v>
      </c>
      <c r="G11" s="144">
        <v>41.18</v>
      </c>
      <c r="H11" s="144">
        <v>13.85</v>
      </c>
      <c r="I11" s="145">
        <v>0.20849999999999999</v>
      </c>
      <c r="J11" s="145">
        <v>-3.5000000000000001E-3</v>
      </c>
      <c r="K11" s="145">
        <v>-2.8E-3</v>
      </c>
      <c r="L11" s="146">
        <v>4.8000000000000001E-4</v>
      </c>
      <c r="M11" s="135">
        <v>1903</v>
      </c>
      <c r="N11" s="135">
        <v>1134</v>
      </c>
      <c r="O11" s="135">
        <v>30</v>
      </c>
      <c r="P11" s="153">
        <f t="shared" si="1"/>
        <v>2.1580020000000002</v>
      </c>
      <c r="Q11" s="135" t="s">
        <v>6127</v>
      </c>
      <c r="R11" s="135" t="s">
        <v>6129</v>
      </c>
      <c r="S11" s="144">
        <v>24.2</v>
      </c>
    </row>
    <row r="12" spans="1:19">
      <c r="A12" t="s">
        <v>6036</v>
      </c>
      <c r="B12" s="143" t="str">
        <f t="shared" si="0"/>
        <v>Jinko460MonoHalfcell</v>
      </c>
      <c r="C12" s="144" t="s">
        <v>6071</v>
      </c>
      <c r="D12" s="144">
        <v>460</v>
      </c>
      <c r="E12" s="144">
        <v>34.72</v>
      </c>
      <c r="F12" s="144">
        <v>13.25</v>
      </c>
      <c r="G12" s="144">
        <v>42.05</v>
      </c>
      <c r="H12" s="144">
        <v>13.99</v>
      </c>
      <c r="I12" s="145">
        <v>0.2132</v>
      </c>
      <c r="J12" s="145">
        <v>-3.0000000000000001E-3</v>
      </c>
      <c r="K12" s="145">
        <v>-2.5000000000000001E-3</v>
      </c>
      <c r="L12" s="146">
        <v>4.6000000000000001E-4</v>
      </c>
      <c r="M12" s="135">
        <v>1903</v>
      </c>
      <c r="N12" s="135">
        <v>1134</v>
      </c>
      <c r="O12" s="135">
        <v>30</v>
      </c>
      <c r="P12" s="153">
        <f t="shared" si="1"/>
        <v>2.1580020000000002</v>
      </c>
      <c r="Q12" s="135" t="s">
        <v>6127</v>
      </c>
      <c r="R12" s="135" t="s">
        <v>6129</v>
      </c>
      <c r="S12" s="144">
        <v>24.2</v>
      </c>
    </row>
    <row r="13" spans="1:19">
      <c r="A13" t="s">
        <v>6036</v>
      </c>
      <c r="B13" s="143" t="str">
        <f t="shared" si="0"/>
        <v>Jinko465MonoHalfcell</v>
      </c>
      <c r="C13" s="144" t="s">
        <v>6072</v>
      </c>
      <c r="D13" s="144">
        <v>465</v>
      </c>
      <c r="E13" s="144">
        <v>34.89</v>
      </c>
      <c r="F13" s="144">
        <v>13.33</v>
      </c>
      <c r="G13" s="144">
        <v>42.22</v>
      </c>
      <c r="H13" s="144">
        <v>14.07</v>
      </c>
      <c r="I13" s="145">
        <v>0.2155</v>
      </c>
      <c r="J13" s="145">
        <v>-3.0000000000000001E-3</v>
      </c>
      <c r="K13" s="145">
        <v>-2.5000000000000001E-3</v>
      </c>
      <c r="L13" s="146">
        <v>4.6000000000000001E-4</v>
      </c>
      <c r="M13" s="135">
        <v>1903</v>
      </c>
      <c r="N13" s="135">
        <v>1134</v>
      </c>
      <c r="O13" s="135">
        <v>30</v>
      </c>
      <c r="P13" s="153">
        <f t="shared" si="1"/>
        <v>2.1580020000000002</v>
      </c>
      <c r="Q13" s="135" t="s">
        <v>6127</v>
      </c>
      <c r="R13" s="135" t="s">
        <v>6129</v>
      </c>
      <c r="S13" s="144">
        <v>24.2</v>
      </c>
    </row>
    <row r="14" spans="1:19">
      <c r="A14" t="s">
        <v>6036</v>
      </c>
      <c r="B14" s="143" t="str">
        <f t="shared" si="0"/>
        <v>Jinko470MonoHalfcell</v>
      </c>
      <c r="C14" s="144" t="s">
        <v>6073</v>
      </c>
      <c r="D14" s="144">
        <v>470</v>
      </c>
      <c r="E14" s="144">
        <v>35.049999999999997</v>
      </c>
      <c r="F14" s="144">
        <v>13.41</v>
      </c>
      <c r="G14" s="144">
        <v>42.38</v>
      </c>
      <c r="H14" s="144">
        <v>14.15</v>
      </c>
      <c r="I14" s="145">
        <v>0.21779999999999999</v>
      </c>
      <c r="J14" s="145">
        <v>-3.0000000000000001E-3</v>
      </c>
      <c r="K14" s="145">
        <v>-2.5000000000000001E-3</v>
      </c>
      <c r="L14" s="146">
        <v>4.6000000000000001E-4</v>
      </c>
      <c r="M14" s="135">
        <v>1903</v>
      </c>
      <c r="N14" s="135">
        <v>1134</v>
      </c>
      <c r="O14" s="135">
        <v>30</v>
      </c>
      <c r="P14" s="153">
        <f t="shared" si="1"/>
        <v>2.1580020000000002</v>
      </c>
      <c r="Q14" s="135" t="s">
        <v>6127</v>
      </c>
      <c r="R14" s="135" t="s">
        <v>6129</v>
      </c>
      <c r="S14" s="144">
        <v>24.2</v>
      </c>
    </row>
    <row r="15" spans="1:19">
      <c r="A15" t="s">
        <v>6036</v>
      </c>
      <c r="B15" s="143" t="str">
        <f t="shared" si="0"/>
        <v>Jinko475MonoHalfcell</v>
      </c>
      <c r="C15" s="144" t="s">
        <v>6074</v>
      </c>
      <c r="D15" s="144">
        <v>475</v>
      </c>
      <c r="E15" s="144">
        <v>35.21</v>
      </c>
      <c r="F15" s="144">
        <v>13.49</v>
      </c>
      <c r="G15" s="144">
        <v>42.54</v>
      </c>
      <c r="H15" s="144">
        <v>14.23</v>
      </c>
      <c r="I15" s="145">
        <v>0.22009999999999999</v>
      </c>
      <c r="J15" s="145">
        <v>-3.0000000000000001E-3</v>
      </c>
      <c r="K15" s="145">
        <v>-2.5000000000000001E-3</v>
      </c>
      <c r="L15" s="146">
        <v>4.6000000000000001E-4</v>
      </c>
      <c r="M15" s="135">
        <v>1903</v>
      </c>
      <c r="N15" s="135">
        <v>1134</v>
      </c>
      <c r="O15" s="135">
        <v>30</v>
      </c>
      <c r="P15" s="153">
        <f t="shared" si="1"/>
        <v>2.1580020000000002</v>
      </c>
      <c r="Q15" s="135" t="s">
        <v>6127</v>
      </c>
      <c r="R15" s="135" t="s">
        <v>6129</v>
      </c>
      <c r="S15" s="144">
        <v>24.2</v>
      </c>
    </row>
    <row r="16" spans="1:19">
      <c r="A16" t="s">
        <v>6036</v>
      </c>
      <c r="B16" s="143" t="str">
        <f t="shared" si="0"/>
        <v>Jinko480MonoHalfcell</v>
      </c>
      <c r="C16" s="144" t="s">
        <v>6075</v>
      </c>
      <c r="D16" s="144">
        <v>480</v>
      </c>
      <c r="E16" s="144">
        <v>35.380000000000003</v>
      </c>
      <c r="F16" s="144">
        <v>13.57</v>
      </c>
      <c r="G16" s="144">
        <v>42.71</v>
      </c>
      <c r="H16" s="144">
        <v>14.31</v>
      </c>
      <c r="I16" s="145">
        <v>0.22239999999999999</v>
      </c>
      <c r="J16" s="145">
        <v>-3.0000000000000001E-3</v>
      </c>
      <c r="K16" s="145">
        <v>-2.5000000000000001E-3</v>
      </c>
      <c r="L16" s="146">
        <v>4.6000000000000001E-4</v>
      </c>
      <c r="M16" s="135">
        <v>1903</v>
      </c>
      <c r="N16" s="135">
        <v>1134</v>
      </c>
      <c r="O16" s="135">
        <v>30</v>
      </c>
      <c r="P16" s="153">
        <f t="shared" si="1"/>
        <v>2.1580020000000002</v>
      </c>
      <c r="Q16" s="135" t="s">
        <v>6127</v>
      </c>
      <c r="R16" s="135" t="s">
        <v>6129</v>
      </c>
      <c r="S16" s="144">
        <v>24.2</v>
      </c>
    </row>
    <row r="17" spans="1:19">
      <c r="A17" t="s">
        <v>6036</v>
      </c>
      <c r="B17" s="143" t="str">
        <f t="shared" si="0"/>
        <v>Jinko540MonoHalfcell</v>
      </c>
      <c r="C17" s="144" t="s">
        <v>6234</v>
      </c>
      <c r="D17" s="144">
        <v>540</v>
      </c>
      <c r="E17" s="144">
        <v>40.700000000000003</v>
      </c>
      <c r="F17" s="144">
        <v>13.27</v>
      </c>
      <c r="G17" s="144">
        <v>49.42</v>
      </c>
      <c r="H17" s="144">
        <v>13.85</v>
      </c>
      <c r="I17" s="145">
        <v>0.2094</v>
      </c>
      <c r="J17" s="145">
        <v>-3.5000000000000001E-3</v>
      </c>
      <c r="K17" s="145">
        <v>-2.8E-3</v>
      </c>
      <c r="L17" s="146">
        <v>4.8000000000000001E-4</v>
      </c>
      <c r="M17" s="135">
        <v>2274</v>
      </c>
      <c r="N17" s="135">
        <v>1134</v>
      </c>
      <c r="O17" s="135">
        <v>35</v>
      </c>
      <c r="P17" s="153">
        <f t="shared" si="1"/>
        <v>2.578716</v>
      </c>
      <c r="Q17" s="135" t="s">
        <v>6127</v>
      </c>
      <c r="R17" s="135" t="s">
        <v>6129</v>
      </c>
      <c r="S17" s="144">
        <v>28.9</v>
      </c>
    </row>
    <row r="18" spans="1:19">
      <c r="A18" t="s">
        <v>6036</v>
      </c>
      <c r="B18" s="143" t="str">
        <f>CONCATENATE($B$5,D18,Q18,R18)</f>
        <v>Jinko550MonoHalfcell</v>
      </c>
      <c r="C18" s="135" t="s">
        <v>6303</v>
      </c>
      <c r="D18" s="144">
        <v>550</v>
      </c>
      <c r="E18" s="144">
        <v>40.9</v>
      </c>
      <c r="F18" s="144">
        <v>13.45</v>
      </c>
      <c r="G18" s="144">
        <v>49.62</v>
      </c>
      <c r="H18" s="144">
        <v>14.03</v>
      </c>
      <c r="I18" s="145">
        <v>0.21329999999999999</v>
      </c>
      <c r="J18" s="145">
        <v>-3.5000000000000001E-3</v>
      </c>
      <c r="K18" s="145">
        <v>-2.8E-3</v>
      </c>
      <c r="L18" s="146">
        <v>4.8000000000000001E-4</v>
      </c>
      <c r="M18" s="135">
        <v>2274</v>
      </c>
      <c r="N18" s="135">
        <v>1134</v>
      </c>
      <c r="O18" s="135">
        <v>35</v>
      </c>
      <c r="P18" s="153">
        <f t="shared" si="1"/>
        <v>2.578716</v>
      </c>
      <c r="Q18" s="135" t="s">
        <v>6127</v>
      </c>
      <c r="R18" s="135" t="s">
        <v>6129</v>
      </c>
      <c r="S18" s="144">
        <v>28</v>
      </c>
    </row>
    <row r="19" spans="1:19">
      <c r="A19" t="s">
        <v>6036</v>
      </c>
      <c r="B19" s="143" t="str">
        <f>CONCATENATE($B$5,D19,Q19,R19)</f>
        <v>Jinko555MonoHalfcell</v>
      </c>
      <c r="C19" s="144" t="s">
        <v>6076</v>
      </c>
      <c r="D19" s="144">
        <v>555</v>
      </c>
      <c r="E19" s="144">
        <v>41.64</v>
      </c>
      <c r="F19" s="144">
        <v>13.33</v>
      </c>
      <c r="G19" s="144">
        <v>50.34</v>
      </c>
      <c r="H19" s="144">
        <v>14.07</v>
      </c>
      <c r="I19" s="145">
        <v>0.21479999999999999</v>
      </c>
      <c r="J19" s="145">
        <v>-3.0000000000000001E-3</v>
      </c>
      <c r="K19" s="145">
        <v>-2.5000000000000001E-3</v>
      </c>
      <c r="L19" s="146">
        <v>4.6000000000000001E-4</v>
      </c>
      <c r="M19" s="135">
        <v>2278</v>
      </c>
      <c r="N19" s="135">
        <v>1134</v>
      </c>
      <c r="O19" s="135">
        <v>35</v>
      </c>
      <c r="P19" s="153">
        <f t="shared" si="1"/>
        <v>2.5832519999999999</v>
      </c>
      <c r="Q19" s="135" t="s">
        <v>6127</v>
      </c>
      <c r="R19" s="135" t="s">
        <v>6129</v>
      </c>
      <c r="S19" s="144">
        <v>28</v>
      </c>
    </row>
    <row r="20" spans="1:19">
      <c r="A20" t="s">
        <v>6036</v>
      </c>
      <c r="B20" s="143" t="str">
        <f t="shared" ref="B20:B28" si="2">CONCATENATE($B$5,D20,Q20,R20)</f>
        <v>Jinko560MonoHalfcell</v>
      </c>
      <c r="C20" s="144" t="s">
        <v>6077</v>
      </c>
      <c r="D20" s="144">
        <v>560</v>
      </c>
      <c r="E20" s="144">
        <v>41.77</v>
      </c>
      <c r="F20" s="144">
        <v>13.41</v>
      </c>
      <c r="G20" s="144">
        <v>50.47</v>
      </c>
      <c r="H20" s="144">
        <v>14.15</v>
      </c>
      <c r="I20" s="145">
        <v>0.21679999999999999</v>
      </c>
      <c r="J20" s="145">
        <v>-3.0000000000000001E-3</v>
      </c>
      <c r="K20" s="145">
        <v>-2.5000000000000001E-3</v>
      </c>
      <c r="L20" s="146">
        <v>4.6000000000000001E-4</v>
      </c>
      <c r="M20" s="135">
        <v>2278</v>
      </c>
      <c r="N20" s="135">
        <v>1134</v>
      </c>
      <c r="O20" s="135">
        <v>35</v>
      </c>
      <c r="P20" s="153">
        <f t="shared" si="1"/>
        <v>2.5832519999999999</v>
      </c>
      <c r="Q20" s="135" t="s">
        <v>6127</v>
      </c>
      <c r="R20" s="135" t="s">
        <v>6129</v>
      </c>
      <c r="S20" s="144">
        <v>28</v>
      </c>
    </row>
    <row r="21" spans="1:19">
      <c r="A21" t="s">
        <v>6036</v>
      </c>
      <c r="B21" s="143" t="str">
        <f t="shared" si="2"/>
        <v>Jinko565MonoHalfcell</v>
      </c>
      <c r="C21" s="144" t="s">
        <v>6078</v>
      </c>
      <c r="D21" s="144">
        <v>565</v>
      </c>
      <c r="E21" s="144">
        <v>41.92</v>
      </c>
      <c r="F21" s="144">
        <v>13.48</v>
      </c>
      <c r="G21" s="141">
        <v>50.6</v>
      </c>
      <c r="H21" s="144">
        <v>14.23</v>
      </c>
      <c r="I21" s="145">
        <v>0.21870000000000001</v>
      </c>
      <c r="J21" s="145">
        <v>-3.0000000000000001E-3</v>
      </c>
      <c r="K21" s="145">
        <v>-2.5000000000000001E-3</v>
      </c>
      <c r="L21" s="146">
        <v>4.6000000000000001E-4</v>
      </c>
      <c r="M21" s="135">
        <v>2278</v>
      </c>
      <c r="N21" s="135">
        <v>1134</v>
      </c>
      <c r="O21" s="135">
        <v>35</v>
      </c>
      <c r="P21" s="153">
        <f t="shared" si="1"/>
        <v>2.5832519999999999</v>
      </c>
      <c r="Q21" s="135" t="s">
        <v>6127</v>
      </c>
      <c r="R21" s="135" t="s">
        <v>6129</v>
      </c>
      <c r="S21" s="144">
        <v>28</v>
      </c>
    </row>
    <row r="22" spans="1:19">
      <c r="A22" t="s">
        <v>6036</v>
      </c>
      <c r="B22" s="143" t="str">
        <f t="shared" si="2"/>
        <v>Jinko570MonoHalfcell</v>
      </c>
      <c r="C22" s="144" t="s">
        <v>6079</v>
      </c>
      <c r="D22" s="144">
        <v>570</v>
      </c>
      <c r="E22" s="144">
        <v>42.07</v>
      </c>
      <c r="F22" s="144">
        <v>13.55</v>
      </c>
      <c r="G22" s="144">
        <v>50.74</v>
      </c>
      <c r="H22" s="144">
        <v>14.31</v>
      </c>
      <c r="I22" s="145">
        <v>0.22070000000000001</v>
      </c>
      <c r="J22" s="145">
        <v>-3.0000000000000001E-3</v>
      </c>
      <c r="K22" s="145">
        <v>-2.5000000000000001E-3</v>
      </c>
      <c r="L22" s="146">
        <v>4.6000000000000001E-4</v>
      </c>
      <c r="M22" s="135">
        <v>2278</v>
      </c>
      <c r="N22" s="135">
        <v>1134</v>
      </c>
      <c r="O22" s="135">
        <v>35</v>
      </c>
      <c r="P22" s="153">
        <f t="shared" si="1"/>
        <v>2.5832519999999999</v>
      </c>
      <c r="Q22" s="135" t="s">
        <v>6127</v>
      </c>
      <c r="R22" s="135" t="s">
        <v>6129</v>
      </c>
      <c r="S22" s="144">
        <v>28</v>
      </c>
    </row>
    <row r="23" spans="1:19">
      <c r="A23" t="s">
        <v>6036</v>
      </c>
      <c r="B23" s="143" t="str">
        <f t="shared" si="2"/>
        <v>Jinko575MonoHalfcell</v>
      </c>
      <c r="C23" s="144" t="s">
        <v>6080</v>
      </c>
      <c r="D23" s="144">
        <v>575</v>
      </c>
      <c r="E23" s="144">
        <v>42.22</v>
      </c>
      <c r="F23" s="144">
        <v>13.62</v>
      </c>
      <c r="G23" s="144">
        <v>50.88</v>
      </c>
      <c r="H23" s="144">
        <v>14.39</v>
      </c>
      <c r="I23" s="145">
        <v>0.22259999999999999</v>
      </c>
      <c r="J23" s="145">
        <v>-3.0000000000000001E-3</v>
      </c>
      <c r="K23" s="145">
        <v>-2.5000000000000001E-3</v>
      </c>
      <c r="L23" s="146">
        <v>4.6000000000000001E-4</v>
      </c>
      <c r="M23" s="135">
        <v>2278</v>
      </c>
      <c r="N23" s="135">
        <v>1134</v>
      </c>
      <c r="O23" s="135">
        <v>35</v>
      </c>
      <c r="P23" s="153">
        <f t="shared" si="1"/>
        <v>2.5832519999999999</v>
      </c>
      <c r="Q23" s="135" t="s">
        <v>6127</v>
      </c>
      <c r="R23" s="135" t="s">
        <v>6129</v>
      </c>
      <c r="S23" s="144">
        <v>28</v>
      </c>
    </row>
    <row r="24" spans="1:19">
      <c r="A24" t="s">
        <v>6036</v>
      </c>
      <c r="B24" s="143" t="str">
        <f t="shared" si="2"/>
        <v>Jinko595MonoHalfcell</v>
      </c>
      <c r="C24" s="135" t="s">
        <v>6095</v>
      </c>
      <c r="D24" s="144">
        <v>595</v>
      </c>
      <c r="E24" s="144">
        <v>45.29</v>
      </c>
      <c r="F24" s="144">
        <v>13.14</v>
      </c>
      <c r="G24" s="141">
        <v>54.8</v>
      </c>
      <c r="H24" s="144">
        <v>13.9</v>
      </c>
      <c r="I24" s="145">
        <v>0.21290000000000001</v>
      </c>
      <c r="J24" s="145">
        <v>-3.0000000000000001E-3</v>
      </c>
      <c r="K24" s="145">
        <v>-2.5000000000000001E-3</v>
      </c>
      <c r="L24" s="146">
        <v>4.6000000000000001E-4</v>
      </c>
      <c r="M24" s="135">
        <v>2465</v>
      </c>
      <c r="N24" s="135">
        <v>1134</v>
      </c>
      <c r="O24" s="135">
        <v>35</v>
      </c>
      <c r="P24" s="153">
        <f t="shared" si="1"/>
        <v>2.7953100000000002</v>
      </c>
      <c r="Q24" s="135" t="s">
        <v>6127</v>
      </c>
      <c r="R24" s="135" t="s">
        <v>6129</v>
      </c>
      <c r="S24" s="144">
        <v>30.6</v>
      </c>
    </row>
    <row r="25" spans="1:19">
      <c r="A25" t="s">
        <v>6036</v>
      </c>
      <c r="B25" s="143" t="str">
        <f t="shared" si="2"/>
        <v>Jinko600MonoHalfcell</v>
      </c>
      <c r="C25" s="135" t="s">
        <v>6096</v>
      </c>
      <c r="D25" s="144">
        <v>600</v>
      </c>
      <c r="E25" s="144">
        <v>45.39</v>
      </c>
      <c r="F25" s="144">
        <v>13.22</v>
      </c>
      <c r="G25" s="144">
        <v>54.95</v>
      </c>
      <c r="H25" s="144">
        <v>13.97</v>
      </c>
      <c r="I25" s="145">
        <v>0.21460000000000001</v>
      </c>
      <c r="J25" s="145">
        <v>-3.0000000000000001E-3</v>
      </c>
      <c r="K25" s="145">
        <v>-2.5000000000000001E-3</v>
      </c>
      <c r="L25" s="146">
        <v>4.6000000000000001E-4</v>
      </c>
      <c r="M25" s="135">
        <v>2465</v>
      </c>
      <c r="N25" s="135">
        <v>1134</v>
      </c>
      <c r="O25" s="135">
        <v>35</v>
      </c>
      <c r="P25" s="153">
        <f t="shared" si="1"/>
        <v>2.7953100000000002</v>
      </c>
      <c r="Q25" s="135" t="s">
        <v>6127</v>
      </c>
      <c r="R25" s="135" t="s">
        <v>6129</v>
      </c>
      <c r="S25" s="144">
        <v>30.6</v>
      </c>
    </row>
    <row r="26" spans="1:19">
      <c r="A26" t="s">
        <v>6036</v>
      </c>
      <c r="B26" s="143" t="str">
        <f t="shared" si="2"/>
        <v>Jinko605MonoHalfcell</v>
      </c>
      <c r="C26" s="135" t="s">
        <v>6097</v>
      </c>
      <c r="D26" s="144">
        <v>605</v>
      </c>
      <c r="E26" s="144">
        <v>45.49</v>
      </c>
      <c r="F26" s="144">
        <v>13.3</v>
      </c>
      <c r="G26" s="141">
        <v>55.1</v>
      </c>
      <c r="H26" s="144">
        <v>14.04</v>
      </c>
      <c r="I26" s="145">
        <v>0.21640000000000001</v>
      </c>
      <c r="J26" s="145">
        <v>-3.0000000000000001E-3</v>
      </c>
      <c r="K26" s="145">
        <v>-2.5000000000000001E-3</v>
      </c>
      <c r="L26" s="146">
        <v>4.6000000000000001E-4</v>
      </c>
      <c r="M26" s="135">
        <v>2465</v>
      </c>
      <c r="N26" s="135">
        <v>1134</v>
      </c>
      <c r="O26" s="135">
        <v>35</v>
      </c>
      <c r="P26" s="153">
        <f t="shared" si="1"/>
        <v>2.7953100000000002</v>
      </c>
      <c r="Q26" s="135" t="s">
        <v>6127</v>
      </c>
      <c r="R26" s="135" t="s">
        <v>6129</v>
      </c>
      <c r="S26" s="144">
        <v>30.6</v>
      </c>
    </row>
    <row r="27" spans="1:19">
      <c r="A27" t="s">
        <v>6036</v>
      </c>
      <c r="B27" s="143" t="str">
        <f t="shared" si="2"/>
        <v>Jinko610MonoHalfcell</v>
      </c>
      <c r="C27" s="135" t="s">
        <v>6098</v>
      </c>
      <c r="D27" s="144">
        <v>610</v>
      </c>
      <c r="E27" s="144">
        <v>45.59</v>
      </c>
      <c r="F27" s="144">
        <v>13.38</v>
      </c>
      <c r="G27" s="144">
        <v>55.25</v>
      </c>
      <c r="H27" s="144">
        <v>14.11</v>
      </c>
      <c r="I27" s="145">
        <v>0.21820000000000001</v>
      </c>
      <c r="J27" s="145">
        <v>-3.0000000000000001E-3</v>
      </c>
      <c r="K27" s="145">
        <v>-2.5000000000000001E-3</v>
      </c>
      <c r="L27" s="146">
        <v>4.6000000000000001E-4</v>
      </c>
      <c r="M27" s="135">
        <v>2465</v>
      </c>
      <c r="N27" s="135">
        <v>1134</v>
      </c>
      <c r="O27" s="135">
        <v>35</v>
      </c>
      <c r="P27" s="153">
        <f t="shared" si="1"/>
        <v>2.7953100000000002</v>
      </c>
      <c r="Q27" s="135" t="s">
        <v>6127</v>
      </c>
      <c r="R27" s="135" t="s">
        <v>6129</v>
      </c>
      <c r="S27" s="144">
        <v>30.6</v>
      </c>
    </row>
    <row r="28" spans="1:19">
      <c r="A28" t="s">
        <v>6036</v>
      </c>
      <c r="B28" s="143" t="str">
        <f t="shared" si="2"/>
        <v>Jinko615MonoHalfcell</v>
      </c>
      <c r="C28" s="135" t="s">
        <v>6099</v>
      </c>
      <c r="D28" s="144">
        <v>615</v>
      </c>
      <c r="E28" s="144">
        <v>45.69</v>
      </c>
      <c r="F28" s="144">
        <v>13.46</v>
      </c>
      <c r="G28" s="141">
        <v>55.4</v>
      </c>
      <c r="H28" s="144">
        <v>14.18</v>
      </c>
      <c r="I28" s="145">
        <v>0.22</v>
      </c>
      <c r="J28" s="145">
        <v>-3.0000000000000001E-3</v>
      </c>
      <c r="K28" s="145">
        <v>-2.5000000000000001E-3</v>
      </c>
      <c r="L28" s="146">
        <v>4.6000000000000001E-4</v>
      </c>
      <c r="M28" s="135">
        <v>2465</v>
      </c>
      <c r="N28" s="135">
        <v>1134</v>
      </c>
      <c r="O28" s="135">
        <v>35</v>
      </c>
      <c r="P28" s="153">
        <f t="shared" si="1"/>
        <v>2.7953100000000002</v>
      </c>
      <c r="Q28" s="135" t="s">
        <v>6127</v>
      </c>
      <c r="R28" s="135" t="s">
        <v>6129</v>
      </c>
      <c r="S28" s="144">
        <v>30.6</v>
      </c>
    </row>
    <row r="29" spans="1:19">
      <c r="B29" s="137"/>
      <c r="C29" s="137"/>
      <c r="D29" s="137"/>
      <c r="E29" s="137"/>
      <c r="F29" s="137"/>
      <c r="G29" s="137"/>
      <c r="H29" s="137"/>
      <c r="I29" s="138"/>
      <c r="J29" s="138"/>
      <c r="K29" s="138"/>
      <c r="L29" s="139"/>
      <c r="M29" s="140"/>
      <c r="N29" s="140"/>
      <c r="O29" s="140"/>
      <c r="P29" s="140"/>
      <c r="Q29" s="137"/>
      <c r="R29" s="137"/>
      <c r="S29" s="137"/>
    </row>
    <row r="30" spans="1:19">
      <c r="B30" s="137"/>
      <c r="C30" s="137"/>
      <c r="D30" s="137"/>
      <c r="E30" s="137"/>
      <c r="F30" s="137"/>
      <c r="G30" s="137"/>
      <c r="H30" s="137"/>
      <c r="I30" s="138"/>
      <c r="J30" s="138"/>
      <c r="K30" s="138"/>
      <c r="L30" s="139"/>
      <c r="M30" s="140"/>
      <c r="N30" s="140"/>
      <c r="O30" s="140"/>
      <c r="P30" s="140"/>
      <c r="Q30" s="137"/>
      <c r="R30" s="137"/>
      <c r="S30" s="137"/>
    </row>
    <row r="31" spans="1:19">
      <c r="B31" s="137"/>
      <c r="C31" s="137"/>
      <c r="D31" s="137"/>
      <c r="E31" s="137"/>
      <c r="F31" s="137"/>
      <c r="G31" s="137"/>
      <c r="H31" s="137"/>
      <c r="I31" s="138"/>
      <c r="J31" s="138"/>
      <c r="K31" s="138"/>
      <c r="L31" s="139"/>
      <c r="M31" s="140"/>
      <c r="N31" s="140"/>
      <c r="O31" s="140"/>
      <c r="P31" s="140"/>
      <c r="Q31" s="137"/>
      <c r="R31" s="137"/>
      <c r="S31" s="137"/>
    </row>
    <row r="32" spans="1:19" ht="15.75">
      <c r="B32" s="3"/>
      <c r="C32" s="3"/>
      <c r="D32" s="3"/>
      <c r="E32" s="3"/>
      <c r="F32" s="3"/>
      <c r="G32" s="3"/>
      <c r="H32" s="93"/>
      <c r="I32" s="93"/>
      <c r="J32" s="93"/>
      <c r="K32" s="100"/>
      <c r="L32" s="98"/>
      <c r="M32" s="578" t="s">
        <v>5922</v>
      </c>
      <c r="N32" s="579"/>
      <c r="O32" s="579"/>
      <c r="P32" s="579"/>
    </row>
    <row r="33" spans="1:19" ht="15.75">
      <c r="B33" s="152" t="s">
        <v>6295</v>
      </c>
      <c r="C33" s="152" t="s">
        <v>3038</v>
      </c>
      <c r="D33" s="147" t="s">
        <v>5917</v>
      </c>
      <c r="E33" s="147" t="s">
        <v>5923</v>
      </c>
      <c r="F33" s="147" t="s">
        <v>5924</v>
      </c>
      <c r="G33" s="147" t="s">
        <v>5925</v>
      </c>
      <c r="H33" s="147" t="s">
        <v>5926</v>
      </c>
      <c r="I33" s="147" t="s">
        <v>5918</v>
      </c>
      <c r="J33" s="147" t="s">
        <v>5919</v>
      </c>
      <c r="K33" s="147" t="s">
        <v>5920</v>
      </c>
      <c r="L33" s="152" t="s">
        <v>5921</v>
      </c>
      <c r="M33" s="152" t="s">
        <v>6125</v>
      </c>
      <c r="N33" s="152" t="s">
        <v>6123</v>
      </c>
      <c r="O33" s="152" t="s">
        <v>6124</v>
      </c>
      <c r="P33" s="149" t="s">
        <v>6133</v>
      </c>
      <c r="Q33" s="151" t="s">
        <v>6063</v>
      </c>
      <c r="R33" s="151" t="s">
        <v>6064</v>
      </c>
      <c r="S33" s="149" t="s">
        <v>6065</v>
      </c>
    </row>
    <row r="34" spans="1:19">
      <c r="A34" t="s">
        <v>6295</v>
      </c>
      <c r="B34" s="143" t="str">
        <f t="shared" ref="B34:B55" si="3">CONCATENATE($B$33,D34,Q34,R34)</f>
        <v>JA Solar330MonoHalfcell</v>
      </c>
      <c r="C34" s="135" t="s">
        <v>6100</v>
      </c>
      <c r="D34" s="144">
        <v>330</v>
      </c>
      <c r="E34" s="144">
        <v>34.24</v>
      </c>
      <c r="F34" s="144">
        <v>9.64</v>
      </c>
      <c r="G34" s="144">
        <v>41.08</v>
      </c>
      <c r="H34" s="144">
        <v>10.3</v>
      </c>
      <c r="I34" s="145">
        <v>0.19600000000000001</v>
      </c>
      <c r="J34" s="145">
        <v>-3.5000000000000001E-3</v>
      </c>
      <c r="K34" s="145">
        <v>-2.7200000000000002E-3</v>
      </c>
      <c r="L34" s="146">
        <v>4.4000000000000002E-4</v>
      </c>
      <c r="M34" s="135">
        <v>1689</v>
      </c>
      <c r="N34" s="135">
        <v>996</v>
      </c>
      <c r="O34" s="135">
        <v>35</v>
      </c>
      <c r="P34" s="153">
        <f t="shared" ref="P34:P55" si="4">(M34*N34)/1000000</f>
        <v>1.6822440000000001</v>
      </c>
      <c r="Q34" s="135" t="s">
        <v>6127</v>
      </c>
      <c r="R34" s="135" t="s">
        <v>6129</v>
      </c>
      <c r="S34" s="144">
        <v>18.7</v>
      </c>
    </row>
    <row r="35" spans="1:19">
      <c r="A35" t="s">
        <v>6295</v>
      </c>
      <c r="B35" s="143" t="str">
        <f t="shared" si="3"/>
        <v>JA Solar335MonoHalfcell</v>
      </c>
      <c r="C35" s="135" t="s">
        <v>6101</v>
      </c>
      <c r="D35" s="144">
        <v>335</v>
      </c>
      <c r="E35" s="144">
        <v>34.479999999999997</v>
      </c>
      <c r="F35" s="144">
        <v>9.7200000000000006</v>
      </c>
      <c r="G35" s="144">
        <v>41.32</v>
      </c>
      <c r="H35" s="144">
        <v>10.38</v>
      </c>
      <c r="I35" s="145">
        <v>0.19900000000000001</v>
      </c>
      <c r="J35" s="145">
        <v>-3.5000000000000001E-3</v>
      </c>
      <c r="K35" s="145">
        <v>-2.7200000000000002E-3</v>
      </c>
      <c r="L35" s="146">
        <v>4.4000000000000002E-4</v>
      </c>
      <c r="M35" s="135">
        <v>1689</v>
      </c>
      <c r="N35" s="135">
        <v>996</v>
      </c>
      <c r="O35" s="135">
        <v>35</v>
      </c>
      <c r="P35" s="153">
        <f t="shared" si="4"/>
        <v>1.6822440000000001</v>
      </c>
      <c r="Q35" s="135" t="s">
        <v>6127</v>
      </c>
      <c r="R35" s="135" t="s">
        <v>6129</v>
      </c>
      <c r="S35" s="144">
        <v>18.7</v>
      </c>
    </row>
    <row r="36" spans="1:19">
      <c r="A36" t="s">
        <v>6295</v>
      </c>
      <c r="B36" s="143" t="str">
        <f t="shared" si="3"/>
        <v>JA Solar340MonoHalfcell</v>
      </c>
      <c r="C36" s="135" t="s">
        <v>6102</v>
      </c>
      <c r="D36" s="144">
        <v>340</v>
      </c>
      <c r="E36" s="144">
        <v>34.729999999999997</v>
      </c>
      <c r="F36" s="144">
        <v>9.7899999999999991</v>
      </c>
      <c r="G36" s="144">
        <v>41.55</v>
      </c>
      <c r="H36" s="144">
        <v>10.46</v>
      </c>
      <c r="I36" s="145">
        <v>0.20200000000000001</v>
      </c>
      <c r="J36" s="145">
        <v>-3.5000000000000001E-3</v>
      </c>
      <c r="K36" s="145">
        <v>-2.7200000000000002E-3</v>
      </c>
      <c r="L36" s="146">
        <v>4.4000000000000002E-4</v>
      </c>
      <c r="M36" s="135">
        <v>1689</v>
      </c>
      <c r="N36" s="135">
        <v>996</v>
      </c>
      <c r="O36" s="135">
        <v>35</v>
      </c>
      <c r="P36" s="153">
        <f t="shared" si="4"/>
        <v>1.6822440000000001</v>
      </c>
      <c r="Q36" s="135" t="s">
        <v>6127</v>
      </c>
      <c r="R36" s="135" t="s">
        <v>6129</v>
      </c>
      <c r="S36" s="144">
        <v>18.7</v>
      </c>
    </row>
    <row r="37" spans="1:19">
      <c r="A37" t="s">
        <v>6295</v>
      </c>
      <c r="B37" s="143" t="str">
        <f t="shared" si="3"/>
        <v>JA Solar345MonoHalfcell</v>
      </c>
      <c r="C37" s="135" t="s">
        <v>6103</v>
      </c>
      <c r="D37" s="144">
        <v>345</v>
      </c>
      <c r="E37" s="144">
        <v>34.99</v>
      </c>
      <c r="F37" s="144">
        <v>9.86</v>
      </c>
      <c r="G37" s="144">
        <v>41.76</v>
      </c>
      <c r="H37" s="144">
        <v>10.54</v>
      </c>
      <c r="I37" s="145">
        <v>0.20499999999999999</v>
      </c>
      <c r="J37" s="145">
        <v>-3.5000000000000001E-3</v>
      </c>
      <c r="K37" s="145">
        <v>-2.7200000000000002E-3</v>
      </c>
      <c r="L37" s="146">
        <v>4.4000000000000002E-4</v>
      </c>
      <c r="M37" s="135">
        <v>1689</v>
      </c>
      <c r="N37" s="135">
        <v>996</v>
      </c>
      <c r="O37" s="135">
        <v>35</v>
      </c>
      <c r="P37" s="153">
        <f t="shared" si="4"/>
        <v>1.6822440000000001</v>
      </c>
      <c r="Q37" s="135" t="s">
        <v>6127</v>
      </c>
      <c r="R37" s="135" t="s">
        <v>6129</v>
      </c>
      <c r="S37" s="144">
        <v>18.7</v>
      </c>
    </row>
    <row r="38" spans="1:19">
      <c r="A38" t="s">
        <v>6295</v>
      </c>
      <c r="B38" s="143" t="str">
        <f t="shared" si="3"/>
        <v>JA Solar350MonoHalfcell</v>
      </c>
      <c r="C38" s="135" t="s">
        <v>6104</v>
      </c>
      <c r="D38" s="144">
        <v>350</v>
      </c>
      <c r="E38" s="144">
        <v>35.25</v>
      </c>
      <c r="F38" s="144">
        <v>9.93</v>
      </c>
      <c r="G38" s="144">
        <v>42.02</v>
      </c>
      <c r="H38" s="144">
        <v>10.62</v>
      </c>
      <c r="I38" s="145">
        <v>0.20799999999999999</v>
      </c>
      <c r="J38" s="145">
        <v>-3.5000000000000001E-3</v>
      </c>
      <c r="K38" s="145">
        <v>-2.7200000000000002E-3</v>
      </c>
      <c r="L38" s="146">
        <v>4.4000000000000002E-4</v>
      </c>
      <c r="M38" s="135">
        <v>1689</v>
      </c>
      <c r="N38" s="135">
        <v>996</v>
      </c>
      <c r="O38" s="135">
        <v>35</v>
      </c>
      <c r="P38" s="153">
        <f t="shared" si="4"/>
        <v>1.6822440000000001</v>
      </c>
      <c r="Q38" s="135" t="s">
        <v>6127</v>
      </c>
      <c r="R38" s="135" t="s">
        <v>6129</v>
      </c>
      <c r="S38" s="144">
        <v>18.7</v>
      </c>
    </row>
    <row r="39" spans="1:19">
      <c r="A39" t="s">
        <v>6295</v>
      </c>
      <c r="B39" s="143" t="str">
        <f t="shared" si="3"/>
        <v>JA Solar400MonoHalfcell</v>
      </c>
      <c r="C39" s="135" t="s">
        <v>6105</v>
      </c>
      <c r="D39" s="144">
        <v>400</v>
      </c>
      <c r="E39" s="144">
        <v>41.33</v>
      </c>
      <c r="F39" s="144">
        <v>9.68</v>
      </c>
      <c r="G39" s="144">
        <v>49.58</v>
      </c>
      <c r="H39" s="144">
        <v>10.33</v>
      </c>
      <c r="I39" s="145">
        <v>0.19900000000000001</v>
      </c>
      <c r="J39" s="145">
        <v>-3.5000000000000001E-3</v>
      </c>
      <c r="K39" s="145">
        <v>-2.7200000000000002E-3</v>
      </c>
      <c r="L39" s="146">
        <v>4.4000000000000002E-4</v>
      </c>
      <c r="M39" s="135">
        <v>2015</v>
      </c>
      <c r="N39" s="135">
        <v>996</v>
      </c>
      <c r="O39" s="135">
        <v>40</v>
      </c>
      <c r="P39" s="153">
        <f t="shared" si="4"/>
        <v>2.0069400000000002</v>
      </c>
      <c r="Q39" s="135" t="s">
        <v>6127</v>
      </c>
      <c r="R39" s="135" t="s">
        <v>6129</v>
      </c>
      <c r="S39" s="144">
        <v>22.7</v>
      </c>
    </row>
    <row r="40" spans="1:19">
      <c r="A40" t="s">
        <v>6295</v>
      </c>
      <c r="B40" s="143" t="str">
        <f t="shared" si="3"/>
        <v>JA Solar405MonoHalfcell</v>
      </c>
      <c r="C40" s="135" t="s">
        <v>6106</v>
      </c>
      <c r="D40" s="144">
        <v>405</v>
      </c>
      <c r="E40" s="141">
        <v>41.6</v>
      </c>
      <c r="F40" s="144">
        <v>9.74</v>
      </c>
      <c r="G40" s="144">
        <v>49.86</v>
      </c>
      <c r="H40" s="144">
        <v>10.39</v>
      </c>
      <c r="I40" s="145">
        <v>0.20200000000000001</v>
      </c>
      <c r="J40" s="145">
        <v>-3.5000000000000001E-3</v>
      </c>
      <c r="K40" s="145">
        <v>-2.7200000000000002E-3</v>
      </c>
      <c r="L40" s="146">
        <v>4.4000000000000002E-4</v>
      </c>
      <c r="M40" s="135">
        <v>2015</v>
      </c>
      <c r="N40" s="135">
        <v>996</v>
      </c>
      <c r="O40" s="135">
        <v>40</v>
      </c>
      <c r="P40" s="153">
        <f t="shared" si="4"/>
        <v>2.0069400000000002</v>
      </c>
      <c r="Q40" s="135" t="s">
        <v>6127</v>
      </c>
      <c r="R40" s="135" t="s">
        <v>6129</v>
      </c>
      <c r="S40" s="144">
        <v>22.7</v>
      </c>
    </row>
    <row r="41" spans="1:19">
      <c r="A41" t="s">
        <v>6295</v>
      </c>
      <c r="B41" s="143" t="str">
        <f t="shared" si="3"/>
        <v>JA Solar410MonoHalfcell</v>
      </c>
      <c r="C41" s="135" t="s">
        <v>6107</v>
      </c>
      <c r="D41" s="144">
        <v>410</v>
      </c>
      <c r="E41" s="144">
        <v>41.88</v>
      </c>
      <c r="F41" s="144">
        <v>9.7899999999999991</v>
      </c>
      <c r="G41" s="144">
        <v>50.12</v>
      </c>
      <c r="H41" s="144">
        <v>10.45</v>
      </c>
      <c r="I41" s="145">
        <v>0.20399999999999999</v>
      </c>
      <c r="J41" s="145">
        <v>-3.5000000000000001E-3</v>
      </c>
      <c r="K41" s="145">
        <v>-2.7200000000000002E-3</v>
      </c>
      <c r="L41" s="146">
        <v>4.4000000000000002E-4</v>
      </c>
      <c r="M41" s="135">
        <v>2015</v>
      </c>
      <c r="N41" s="135">
        <v>996</v>
      </c>
      <c r="O41" s="135">
        <v>40</v>
      </c>
      <c r="P41" s="153">
        <f t="shared" si="4"/>
        <v>2.0069400000000002</v>
      </c>
      <c r="Q41" s="135" t="s">
        <v>6127</v>
      </c>
      <c r="R41" s="135" t="s">
        <v>6129</v>
      </c>
      <c r="S41" s="144">
        <v>22.7</v>
      </c>
    </row>
    <row r="42" spans="1:19">
      <c r="A42" t="s">
        <v>6295</v>
      </c>
      <c r="B42" s="143" t="str">
        <f t="shared" si="3"/>
        <v>JA Solar415MonoHalfcell</v>
      </c>
      <c r="C42" s="135" t="s">
        <v>6108</v>
      </c>
      <c r="D42" s="144">
        <v>415</v>
      </c>
      <c r="E42" s="144">
        <v>42.18</v>
      </c>
      <c r="F42" s="144">
        <v>9.84</v>
      </c>
      <c r="G42" s="144">
        <v>50.41</v>
      </c>
      <c r="H42" s="144">
        <v>10.51</v>
      </c>
      <c r="I42" s="136">
        <v>0.20699999999999999</v>
      </c>
      <c r="J42" s="145">
        <v>-3.5000000000000001E-3</v>
      </c>
      <c r="K42" s="145">
        <v>-2.7200000000000002E-3</v>
      </c>
      <c r="L42" s="146">
        <v>4.4000000000000002E-4</v>
      </c>
      <c r="M42" s="135">
        <v>2015</v>
      </c>
      <c r="N42" s="135">
        <v>996</v>
      </c>
      <c r="O42" s="135">
        <v>40</v>
      </c>
      <c r="P42" s="153">
        <f t="shared" si="4"/>
        <v>2.0069400000000002</v>
      </c>
      <c r="Q42" s="135" t="s">
        <v>6127</v>
      </c>
      <c r="R42" s="135" t="s">
        <v>6129</v>
      </c>
      <c r="S42" s="144">
        <v>22.7</v>
      </c>
    </row>
    <row r="43" spans="1:19">
      <c r="A43" t="s">
        <v>6295</v>
      </c>
      <c r="B43" s="143" t="str">
        <f t="shared" si="3"/>
        <v>JA Solar420MonoHalfcell</v>
      </c>
      <c r="C43" s="135" t="s">
        <v>6109</v>
      </c>
      <c r="D43" s="144">
        <v>420</v>
      </c>
      <c r="E43" s="144">
        <v>42.47</v>
      </c>
      <c r="F43" s="144">
        <v>9.89</v>
      </c>
      <c r="G43" s="144">
        <v>50.7</v>
      </c>
      <c r="H43" s="144">
        <v>10.56</v>
      </c>
      <c r="I43" s="136">
        <v>0.20899999999999999</v>
      </c>
      <c r="J43" s="145">
        <v>-3.5000000000000001E-3</v>
      </c>
      <c r="K43" s="145">
        <v>-2.7200000000000002E-3</v>
      </c>
      <c r="L43" s="146">
        <v>4.4000000000000002E-4</v>
      </c>
      <c r="M43" s="135">
        <v>2015</v>
      </c>
      <c r="N43" s="135">
        <v>996</v>
      </c>
      <c r="O43" s="135">
        <v>40</v>
      </c>
      <c r="P43" s="153">
        <f t="shared" si="4"/>
        <v>2.0069400000000002</v>
      </c>
      <c r="Q43" s="135" t="s">
        <v>6127</v>
      </c>
      <c r="R43" s="135" t="s">
        <v>6129</v>
      </c>
      <c r="S43" s="144">
        <v>22.7</v>
      </c>
    </row>
    <row r="44" spans="1:19">
      <c r="A44" t="s">
        <v>6295</v>
      </c>
      <c r="B44" s="143" t="str">
        <f t="shared" si="3"/>
        <v>JA Solar445MonoHalfcell</v>
      </c>
      <c r="C44" s="135" t="s">
        <v>6111</v>
      </c>
      <c r="D44" s="144">
        <v>445</v>
      </c>
      <c r="E44" s="144">
        <v>41.21</v>
      </c>
      <c r="F44" s="144">
        <v>10.8</v>
      </c>
      <c r="G44" s="144">
        <v>49.56</v>
      </c>
      <c r="H44" s="144">
        <v>11.32</v>
      </c>
      <c r="I44" s="145">
        <v>0.2</v>
      </c>
      <c r="J44" s="145">
        <v>-3.5000000000000001E-3</v>
      </c>
      <c r="K44" s="145">
        <v>-2.7200000000000002E-3</v>
      </c>
      <c r="L44" s="146">
        <v>4.4000000000000002E-4</v>
      </c>
      <c r="M44" s="135">
        <v>2112</v>
      </c>
      <c r="N44" s="135">
        <v>1052</v>
      </c>
      <c r="O44" s="135">
        <v>35</v>
      </c>
      <c r="P44" s="153">
        <f t="shared" si="4"/>
        <v>2.2218239999999998</v>
      </c>
      <c r="Q44" s="135" t="s">
        <v>6127</v>
      </c>
      <c r="R44" s="135" t="s">
        <v>6129</v>
      </c>
      <c r="S44" s="144">
        <v>24.7</v>
      </c>
    </row>
    <row r="45" spans="1:19">
      <c r="A45" t="s">
        <v>6295</v>
      </c>
      <c r="B45" s="143" t="str">
        <f t="shared" si="3"/>
        <v>JA Solar450MonoHalfcell</v>
      </c>
      <c r="C45" s="135" t="s">
        <v>6112</v>
      </c>
      <c r="D45" s="144">
        <v>450</v>
      </c>
      <c r="E45" s="144">
        <v>41.52</v>
      </c>
      <c r="F45" s="144">
        <v>10.84</v>
      </c>
      <c r="G45" s="144">
        <v>49.7</v>
      </c>
      <c r="H45" s="144">
        <v>11.36</v>
      </c>
      <c r="I45" s="145">
        <v>0.20300000000000001</v>
      </c>
      <c r="J45" s="145">
        <v>-3.5000000000000001E-3</v>
      </c>
      <c r="K45" s="145">
        <v>-2.7200000000000002E-3</v>
      </c>
      <c r="L45" s="146">
        <v>4.4000000000000002E-4</v>
      </c>
      <c r="M45" s="135">
        <v>2112</v>
      </c>
      <c r="N45" s="135">
        <v>1052</v>
      </c>
      <c r="O45" s="135">
        <v>35</v>
      </c>
      <c r="P45" s="153">
        <f t="shared" si="4"/>
        <v>2.2218239999999998</v>
      </c>
      <c r="Q45" s="135" t="s">
        <v>6127</v>
      </c>
      <c r="R45" s="135" t="s">
        <v>6129</v>
      </c>
      <c r="S45" s="144">
        <v>24.7</v>
      </c>
    </row>
    <row r="46" spans="1:19">
      <c r="A46" t="s">
        <v>6295</v>
      </c>
      <c r="B46" s="143" t="str">
        <f t="shared" si="3"/>
        <v>JA Solar455MonoHalfcell</v>
      </c>
      <c r="C46" s="135" t="s">
        <v>6113</v>
      </c>
      <c r="D46" s="144">
        <v>455</v>
      </c>
      <c r="E46" s="144">
        <v>41.82</v>
      </c>
      <c r="F46" s="144">
        <v>10.88</v>
      </c>
      <c r="G46" s="144">
        <v>49.85</v>
      </c>
      <c r="H46" s="144">
        <v>11.41</v>
      </c>
      <c r="I46" s="145">
        <v>0.20499999999999999</v>
      </c>
      <c r="J46" s="145">
        <v>-3.5000000000000001E-3</v>
      </c>
      <c r="K46" s="145">
        <v>-2.7200000000000002E-3</v>
      </c>
      <c r="L46" s="146">
        <v>4.4000000000000002E-4</v>
      </c>
      <c r="M46" s="135">
        <v>2112</v>
      </c>
      <c r="N46" s="135">
        <v>1052</v>
      </c>
      <c r="O46" s="135">
        <v>35</v>
      </c>
      <c r="P46" s="153">
        <f t="shared" si="4"/>
        <v>2.2218239999999998</v>
      </c>
      <c r="Q46" s="135" t="s">
        <v>6127</v>
      </c>
      <c r="R46" s="135" t="s">
        <v>6129</v>
      </c>
      <c r="S46" s="144">
        <v>24.7</v>
      </c>
    </row>
    <row r="47" spans="1:19">
      <c r="A47" t="s">
        <v>6295</v>
      </c>
      <c r="B47" s="143" t="str">
        <f t="shared" si="3"/>
        <v>JA Solar460MonoHalfcell</v>
      </c>
      <c r="C47" s="135" t="s">
        <v>6114</v>
      </c>
      <c r="D47" s="144">
        <v>460</v>
      </c>
      <c r="E47" s="144">
        <v>42.13</v>
      </c>
      <c r="F47" s="144">
        <v>10.92</v>
      </c>
      <c r="G47" s="144">
        <v>50.01</v>
      </c>
      <c r="H47" s="144">
        <v>11.45</v>
      </c>
      <c r="I47" s="145">
        <v>0.20699999999999999</v>
      </c>
      <c r="J47" s="145">
        <v>-3.5000000000000001E-3</v>
      </c>
      <c r="K47" s="145">
        <v>-2.7200000000000002E-3</v>
      </c>
      <c r="L47" s="146">
        <v>4.4000000000000002E-4</v>
      </c>
      <c r="M47" s="135">
        <v>2112</v>
      </c>
      <c r="N47" s="135">
        <v>1052</v>
      </c>
      <c r="O47" s="135">
        <v>35</v>
      </c>
      <c r="P47" s="153">
        <f t="shared" si="4"/>
        <v>2.2218239999999998</v>
      </c>
      <c r="Q47" s="135" t="s">
        <v>6127</v>
      </c>
      <c r="R47" s="135" t="s">
        <v>6129</v>
      </c>
      <c r="S47" s="144">
        <v>24.7</v>
      </c>
    </row>
    <row r="48" spans="1:19">
      <c r="A48" t="s">
        <v>6295</v>
      </c>
      <c r="B48" s="143" t="str">
        <f t="shared" si="3"/>
        <v>JA Solar465MonoHalfcell</v>
      </c>
      <c r="C48" s="135" t="s">
        <v>6115</v>
      </c>
      <c r="D48" s="144">
        <v>465</v>
      </c>
      <c r="E48" s="144">
        <v>42.43</v>
      </c>
      <c r="F48" s="144">
        <v>10.96</v>
      </c>
      <c r="G48" s="144">
        <v>50.15</v>
      </c>
      <c r="H48" s="144">
        <v>11.49</v>
      </c>
      <c r="I48" s="145">
        <v>0.20899999999999999</v>
      </c>
      <c r="J48" s="145">
        <v>-3.5000000000000001E-3</v>
      </c>
      <c r="K48" s="145">
        <v>-2.7200000000000002E-3</v>
      </c>
      <c r="L48" s="146">
        <v>4.4000000000000002E-4</v>
      </c>
      <c r="M48" s="135">
        <v>2112</v>
      </c>
      <c r="N48" s="135">
        <v>1052</v>
      </c>
      <c r="O48" s="135">
        <v>35</v>
      </c>
      <c r="P48" s="153">
        <f t="shared" si="4"/>
        <v>2.2218239999999998</v>
      </c>
      <c r="Q48" s="135" t="s">
        <v>6127</v>
      </c>
      <c r="R48" s="135" t="s">
        <v>6129</v>
      </c>
      <c r="S48" s="144">
        <v>24.7</v>
      </c>
    </row>
    <row r="49" spans="1:19">
      <c r="A49" t="s">
        <v>6295</v>
      </c>
      <c r="B49" s="143" t="str">
        <f t="shared" si="3"/>
        <v>JA Solar470MonoHalfcell</v>
      </c>
      <c r="C49" s="135" t="s">
        <v>6116</v>
      </c>
      <c r="D49" s="144">
        <v>470</v>
      </c>
      <c r="E49" s="144">
        <v>42.69</v>
      </c>
      <c r="F49" s="144">
        <v>11.01</v>
      </c>
      <c r="G49" s="144">
        <v>50.31</v>
      </c>
      <c r="H49" s="144">
        <v>11.53</v>
      </c>
      <c r="I49" s="145">
        <v>0.21199999999999999</v>
      </c>
      <c r="J49" s="145">
        <v>-3.5000000000000001E-3</v>
      </c>
      <c r="K49" s="145">
        <v>-2.7200000000000002E-3</v>
      </c>
      <c r="L49" s="146">
        <v>4.4000000000000002E-4</v>
      </c>
      <c r="M49" s="135">
        <v>2112</v>
      </c>
      <c r="N49" s="135">
        <v>1052</v>
      </c>
      <c r="O49" s="135">
        <v>35</v>
      </c>
      <c r="P49" s="153">
        <f t="shared" si="4"/>
        <v>2.2218239999999998</v>
      </c>
      <c r="Q49" s="135" t="s">
        <v>6127</v>
      </c>
      <c r="R49" s="135" t="s">
        <v>6129</v>
      </c>
      <c r="S49" s="144">
        <v>24.7</v>
      </c>
    </row>
    <row r="50" spans="1:19">
      <c r="A50" t="s">
        <v>6295</v>
      </c>
      <c r="B50" s="143" t="str">
        <f t="shared" si="3"/>
        <v>JA Solar525MonoHalfcell</v>
      </c>
      <c r="C50" s="135" t="s">
        <v>6110</v>
      </c>
      <c r="D50" s="144">
        <v>525</v>
      </c>
      <c r="E50" s="144">
        <v>41.15</v>
      </c>
      <c r="F50" s="144">
        <v>12.76</v>
      </c>
      <c r="G50" s="144">
        <v>49.15</v>
      </c>
      <c r="H50" s="144">
        <v>13.65</v>
      </c>
      <c r="I50" s="145">
        <v>0.20300000000000001</v>
      </c>
      <c r="J50" s="145">
        <v>-3.5000000000000001E-3</v>
      </c>
      <c r="K50" s="145">
        <v>-2.7200000000000002E-3</v>
      </c>
      <c r="L50" s="146">
        <v>4.4999999999999999E-4</v>
      </c>
      <c r="M50" s="135">
        <v>2279</v>
      </c>
      <c r="N50" s="135">
        <v>1134</v>
      </c>
      <c r="O50" s="135">
        <v>35</v>
      </c>
      <c r="P50" s="153">
        <f t="shared" si="4"/>
        <v>2.5843859999999999</v>
      </c>
      <c r="Q50" s="135" t="s">
        <v>6127</v>
      </c>
      <c r="R50" s="135" t="s">
        <v>6129</v>
      </c>
      <c r="S50" s="144">
        <v>28.6</v>
      </c>
    </row>
    <row r="51" spans="1:19">
      <c r="A51" t="s">
        <v>6295</v>
      </c>
      <c r="B51" s="143" t="str">
        <f t="shared" si="3"/>
        <v>JA Solar530MonoHalfcell</v>
      </c>
      <c r="C51" s="135" t="s">
        <v>6118</v>
      </c>
      <c r="D51" s="144">
        <v>530</v>
      </c>
      <c r="E51" s="144">
        <v>41.31</v>
      </c>
      <c r="F51" s="144">
        <v>12.83</v>
      </c>
      <c r="G51" s="144">
        <v>49.3</v>
      </c>
      <c r="H51" s="144">
        <v>13.72</v>
      </c>
      <c r="I51" s="145">
        <v>0.20499999999999999</v>
      </c>
      <c r="J51" s="145">
        <v>-3.5000000000000001E-3</v>
      </c>
      <c r="K51" s="145">
        <v>-2.7200000000000002E-3</v>
      </c>
      <c r="L51" s="146">
        <v>4.4999999999999999E-4</v>
      </c>
      <c r="M51" s="135">
        <v>2279</v>
      </c>
      <c r="N51" s="135">
        <v>1134</v>
      </c>
      <c r="O51" s="135">
        <v>35</v>
      </c>
      <c r="P51" s="153">
        <f t="shared" si="4"/>
        <v>2.5843859999999999</v>
      </c>
      <c r="Q51" s="135" t="s">
        <v>6127</v>
      </c>
      <c r="R51" s="135" t="s">
        <v>6129</v>
      </c>
      <c r="S51" s="144">
        <v>28.6</v>
      </c>
    </row>
    <row r="52" spans="1:19">
      <c r="A52" t="s">
        <v>6295</v>
      </c>
      <c r="B52" s="143" t="str">
        <f t="shared" si="3"/>
        <v>JA Solar535MonoHalfcell</v>
      </c>
      <c r="C52" s="135" t="s">
        <v>6119</v>
      </c>
      <c r="D52" s="144">
        <v>535</v>
      </c>
      <c r="E52" s="144">
        <v>41.47</v>
      </c>
      <c r="F52" s="144">
        <v>12.9</v>
      </c>
      <c r="G52" s="144">
        <v>49.45</v>
      </c>
      <c r="H52" s="144">
        <v>13.79</v>
      </c>
      <c r="I52" s="145">
        <v>0.20699999999999999</v>
      </c>
      <c r="J52" s="145">
        <v>-3.5000000000000001E-3</v>
      </c>
      <c r="K52" s="145">
        <v>-2.7200000000000002E-3</v>
      </c>
      <c r="L52" s="146">
        <v>4.4999999999999999E-4</v>
      </c>
      <c r="M52" s="135">
        <v>2279</v>
      </c>
      <c r="N52" s="135">
        <v>1134</v>
      </c>
      <c r="O52" s="135">
        <v>35</v>
      </c>
      <c r="P52" s="153">
        <f t="shared" si="4"/>
        <v>2.5843859999999999</v>
      </c>
      <c r="Q52" s="135" t="s">
        <v>6127</v>
      </c>
      <c r="R52" s="135" t="s">
        <v>6129</v>
      </c>
      <c r="S52" s="144">
        <v>28.6</v>
      </c>
    </row>
    <row r="53" spans="1:19">
      <c r="A53" t="s">
        <v>6295</v>
      </c>
      <c r="B53" s="143" t="str">
        <f t="shared" si="3"/>
        <v>JA Solar540MonoHalfcell</v>
      </c>
      <c r="C53" s="135" t="s">
        <v>6120</v>
      </c>
      <c r="D53" s="144">
        <v>540</v>
      </c>
      <c r="E53" s="144">
        <v>41.64</v>
      </c>
      <c r="F53" s="144">
        <v>12.97</v>
      </c>
      <c r="G53" s="144">
        <v>49.6</v>
      </c>
      <c r="H53" s="144">
        <v>13.86</v>
      </c>
      <c r="I53" s="145">
        <v>0.20899999999999999</v>
      </c>
      <c r="J53" s="145">
        <v>-3.5000000000000001E-3</v>
      </c>
      <c r="K53" s="145">
        <v>-2.7200000000000002E-3</v>
      </c>
      <c r="L53" s="146">
        <v>4.4999999999999999E-4</v>
      </c>
      <c r="M53" s="135">
        <v>2279</v>
      </c>
      <c r="N53" s="135">
        <v>1134</v>
      </c>
      <c r="O53" s="135">
        <v>35</v>
      </c>
      <c r="P53" s="153">
        <f t="shared" si="4"/>
        <v>2.5843859999999999</v>
      </c>
      <c r="Q53" s="135" t="s">
        <v>6127</v>
      </c>
      <c r="R53" s="135" t="s">
        <v>6129</v>
      </c>
      <c r="S53" s="144">
        <v>28.6</v>
      </c>
    </row>
    <row r="54" spans="1:19">
      <c r="A54" t="s">
        <v>6295</v>
      </c>
      <c r="B54" s="143" t="str">
        <f t="shared" si="3"/>
        <v>JA Solar545MonoHalfcell</v>
      </c>
      <c r="C54" s="135" t="s">
        <v>6121</v>
      </c>
      <c r="D54" s="144">
        <v>545</v>
      </c>
      <c r="E54" s="144">
        <v>41.8</v>
      </c>
      <c r="F54" s="144">
        <v>13.04</v>
      </c>
      <c r="G54" s="144">
        <v>49.75</v>
      </c>
      <c r="H54" s="144">
        <v>13.93</v>
      </c>
      <c r="I54" s="145">
        <v>0.21099999999999999</v>
      </c>
      <c r="J54" s="145">
        <v>-3.5000000000000001E-3</v>
      </c>
      <c r="K54" s="145">
        <v>-2.7200000000000002E-3</v>
      </c>
      <c r="L54" s="146">
        <v>4.4999999999999999E-4</v>
      </c>
      <c r="M54" s="135">
        <v>2279</v>
      </c>
      <c r="N54" s="135">
        <v>1134</v>
      </c>
      <c r="O54" s="135">
        <v>35</v>
      </c>
      <c r="P54" s="153">
        <f t="shared" si="4"/>
        <v>2.5843859999999999</v>
      </c>
      <c r="Q54" s="135" t="s">
        <v>6127</v>
      </c>
      <c r="R54" s="135" t="s">
        <v>6129</v>
      </c>
      <c r="S54" s="144">
        <v>28.6</v>
      </c>
    </row>
    <row r="55" spans="1:19">
      <c r="A55" t="s">
        <v>6295</v>
      </c>
      <c r="B55" s="143" t="str">
        <f t="shared" si="3"/>
        <v>JA Solar550MonoHalfcell</v>
      </c>
      <c r="C55" s="135" t="s">
        <v>6122</v>
      </c>
      <c r="D55" s="144">
        <v>550</v>
      </c>
      <c r="E55" s="48">
        <v>41.96</v>
      </c>
      <c r="F55" s="48">
        <v>13.11</v>
      </c>
      <c r="G55" s="48">
        <v>49.9</v>
      </c>
      <c r="H55" s="48">
        <v>14</v>
      </c>
      <c r="I55" s="48">
        <v>21.3</v>
      </c>
      <c r="J55" s="145">
        <v>-3.5000000000000001E-3</v>
      </c>
      <c r="K55" s="145">
        <v>-2.7200000000000002E-3</v>
      </c>
      <c r="L55" s="146">
        <v>4.4999999999999999E-4</v>
      </c>
      <c r="M55" s="135">
        <v>2279</v>
      </c>
      <c r="N55" s="135">
        <v>1134</v>
      </c>
      <c r="O55" s="135">
        <v>35</v>
      </c>
      <c r="P55" s="153">
        <f t="shared" si="4"/>
        <v>2.5843859999999999</v>
      </c>
      <c r="Q55" s="135" t="s">
        <v>6127</v>
      </c>
      <c r="R55" s="135" t="s">
        <v>6129</v>
      </c>
      <c r="S55" s="144">
        <v>28.6</v>
      </c>
    </row>
    <row r="56" spans="1:19">
      <c r="Q56"/>
      <c r="R56"/>
      <c r="S56"/>
    </row>
    <row r="58" spans="1:19">
      <c r="E58"/>
      <c r="F58"/>
      <c r="G58"/>
      <c r="H58"/>
      <c r="I58"/>
      <c r="Q58"/>
      <c r="R58"/>
      <c r="S58"/>
    </row>
    <row r="59" spans="1:19">
      <c r="E59"/>
      <c r="F59"/>
      <c r="G59"/>
      <c r="H59"/>
      <c r="I59"/>
      <c r="Q59"/>
      <c r="R59"/>
      <c r="S59"/>
    </row>
    <row r="60" spans="1:19" ht="15.75">
      <c r="B60" s="3"/>
      <c r="C60" s="3"/>
      <c r="D60" s="3"/>
      <c r="E60" s="3"/>
      <c r="F60" s="3"/>
      <c r="G60" s="3"/>
      <c r="H60" s="93"/>
      <c r="I60" s="93"/>
      <c r="J60" s="93"/>
      <c r="K60" s="100"/>
      <c r="L60" s="98"/>
      <c r="M60" s="576" t="s">
        <v>5922</v>
      </c>
      <c r="N60" s="577"/>
      <c r="O60" s="577"/>
      <c r="P60" s="577"/>
    </row>
    <row r="61" spans="1:19" ht="15.75">
      <c r="B61" s="442" t="s">
        <v>6290</v>
      </c>
      <c r="C61" s="442" t="s">
        <v>3038</v>
      </c>
      <c r="D61" s="443" t="s">
        <v>5917</v>
      </c>
      <c r="E61" s="443" t="s">
        <v>5923</v>
      </c>
      <c r="F61" s="443" t="s">
        <v>5924</v>
      </c>
      <c r="G61" s="443" t="s">
        <v>5925</v>
      </c>
      <c r="H61" s="443" t="s">
        <v>5926</v>
      </c>
      <c r="I61" s="443" t="s">
        <v>5918</v>
      </c>
      <c r="J61" s="443" t="s">
        <v>5919</v>
      </c>
      <c r="K61" s="443" t="s">
        <v>5920</v>
      </c>
      <c r="L61" s="442" t="s">
        <v>5921</v>
      </c>
      <c r="M61" s="442" t="s">
        <v>6125</v>
      </c>
      <c r="N61" s="442" t="s">
        <v>6123</v>
      </c>
      <c r="O61" s="442" t="s">
        <v>6124</v>
      </c>
      <c r="P61" s="442" t="s">
        <v>6133</v>
      </c>
      <c r="Q61" s="443" t="s">
        <v>6063</v>
      </c>
      <c r="R61" s="443" t="s">
        <v>6064</v>
      </c>
      <c r="S61" s="442" t="s">
        <v>6065</v>
      </c>
    </row>
    <row r="62" spans="1:19">
      <c r="A62" t="s">
        <v>6290</v>
      </c>
      <c r="B62" s="444" t="str">
        <f>CONCATENATE($B$61,D62,Q62,R62)</f>
        <v>ZNShine525MonoHalfcell</v>
      </c>
      <c r="C62" s="48" t="s">
        <v>6284</v>
      </c>
      <c r="D62" s="48">
        <v>525</v>
      </c>
      <c r="E62" s="48">
        <v>40.799999999999997</v>
      </c>
      <c r="F62" s="48">
        <v>12.88</v>
      </c>
      <c r="G62" s="48">
        <v>49.1</v>
      </c>
      <c r="H62" s="48">
        <v>13.6</v>
      </c>
      <c r="I62" s="48">
        <v>20.5</v>
      </c>
      <c r="J62" s="106">
        <v>-3.5000000000000001E-3</v>
      </c>
      <c r="K62" s="106">
        <v>-2.8999999999999998E-3</v>
      </c>
      <c r="L62" s="106">
        <v>5.0000000000000001E-4</v>
      </c>
      <c r="M62" s="48">
        <v>2256</v>
      </c>
      <c r="N62" s="48">
        <v>1133</v>
      </c>
      <c r="O62" s="48">
        <v>35</v>
      </c>
      <c r="P62" s="153">
        <f>(M62*N62)/1000000</f>
        <v>2.5560480000000001</v>
      </c>
      <c r="Q62" s="48" t="s">
        <v>6127</v>
      </c>
      <c r="R62" s="48" t="s">
        <v>6129</v>
      </c>
      <c r="S62" s="48">
        <v>33.5</v>
      </c>
    </row>
    <row r="63" spans="1:19">
      <c r="A63" t="s">
        <v>6290</v>
      </c>
      <c r="B63" s="444" t="str">
        <f t="shared" ref="B63:B67" si="5">CONCATENATE($B$61,D63,Q63,R63)</f>
        <v>ZNShine530MonoHalfcell</v>
      </c>
      <c r="C63" s="48" t="s">
        <v>6285</v>
      </c>
      <c r="D63" s="48">
        <v>530</v>
      </c>
      <c r="E63" s="48">
        <v>41</v>
      </c>
      <c r="F63" s="48">
        <v>12.94</v>
      </c>
      <c r="G63" s="48">
        <v>49.3</v>
      </c>
      <c r="H63" s="48">
        <v>13.66</v>
      </c>
      <c r="I63" s="48">
        <v>20.7</v>
      </c>
      <c r="J63" s="106">
        <v>-3.5000000000000001E-3</v>
      </c>
      <c r="K63" s="106">
        <v>-2.8999999999999998E-3</v>
      </c>
      <c r="L63" s="106">
        <v>5.0000000000000001E-4</v>
      </c>
      <c r="M63" s="48">
        <v>2256</v>
      </c>
      <c r="N63" s="48">
        <v>1133</v>
      </c>
      <c r="O63" s="48">
        <v>35</v>
      </c>
      <c r="P63" s="153">
        <f t="shared" ref="P63:P67" si="6">(M63*N63)/1000000</f>
        <v>2.5560480000000001</v>
      </c>
      <c r="Q63" s="48" t="s">
        <v>6127</v>
      </c>
      <c r="R63" s="48" t="s">
        <v>6129</v>
      </c>
      <c r="S63" s="48">
        <v>33.5</v>
      </c>
    </row>
    <row r="64" spans="1:19">
      <c r="A64" t="s">
        <v>6290</v>
      </c>
      <c r="B64" s="444" t="str">
        <f t="shared" si="5"/>
        <v>ZNShine535MonoHalfcell</v>
      </c>
      <c r="C64" s="48" t="s">
        <v>6286</v>
      </c>
      <c r="D64" s="48">
        <v>535</v>
      </c>
      <c r="E64" s="48">
        <v>41.2</v>
      </c>
      <c r="F64" s="48">
        <v>13</v>
      </c>
      <c r="G64" s="48">
        <v>49.5</v>
      </c>
      <c r="H64" s="48">
        <v>13.72</v>
      </c>
      <c r="I64" s="48">
        <v>20.9</v>
      </c>
      <c r="J64" s="106">
        <v>-3.5000000000000001E-3</v>
      </c>
      <c r="K64" s="106">
        <v>-2.8999999999999998E-3</v>
      </c>
      <c r="L64" s="106">
        <v>5.0000000000000001E-4</v>
      </c>
      <c r="M64" s="48">
        <v>2256</v>
      </c>
      <c r="N64" s="48">
        <v>1133</v>
      </c>
      <c r="O64" s="48">
        <v>35</v>
      </c>
      <c r="P64" s="153">
        <f t="shared" si="6"/>
        <v>2.5560480000000001</v>
      </c>
      <c r="Q64" s="48" t="s">
        <v>6127</v>
      </c>
      <c r="R64" s="48" t="s">
        <v>6129</v>
      </c>
      <c r="S64" s="48">
        <v>33.5</v>
      </c>
    </row>
    <row r="65" spans="1:19">
      <c r="A65" t="s">
        <v>6290</v>
      </c>
      <c r="B65" s="444" t="str">
        <f t="shared" si="5"/>
        <v>ZNShine540MonoHalfcell</v>
      </c>
      <c r="C65" s="48" t="s">
        <v>6287</v>
      </c>
      <c r="D65" s="48">
        <v>540</v>
      </c>
      <c r="E65" s="48">
        <v>41.4</v>
      </c>
      <c r="F65" s="48">
        <v>13.05</v>
      </c>
      <c r="G65" s="48">
        <v>49.7</v>
      </c>
      <c r="H65" s="48">
        <v>13.78</v>
      </c>
      <c r="I65" s="48">
        <v>21.1</v>
      </c>
      <c r="J65" s="106">
        <v>-3.5000000000000001E-3</v>
      </c>
      <c r="K65" s="106">
        <v>-2.8999999999999998E-3</v>
      </c>
      <c r="L65" s="106">
        <v>5.0000000000000001E-4</v>
      </c>
      <c r="M65" s="48">
        <v>2256</v>
      </c>
      <c r="N65" s="48">
        <v>1133</v>
      </c>
      <c r="O65" s="48">
        <v>35</v>
      </c>
      <c r="P65" s="153">
        <f t="shared" si="6"/>
        <v>2.5560480000000001</v>
      </c>
      <c r="Q65" s="48" t="s">
        <v>6127</v>
      </c>
      <c r="R65" s="48" t="s">
        <v>6129</v>
      </c>
      <c r="S65" s="48">
        <v>33.5</v>
      </c>
    </row>
    <row r="66" spans="1:19">
      <c r="A66" t="s">
        <v>6290</v>
      </c>
      <c r="B66" s="444" t="str">
        <f t="shared" si="5"/>
        <v>ZNShine545MonoHalfcell</v>
      </c>
      <c r="C66" s="48" t="s">
        <v>6288</v>
      </c>
      <c r="D66" s="48">
        <v>545</v>
      </c>
      <c r="E66" s="48">
        <v>41.6</v>
      </c>
      <c r="F66" s="48">
        <v>13.11</v>
      </c>
      <c r="G66" s="48">
        <v>49.9</v>
      </c>
      <c r="H66" s="48">
        <v>13.84</v>
      </c>
      <c r="I66" s="48">
        <v>21.3</v>
      </c>
      <c r="J66" s="106">
        <v>-3.5000000000000001E-3</v>
      </c>
      <c r="K66" s="106">
        <v>-2.8999999999999998E-3</v>
      </c>
      <c r="L66" s="106">
        <v>5.0000000000000001E-4</v>
      </c>
      <c r="M66" s="48">
        <v>2256</v>
      </c>
      <c r="N66" s="48">
        <v>1133</v>
      </c>
      <c r="O66" s="48">
        <v>35</v>
      </c>
      <c r="P66" s="153">
        <f t="shared" si="6"/>
        <v>2.5560480000000001</v>
      </c>
      <c r="Q66" s="48" t="s">
        <v>6127</v>
      </c>
      <c r="R66" s="48" t="s">
        <v>6129</v>
      </c>
      <c r="S66" s="48">
        <v>33.5</v>
      </c>
    </row>
    <row r="67" spans="1:19">
      <c r="A67" s="1" t="s">
        <v>6290</v>
      </c>
      <c r="B67" s="444" t="str">
        <f t="shared" si="5"/>
        <v>ZNShine550MonoHalfcell</v>
      </c>
      <c r="C67" s="48" t="s">
        <v>6289</v>
      </c>
      <c r="D67" s="48">
        <v>550</v>
      </c>
      <c r="E67" s="48">
        <v>41.8</v>
      </c>
      <c r="F67" s="48">
        <v>13.16</v>
      </c>
      <c r="G67" s="48">
        <v>50.1</v>
      </c>
      <c r="H67" s="48">
        <v>13.9</v>
      </c>
      <c r="I67" s="48">
        <v>21.5</v>
      </c>
      <c r="J67" s="106">
        <v>-3.5000000000000001E-3</v>
      </c>
      <c r="K67" s="106">
        <v>-2.8999999999999998E-3</v>
      </c>
      <c r="L67" s="106">
        <v>5.0000000000000001E-4</v>
      </c>
      <c r="M67" s="48">
        <v>2256</v>
      </c>
      <c r="N67" s="48">
        <v>1133</v>
      </c>
      <c r="O67" s="48">
        <v>35</v>
      </c>
      <c r="P67" s="153">
        <f t="shared" si="6"/>
        <v>2.5560480000000001</v>
      </c>
      <c r="Q67" s="48" t="s">
        <v>6127</v>
      </c>
      <c r="R67" s="48" t="s">
        <v>6129</v>
      </c>
      <c r="S67" s="48">
        <v>33.5</v>
      </c>
    </row>
    <row r="68" spans="1:19">
      <c r="A68" s="1"/>
      <c r="E68"/>
      <c r="F68"/>
      <c r="G68"/>
      <c r="H68"/>
      <c r="I68"/>
      <c r="Q68"/>
      <c r="R68"/>
      <c r="S68"/>
    </row>
    <row r="69" spans="1:19">
      <c r="E69"/>
      <c r="F69"/>
      <c r="G69"/>
      <c r="H69"/>
      <c r="I69"/>
      <c r="Q69"/>
      <c r="R69"/>
      <c r="S69"/>
    </row>
    <row r="70" spans="1:19">
      <c r="E70"/>
      <c r="F70"/>
      <c r="G70"/>
      <c r="H70"/>
      <c r="I70"/>
      <c r="Q70"/>
      <c r="R70"/>
      <c r="S70"/>
    </row>
    <row r="71" spans="1:19" ht="15.75">
      <c r="E71"/>
      <c r="F71"/>
      <c r="G71"/>
      <c r="H71"/>
      <c r="I71"/>
      <c r="M71" s="576" t="s">
        <v>5922</v>
      </c>
      <c r="N71" s="577"/>
      <c r="O71" s="577"/>
      <c r="P71" s="577"/>
      <c r="Q71"/>
      <c r="R71"/>
      <c r="S71"/>
    </row>
    <row r="72" spans="1:19" ht="15.75">
      <c r="B72" s="450" t="s">
        <v>5931</v>
      </c>
      <c r="C72" s="450" t="s">
        <v>3038</v>
      </c>
      <c r="D72" s="451" t="s">
        <v>5917</v>
      </c>
      <c r="E72" s="451" t="s">
        <v>5923</v>
      </c>
      <c r="F72" s="451" t="s">
        <v>5924</v>
      </c>
      <c r="G72" s="451" t="s">
        <v>5925</v>
      </c>
      <c r="H72" s="451" t="s">
        <v>5926</v>
      </c>
      <c r="I72" s="451" t="s">
        <v>5918</v>
      </c>
      <c r="J72" s="451" t="s">
        <v>5919</v>
      </c>
      <c r="K72" s="451" t="s">
        <v>5920</v>
      </c>
      <c r="L72" s="450" t="s">
        <v>5921</v>
      </c>
      <c r="M72" s="450" t="s">
        <v>6125</v>
      </c>
      <c r="N72" s="450" t="s">
        <v>6123</v>
      </c>
      <c r="O72" s="450" t="s">
        <v>6124</v>
      </c>
      <c r="P72" s="450" t="s">
        <v>6133</v>
      </c>
      <c r="Q72" s="451" t="s">
        <v>6063</v>
      </c>
      <c r="R72" s="451" t="s">
        <v>6064</v>
      </c>
      <c r="S72" s="450" t="s">
        <v>6065</v>
      </c>
    </row>
    <row r="73" spans="1:19">
      <c r="B73" s="444" t="str">
        <f>CONCATENATE($B$72,D73,Q73,R73)</f>
        <v>Canadian</v>
      </c>
      <c r="E73"/>
      <c r="F73"/>
      <c r="G73"/>
      <c r="H73"/>
      <c r="I73"/>
      <c r="P73">
        <f>(M73*N73)/1000000</f>
        <v>0</v>
      </c>
      <c r="Q73"/>
      <c r="R73"/>
      <c r="S73"/>
    </row>
    <row r="74" spans="1:19">
      <c r="E74"/>
      <c r="F74"/>
      <c r="G74"/>
      <c r="H74"/>
      <c r="I74"/>
      <c r="P74">
        <f t="shared" ref="P74:P79" si="7">(M74*N74)/1000000</f>
        <v>0</v>
      </c>
      <c r="Q74"/>
      <c r="R74"/>
      <c r="S74"/>
    </row>
    <row r="75" spans="1:19">
      <c r="E75"/>
      <c r="F75"/>
      <c r="G75"/>
      <c r="H75"/>
      <c r="I75"/>
      <c r="P75">
        <f t="shared" si="7"/>
        <v>0</v>
      </c>
      <c r="Q75"/>
      <c r="R75"/>
      <c r="S75"/>
    </row>
    <row r="76" spans="1:19">
      <c r="E76"/>
      <c r="F76"/>
      <c r="G76"/>
      <c r="H76"/>
      <c r="I76"/>
      <c r="P76">
        <f t="shared" si="7"/>
        <v>0</v>
      </c>
      <c r="Q76"/>
      <c r="R76"/>
      <c r="S76"/>
    </row>
    <row r="77" spans="1:19">
      <c r="P77">
        <f t="shared" si="7"/>
        <v>0</v>
      </c>
    </row>
    <row r="78" spans="1:19">
      <c r="P78">
        <f t="shared" si="7"/>
        <v>0</v>
      </c>
    </row>
    <row r="79" spans="1:19">
      <c r="P79">
        <f t="shared" si="7"/>
        <v>0</v>
      </c>
    </row>
  </sheetData>
  <mergeCells count="6">
    <mergeCell ref="M71:P71"/>
    <mergeCell ref="M32:P32"/>
    <mergeCell ref="M4:P4"/>
    <mergeCell ref="M1:S1"/>
    <mergeCell ref="B2:S2"/>
    <mergeCell ref="M60:P60"/>
  </mergeCells>
  <phoneticPr fontId="23" type="noConversion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95F91-C8B6-41AB-A31C-5D866E0BB4FF}">
  <sheetPr codeName="Planilha11">
    <tabColor rgb="FFFF0000"/>
  </sheetPr>
  <dimension ref="A1:Z1000"/>
  <sheetViews>
    <sheetView topLeftCell="A499" zoomScaleNormal="100" workbookViewId="0">
      <selection activeCell="C509" sqref="C509"/>
    </sheetView>
  </sheetViews>
  <sheetFormatPr defaultColWidth="8.85546875" defaultRowHeight="15.75" thickBottom="1"/>
  <cols>
    <col min="1" max="1" width="13.140625" style="61" customWidth="1"/>
    <col min="2" max="2" width="10.7109375" style="62" customWidth="1"/>
    <col min="3" max="3" width="10.5703125" style="61" customWidth="1"/>
    <col min="4" max="4" width="13" style="61" customWidth="1"/>
    <col min="5" max="5" width="11.140625" style="61" bestFit="1" customWidth="1"/>
    <col min="6" max="6" width="10.140625" style="61" customWidth="1"/>
    <col min="7" max="7" width="12.140625" style="61" customWidth="1"/>
    <col min="8" max="8" width="11" style="61" customWidth="1"/>
    <col min="9" max="9" width="10.7109375" style="61" customWidth="1"/>
    <col min="10" max="10" width="10" style="61" customWidth="1"/>
    <col min="11" max="16384" width="8.85546875" style="61"/>
  </cols>
  <sheetData>
    <row r="1" spans="1:26" thickBot="1">
      <c r="A1" s="64"/>
      <c r="B1" s="84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4"/>
      <c r="R1" s="64"/>
      <c r="S1" s="64"/>
      <c r="T1" s="64"/>
      <c r="U1" s="64"/>
      <c r="V1" s="64"/>
      <c r="W1" s="64"/>
      <c r="X1" s="64"/>
      <c r="Y1" s="64"/>
      <c r="Z1" s="64"/>
    </row>
    <row r="2" spans="1:26" thickBot="1">
      <c r="A2" s="66"/>
      <c r="B2" s="85" t="s">
        <v>5864</v>
      </c>
      <c r="C2" s="67" t="s">
        <v>5853</v>
      </c>
      <c r="D2" s="67" t="s">
        <v>5827</v>
      </c>
      <c r="E2" s="67" t="s">
        <v>5828</v>
      </c>
      <c r="F2" s="67" t="s">
        <v>5829</v>
      </c>
      <c r="G2" s="67" t="s">
        <v>5830</v>
      </c>
      <c r="H2" s="67" t="s">
        <v>5831</v>
      </c>
      <c r="I2" s="67" t="s">
        <v>5832</v>
      </c>
      <c r="J2" s="67" t="s">
        <v>5833</v>
      </c>
      <c r="K2" s="67" t="s">
        <v>5834</v>
      </c>
      <c r="L2" s="67" t="s">
        <v>5835</v>
      </c>
      <c r="M2" s="67" t="s">
        <v>5836</v>
      </c>
      <c r="N2" s="67" t="s">
        <v>5837</v>
      </c>
      <c r="O2" s="67" t="s">
        <v>5838</v>
      </c>
      <c r="P2" s="68" t="s">
        <v>20</v>
      </c>
      <c r="Q2" s="64"/>
      <c r="R2" s="64"/>
      <c r="S2" s="64"/>
      <c r="T2" s="64"/>
      <c r="U2" s="64"/>
      <c r="V2" s="64"/>
      <c r="W2" s="64"/>
      <c r="X2" s="64"/>
      <c r="Y2" s="64"/>
      <c r="Z2" s="64"/>
    </row>
    <row r="3" spans="1:26" thickBot="1">
      <c r="A3" s="66" t="str">
        <f>$B$2&amp;C3</f>
        <v>Latitude 00</v>
      </c>
      <c r="B3" s="86">
        <v>0</v>
      </c>
      <c r="C3" s="69">
        <v>0</v>
      </c>
      <c r="D3" s="70">
        <v>1</v>
      </c>
      <c r="E3" s="70">
        <v>1</v>
      </c>
      <c r="F3" s="70">
        <v>1</v>
      </c>
      <c r="G3" s="70">
        <v>1</v>
      </c>
      <c r="H3" s="70">
        <v>1</v>
      </c>
      <c r="I3" s="70">
        <v>1</v>
      </c>
      <c r="J3" s="70">
        <v>0</v>
      </c>
      <c r="K3" s="70">
        <v>1</v>
      </c>
      <c r="L3" s="70">
        <v>1</v>
      </c>
      <c r="M3" s="70">
        <v>1</v>
      </c>
      <c r="N3" s="70">
        <v>1</v>
      </c>
      <c r="O3" s="70">
        <v>1</v>
      </c>
      <c r="P3" s="71">
        <v>0.92</v>
      </c>
      <c r="Q3" s="64"/>
      <c r="R3" s="64"/>
      <c r="S3" s="64"/>
      <c r="T3" s="64"/>
      <c r="U3" s="64"/>
      <c r="V3" s="64"/>
      <c r="W3" s="64"/>
      <c r="X3" s="64"/>
      <c r="Y3" s="64"/>
      <c r="Z3" s="64"/>
    </row>
    <row r="4" spans="1:26" thickBot="1">
      <c r="A4" s="66" t="str">
        <f t="shared" ref="A4:A21" si="0">$B$2&amp;C4</f>
        <v>Latitude 05</v>
      </c>
      <c r="B4" s="86">
        <v>0.5</v>
      </c>
      <c r="C4" s="69">
        <v>5</v>
      </c>
      <c r="D4" s="70">
        <v>0.97</v>
      </c>
      <c r="E4" s="70">
        <v>0.98</v>
      </c>
      <c r="F4" s="70">
        <v>1</v>
      </c>
      <c r="G4" s="70">
        <v>1.01</v>
      </c>
      <c r="H4" s="70">
        <v>1.02</v>
      </c>
      <c r="I4" s="70">
        <v>1.02</v>
      </c>
      <c r="J4" s="70">
        <v>1.02</v>
      </c>
      <c r="K4" s="70">
        <v>1.01</v>
      </c>
      <c r="L4" s="70">
        <v>1</v>
      </c>
      <c r="M4" s="70">
        <v>0.98</v>
      </c>
      <c r="N4" s="70">
        <v>0.97</v>
      </c>
      <c r="O4" s="70">
        <v>0.96</v>
      </c>
      <c r="P4" s="71">
        <v>1</v>
      </c>
      <c r="Q4" s="64"/>
      <c r="R4" s="64"/>
      <c r="S4" s="64"/>
      <c r="T4" s="64"/>
      <c r="U4" s="64"/>
      <c r="V4" s="64"/>
      <c r="W4" s="64"/>
      <c r="X4" s="64"/>
      <c r="Y4" s="64"/>
      <c r="Z4" s="64"/>
    </row>
    <row r="5" spans="1:26" thickBot="1">
      <c r="A5" s="66" t="str">
        <f t="shared" si="0"/>
        <v>Latitude 010</v>
      </c>
      <c r="B5" s="86">
        <v>0.1</v>
      </c>
      <c r="C5" s="69">
        <v>10</v>
      </c>
      <c r="D5" s="70">
        <v>0.93</v>
      </c>
      <c r="E5" s="70">
        <v>0.95</v>
      </c>
      <c r="F5" s="70">
        <v>0.99</v>
      </c>
      <c r="G5" s="70">
        <v>1.02</v>
      </c>
      <c r="H5" s="70">
        <v>1.04</v>
      </c>
      <c r="I5" s="70">
        <v>1.04</v>
      </c>
      <c r="J5" s="70">
        <v>1.03</v>
      </c>
      <c r="K5" s="70">
        <v>1.01</v>
      </c>
      <c r="L5" s="70">
        <v>0.99</v>
      </c>
      <c r="M5" s="70">
        <v>0.96</v>
      </c>
      <c r="N5" s="70">
        <v>0.93</v>
      </c>
      <c r="O5" s="70">
        <v>0.92</v>
      </c>
      <c r="P5" s="71">
        <v>0.98</v>
      </c>
      <c r="Q5" s="64"/>
      <c r="R5" s="64"/>
      <c r="S5" s="64"/>
      <c r="T5" s="64"/>
      <c r="U5" s="64"/>
      <c r="V5" s="64"/>
      <c r="W5" s="64"/>
      <c r="X5" s="64"/>
      <c r="Y5" s="64"/>
      <c r="Z5" s="64"/>
    </row>
    <row r="6" spans="1:26" thickBot="1">
      <c r="A6" s="66" t="str">
        <f t="shared" si="0"/>
        <v>Latitude 015</v>
      </c>
      <c r="B6" s="86">
        <v>0.15</v>
      </c>
      <c r="C6" s="69">
        <v>15</v>
      </c>
      <c r="D6" s="70">
        <v>0.88</v>
      </c>
      <c r="E6" s="70">
        <v>0.92</v>
      </c>
      <c r="F6" s="70">
        <v>0.97</v>
      </c>
      <c r="G6" s="70">
        <v>1.02</v>
      </c>
      <c r="H6" s="70">
        <v>1.05</v>
      </c>
      <c r="I6" s="70">
        <v>1.05</v>
      </c>
      <c r="J6" s="70">
        <v>1.04</v>
      </c>
      <c r="K6" s="70">
        <v>1.01</v>
      </c>
      <c r="L6" s="70">
        <v>0.97</v>
      </c>
      <c r="M6" s="70">
        <v>0.92</v>
      </c>
      <c r="N6" s="70">
        <v>0.88</v>
      </c>
      <c r="O6" s="70">
        <v>0.87</v>
      </c>
      <c r="P6" s="71">
        <v>0.97</v>
      </c>
      <c r="Q6" s="64"/>
      <c r="R6" s="64"/>
      <c r="S6" s="64"/>
      <c r="T6" s="64"/>
      <c r="U6" s="64"/>
      <c r="V6" s="64"/>
      <c r="W6" s="64"/>
      <c r="X6" s="64"/>
      <c r="Y6" s="64"/>
      <c r="Z6" s="64"/>
    </row>
    <row r="7" spans="1:26" thickBot="1">
      <c r="A7" s="66" t="str">
        <f t="shared" si="0"/>
        <v>Latitude 020</v>
      </c>
      <c r="B7" s="86">
        <v>0.2</v>
      </c>
      <c r="C7" s="69">
        <v>20</v>
      </c>
      <c r="D7" s="70">
        <v>0.83</v>
      </c>
      <c r="E7" s="70" t="s">
        <v>5849</v>
      </c>
      <c r="F7" s="70">
        <v>0.95</v>
      </c>
      <c r="G7" s="70">
        <v>1.01</v>
      </c>
      <c r="H7" s="70">
        <v>1.05</v>
      </c>
      <c r="I7" s="70">
        <v>1.06</v>
      </c>
      <c r="J7" s="70">
        <v>1.04</v>
      </c>
      <c r="K7" s="70">
        <v>1</v>
      </c>
      <c r="L7" s="70">
        <v>0.95</v>
      </c>
      <c r="M7" s="70">
        <v>0.88</v>
      </c>
      <c r="N7" s="70">
        <v>0.83</v>
      </c>
      <c r="O7" s="70">
        <v>0.81</v>
      </c>
      <c r="P7" s="71">
        <v>0.87</v>
      </c>
      <c r="Q7" s="64"/>
      <c r="R7" s="64"/>
      <c r="S7" s="64"/>
      <c r="T7" s="64"/>
      <c r="U7" s="64"/>
      <c r="V7" s="64"/>
      <c r="W7" s="64"/>
      <c r="X7" s="64"/>
      <c r="Y7" s="64"/>
      <c r="Z7" s="64"/>
    </row>
    <row r="8" spans="1:26" thickBot="1">
      <c r="A8" s="66" t="str">
        <f t="shared" si="0"/>
        <v>Latitude 025</v>
      </c>
      <c r="B8" s="86">
        <v>0.25</v>
      </c>
      <c r="C8" s="69">
        <v>25</v>
      </c>
      <c r="D8" s="70">
        <v>0.77</v>
      </c>
      <c r="E8" s="70">
        <v>0.83</v>
      </c>
      <c r="F8" s="70">
        <v>0.92</v>
      </c>
      <c r="G8" s="70">
        <v>0.99</v>
      </c>
      <c r="H8" s="70">
        <v>1.04</v>
      </c>
      <c r="I8" s="70">
        <v>1.06</v>
      </c>
      <c r="J8" s="70">
        <v>1.03</v>
      </c>
      <c r="K8" s="70">
        <v>0.99</v>
      </c>
      <c r="L8" s="70">
        <v>0.92</v>
      </c>
      <c r="M8" s="70">
        <v>0.84</v>
      </c>
      <c r="N8" s="70">
        <v>0.77</v>
      </c>
      <c r="O8" s="70">
        <v>0.75</v>
      </c>
      <c r="P8" s="71">
        <v>0.91</v>
      </c>
      <c r="Q8" s="64"/>
      <c r="R8" s="64"/>
      <c r="S8" s="64"/>
      <c r="T8" s="64"/>
      <c r="U8" s="64"/>
      <c r="V8" s="64"/>
      <c r="W8" s="64"/>
      <c r="X8" s="64"/>
      <c r="Y8" s="64"/>
      <c r="Z8" s="64"/>
    </row>
    <row r="9" spans="1:26" thickBot="1">
      <c r="A9" s="66" t="str">
        <f t="shared" si="0"/>
        <v>Latitude 030</v>
      </c>
      <c r="B9" s="86">
        <v>0.3</v>
      </c>
      <c r="C9" s="69">
        <v>30</v>
      </c>
      <c r="D9" s="70">
        <v>0.7</v>
      </c>
      <c r="E9" s="70">
        <v>0.78</v>
      </c>
      <c r="F9" s="70">
        <v>0.88</v>
      </c>
      <c r="G9" s="70">
        <v>0.97</v>
      </c>
      <c r="H9" s="70">
        <v>1.03</v>
      </c>
      <c r="I9" s="70">
        <v>1.05</v>
      </c>
      <c r="J9" s="70">
        <v>1.02</v>
      </c>
      <c r="K9" s="70">
        <v>0.97</v>
      </c>
      <c r="L9" s="70">
        <v>0.88</v>
      </c>
      <c r="M9" s="70">
        <v>0.79</v>
      </c>
      <c r="N9" s="70">
        <v>0.71</v>
      </c>
      <c r="O9" s="70">
        <v>0.68</v>
      </c>
      <c r="P9" s="71">
        <v>0.87</v>
      </c>
      <c r="Q9" s="64"/>
      <c r="R9" s="64"/>
      <c r="S9" s="64"/>
      <c r="T9" s="64"/>
      <c r="U9" s="64"/>
      <c r="V9" s="64"/>
      <c r="W9" s="64"/>
      <c r="X9" s="64"/>
      <c r="Y9" s="64"/>
      <c r="Z9" s="64"/>
    </row>
    <row r="10" spans="1:26" thickBot="1">
      <c r="A10" s="66" t="str">
        <f t="shared" si="0"/>
        <v>Latitude 035</v>
      </c>
      <c r="B10" s="86">
        <v>0.35</v>
      </c>
      <c r="C10" s="69">
        <v>35</v>
      </c>
      <c r="D10" s="70">
        <v>0.64</v>
      </c>
      <c r="E10" s="70">
        <v>0.72</v>
      </c>
      <c r="F10" s="70">
        <v>0.84</v>
      </c>
      <c r="G10" s="70">
        <v>0.94</v>
      </c>
      <c r="H10" s="70">
        <v>1.02</v>
      </c>
      <c r="I10" s="70">
        <v>1.03</v>
      </c>
      <c r="J10" s="70">
        <v>1</v>
      </c>
      <c r="K10" s="70">
        <v>0.94</v>
      </c>
      <c r="L10" s="70">
        <v>0.84</v>
      </c>
      <c r="M10" s="70">
        <v>0.74</v>
      </c>
      <c r="N10" s="70">
        <v>0.64</v>
      </c>
      <c r="O10" s="70">
        <v>0.61</v>
      </c>
      <c r="P10" s="71">
        <v>0.83</v>
      </c>
      <c r="Q10" s="64"/>
      <c r="R10" s="64"/>
      <c r="S10" s="64"/>
      <c r="T10" s="64"/>
      <c r="U10" s="64"/>
      <c r="V10" s="64"/>
      <c r="W10" s="64"/>
      <c r="X10" s="64"/>
      <c r="Y10" s="64"/>
      <c r="Z10" s="64"/>
    </row>
    <row r="11" spans="1:26" thickBot="1">
      <c r="A11" s="66" t="str">
        <f t="shared" si="0"/>
        <v>Latitude 040</v>
      </c>
      <c r="B11" s="86">
        <v>0.4</v>
      </c>
      <c r="C11" s="69">
        <v>40</v>
      </c>
      <c r="D11" s="70">
        <v>0.56000000000000005</v>
      </c>
      <c r="E11" s="70">
        <v>0.66</v>
      </c>
      <c r="F11" s="70">
        <v>0.79</v>
      </c>
      <c r="G11" s="70">
        <v>0.91</v>
      </c>
      <c r="H11" s="70">
        <v>0.99</v>
      </c>
      <c r="I11" s="70">
        <v>1.01</v>
      </c>
      <c r="J11" s="70">
        <v>0.98</v>
      </c>
      <c r="K11" s="70">
        <v>0.9</v>
      </c>
      <c r="L11" s="70">
        <v>0.8</v>
      </c>
      <c r="M11" s="70">
        <v>0.68</v>
      </c>
      <c r="N11" s="70">
        <v>0.56999999999999995</v>
      </c>
      <c r="O11" s="70">
        <v>0.53</v>
      </c>
      <c r="P11" s="71">
        <v>0.78</v>
      </c>
      <c r="Q11" s="64"/>
      <c r="R11" s="64"/>
      <c r="S11" s="64"/>
      <c r="T11" s="64"/>
      <c r="U11" s="64"/>
      <c r="V11" s="64"/>
      <c r="W11" s="64"/>
      <c r="X11" s="64"/>
      <c r="Y11" s="64"/>
      <c r="Z11" s="64"/>
    </row>
    <row r="12" spans="1:26" thickBot="1">
      <c r="A12" s="66" t="str">
        <f t="shared" si="0"/>
        <v>Latitude 045</v>
      </c>
      <c r="B12" s="86">
        <v>0.45</v>
      </c>
      <c r="C12" s="69">
        <v>45</v>
      </c>
      <c r="D12" s="70">
        <v>0.49</v>
      </c>
      <c r="E12" s="70">
        <v>0.59</v>
      </c>
      <c r="F12" s="70">
        <v>0.73</v>
      </c>
      <c r="G12" s="70">
        <v>0.87</v>
      </c>
      <c r="H12" s="70">
        <v>0.96</v>
      </c>
      <c r="I12" s="70">
        <v>0.98</v>
      </c>
      <c r="J12" s="70">
        <v>0.95</v>
      </c>
      <c r="K12" s="70">
        <v>0.87</v>
      </c>
      <c r="L12" s="70">
        <v>0.75</v>
      </c>
      <c r="M12" s="70">
        <v>0.61</v>
      </c>
      <c r="N12" s="70">
        <v>0.5</v>
      </c>
      <c r="O12" s="70">
        <v>0.45</v>
      </c>
      <c r="P12" s="71">
        <v>0.73</v>
      </c>
      <c r="Q12" s="64"/>
      <c r="R12" s="64"/>
      <c r="S12" s="64"/>
      <c r="T12" s="64"/>
      <c r="U12" s="64"/>
      <c r="V12" s="64"/>
      <c r="W12" s="64"/>
      <c r="X12" s="64"/>
      <c r="Y12" s="64"/>
      <c r="Z12" s="64"/>
    </row>
    <row r="13" spans="1:26" thickBot="1">
      <c r="A13" s="66" t="str">
        <f t="shared" si="0"/>
        <v>Latitude 050</v>
      </c>
      <c r="B13" s="86">
        <v>0.5</v>
      </c>
      <c r="C13" s="69">
        <v>50</v>
      </c>
      <c r="D13" s="70">
        <v>0.41</v>
      </c>
      <c r="E13" s="70">
        <v>0.52</v>
      </c>
      <c r="F13" s="70">
        <v>0.68</v>
      </c>
      <c r="G13" s="70">
        <v>0.82</v>
      </c>
      <c r="H13" s="70">
        <v>0.92</v>
      </c>
      <c r="I13" s="70">
        <v>0.95</v>
      </c>
      <c r="J13" s="70">
        <v>0.91</v>
      </c>
      <c r="K13" s="70">
        <v>0.82</v>
      </c>
      <c r="L13" s="70">
        <v>0.69</v>
      </c>
      <c r="M13" s="70">
        <v>0.54</v>
      </c>
      <c r="N13" s="70">
        <v>0.42</v>
      </c>
      <c r="O13" s="70">
        <v>0.37</v>
      </c>
      <c r="P13" s="71">
        <v>0.67</v>
      </c>
      <c r="Q13" s="64"/>
      <c r="R13" s="64"/>
      <c r="S13" s="64"/>
      <c r="T13" s="64"/>
      <c r="U13" s="64"/>
      <c r="V13" s="64"/>
      <c r="W13" s="64"/>
      <c r="X13" s="64"/>
      <c r="Y13" s="64"/>
      <c r="Z13" s="64"/>
    </row>
    <row r="14" spans="1:26" thickBot="1">
      <c r="A14" s="66" t="str">
        <f t="shared" si="0"/>
        <v>Latitude 055</v>
      </c>
      <c r="B14" s="86">
        <v>0.55000000000000004</v>
      </c>
      <c r="C14" s="69">
        <v>55</v>
      </c>
      <c r="D14" s="70">
        <v>0.33</v>
      </c>
      <c r="E14" s="70">
        <v>0.45</v>
      </c>
      <c r="F14" s="70">
        <v>0.61</v>
      </c>
      <c r="G14" s="70">
        <v>0.77</v>
      </c>
      <c r="H14" s="70">
        <v>0.88</v>
      </c>
      <c r="I14" s="70">
        <v>0.91</v>
      </c>
      <c r="J14" s="70">
        <v>0.87</v>
      </c>
      <c r="K14" s="70">
        <v>0.77</v>
      </c>
      <c r="L14" s="70">
        <v>0.63</v>
      </c>
      <c r="M14" s="70">
        <v>0.47</v>
      </c>
      <c r="N14" s="70">
        <v>0.34</v>
      </c>
      <c r="O14" s="70">
        <v>0.28000000000000003</v>
      </c>
      <c r="P14" s="71">
        <v>0.61</v>
      </c>
      <c r="Q14" s="64"/>
      <c r="R14" s="64"/>
      <c r="S14" s="64"/>
      <c r="T14" s="64"/>
      <c r="U14" s="64"/>
      <c r="V14" s="64"/>
      <c r="W14" s="64"/>
      <c r="X14" s="64"/>
      <c r="Y14" s="64"/>
      <c r="Z14" s="64"/>
    </row>
    <row r="15" spans="1:26" thickBot="1">
      <c r="A15" s="66" t="str">
        <f t="shared" si="0"/>
        <v>Latitude 060</v>
      </c>
      <c r="B15" s="86">
        <v>0.6</v>
      </c>
      <c r="C15" s="69">
        <v>60</v>
      </c>
      <c r="D15" s="70">
        <v>0.24</v>
      </c>
      <c r="E15" s="70">
        <v>0.37</v>
      </c>
      <c r="F15" s="70">
        <v>0.55000000000000004</v>
      </c>
      <c r="G15" s="70">
        <v>0.71</v>
      </c>
      <c r="H15" s="70">
        <v>0.83</v>
      </c>
      <c r="I15" s="70">
        <v>0.86</v>
      </c>
      <c r="J15" s="70">
        <v>0.82</v>
      </c>
      <c r="K15" s="70">
        <v>0.72</v>
      </c>
      <c r="L15" s="70">
        <v>0.56999999999999995</v>
      </c>
      <c r="M15" s="70">
        <v>0.4</v>
      </c>
      <c r="N15" s="70">
        <v>0.26</v>
      </c>
      <c r="O15" s="70">
        <v>0.2</v>
      </c>
      <c r="P15" s="71">
        <v>0.54</v>
      </c>
      <c r="Q15" s="64"/>
      <c r="R15" s="64"/>
      <c r="S15" s="64"/>
      <c r="T15" s="64"/>
      <c r="U15" s="64"/>
      <c r="V15" s="64"/>
      <c r="W15" s="64"/>
      <c r="X15" s="64"/>
      <c r="Y15" s="64"/>
      <c r="Z15" s="64"/>
    </row>
    <row r="16" spans="1:26" thickBot="1">
      <c r="A16" s="66" t="str">
        <f t="shared" si="0"/>
        <v>Latitude 065</v>
      </c>
      <c r="B16" s="86">
        <v>0.65</v>
      </c>
      <c r="C16" s="69">
        <v>65</v>
      </c>
      <c r="D16" s="70">
        <v>0.16</v>
      </c>
      <c r="E16" s="70">
        <v>0.3</v>
      </c>
      <c r="F16" s="70">
        <v>0.48</v>
      </c>
      <c r="G16" s="70">
        <v>0.65</v>
      </c>
      <c r="H16" s="70">
        <v>0.77</v>
      </c>
      <c r="I16" s="70">
        <v>0.81</v>
      </c>
      <c r="J16" s="70">
        <v>0.77</v>
      </c>
      <c r="K16" s="70">
        <v>0.66</v>
      </c>
      <c r="L16" s="70">
        <v>0.5</v>
      </c>
      <c r="M16" s="70">
        <v>0.32</v>
      </c>
      <c r="N16" s="70">
        <v>0.18</v>
      </c>
      <c r="O16" s="70">
        <v>0.13</v>
      </c>
      <c r="P16" s="71">
        <v>0.48</v>
      </c>
      <c r="Q16" s="64"/>
      <c r="R16" s="64"/>
      <c r="S16" s="64"/>
      <c r="T16" s="64"/>
      <c r="U16" s="64"/>
      <c r="V16" s="64"/>
      <c r="W16" s="64"/>
      <c r="X16" s="64"/>
      <c r="Y16" s="64"/>
      <c r="Z16" s="64"/>
    </row>
    <row r="17" spans="1:26" thickBot="1">
      <c r="A17" s="66" t="str">
        <f t="shared" si="0"/>
        <v>Latitude 070</v>
      </c>
      <c r="B17" s="86">
        <v>0.7</v>
      </c>
      <c r="C17" s="69">
        <v>70</v>
      </c>
      <c r="D17" s="70">
        <v>0.11</v>
      </c>
      <c r="E17" s="70">
        <v>0.22</v>
      </c>
      <c r="F17" s="70">
        <v>0.4</v>
      </c>
      <c r="G17" s="70">
        <v>0.59</v>
      </c>
      <c r="H17" s="70">
        <v>0.72</v>
      </c>
      <c r="I17" s="70">
        <v>0.75</v>
      </c>
      <c r="J17" s="70">
        <v>0.71</v>
      </c>
      <c r="K17" s="70">
        <v>0.6</v>
      </c>
      <c r="L17" s="70">
        <v>0.43</v>
      </c>
      <c r="M17" s="70">
        <v>0.25</v>
      </c>
      <c r="N17" s="70">
        <v>0.13</v>
      </c>
      <c r="O17" s="70">
        <v>0.12</v>
      </c>
      <c r="P17" s="71">
        <v>0.42</v>
      </c>
      <c r="Q17" s="64"/>
      <c r="R17" s="64"/>
      <c r="S17" s="64"/>
      <c r="T17" s="64"/>
      <c r="U17" s="64"/>
      <c r="V17" s="64"/>
      <c r="W17" s="64"/>
      <c r="X17" s="64"/>
      <c r="Y17" s="64"/>
      <c r="Z17" s="64"/>
    </row>
    <row r="18" spans="1:26" thickBot="1">
      <c r="A18" s="66" t="str">
        <f t="shared" si="0"/>
        <v>Latitude 075</v>
      </c>
      <c r="B18" s="86">
        <v>0.75</v>
      </c>
      <c r="C18" s="69">
        <v>75</v>
      </c>
      <c r="D18" s="70">
        <v>0.11</v>
      </c>
      <c r="E18" s="70">
        <v>0.13</v>
      </c>
      <c r="F18" s="70">
        <v>0.33</v>
      </c>
      <c r="G18" s="70">
        <v>0.52</v>
      </c>
      <c r="H18" s="70">
        <v>0.65</v>
      </c>
      <c r="I18" s="70">
        <v>0.69</v>
      </c>
      <c r="J18" s="70">
        <v>0.65</v>
      </c>
      <c r="K18" s="70">
        <v>0.53</v>
      </c>
      <c r="L18" s="70">
        <v>0.36</v>
      </c>
      <c r="M18" s="70">
        <v>0.17</v>
      </c>
      <c r="N18" s="70">
        <v>0.12</v>
      </c>
      <c r="O18" s="70">
        <v>0.11</v>
      </c>
      <c r="P18" s="71">
        <v>0.36</v>
      </c>
      <c r="Q18" s="64"/>
      <c r="R18" s="64"/>
      <c r="S18" s="64"/>
      <c r="T18" s="64"/>
      <c r="U18" s="64"/>
      <c r="V18" s="64"/>
      <c r="W18" s="64"/>
      <c r="X18" s="64"/>
      <c r="Y18" s="64"/>
      <c r="Z18" s="64"/>
    </row>
    <row r="19" spans="1:26" thickBot="1">
      <c r="A19" s="66" t="str">
        <f t="shared" si="0"/>
        <v>Latitude 080</v>
      </c>
      <c r="B19" s="86">
        <v>0.8</v>
      </c>
      <c r="C19" s="69">
        <v>80</v>
      </c>
      <c r="D19" s="70">
        <v>0.1</v>
      </c>
      <c r="E19" s="70">
        <v>0.1</v>
      </c>
      <c r="F19" s="70">
        <v>0.25</v>
      </c>
      <c r="G19" s="70">
        <v>0.45</v>
      </c>
      <c r="H19" s="70">
        <v>0.57999999999999996</v>
      </c>
      <c r="I19" s="70">
        <v>0.63</v>
      </c>
      <c r="J19" s="70">
        <v>0.57999999999999996</v>
      </c>
      <c r="K19" s="70">
        <v>0.47</v>
      </c>
      <c r="L19" s="70">
        <v>0.28999999999999998</v>
      </c>
      <c r="M19" s="70">
        <v>0.13</v>
      </c>
      <c r="N19" s="70">
        <v>0.12</v>
      </c>
      <c r="O19" s="70">
        <v>0.1</v>
      </c>
      <c r="P19" s="71">
        <v>0.32</v>
      </c>
      <c r="Q19" s="64"/>
      <c r="R19" s="64"/>
      <c r="S19" s="64"/>
      <c r="T19" s="64"/>
      <c r="U19" s="64"/>
      <c r="V19" s="64"/>
      <c r="W19" s="64"/>
      <c r="X19" s="64"/>
      <c r="Y19" s="64"/>
      <c r="Z19" s="64"/>
    </row>
    <row r="20" spans="1:26" thickBot="1">
      <c r="A20" s="66" t="str">
        <f t="shared" si="0"/>
        <v>Latitude 085</v>
      </c>
      <c r="B20" s="86">
        <v>0.85</v>
      </c>
      <c r="C20" s="69">
        <v>85</v>
      </c>
      <c r="D20" s="70">
        <v>0.09</v>
      </c>
      <c r="E20" s="70">
        <v>0.09</v>
      </c>
      <c r="F20" s="70">
        <v>0.17</v>
      </c>
      <c r="G20" s="70">
        <v>0.37</v>
      </c>
      <c r="H20" s="70">
        <v>0.51</v>
      </c>
      <c r="I20" s="70">
        <v>0.56000000000000005</v>
      </c>
      <c r="J20" s="70">
        <v>0.52</v>
      </c>
      <c r="K20" s="70">
        <v>0.4</v>
      </c>
      <c r="L20" s="70">
        <v>0.21</v>
      </c>
      <c r="M20" s="70">
        <v>0.12</v>
      </c>
      <c r="N20" s="70">
        <v>0.11</v>
      </c>
      <c r="O20" s="70">
        <v>0.1</v>
      </c>
      <c r="P20" s="71">
        <v>0.27</v>
      </c>
      <c r="Q20" s="64"/>
      <c r="R20" s="64"/>
      <c r="S20" s="64"/>
      <c r="T20" s="64"/>
      <c r="U20" s="64"/>
      <c r="V20" s="64"/>
      <c r="W20" s="64"/>
      <c r="X20" s="64"/>
      <c r="Y20" s="64"/>
      <c r="Z20" s="64"/>
    </row>
    <row r="21" spans="1:26" thickBot="1">
      <c r="A21" s="66" t="str">
        <f t="shared" si="0"/>
        <v>Latitude 090</v>
      </c>
      <c r="B21" s="86">
        <v>0.9</v>
      </c>
      <c r="C21" s="69">
        <v>90</v>
      </c>
      <c r="D21" s="70">
        <v>0.08</v>
      </c>
      <c r="E21" s="70">
        <v>0.08</v>
      </c>
      <c r="F21" s="70">
        <v>0.09</v>
      </c>
      <c r="G21" s="70">
        <v>0.28999999999999998</v>
      </c>
      <c r="H21" s="70">
        <v>0.44</v>
      </c>
      <c r="I21" s="70">
        <v>0.49</v>
      </c>
      <c r="J21" s="70">
        <v>0.45</v>
      </c>
      <c r="K21" s="70">
        <v>0.32</v>
      </c>
      <c r="L21" s="70">
        <v>0.14000000000000001</v>
      </c>
      <c r="M21" s="70">
        <v>0.11</v>
      </c>
      <c r="N21" s="70">
        <v>0.1</v>
      </c>
      <c r="O21" s="70">
        <v>0.09</v>
      </c>
      <c r="P21" s="71">
        <v>0.22</v>
      </c>
      <c r="Q21" s="64"/>
      <c r="R21" s="64"/>
      <c r="S21" s="64"/>
      <c r="T21" s="64"/>
      <c r="U21" s="64"/>
      <c r="V21" s="64"/>
      <c r="W21" s="64"/>
      <c r="X21" s="64"/>
      <c r="Y21" s="64"/>
      <c r="Z21" s="64"/>
    </row>
    <row r="22" spans="1:26" thickBot="1">
      <c r="A22" s="66"/>
      <c r="B22" s="87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66"/>
      <c r="Q22" s="64"/>
      <c r="R22" s="64"/>
      <c r="S22" s="64"/>
      <c r="T22" s="64"/>
      <c r="U22" s="64"/>
      <c r="V22" s="64"/>
      <c r="W22" s="64"/>
      <c r="X22" s="64"/>
      <c r="Y22" s="64"/>
      <c r="Z22" s="64"/>
    </row>
    <row r="23" spans="1:26" thickBot="1">
      <c r="A23" s="66"/>
      <c r="B23" s="67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4"/>
      <c r="Q23" s="64"/>
      <c r="R23" s="64"/>
      <c r="S23" s="64"/>
      <c r="T23" s="64"/>
      <c r="U23" s="64"/>
      <c r="V23" s="64"/>
      <c r="W23" s="64"/>
      <c r="X23" s="64"/>
      <c r="Y23" s="64"/>
      <c r="Z23" s="64"/>
    </row>
    <row r="24" spans="1:26" thickBot="1">
      <c r="A24" s="66"/>
      <c r="B24" s="85" t="s">
        <v>5865</v>
      </c>
      <c r="C24" s="75" t="s">
        <v>5853</v>
      </c>
      <c r="D24" s="75" t="s">
        <v>5827</v>
      </c>
      <c r="E24" s="75" t="s">
        <v>5828</v>
      </c>
      <c r="F24" s="75" t="s">
        <v>5829</v>
      </c>
      <c r="G24" s="75" t="s">
        <v>5830</v>
      </c>
      <c r="H24" s="75" t="s">
        <v>5831</v>
      </c>
      <c r="I24" s="75" t="s">
        <v>5832</v>
      </c>
      <c r="J24" s="75" t="s">
        <v>5833</v>
      </c>
      <c r="K24" s="75" t="s">
        <v>5834</v>
      </c>
      <c r="L24" s="75" t="s">
        <v>5835</v>
      </c>
      <c r="M24" s="75" t="s">
        <v>5836</v>
      </c>
      <c r="N24" s="75" t="s">
        <v>5837</v>
      </c>
      <c r="O24" s="75" t="s">
        <v>5838</v>
      </c>
      <c r="P24" s="68" t="s">
        <v>20</v>
      </c>
      <c r="Q24" s="64"/>
      <c r="R24" s="64"/>
      <c r="S24" s="64"/>
      <c r="T24" s="64"/>
      <c r="U24" s="64"/>
      <c r="V24" s="64"/>
      <c r="W24" s="64"/>
      <c r="X24" s="64"/>
      <c r="Y24" s="64"/>
      <c r="Z24" s="64"/>
    </row>
    <row r="25" spans="1:26" thickBot="1">
      <c r="A25" s="66" t="str">
        <f>$B$24&amp;C25</f>
        <v>Latitude 10</v>
      </c>
      <c r="B25" s="86">
        <v>1</v>
      </c>
      <c r="C25" s="70">
        <v>0</v>
      </c>
      <c r="D25" s="70">
        <v>1</v>
      </c>
      <c r="E25" s="70">
        <v>1</v>
      </c>
      <c r="F25" s="70">
        <v>1</v>
      </c>
      <c r="G25" s="70">
        <v>1</v>
      </c>
      <c r="H25" s="70">
        <v>1</v>
      </c>
      <c r="I25" s="70">
        <v>1</v>
      </c>
      <c r="J25" s="70">
        <v>1</v>
      </c>
      <c r="K25" s="70">
        <v>1</v>
      </c>
      <c r="L25" s="70">
        <v>1</v>
      </c>
      <c r="M25" s="70">
        <v>1</v>
      </c>
      <c r="N25" s="70">
        <v>1</v>
      </c>
      <c r="O25" s="70">
        <v>1</v>
      </c>
      <c r="P25" s="71">
        <v>1</v>
      </c>
      <c r="Q25" s="64"/>
      <c r="R25" s="64"/>
      <c r="S25" s="64"/>
      <c r="T25" s="64"/>
      <c r="U25" s="64"/>
      <c r="V25" s="64"/>
      <c r="W25" s="64"/>
      <c r="X25" s="64"/>
      <c r="Y25" s="64"/>
      <c r="Z25" s="64"/>
    </row>
    <row r="26" spans="1:26" thickBot="1">
      <c r="A26" s="66" t="str">
        <f t="shared" ref="A26:A43" si="1">$B$24&amp;C26</f>
        <v>Latitude 15</v>
      </c>
      <c r="B26" s="86">
        <v>1.5</v>
      </c>
      <c r="C26" s="70">
        <v>5</v>
      </c>
      <c r="D26" s="70">
        <v>0.97</v>
      </c>
      <c r="E26" s="70">
        <v>0.98</v>
      </c>
      <c r="F26" s="70">
        <v>1</v>
      </c>
      <c r="G26" s="70">
        <v>1.01</v>
      </c>
      <c r="H26" s="70">
        <v>1.02</v>
      </c>
      <c r="I26" s="70">
        <v>1.03</v>
      </c>
      <c r="J26" s="70">
        <v>1.02</v>
      </c>
      <c r="K26" s="70">
        <v>1.01</v>
      </c>
      <c r="L26" s="70">
        <v>1</v>
      </c>
      <c r="M26" s="70">
        <v>0.98</v>
      </c>
      <c r="N26" s="70">
        <v>0.97</v>
      </c>
      <c r="O26" s="70">
        <v>0.96</v>
      </c>
      <c r="P26" s="71">
        <v>1</v>
      </c>
      <c r="Q26" s="64"/>
      <c r="R26" s="64"/>
      <c r="S26" s="64"/>
      <c r="T26" s="64"/>
      <c r="U26" s="64"/>
      <c r="V26" s="64"/>
      <c r="W26" s="64"/>
      <c r="X26" s="64"/>
      <c r="Y26" s="64"/>
      <c r="Z26" s="64"/>
    </row>
    <row r="27" spans="1:26" thickBot="1">
      <c r="A27" s="66" t="str">
        <f t="shared" si="1"/>
        <v>Latitude 110</v>
      </c>
      <c r="B27" s="86">
        <v>1.1000000000000001</v>
      </c>
      <c r="C27" s="70">
        <v>10</v>
      </c>
      <c r="D27" s="70">
        <v>0.93</v>
      </c>
      <c r="E27" s="70">
        <v>0.96</v>
      </c>
      <c r="F27" s="70">
        <v>0.99</v>
      </c>
      <c r="G27" s="70">
        <v>1.02</v>
      </c>
      <c r="H27" s="70">
        <v>1.04</v>
      </c>
      <c r="I27" s="70">
        <v>1.04</v>
      </c>
      <c r="J27" s="70">
        <v>1.03</v>
      </c>
      <c r="K27" s="70">
        <v>1.02</v>
      </c>
      <c r="L27" s="70">
        <v>0.99</v>
      </c>
      <c r="M27" s="70">
        <v>0.96</v>
      </c>
      <c r="N27" s="70">
        <v>0.93</v>
      </c>
      <c r="O27" s="70">
        <v>0.92</v>
      </c>
      <c r="P27" s="71">
        <v>0.99</v>
      </c>
      <c r="Q27" s="64"/>
      <c r="R27" s="64"/>
      <c r="S27" s="64"/>
      <c r="T27" s="64"/>
      <c r="U27" s="64"/>
      <c r="V27" s="64"/>
      <c r="W27" s="64"/>
      <c r="X27" s="64"/>
      <c r="Y27" s="64"/>
      <c r="Z27" s="64"/>
    </row>
    <row r="28" spans="1:26" thickBot="1">
      <c r="A28" s="66" t="str">
        <f t="shared" si="1"/>
        <v>Latitude 115</v>
      </c>
      <c r="B28" s="86">
        <v>1.1499999999999999</v>
      </c>
      <c r="C28" s="70">
        <v>15</v>
      </c>
      <c r="D28" s="70">
        <v>0.88</v>
      </c>
      <c r="E28" s="70">
        <v>0.92</v>
      </c>
      <c r="F28" s="70">
        <v>0.97</v>
      </c>
      <c r="G28" s="70">
        <v>1.02</v>
      </c>
      <c r="H28" s="70">
        <v>1.05</v>
      </c>
      <c r="I28" s="70">
        <v>1.06</v>
      </c>
      <c r="J28" s="70">
        <v>1.04</v>
      </c>
      <c r="K28" s="70">
        <v>1.01</v>
      </c>
      <c r="L28" s="70">
        <v>0.97</v>
      </c>
      <c r="M28" s="70">
        <v>0.93</v>
      </c>
      <c r="N28" s="70">
        <v>0.89</v>
      </c>
      <c r="O28" s="70">
        <v>0.87</v>
      </c>
      <c r="P28" s="71">
        <v>0.97</v>
      </c>
      <c r="Q28" s="64"/>
      <c r="R28" s="64"/>
      <c r="S28" s="64"/>
      <c r="T28" s="64"/>
      <c r="U28" s="64"/>
      <c r="V28" s="64"/>
      <c r="W28" s="64"/>
      <c r="X28" s="64"/>
      <c r="Y28" s="64"/>
      <c r="Z28" s="64"/>
    </row>
    <row r="29" spans="1:26" thickBot="1">
      <c r="A29" s="66" t="str">
        <f t="shared" si="1"/>
        <v>Latitude 120</v>
      </c>
      <c r="B29" s="86">
        <v>1.2</v>
      </c>
      <c r="C29" s="70">
        <v>20</v>
      </c>
      <c r="D29" s="70">
        <v>0.83</v>
      </c>
      <c r="E29" s="70" t="s">
        <v>5849</v>
      </c>
      <c r="F29" s="70">
        <v>0.95</v>
      </c>
      <c r="G29" s="70">
        <v>1.01</v>
      </c>
      <c r="H29" s="70">
        <v>1.05</v>
      </c>
      <c r="I29" s="70">
        <v>1.06</v>
      </c>
      <c r="J29" s="70">
        <v>1.04</v>
      </c>
      <c r="K29" s="70">
        <v>1.01</v>
      </c>
      <c r="L29" s="70">
        <v>0.95</v>
      </c>
      <c r="M29" s="70">
        <v>0.89</v>
      </c>
      <c r="N29" s="70">
        <v>0.84</v>
      </c>
      <c r="O29" s="70">
        <v>0.81</v>
      </c>
      <c r="P29" s="71">
        <v>0.87</v>
      </c>
      <c r="Q29" s="64"/>
      <c r="R29" s="64"/>
      <c r="S29" s="64"/>
      <c r="T29" s="64"/>
      <c r="U29" s="64"/>
      <c r="V29" s="64"/>
      <c r="W29" s="64"/>
      <c r="X29" s="64"/>
      <c r="Y29" s="64"/>
      <c r="Z29" s="64"/>
    </row>
    <row r="30" spans="1:26" thickBot="1">
      <c r="A30" s="66" t="str">
        <f t="shared" si="1"/>
        <v>Latitude 125</v>
      </c>
      <c r="B30" s="86">
        <v>1.25</v>
      </c>
      <c r="C30" s="70">
        <v>25</v>
      </c>
      <c r="D30" s="70">
        <v>0.77</v>
      </c>
      <c r="E30" s="70">
        <v>0.84</v>
      </c>
      <c r="F30" s="70">
        <v>0.92</v>
      </c>
      <c r="G30" s="70">
        <v>1</v>
      </c>
      <c r="H30" s="70">
        <v>1.05</v>
      </c>
      <c r="I30" s="70">
        <v>1.06</v>
      </c>
      <c r="J30" s="70">
        <v>1.04</v>
      </c>
      <c r="K30" s="70">
        <v>0.99</v>
      </c>
      <c r="L30" s="70">
        <v>0.92</v>
      </c>
      <c r="M30" s="70">
        <v>0.85</v>
      </c>
      <c r="N30" s="70">
        <v>0.78</v>
      </c>
      <c r="O30" s="70">
        <v>0.75</v>
      </c>
      <c r="P30" s="71">
        <v>0.91</v>
      </c>
      <c r="Q30" s="64"/>
      <c r="R30" s="64"/>
      <c r="S30" s="64"/>
      <c r="T30" s="64"/>
      <c r="U30" s="64"/>
      <c r="V30" s="64"/>
      <c r="W30" s="64"/>
      <c r="X30" s="64"/>
      <c r="Y30" s="64"/>
      <c r="Z30" s="64"/>
    </row>
    <row r="31" spans="1:26" thickBot="1">
      <c r="A31" s="66" t="str">
        <f t="shared" si="1"/>
        <v>Latitude 130</v>
      </c>
      <c r="B31" s="86">
        <v>1.3</v>
      </c>
      <c r="C31" s="70">
        <v>30</v>
      </c>
      <c r="D31" s="70">
        <v>0.71</v>
      </c>
      <c r="E31" s="70">
        <v>0.79</v>
      </c>
      <c r="F31" s="70">
        <v>0.89</v>
      </c>
      <c r="G31" s="70">
        <v>0.98</v>
      </c>
      <c r="H31" s="70">
        <v>1.04</v>
      </c>
      <c r="I31" s="70">
        <v>1.05</v>
      </c>
      <c r="J31" s="70">
        <v>1.03</v>
      </c>
      <c r="K31" s="70">
        <v>0.97</v>
      </c>
      <c r="L31" s="70">
        <v>0.89</v>
      </c>
      <c r="M31" s="70">
        <v>0.8</v>
      </c>
      <c r="N31" s="70">
        <v>0.72</v>
      </c>
      <c r="O31" s="70">
        <v>0.69</v>
      </c>
      <c r="P31" s="71">
        <v>0.88</v>
      </c>
      <c r="Q31" s="64"/>
      <c r="R31" s="64"/>
      <c r="S31" s="64"/>
      <c r="T31" s="64"/>
      <c r="U31" s="64"/>
      <c r="V31" s="64"/>
      <c r="W31" s="64"/>
      <c r="X31" s="64"/>
      <c r="Y31" s="64"/>
      <c r="Z31" s="64"/>
    </row>
    <row r="32" spans="1:26" thickBot="1">
      <c r="A32" s="66" t="str">
        <f t="shared" si="1"/>
        <v>Latitude 135</v>
      </c>
      <c r="B32" s="86">
        <v>1.35</v>
      </c>
      <c r="C32" s="70">
        <v>35</v>
      </c>
      <c r="D32" s="70">
        <v>0.65</v>
      </c>
      <c r="E32" s="70">
        <v>0.73</v>
      </c>
      <c r="F32" s="70">
        <v>0.84</v>
      </c>
      <c r="G32" s="70">
        <v>0.95</v>
      </c>
      <c r="H32" s="70">
        <v>1.02</v>
      </c>
      <c r="I32" s="70">
        <v>1.04</v>
      </c>
      <c r="J32" s="70">
        <v>1.01</v>
      </c>
      <c r="K32" s="70">
        <v>0.95</v>
      </c>
      <c r="L32" s="70">
        <v>0.85</v>
      </c>
      <c r="M32" s="70">
        <v>0.74</v>
      </c>
      <c r="N32" s="70">
        <v>0.65</v>
      </c>
      <c r="O32" s="70">
        <v>0.62</v>
      </c>
      <c r="P32" s="71">
        <v>0.84</v>
      </c>
      <c r="Q32" s="64"/>
      <c r="R32" s="64"/>
      <c r="S32" s="64"/>
      <c r="T32" s="64"/>
      <c r="U32" s="64"/>
      <c r="V32" s="64"/>
      <c r="W32" s="64"/>
      <c r="X32" s="64"/>
      <c r="Y32" s="64"/>
      <c r="Z32" s="64"/>
    </row>
    <row r="33" spans="1:26" thickBot="1">
      <c r="A33" s="66" t="str">
        <f t="shared" si="1"/>
        <v>Latitude 140</v>
      </c>
      <c r="B33" s="86">
        <v>1.4</v>
      </c>
      <c r="C33" s="70">
        <v>40</v>
      </c>
      <c r="D33" s="70">
        <v>0.56999999999999995</v>
      </c>
      <c r="E33" s="70">
        <v>0.67</v>
      </c>
      <c r="F33" s="70">
        <v>0.8</v>
      </c>
      <c r="G33" s="70">
        <v>0.92</v>
      </c>
      <c r="H33" s="70">
        <v>1</v>
      </c>
      <c r="I33" s="70">
        <v>1.02</v>
      </c>
      <c r="J33" s="70">
        <v>0.98</v>
      </c>
      <c r="K33" s="70">
        <v>0.91</v>
      </c>
      <c r="L33" s="70">
        <v>0.81</v>
      </c>
      <c r="M33" s="70">
        <v>0.69</v>
      </c>
      <c r="N33" s="70">
        <v>0.57999999999999996</v>
      </c>
      <c r="O33" s="70">
        <v>0.54</v>
      </c>
      <c r="P33" s="71">
        <v>0.79</v>
      </c>
      <c r="Q33" s="64"/>
      <c r="R33" s="64"/>
      <c r="S33" s="64"/>
      <c r="T33" s="64"/>
      <c r="U33" s="64"/>
      <c r="V33" s="64"/>
      <c r="W33" s="64"/>
      <c r="X33" s="64"/>
      <c r="Y33" s="64"/>
      <c r="Z33" s="64"/>
    </row>
    <row r="34" spans="1:26" thickBot="1">
      <c r="A34" s="66" t="str">
        <f t="shared" si="1"/>
        <v>Latitude 145</v>
      </c>
      <c r="B34" s="86">
        <v>1.45</v>
      </c>
      <c r="C34" s="70">
        <v>45</v>
      </c>
      <c r="D34" s="70">
        <v>0.5</v>
      </c>
      <c r="E34" s="70">
        <v>0.61</v>
      </c>
      <c r="F34" s="70">
        <v>0.74</v>
      </c>
      <c r="G34" s="70">
        <v>0.88</v>
      </c>
      <c r="H34" s="70">
        <v>0.97</v>
      </c>
      <c r="I34" s="70">
        <v>0.99</v>
      </c>
      <c r="J34" s="70">
        <v>0.95</v>
      </c>
      <c r="K34" s="70">
        <v>0.87</v>
      </c>
      <c r="L34" s="70">
        <v>0.76</v>
      </c>
      <c r="M34" s="70">
        <v>0.62</v>
      </c>
      <c r="N34" s="70">
        <v>0.51</v>
      </c>
      <c r="O34" s="70">
        <v>0.46</v>
      </c>
      <c r="P34" s="71">
        <v>0.74</v>
      </c>
      <c r="Q34" s="64"/>
      <c r="R34" s="64"/>
      <c r="S34" s="64"/>
      <c r="T34" s="64"/>
      <c r="U34" s="64"/>
      <c r="V34" s="64"/>
      <c r="W34" s="64"/>
      <c r="X34" s="64"/>
      <c r="Y34" s="64"/>
      <c r="Z34" s="64"/>
    </row>
    <row r="35" spans="1:26" thickBot="1">
      <c r="A35" s="66" t="str">
        <f t="shared" si="1"/>
        <v>Latitude 150</v>
      </c>
      <c r="B35" s="86">
        <v>1.5</v>
      </c>
      <c r="C35" s="70">
        <v>50</v>
      </c>
      <c r="D35" s="70">
        <v>0.42</v>
      </c>
      <c r="E35" s="70">
        <v>0.54</v>
      </c>
      <c r="F35" s="70">
        <v>0.69</v>
      </c>
      <c r="G35" s="70">
        <v>0.83</v>
      </c>
      <c r="H35" s="70">
        <v>0.93</v>
      </c>
      <c r="I35" s="70">
        <v>0.96</v>
      </c>
      <c r="J35" s="70">
        <v>0.92</v>
      </c>
      <c r="K35" s="70">
        <v>0.83</v>
      </c>
      <c r="L35" s="70">
        <v>0.7</v>
      </c>
      <c r="M35" s="70">
        <v>0.56000000000000005</v>
      </c>
      <c r="N35" s="70">
        <v>0.43</v>
      </c>
      <c r="O35" s="70">
        <v>0.38</v>
      </c>
      <c r="P35" s="71">
        <v>0.68</v>
      </c>
      <c r="Q35" s="64"/>
      <c r="R35" s="64"/>
      <c r="S35" s="64"/>
      <c r="T35" s="64"/>
      <c r="U35" s="64"/>
      <c r="V35" s="64"/>
      <c r="W35" s="64"/>
      <c r="X35" s="64"/>
      <c r="Y35" s="64"/>
      <c r="Z35" s="64"/>
    </row>
    <row r="36" spans="1:26" thickBot="1">
      <c r="A36" s="66" t="str">
        <f t="shared" si="1"/>
        <v>Latitude 155</v>
      </c>
      <c r="B36" s="86">
        <v>1.55</v>
      </c>
      <c r="C36" s="70">
        <v>55</v>
      </c>
      <c r="D36" s="70">
        <v>0.34</v>
      </c>
      <c r="E36" s="70">
        <v>0.46</v>
      </c>
      <c r="F36" s="70">
        <v>0.63</v>
      </c>
      <c r="G36" s="70">
        <v>0.78</v>
      </c>
      <c r="H36" s="70">
        <v>0.89</v>
      </c>
      <c r="I36" s="70">
        <v>0.92</v>
      </c>
      <c r="J36" s="70">
        <v>0.88</v>
      </c>
      <c r="K36" s="70">
        <v>0.78</v>
      </c>
      <c r="L36" s="70">
        <v>0.64</v>
      </c>
      <c r="M36" s="70">
        <v>0.49</v>
      </c>
      <c r="N36" s="70">
        <v>0.35</v>
      </c>
      <c r="O36" s="70">
        <v>0.3</v>
      </c>
      <c r="P36" s="71">
        <v>0.62</v>
      </c>
      <c r="Q36" s="64"/>
      <c r="R36" s="64"/>
      <c r="S36" s="64"/>
      <c r="T36" s="64"/>
      <c r="U36" s="64"/>
      <c r="V36" s="64"/>
      <c r="W36" s="64"/>
      <c r="X36" s="64"/>
      <c r="Y36" s="64"/>
      <c r="Z36" s="64"/>
    </row>
    <row r="37" spans="1:26" thickBot="1">
      <c r="A37" s="66" t="str">
        <f t="shared" si="1"/>
        <v>Latitude 160</v>
      </c>
      <c r="B37" s="86">
        <v>1.6</v>
      </c>
      <c r="C37" s="70">
        <v>60</v>
      </c>
      <c r="D37" s="70">
        <v>0.26</v>
      </c>
      <c r="E37" s="70">
        <v>0.39</v>
      </c>
      <c r="F37" s="70">
        <v>0.56000000000000005</v>
      </c>
      <c r="G37" s="70">
        <v>0.73</v>
      </c>
      <c r="H37" s="70">
        <v>0.84</v>
      </c>
      <c r="I37" s="70">
        <v>0.87</v>
      </c>
      <c r="J37" s="70">
        <v>0.83</v>
      </c>
      <c r="K37" s="70">
        <v>0.73</v>
      </c>
      <c r="L37" s="70">
        <v>0.57999999999999996</v>
      </c>
      <c r="M37" s="70">
        <v>0.41</v>
      </c>
      <c r="N37" s="70">
        <v>0.27</v>
      </c>
      <c r="O37" s="70">
        <v>0.21</v>
      </c>
      <c r="P37" s="71">
        <v>0.56000000000000005</v>
      </c>
      <c r="Q37" s="64"/>
      <c r="R37" s="64"/>
      <c r="S37" s="64"/>
      <c r="T37" s="64"/>
      <c r="U37" s="64"/>
      <c r="V37" s="64"/>
      <c r="W37" s="64"/>
      <c r="X37" s="64"/>
      <c r="Y37" s="64"/>
      <c r="Z37" s="64"/>
    </row>
    <row r="38" spans="1:26" thickBot="1">
      <c r="A38" s="66" t="str">
        <f t="shared" si="1"/>
        <v>Latitude 165</v>
      </c>
      <c r="B38" s="86">
        <v>1.65</v>
      </c>
      <c r="C38" s="70">
        <v>65</v>
      </c>
      <c r="D38" s="70">
        <v>0.17</v>
      </c>
      <c r="E38" s="70">
        <v>0.31</v>
      </c>
      <c r="F38" s="70">
        <v>0.49</v>
      </c>
      <c r="G38" s="70">
        <v>0.66</v>
      </c>
      <c r="H38" s="70">
        <v>0.79</v>
      </c>
      <c r="I38" s="70">
        <v>0.82</v>
      </c>
      <c r="J38" s="70">
        <v>0.78</v>
      </c>
      <c r="K38" s="70">
        <v>0.67</v>
      </c>
      <c r="L38" s="70">
        <v>0.51</v>
      </c>
      <c r="M38" s="70">
        <v>0.34</v>
      </c>
      <c r="N38" s="70">
        <v>0.19</v>
      </c>
      <c r="O38" s="70">
        <v>0.13</v>
      </c>
      <c r="P38" s="71">
        <v>0.49</v>
      </c>
      <c r="Q38" s="64"/>
      <c r="R38" s="64"/>
      <c r="S38" s="64"/>
      <c r="T38" s="64"/>
      <c r="U38" s="64"/>
      <c r="V38" s="64"/>
      <c r="W38" s="64"/>
      <c r="X38" s="64"/>
      <c r="Y38" s="64"/>
      <c r="Z38" s="64"/>
    </row>
    <row r="39" spans="1:26" thickBot="1">
      <c r="A39" s="66" t="str">
        <f t="shared" si="1"/>
        <v>Latitude 170</v>
      </c>
      <c r="B39" s="86">
        <v>1.7</v>
      </c>
      <c r="C39" s="70">
        <v>70</v>
      </c>
      <c r="D39" s="70">
        <v>0.11</v>
      </c>
      <c r="E39" s="70">
        <v>0.23</v>
      </c>
      <c r="F39" s="70">
        <v>0.42</v>
      </c>
      <c r="G39" s="70">
        <v>0.6</v>
      </c>
      <c r="H39" s="70">
        <v>0.73</v>
      </c>
      <c r="I39" s="70">
        <v>0.77</v>
      </c>
      <c r="J39" s="70">
        <v>0.72</v>
      </c>
      <c r="K39" s="70">
        <v>0.61</v>
      </c>
      <c r="L39" s="70">
        <v>0.45</v>
      </c>
      <c r="M39" s="70">
        <v>0.26</v>
      </c>
      <c r="N39" s="70">
        <v>0.13</v>
      </c>
      <c r="O39" s="70">
        <v>0.12</v>
      </c>
      <c r="P39" s="71">
        <v>0.43</v>
      </c>
      <c r="Q39" s="64"/>
      <c r="R39" s="64"/>
      <c r="S39" s="64"/>
      <c r="T39" s="64"/>
      <c r="U39" s="64"/>
      <c r="V39" s="64"/>
      <c r="W39" s="64"/>
      <c r="X39" s="64"/>
      <c r="Y39" s="64"/>
      <c r="Z39" s="64"/>
    </row>
    <row r="40" spans="1:26" thickBot="1">
      <c r="A40" s="66" t="str">
        <f t="shared" si="1"/>
        <v>Latitude 175</v>
      </c>
      <c r="B40" s="86">
        <v>1.75</v>
      </c>
      <c r="C40" s="70">
        <v>75</v>
      </c>
      <c r="D40" s="70">
        <v>0.11</v>
      </c>
      <c r="E40" s="70">
        <v>0.15</v>
      </c>
      <c r="F40" s="70">
        <v>0.34</v>
      </c>
      <c r="G40" s="70">
        <v>0.53</v>
      </c>
      <c r="H40" s="70">
        <v>0.67</v>
      </c>
      <c r="I40" s="70">
        <v>0.71</v>
      </c>
      <c r="J40" s="70">
        <v>0.66</v>
      </c>
      <c r="K40" s="70">
        <v>0.55000000000000004</v>
      </c>
      <c r="L40" s="70">
        <v>0.37</v>
      </c>
      <c r="M40" s="70">
        <v>0.18</v>
      </c>
      <c r="N40" s="70">
        <v>0.12</v>
      </c>
      <c r="O40" s="70">
        <v>0.11</v>
      </c>
      <c r="P40" s="71">
        <v>0.38</v>
      </c>
      <c r="Q40" s="64"/>
      <c r="R40" s="64"/>
      <c r="S40" s="64"/>
      <c r="T40" s="64"/>
      <c r="U40" s="64"/>
      <c r="V40" s="64"/>
      <c r="W40" s="64"/>
      <c r="X40" s="64"/>
      <c r="Y40" s="64"/>
      <c r="Z40" s="64"/>
    </row>
    <row r="41" spans="1:26" thickBot="1">
      <c r="A41" s="66" t="str">
        <f t="shared" si="1"/>
        <v>Latitude 180</v>
      </c>
      <c r="B41" s="86">
        <v>1.8</v>
      </c>
      <c r="C41" s="70">
        <v>80</v>
      </c>
      <c r="D41" s="70">
        <v>0.1</v>
      </c>
      <c r="E41" s="70">
        <v>0.1</v>
      </c>
      <c r="F41" s="70">
        <v>0.26</v>
      </c>
      <c r="G41" s="70">
        <v>0.46</v>
      </c>
      <c r="H41" s="70">
        <v>0.6</v>
      </c>
      <c r="I41" s="70">
        <v>0.64</v>
      </c>
      <c r="J41" s="70">
        <v>0.6</v>
      </c>
      <c r="K41" s="70">
        <v>0.48</v>
      </c>
      <c r="L41" s="70">
        <v>0.3</v>
      </c>
      <c r="M41" s="70">
        <v>0.13</v>
      </c>
      <c r="N41" s="70">
        <v>0.11</v>
      </c>
      <c r="O41" s="70">
        <v>0.1</v>
      </c>
      <c r="P41" s="71">
        <v>0.32</v>
      </c>
      <c r="Q41" s="64"/>
      <c r="R41" s="64"/>
      <c r="S41" s="64"/>
      <c r="T41" s="64"/>
      <c r="U41" s="64"/>
      <c r="V41" s="64"/>
      <c r="W41" s="64"/>
      <c r="X41" s="64"/>
      <c r="Y41" s="64"/>
      <c r="Z41" s="64"/>
    </row>
    <row r="42" spans="1:26" thickBot="1">
      <c r="A42" s="66" t="str">
        <f t="shared" si="1"/>
        <v>Latitude 185</v>
      </c>
      <c r="B42" s="86">
        <v>1.85</v>
      </c>
      <c r="C42" s="70">
        <v>85</v>
      </c>
      <c r="D42" s="70">
        <v>0.09</v>
      </c>
      <c r="E42" s="70">
        <v>0.09</v>
      </c>
      <c r="F42" s="70">
        <v>0.19</v>
      </c>
      <c r="G42" s="70">
        <v>0.39</v>
      </c>
      <c r="H42" s="70">
        <v>0.53</v>
      </c>
      <c r="I42" s="70">
        <v>0.57999999999999996</v>
      </c>
      <c r="J42" s="70">
        <v>0.53</v>
      </c>
      <c r="K42" s="70">
        <v>0.41</v>
      </c>
      <c r="L42" s="70">
        <v>0.23</v>
      </c>
      <c r="M42" s="70">
        <v>0.12</v>
      </c>
      <c r="N42" s="70">
        <v>0.11</v>
      </c>
      <c r="O42" s="70">
        <v>0.1</v>
      </c>
      <c r="P42" s="71">
        <v>0.28000000000000003</v>
      </c>
      <c r="Q42" s="64"/>
      <c r="R42" s="64"/>
      <c r="S42" s="64"/>
      <c r="T42" s="64"/>
      <c r="U42" s="64"/>
      <c r="V42" s="64"/>
      <c r="W42" s="64"/>
      <c r="X42" s="64"/>
      <c r="Y42" s="64"/>
      <c r="Z42" s="64"/>
    </row>
    <row r="43" spans="1:26" thickBot="1">
      <c r="A43" s="66" t="str">
        <f t="shared" si="1"/>
        <v>Latitude 190</v>
      </c>
      <c r="B43" s="86">
        <v>1.9</v>
      </c>
      <c r="C43" s="70">
        <v>90</v>
      </c>
      <c r="D43" s="70">
        <v>0.08</v>
      </c>
      <c r="E43" s="70">
        <v>0.08</v>
      </c>
      <c r="F43" s="70">
        <v>1.0999999999999999E-2</v>
      </c>
      <c r="G43" s="70">
        <v>0.31</v>
      </c>
      <c r="H43" s="70">
        <v>0.46</v>
      </c>
      <c r="I43" s="70">
        <v>0.51</v>
      </c>
      <c r="J43" s="70">
        <v>0.46</v>
      </c>
      <c r="K43" s="70">
        <v>0.34</v>
      </c>
      <c r="L43" s="70">
        <v>0.15</v>
      </c>
      <c r="M43" s="70">
        <v>0.11</v>
      </c>
      <c r="N43" s="70">
        <v>0.1</v>
      </c>
      <c r="O43" s="70">
        <v>0.09</v>
      </c>
      <c r="P43" s="71">
        <v>0.23</v>
      </c>
      <c r="Q43" s="64"/>
      <c r="R43" s="64"/>
      <c r="S43" s="64"/>
      <c r="T43" s="64"/>
      <c r="U43" s="64"/>
      <c r="V43" s="64"/>
      <c r="W43" s="64"/>
      <c r="X43" s="64"/>
      <c r="Y43" s="64"/>
      <c r="Z43" s="64"/>
    </row>
    <row r="44" spans="1:26" thickBot="1">
      <c r="A44" s="66"/>
      <c r="B44" s="87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66"/>
      <c r="Q44" s="64"/>
      <c r="R44" s="64"/>
      <c r="S44" s="64"/>
      <c r="T44" s="64"/>
      <c r="U44" s="64"/>
      <c r="V44" s="64"/>
      <c r="W44" s="64"/>
      <c r="X44" s="64"/>
      <c r="Y44" s="64"/>
      <c r="Z44" s="64"/>
    </row>
    <row r="45" spans="1:26" thickBot="1">
      <c r="A45" s="66"/>
      <c r="B45" s="67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66"/>
      <c r="Q45" s="64"/>
      <c r="R45" s="64"/>
      <c r="S45" s="64"/>
      <c r="T45" s="64"/>
      <c r="U45" s="64"/>
      <c r="V45" s="64"/>
      <c r="W45" s="64"/>
      <c r="X45" s="64"/>
      <c r="Y45" s="64"/>
      <c r="Z45" s="64"/>
    </row>
    <row r="46" spans="1:26" thickBot="1">
      <c r="A46" s="66"/>
      <c r="B46" s="85" t="s">
        <v>5866</v>
      </c>
      <c r="C46" s="75" t="s">
        <v>5853</v>
      </c>
      <c r="D46" s="75" t="s">
        <v>5827</v>
      </c>
      <c r="E46" s="75" t="s">
        <v>5828</v>
      </c>
      <c r="F46" s="75" t="s">
        <v>5829</v>
      </c>
      <c r="G46" s="75" t="s">
        <v>5830</v>
      </c>
      <c r="H46" s="75" t="s">
        <v>5831</v>
      </c>
      <c r="I46" s="75" t="s">
        <v>5832</v>
      </c>
      <c r="J46" s="75" t="s">
        <v>5833</v>
      </c>
      <c r="K46" s="75" t="s">
        <v>5834</v>
      </c>
      <c r="L46" s="75" t="s">
        <v>5835</v>
      </c>
      <c r="M46" s="75" t="s">
        <v>5836</v>
      </c>
      <c r="N46" s="75" t="s">
        <v>5837</v>
      </c>
      <c r="O46" s="75" t="s">
        <v>5838</v>
      </c>
      <c r="P46" s="74" t="s">
        <v>20</v>
      </c>
      <c r="Q46" s="64"/>
      <c r="R46" s="64"/>
      <c r="S46" s="64"/>
      <c r="T46" s="64"/>
      <c r="U46" s="64"/>
      <c r="V46" s="64"/>
      <c r="W46" s="64"/>
      <c r="X46" s="64"/>
      <c r="Y46" s="64"/>
      <c r="Z46" s="64"/>
    </row>
    <row r="47" spans="1:26" thickBot="1">
      <c r="A47" s="66" t="str">
        <f>$B$46&amp;C47</f>
        <v>Latitude 20</v>
      </c>
      <c r="B47" s="86">
        <v>2</v>
      </c>
      <c r="C47" s="70">
        <v>0</v>
      </c>
      <c r="D47" s="70">
        <v>1</v>
      </c>
      <c r="E47" s="70">
        <v>1</v>
      </c>
      <c r="F47" s="70">
        <v>1</v>
      </c>
      <c r="G47" s="70">
        <v>1</v>
      </c>
      <c r="H47" s="70">
        <v>1</v>
      </c>
      <c r="I47" s="70">
        <v>1</v>
      </c>
      <c r="J47" s="70">
        <v>1</v>
      </c>
      <c r="K47" s="70">
        <v>1</v>
      </c>
      <c r="L47" s="70">
        <v>1</v>
      </c>
      <c r="M47" s="70">
        <v>1</v>
      </c>
      <c r="N47" s="70">
        <v>1</v>
      </c>
      <c r="O47" s="70">
        <v>1</v>
      </c>
      <c r="P47" s="71">
        <v>1</v>
      </c>
      <c r="Q47" s="64"/>
      <c r="R47" s="64"/>
      <c r="S47" s="64"/>
      <c r="T47" s="64"/>
      <c r="U47" s="64"/>
      <c r="V47" s="64"/>
      <c r="W47" s="64"/>
      <c r="X47" s="64"/>
      <c r="Y47" s="64"/>
      <c r="Z47" s="64"/>
    </row>
    <row r="48" spans="1:26" thickBot="1">
      <c r="A48" s="66" t="str">
        <f t="shared" ref="A48:A65" si="2">$B$46&amp;C48</f>
        <v>Latitude 25</v>
      </c>
      <c r="B48" s="86">
        <v>2.0499999999999998</v>
      </c>
      <c r="C48" s="70">
        <v>5</v>
      </c>
      <c r="D48" s="70">
        <v>0.97</v>
      </c>
      <c r="E48" s="70">
        <v>0.98</v>
      </c>
      <c r="F48" s="70">
        <v>1</v>
      </c>
      <c r="G48" s="70">
        <v>1.02</v>
      </c>
      <c r="H48" s="70">
        <v>1.02</v>
      </c>
      <c r="I48" s="70">
        <v>1.03</v>
      </c>
      <c r="J48" s="70">
        <v>1.02</v>
      </c>
      <c r="K48" s="70">
        <v>1.01</v>
      </c>
      <c r="L48" s="70">
        <v>1</v>
      </c>
      <c r="M48" s="70">
        <v>0.98</v>
      </c>
      <c r="N48" s="70">
        <v>0.97</v>
      </c>
      <c r="O48" s="70">
        <v>0.96</v>
      </c>
      <c r="P48" s="71">
        <v>1</v>
      </c>
      <c r="Q48" s="64"/>
      <c r="R48" s="64"/>
      <c r="S48" s="64"/>
      <c r="T48" s="64"/>
      <c r="U48" s="64"/>
      <c r="V48" s="64"/>
      <c r="W48" s="64"/>
      <c r="X48" s="64"/>
      <c r="Y48" s="64"/>
      <c r="Z48" s="64"/>
    </row>
    <row r="49" spans="1:26" thickBot="1">
      <c r="A49" s="66" t="str">
        <f t="shared" si="2"/>
        <v>Latitude 210</v>
      </c>
      <c r="B49" s="86">
        <v>2.1</v>
      </c>
      <c r="C49" s="70">
        <v>10</v>
      </c>
      <c r="D49" s="70">
        <v>0.93</v>
      </c>
      <c r="E49" s="70">
        <v>0.96</v>
      </c>
      <c r="F49" s="70">
        <v>0.99</v>
      </c>
      <c r="G49" s="70">
        <v>1.02</v>
      </c>
      <c r="H49" s="70">
        <v>1.04</v>
      </c>
      <c r="I49" s="70">
        <v>1.05</v>
      </c>
      <c r="J49" s="70">
        <v>1.04</v>
      </c>
      <c r="K49" s="70">
        <v>1.02</v>
      </c>
      <c r="L49" s="70">
        <v>0.99</v>
      </c>
      <c r="M49" s="70">
        <v>0.96</v>
      </c>
      <c r="N49" s="70">
        <v>0.93</v>
      </c>
      <c r="O49" s="70">
        <v>0.92</v>
      </c>
      <c r="P49" s="71">
        <v>0.99</v>
      </c>
      <c r="Q49" s="64"/>
      <c r="R49" s="64"/>
      <c r="S49" s="64"/>
      <c r="T49" s="64"/>
      <c r="U49" s="64"/>
      <c r="V49" s="64"/>
      <c r="W49" s="64"/>
      <c r="X49" s="64"/>
      <c r="Y49" s="64"/>
      <c r="Z49" s="64"/>
    </row>
    <row r="50" spans="1:26" thickBot="1">
      <c r="A50" s="66" t="str">
        <f t="shared" si="2"/>
        <v>Latitude 215</v>
      </c>
      <c r="B50" s="86">
        <v>2.15</v>
      </c>
      <c r="C50" s="70">
        <v>15</v>
      </c>
      <c r="D50" s="70">
        <v>0.89</v>
      </c>
      <c r="E50" s="70">
        <v>0.93</v>
      </c>
      <c r="F50" s="70">
        <v>0.98</v>
      </c>
      <c r="G50" s="70">
        <v>1.02</v>
      </c>
      <c r="H50" s="70">
        <v>1.05</v>
      </c>
      <c r="I50" s="70">
        <v>1.06</v>
      </c>
      <c r="J50" s="70">
        <v>1.05</v>
      </c>
      <c r="K50" s="70">
        <v>1.02</v>
      </c>
      <c r="L50" s="70">
        <v>0.98</v>
      </c>
      <c r="M50" s="70">
        <v>0.93</v>
      </c>
      <c r="N50" s="70">
        <v>0.89</v>
      </c>
      <c r="O50" s="70">
        <v>0.87</v>
      </c>
      <c r="P50" s="71">
        <v>0.97</v>
      </c>
      <c r="Q50" s="64"/>
      <c r="R50" s="64"/>
      <c r="S50" s="64"/>
      <c r="T50" s="64"/>
      <c r="U50" s="64"/>
      <c r="V50" s="64"/>
      <c r="W50" s="64"/>
      <c r="X50" s="64"/>
      <c r="Y50" s="64"/>
      <c r="Z50" s="64"/>
    </row>
    <row r="51" spans="1:26" thickBot="1">
      <c r="A51" s="66" t="str">
        <f t="shared" si="2"/>
        <v>Latitude 220</v>
      </c>
      <c r="B51" s="86">
        <v>2.2000000000000002</v>
      </c>
      <c r="C51" s="70">
        <v>20</v>
      </c>
      <c r="D51" s="70">
        <v>0.84</v>
      </c>
      <c r="E51" s="70" t="s">
        <v>5850</v>
      </c>
      <c r="F51" s="70">
        <v>0.96</v>
      </c>
      <c r="G51" s="70">
        <v>1.02</v>
      </c>
      <c r="H51" s="70">
        <v>1.06</v>
      </c>
      <c r="I51" s="70">
        <v>1.07</v>
      </c>
      <c r="J51" s="70">
        <v>1.05</v>
      </c>
      <c r="K51" s="70">
        <v>1.01</v>
      </c>
      <c r="L51" s="70">
        <v>0.96</v>
      </c>
      <c r="M51" s="70">
        <v>0.89</v>
      </c>
      <c r="N51" s="70">
        <v>0.84</v>
      </c>
      <c r="O51" s="70">
        <v>0.82</v>
      </c>
      <c r="P51" s="71">
        <v>0.88</v>
      </c>
      <c r="Q51" s="64"/>
      <c r="R51" s="64"/>
      <c r="S51" s="64"/>
      <c r="T51" s="64"/>
      <c r="U51" s="64"/>
      <c r="V51" s="64"/>
      <c r="W51" s="64"/>
      <c r="X51" s="64"/>
      <c r="Y51" s="64"/>
      <c r="Z51" s="64"/>
    </row>
    <row r="52" spans="1:26" thickBot="1">
      <c r="A52" s="66" t="str">
        <f t="shared" si="2"/>
        <v>Latitude 225</v>
      </c>
      <c r="B52" s="86">
        <v>2.25</v>
      </c>
      <c r="C52" s="70">
        <v>25</v>
      </c>
      <c r="D52" s="70">
        <v>0.78</v>
      </c>
      <c r="E52" s="70">
        <v>0.84</v>
      </c>
      <c r="F52" s="70">
        <v>0.93</v>
      </c>
      <c r="G52" s="70">
        <v>1.01</v>
      </c>
      <c r="H52" s="70">
        <v>1.06</v>
      </c>
      <c r="I52" s="70">
        <v>1.07</v>
      </c>
      <c r="J52" s="70">
        <v>1.04</v>
      </c>
      <c r="K52" s="70">
        <v>1</v>
      </c>
      <c r="L52" s="70">
        <v>0.93</v>
      </c>
      <c r="M52" s="70">
        <v>0.85</v>
      </c>
      <c r="N52" s="70">
        <v>0.79</v>
      </c>
      <c r="O52" s="70">
        <v>0.76</v>
      </c>
      <c r="P52" s="71">
        <v>0.92</v>
      </c>
      <c r="Q52" s="64"/>
      <c r="R52" s="64"/>
      <c r="S52" s="64"/>
      <c r="T52" s="64"/>
      <c r="U52" s="64"/>
      <c r="V52" s="64"/>
      <c r="W52" s="64"/>
      <c r="X52" s="64"/>
      <c r="Y52" s="64"/>
      <c r="Z52" s="64"/>
    </row>
    <row r="53" spans="1:26" thickBot="1">
      <c r="A53" s="66" t="str">
        <f t="shared" si="2"/>
        <v>Latitude 230</v>
      </c>
      <c r="B53" s="86">
        <v>2.2999999999999998</v>
      </c>
      <c r="C53" s="70">
        <v>30</v>
      </c>
      <c r="D53" s="70">
        <v>0.72</v>
      </c>
      <c r="E53" s="70">
        <v>0.8</v>
      </c>
      <c r="F53" s="70">
        <v>0.89</v>
      </c>
      <c r="G53" s="70">
        <v>0.99</v>
      </c>
      <c r="H53" s="70">
        <v>1.05</v>
      </c>
      <c r="I53" s="70">
        <v>1.06</v>
      </c>
      <c r="J53" s="70">
        <v>1.03</v>
      </c>
      <c r="K53" s="70">
        <v>0.98</v>
      </c>
      <c r="L53" s="70">
        <v>0.9</v>
      </c>
      <c r="M53" s="70">
        <v>0.8</v>
      </c>
      <c r="N53" s="70">
        <v>0.73</v>
      </c>
      <c r="O53" s="70">
        <v>0.69</v>
      </c>
      <c r="P53" s="71">
        <v>0.89</v>
      </c>
      <c r="Q53" s="64"/>
      <c r="R53" s="64"/>
      <c r="S53" s="64"/>
      <c r="T53" s="64"/>
      <c r="U53" s="64"/>
      <c r="V53" s="64"/>
      <c r="W53" s="64"/>
      <c r="X53" s="64"/>
      <c r="Y53" s="64"/>
      <c r="Z53" s="64"/>
    </row>
    <row r="54" spans="1:26" thickBot="1">
      <c r="A54" s="66" t="str">
        <f t="shared" si="2"/>
        <v>Latitude 235</v>
      </c>
      <c r="B54" s="86">
        <v>2.35</v>
      </c>
      <c r="C54" s="70">
        <v>35</v>
      </c>
      <c r="D54" s="70">
        <v>0.65</v>
      </c>
      <c r="E54" s="70">
        <v>0.74</v>
      </c>
      <c r="F54" s="70">
        <v>0.85</v>
      </c>
      <c r="G54" s="70">
        <v>0.96</v>
      </c>
      <c r="H54" s="70">
        <v>1.03</v>
      </c>
      <c r="I54" s="70">
        <v>1.05</v>
      </c>
      <c r="J54" s="70">
        <v>1.02</v>
      </c>
      <c r="K54" s="70">
        <v>0.95</v>
      </c>
      <c r="L54" s="70">
        <v>0.86</v>
      </c>
      <c r="M54" s="70">
        <v>0.75</v>
      </c>
      <c r="N54" s="70">
        <v>0.66</v>
      </c>
      <c r="O54" s="70">
        <v>0.62</v>
      </c>
      <c r="P54" s="71">
        <v>0.85</v>
      </c>
      <c r="Q54" s="64"/>
      <c r="R54" s="64"/>
      <c r="S54" s="64"/>
      <c r="T54" s="64"/>
      <c r="U54" s="64"/>
      <c r="V54" s="64"/>
      <c r="W54" s="64"/>
      <c r="X54" s="64"/>
      <c r="Y54" s="64"/>
      <c r="Z54" s="64"/>
    </row>
    <row r="55" spans="1:26" thickBot="1">
      <c r="A55" s="66" t="str">
        <f t="shared" si="2"/>
        <v>Latitude 240</v>
      </c>
      <c r="B55" s="86">
        <v>2.4</v>
      </c>
      <c r="C55" s="70">
        <v>40</v>
      </c>
      <c r="D55" s="70">
        <v>0.57999999999999996</v>
      </c>
      <c r="E55" s="70">
        <v>0.68</v>
      </c>
      <c r="F55" s="70">
        <v>0.81</v>
      </c>
      <c r="G55" s="70">
        <v>0.93</v>
      </c>
      <c r="H55" s="70">
        <v>1.01</v>
      </c>
      <c r="I55" s="70">
        <v>1.03</v>
      </c>
      <c r="J55" s="70">
        <v>0.99</v>
      </c>
      <c r="K55" s="70">
        <v>0.92</v>
      </c>
      <c r="L55" s="70">
        <v>0.81</v>
      </c>
      <c r="M55" s="70">
        <v>0.69</v>
      </c>
      <c r="N55" s="70">
        <v>0.59</v>
      </c>
      <c r="O55" s="70">
        <v>0.55000000000000004</v>
      </c>
      <c r="P55" s="71">
        <v>0.8</v>
      </c>
      <c r="Q55" s="64"/>
      <c r="R55" s="64"/>
      <c r="S55" s="64"/>
      <c r="T55" s="64"/>
      <c r="U55" s="64"/>
      <c r="V55" s="64"/>
      <c r="W55" s="64"/>
      <c r="X55" s="64"/>
      <c r="Y55" s="64"/>
      <c r="Z55" s="64"/>
    </row>
    <row r="56" spans="1:26" thickBot="1">
      <c r="A56" s="66" t="str">
        <f t="shared" si="2"/>
        <v>Latitude 245</v>
      </c>
      <c r="B56" s="86">
        <v>2.4500000000000002</v>
      </c>
      <c r="C56" s="70">
        <v>45</v>
      </c>
      <c r="D56" s="70">
        <v>0.51</v>
      </c>
      <c r="E56" s="70">
        <v>0.62</v>
      </c>
      <c r="F56" s="70">
        <v>0.75</v>
      </c>
      <c r="G56" s="70">
        <v>0.89</v>
      </c>
      <c r="H56" s="70">
        <v>0.98</v>
      </c>
      <c r="I56" s="70">
        <v>1</v>
      </c>
      <c r="J56" s="70">
        <v>0.96</v>
      </c>
      <c r="K56" s="70">
        <v>0.88</v>
      </c>
      <c r="L56" s="70">
        <v>0.77</v>
      </c>
      <c r="M56" s="70">
        <v>0.63</v>
      </c>
      <c r="N56" s="70">
        <v>0.52</v>
      </c>
      <c r="O56" s="70">
        <v>0.47</v>
      </c>
      <c r="P56" s="71">
        <v>0.75</v>
      </c>
      <c r="Q56" s="64"/>
      <c r="R56" s="64"/>
      <c r="S56" s="64"/>
      <c r="T56" s="64"/>
      <c r="U56" s="64"/>
      <c r="V56" s="64"/>
      <c r="W56" s="64"/>
      <c r="X56" s="64"/>
      <c r="Y56" s="64"/>
      <c r="Z56" s="64"/>
    </row>
    <row r="57" spans="1:26" thickBot="1">
      <c r="A57" s="66" t="str">
        <f t="shared" si="2"/>
        <v>Latitude 250</v>
      </c>
      <c r="B57" s="86">
        <v>2.5</v>
      </c>
      <c r="C57" s="70">
        <v>50</v>
      </c>
      <c r="D57" s="70">
        <v>0.43</v>
      </c>
      <c r="E57" s="70">
        <v>0.55000000000000004</v>
      </c>
      <c r="F57" s="70">
        <v>0.7</v>
      </c>
      <c r="G57" s="70">
        <v>0.84</v>
      </c>
      <c r="H57" s="70">
        <v>0.94</v>
      </c>
      <c r="I57" s="70">
        <v>0.97</v>
      </c>
      <c r="J57" s="70">
        <v>0.93</v>
      </c>
      <c r="K57" s="70">
        <v>0.84</v>
      </c>
      <c r="L57" s="70">
        <v>0.71</v>
      </c>
      <c r="M57" s="70">
        <v>0.56999999999999995</v>
      </c>
      <c r="N57" s="70">
        <v>0.45</v>
      </c>
      <c r="O57" s="70">
        <v>0.39</v>
      </c>
      <c r="P57" s="71">
        <v>0.69</v>
      </c>
      <c r="Q57" s="64"/>
      <c r="R57" s="64"/>
      <c r="S57" s="64"/>
      <c r="T57" s="64"/>
      <c r="U57" s="64"/>
      <c r="V57" s="64"/>
      <c r="W57" s="64"/>
      <c r="X57" s="64"/>
      <c r="Y57" s="64"/>
      <c r="Z57" s="64"/>
    </row>
    <row r="58" spans="1:26" thickBot="1">
      <c r="A58" s="66" t="str">
        <f t="shared" si="2"/>
        <v>Latitude 255</v>
      </c>
      <c r="B58" s="86">
        <v>2.5499999999999998</v>
      </c>
      <c r="C58" s="70">
        <v>55</v>
      </c>
      <c r="D58" s="70">
        <v>0.35</v>
      </c>
      <c r="E58" s="70">
        <v>0.48</v>
      </c>
      <c r="F58" s="70">
        <v>0.64</v>
      </c>
      <c r="G58" s="70">
        <v>0.79</v>
      </c>
      <c r="H58" s="70">
        <v>0.9</v>
      </c>
      <c r="I58" s="70">
        <v>0.93</v>
      </c>
      <c r="J58" s="70">
        <v>0.89</v>
      </c>
      <c r="K58" s="70">
        <v>0.79</v>
      </c>
      <c r="L58" s="70">
        <v>0.65</v>
      </c>
      <c r="M58" s="70">
        <v>0.5</v>
      </c>
      <c r="N58" s="70">
        <v>0.37</v>
      </c>
      <c r="O58" s="70">
        <v>0.31</v>
      </c>
      <c r="P58" s="71">
        <v>0.63</v>
      </c>
      <c r="Q58" s="64"/>
      <c r="R58" s="64"/>
      <c r="S58" s="64"/>
      <c r="T58" s="64"/>
      <c r="U58" s="64"/>
      <c r="V58" s="64"/>
      <c r="W58" s="64"/>
      <c r="X58" s="64"/>
      <c r="Y58" s="64"/>
      <c r="Z58" s="64"/>
    </row>
    <row r="59" spans="1:26" thickBot="1">
      <c r="A59" s="66" t="str">
        <f t="shared" si="2"/>
        <v>Latitude 260</v>
      </c>
      <c r="B59" s="86">
        <v>2.6</v>
      </c>
      <c r="C59" s="70">
        <v>60</v>
      </c>
      <c r="D59" s="70">
        <v>0.27</v>
      </c>
      <c r="E59" s="70">
        <v>0.4</v>
      </c>
      <c r="F59" s="70">
        <v>0.56999999999999995</v>
      </c>
      <c r="G59" s="70">
        <v>0.74</v>
      </c>
      <c r="H59" s="70">
        <v>0.85</v>
      </c>
      <c r="I59" s="70">
        <v>0.88</v>
      </c>
      <c r="J59" s="70">
        <v>0.84</v>
      </c>
      <c r="K59" s="70">
        <v>0.74</v>
      </c>
      <c r="L59" s="70">
        <v>0.59</v>
      </c>
      <c r="M59" s="70">
        <v>0.42</v>
      </c>
      <c r="N59" s="70">
        <v>0.28999999999999998</v>
      </c>
      <c r="O59" s="70">
        <v>0.23</v>
      </c>
      <c r="P59" s="71">
        <v>0.56999999999999995</v>
      </c>
      <c r="Q59" s="64"/>
      <c r="R59" s="64"/>
      <c r="S59" s="64"/>
      <c r="T59" s="64"/>
      <c r="U59" s="64"/>
      <c r="V59" s="64"/>
      <c r="W59" s="64"/>
      <c r="X59" s="64"/>
      <c r="Y59" s="64"/>
      <c r="Z59" s="64"/>
    </row>
    <row r="60" spans="1:26" thickBot="1">
      <c r="A60" s="66" t="str">
        <f t="shared" si="2"/>
        <v>Latitude 265</v>
      </c>
      <c r="B60" s="86">
        <v>2.65</v>
      </c>
      <c r="C60" s="70">
        <v>65</v>
      </c>
      <c r="D60" s="70">
        <v>0.19</v>
      </c>
      <c r="E60" s="70">
        <v>0.32</v>
      </c>
      <c r="F60" s="70">
        <v>0.5</v>
      </c>
      <c r="G60" s="70">
        <v>0.68</v>
      </c>
      <c r="H60" s="70">
        <v>0.8</v>
      </c>
      <c r="I60" s="70">
        <v>0.84</v>
      </c>
      <c r="J60" s="70">
        <v>0.79</v>
      </c>
      <c r="K60" s="70">
        <v>0.68</v>
      </c>
      <c r="L60" s="70">
        <v>0.53</v>
      </c>
      <c r="M60" s="70">
        <v>0.35</v>
      </c>
      <c r="N60" s="70">
        <v>0.2</v>
      </c>
      <c r="O60" s="70">
        <v>0.14000000000000001</v>
      </c>
      <c r="P60" s="71">
        <v>0.5</v>
      </c>
      <c r="Q60" s="64"/>
      <c r="R60" s="64"/>
      <c r="S60" s="64"/>
      <c r="T60" s="64"/>
      <c r="U60" s="64"/>
      <c r="V60" s="64"/>
      <c r="W60" s="64"/>
      <c r="X60" s="64"/>
      <c r="Y60" s="64"/>
      <c r="Z60" s="64"/>
    </row>
    <row r="61" spans="1:26" thickBot="1">
      <c r="A61" s="66" t="str">
        <f t="shared" si="2"/>
        <v>Latitude 270</v>
      </c>
      <c r="B61" s="86">
        <v>2.7</v>
      </c>
      <c r="C61" s="70">
        <v>70</v>
      </c>
      <c r="D61" s="70">
        <v>0.11</v>
      </c>
      <c r="E61" s="70">
        <v>0.24</v>
      </c>
      <c r="F61" s="70">
        <v>0.43</v>
      </c>
      <c r="G61" s="70">
        <v>0.61</v>
      </c>
      <c r="H61" s="70">
        <v>0.74</v>
      </c>
      <c r="I61" s="70">
        <v>0.78</v>
      </c>
      <c r="J61" s="70">
        <v>0.73</v>
      </c>
      <c r="K61" s="70">
        <v>0.62</v>
      </c>
      <c r="L61" s="70">
        <v>0.46</v>
      </c>
      <c r="M61" s="70">
        <v>0.27</v>
      </c>
      <c r="N61" s="70">
        <v>0.13</v>
      </c>
      <c r="O61" s="70">
        <v>0.12</v>
      </c>
      <c r="P61" s="71">
        <v>0.44</v>
      </c>
      <c r="Q61" s="64"/>
      <c r="R61" s="64"/>
      <c r="S61" s="64"/>
      <c r="T61" s="64"/>
      <c r="U61" s="64"/>
      <c r="V61" s="64"/>
      <c r="W61" s="64"/>
      <c r="X61" s="64"/>
      <c r="Y61" s="64"/>
      <c r="Z61" s="64"/>
    </row>
    <row r="62" spans="1:26" thickBot="1">
      <c r="A62" s="66" t="str">
        <f t="shared" si="2"/>
        <v>Latitude 275</v>
      </c>
      <c r="B62" s="86">
        <v>2.75</v>
      </c>
      <c r="C62" s="70">
        <v>75</v>
      </c>
      <c r="D62" s="70">
        <v>0.11</v>
      </c>
      <c r="E62" s="70">
        <v>0.16</v>
      </c>
      <c r="F62" s="70">
        <v>0.36</v>
      </c>
      <c r="G62" s="70">
        <v>0.55000000000000004</v>
      </c>
      <c r="H62" s="70">
        <v>0.68</v>
      </c>
      <c r="I62" s="70">
        <v>0.72</v>
      </c>
      <c r="J62" s="70">
        <v>0.67</v>
      </c>
      <c r="K62" s="70">
        <v>0.56000000000000005</v>
      </c>
      <c r="L62" s="70">
        <v>0.39</v>
      </c>
      <c r="M62" s="70">
        <v>0.19</v>
      </c>
      <c r="N62" s="70">
        <v>0.12</v>
      </c>
      <c r="O62" s="70">
        <v>0.11</v>
      </c>
      <c r="P62" s="71">
        <v>0.39</v>
      </c>
      <c r="Q62" s="64"/>
      <c r="R62" s="64"/>
      <c r="S62" s="64"/>
      <c r="T62" s="64"/>
      <c r="U62" s="64"/>
      <c r="V62" s="64"/>
      <c r="W62" s="64"/>
      <c r="X62" s="64"/>
      <c r="Y62" s="64"/>
      <c r="Z62" s="64"/>
    </row>
    <row r="63" spans="1:26" thickBot="1">
      <c r="A63" s="66" t="str">
        <f t="shared" si="2"/>
        <v>Latitude 280</v>
      </c>
      <c r="B63" s="86">
        <v>2.8</v>
      </c>
      <c r="C63" s="70">
        <v>80</v>
      </c>
      <c r="D63" s="70">
        <v>0.1</v>
      </c>
      <c r="E63" s="70">
        <v>0.1</v>
      </c>
      <c r="F63" s="70">
        <v>0.28000000000000003</v>
      </c>
      <c r="G63" s="70">
        <v>0.47</v>
      </c>
      <c r="H63" s="70">
        <v>0.61</v>
      </c>
      <c r="I63" s="70">
        <v>0.66</v>
      </c>
      <c r="J63" s="70">
        <v>0.61</v>
      </c>
      <c r="K63" s="70">
        <v>0.49</v>
      </c>
      <c r="L63" s="70">
        <v>0.31</v>
      </c>
      <c r="M63" s="70">
        <v>0.13</v>
      </c>
      <c r="N63" s="70">
        <v>0.11</v>
      </c>
      <c r="O63" s="70">
        <v>0.1</v>
      </c>
      <c r="P63" s="71">
        <v>0.33</v>
      </c>
      <c r="Q63" s="64"/>
      <c r="R63" s="64"/>
      <c r="S63" s="64"/>
      <c r="T63" s="64"/>
      <c r="U63" s="64"/>
      <c r="V63" s="64"/>
      <c r="W63" s="64"/>
      <c r="X63" s="64"/>
      <c r="Y63" s="64"/>
      <c r="Z63" s="64"/>
    </row>
    <row r="64" spans="1:26" thickBot="1">
      <c r="A64" s="66" t="str">
        <f t="shared" si="2"/>
        <v>Latitude 285</v>
      </c>
      <c r="B64" s="86">
        <v>2.85</v>
      </c>
      <c r="C64" s="70">
        <v>85</v>
      </c>
      <c r="D64" s="70">
        <v>0.09</v>
      </c>
      <c r="E64" s="70">
        <v>0.09</v>
      </c>
      <c r="F64" s="70">
        <v>0.2</v>
      </c>
      <c r="G64" s="70">
        <v>0.4</v>
      </c>
      <c r="H64" s="70">
        <v>0.54</v>
      </c>
      <c r="I64" s="70">
        <v>0.59</v>
      </c>
      <c r="J64" s="70">
        <v>0.54</v>
      </c>
      <c r="K64" s="70">
        <v>0.42</v>
      </c>
      <c r="L64" s="70">
        <v>0.24</v>
      </c>
      <c r="M64" s="70">
        <v>0.12</v>
      </c>
      <c r="N64" s="70">
        <v>0.11</v>
      </c>
      <c r="O64" s="70">
        <v>0.1</v>
      </c>
      <c r="P64" s="71">
        <v>0.28999999999999998</v>
      </c>
      <c r="Q64" s="64"/>
      <c r="R64" s="64"/>
      <c r="S64" s="64"/>
      <c r="T64" s="64"/>
      <c r="U64" s="64"/>
      <c r="V64" s="64"/>
      <c r="W64" s="64"/>
      <c r="X64" s="64"/>
      <c r="Y64" s="64"/>
      <c r="Z64" s="64"/>
    </row>
    <row r="65" spans="1:26" thickBot="1">
      <c r="A65" s="66" t="str">
        <f t="shared" si="2"/>
        <v>Latitude 290</v>
      </c>
      <c r="B65" s="86">
        <v>2.9</v>
      </c>
      <c r="C65" s="70">
        <v>90</v>
      </c>
      <c r="D65" s="70">
        <v>0.08</v>
      </c>
      <c r="E65" s="70">
        <v>0.08</v>
      </c>
      <c r="F65" s="70">
        <v>1.2E-2</v>
      </c>
      <c r="G65" s="70">
        <v>0.32</v>
      </c>
      <c r="H65" s="70">
        <v>0.47</v>
      </c>
      <c r="I65" s="70">
        <v>0.52</v>
      </c>
      <c r="J65" s="70">
        <v>0.47</v>
      </c>
      <c r="K65" s="70">
        <v>0.35</v>
      </c>
      <c r="L65" s="70">
        <v>0.16</v>
      </c>
      <c r="M65" s="70">
        <v>0.11</v>
      </c>
      <c r="N65" s="70">
        <v>0.1</v>
      </c>
      <c r="O65" s="70">
        <v>0.09</v>
      </c>
      <c r="P65" s="71">
        <v>0.23</v>
      </c>
      <c r="Q65" s="64"/>
      <c r="R65" s="64"/>
      <c r="S65" s="64"/>
      <c r="T65" s="64"/>
      <c r="U65" s="64"/>
      <c r="V65" s="64"/>
      <c r="W65" s="64"/>
      <c r="X65" s="64"/>
      <c r="Y65" s="64"/>
      <c r="Z65" s="64"/>
    </row>
    <row r="66" spans="1:26" thickBot="1">
      <c r="A66" s="66"/>
      <c r="B66" s="87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66"/>
      <c r="Q66" s="64"/>
      <c r="R66" s="64"/>
      <c r="S66" s="64"/>
      <c r="T66" s="64"/>
      <c r="U66" s="64"/>
      <c r="V66" s="64"/>
      <c r="W66" s="64"/>
      <c r="X66" s="64"/>
      <c r="Y66" s="64"/>
      <c r="Z66" s="64"/>
    </row>
    <row r="67" spans="1:26" thickBot="1">
      <c r="A67" s="66"/>
      <c r="B67" s="67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66"/>
      <c r="Q67" s="64"/>
      <c r="R67" s="64"/>
      <c r="S67" s="64"/>
      <c r="T67" s="64"/>
      <c r="U67" s="64"/>
      <c r="V67" s="64"/>
      <c r="W67" s="64"/>
      <c r="X67" s="64"/>
      <c r="Y67" s="64"/>
      <c r="Z67" s="64"/>
    </row>
    <row r="68" spans="1:26" thickBot="1">
      <c r="A68" s="66"/>
      <c r="B68" s="85" t="s">
        <v>5867</v>
      </c>
      <c r="C68" s="75" t="s">
        <v>5853</v>
      </c>
      <c r="D68" s="75" t="s">
        <v>5827</v>
      </c>
      <c r="E68" s="75" t="s">
        <v>5828</v>
      </c>
      <c r="F68" s="75" t="s">
        <v>5829</v>
      </c>
      <c r="G68" s="75" t="s">
        <v>5830</v>
      </c>
      <c r="H68" s="75" t="s">
        <v>5831</v>
      </c>
      <c r="I68" s="75" t="s">
        <v>5832</v>
      </c>
      <c r="J68" s="75" t="s">
        <v>5833</v>
      </c>
      <c r="K68" s="75" t="s">
        <v>5834</v>
      </c>
      <c r="L68" s="75" t="s">
        <v>5835</v>
      </c>
      <c r="M68" s="75" t="s">
        <v>5836</v>
      </c>
      <c r="N68" s="75" t="s">
        <v>5837</v>
      </c>
      <c r="O68" s="75" t="s">
        <v>5838</v>
      </c>
      <c r="P68" s="74" t="s">
        <v>20</v>
      </c>
      <c r="Q68" s="64"/>
      <c r="R68" s="64"/>
      <c r="S68" s="64"/>
      <c r="T68" s="64"/>
      <c r="U68" s="64"/>
      <c r="V68" s="64"/>
      <c r="W68" s="64"/>
      <c r="X68" s="64"/>
      <c r="Y68" s="64"/>
      <c r="Z68" s="64"/>
    </row>
    <row r="69" spans="1:26" thickBot="1">
      <c r="A69" s="66" t="str">
        <f>$B$68&amp;C69</f>
        <v>Latitude 30</v>
      </c>
      <c r="B69" s="86">
        <v>3</v>
      </c>
      <c r="C69" s="70">
        <v>0</v>
      </c>
      <c r="D69" s="70">
        <v>1</v>
      </c>
      <c r="E69" s="70">
        <v>1</v>
      </c>
      <c r="F69" s="70">
        <v>1</v>
      </c>
      <c r="G69" s="70">
        <v>1</v>
      </c>
      <c r="H69" s="70">
        <v>1</v>
      </c>
      <c r="I69" s="70">
        <v>1</v>
      </c>
      <c r="J69" s="70">
        <v>1</v>
      </c>
      <c r="K69" s="70">
        <v>1</v>
      </c>
      <c r="L69" s="70">
        <v>1</v>
      </c>
      <c r="M69" s="70">
        <v>1</v>
      </c>
      <c r="N69" s="70">
        <v>1</v>
      </c>
      <c r="O69" s="70">
        <v>1</v>
      </c>
      <c r="P69" s="71">
        <v>1</v>
      </c>
      <c r="Q69" s="64"/>
      <c r="R69" s="64"/>
      <c r="S69" s="64"/>
      <c r="T69" s="64"/>
      <c r="U69" s="64"/>
      <c r="V69" s="64"/>
      <c r="W69" s="64"/>
      <c r="X69" s="64"/>
      <c r="Y69" s="64"/>
      <c r="Z69" s="64"/>
    </row>
    <row r="70" spans="1:26" thickBot="1">
      <c r="A70" s="66" t="str">
        <f t="shared" ref="A70:A87" si="3">$B$68&amp;C70</f>
        <v>Latitude 35</v>
      </c>
      <c r="B70" s="86">
        <v>3.05</v>
      </c>
      <c r="C70" s="70">
        <v>5</v>
      </c>
      <c r="D70" s="70">
        <v>0.97</v>
      </c>
      <c r="E70" s="70">
        <v>0.98</v>
      </c>
      <c r="F70" s="70">
        <v>1</v>
      </c>
      <c r="G70" s="70">
        <v>1.02</v>
      </c>
      <c r="H70" s="70">
        <v>1.03</v>
      </c>
      <c r="I70" s="70">
        <v>1.03</v>
      </c>
      <c r="J70" s="70">
        <v>1.02</v>
      </c>
      <c r="K70" s="70">
        <v>1.01</v>
      </c>
      <c r="L70" s="70">
        <v>1</v>
      </c>
      <c r="M70" s="70">
        <v>0.98</v>
      </c>
      <c r="N70" s="70">
        <v>0.97</v>
      </c>
      <c r="O70" s="70">
        <v>0.94</v>
      </c>
      <c r="P70" s="71">
        <v>1</v>
      </c>
      <c r="Q70" s="64"/>
      <c r="R70" s="64"/>
      <c r="S70" s="64"/>
      <c r="T70" s="64"/>
      <c r="U70" s="64"/>
      <c r="V70" s="64"/>
      <c r="W70" s="64"/>
      <c r="X70" s="64"/>
      <c r="Y70" s="64"/>
      <c r="Z70" s="64"/>
    </row>
    <row r="71" spans="1:26" thickBot="1">
      <c r="A71" s="66" t="str">
        <f t="shared" si="3"/>
        <v>Latitude 310</v>
      </c>
      <c r="B71" s="86">
        <v>3.1</v>
      </c>
      <c r="C71" s="70">
        <v>10</v>
      </c>
      <c r="D71" s="70">
        <v>0.93</v>
      </c>
      <c r="E71" s="70">
        <v>0.96</v>
      </c>
      <c r="F71" s="70">
        <v>0.99</v>
      </c>
      <c r="G71" s="70">
        <v>1.03</v>
      </c>
      <c r="H71" s="70">
        <v>1.05</v>
      </c>
      <c r="I71" s="70">
        <v>1.05</v>
      </c>
      <c r="J71" s="70">
        <v>1.04</v>
      </c>
      <c r="K71" s="70">
        <v>1.02</v>
      </c>
      <c r="L71" s="70">
        <v>0.99</v>
      </c>
      <c r="M71" s="70">
        <v>0.96</v>
      </c>
      <c r="N71" s="70">
        <v>0.94</v>
      </c>
      <c r="O71" s="70">
        <v>0.93</v>
      </c>
      <c r="P71" s="71">
        <v>0.99</v>
      </c>
      <c r="Q71" s="64"/>
      <c r="R71" s="64"/>
      <c r="S71" s="64"/>
      <c r="T71" s="64"/>
      <c r="U71" s="64"/>
      <c r="V71" s="64"/>
      <c r="W71" s="64"/>
      <c r="X71" s="64"/>
      <c r="Y71" s="64"/>
      <c r="Z71" s="64"/>
    </row>
    <row r="72" spans="1:26" thickBot="1">
      <c r="A72" s="66" t="str">
        <f t="shared" si="3"/>
        <v>Latitude 315</v>
      </c>
      <c r="B72" s="86">
        <v>3.15</v>
      </c>
      <c r="C72" s="70">
        <v>15</v>
      </c>
      <c r="D72" s="70">
        <v>0.89</v>
      </c>
      <c r="E72" s="70">
        <v>0.93</v>
      </c>
      <c r="F72" s="70">
        <v>0.98</v>
      </c>
      <c r="G72" s="70">
        <v>1.03</v>
      </c>
      <c r="H72" s="70">
        <v>1.06</v>
      </c>
      <c r="I72" s="70">
        <v>1.06</v>
      </c>
      <c r="J72" s="70">
        <v>1.05</v>
      </c>
      <c r="K72" s="70">
        <v>1.02</v>
      </c>
      <c r="L72" s="70">
        <v>0.98</v>
      </c>
      <c r="M72" s="70">
        <v>0.93</v>
      </c>
      <c r="N72" s="70">
        <v>0.89</v>
      </c>
      <c r="O72" s="70">
        <v>0.88</v>
      </c>
      <c r="P72" s="71">
        <v>0.98</v>
      </c>
      <c r="Q72" s="64"/>
      <c r="R72" s="64"/>
      <c r="S72" s="64"/>
      <c r="T72" s="64"/>
      <c r="U72" s="64"/>
      <c r="V72" s="64"/>
      <c r="W72" s="64"/>
      <c r="X72" s="64"/>
      <c r="Y72" s="64"/>
      <c r="Z72" s="64"/>
    </row>
    <row r="73" spans="1:26" thickBot="1">
      <c r="A73" s="66" t="str">
        <f t="shared" si="3"/>
        <v>Latitude 320</v>
      </c>
      <c r="B73" s="86">
        <v>3.2</v>
      </c>
      <c r="C73" s="70">
        <v>20</v>
      </c>
      <c r="D73" s="70">
        <v>0.84</v>
      </c>
      <c r="E73" s="70">
        <v>0.89</v>
      </c>
      <c r="F73" s="70">
        <v>0.96</v>
      </c>
      <c r="G73" s="70">
        <v>1.02</v>
      </c>
      <c r="H73" s="70">
        <v>1.06</v>
      </c>
      <c r="I73" s="70">
        <v>1.07</v>
      </c>
      <c r="J73" s="70">
        <v>1.05</v>
      </c>
      <c r="K73" s="70">
        <v>1.02</v>
      </c>
      <c r="L73" s="70">
        <v>0.96</v>
      </c>
      <c r="M73" s="70">
        <v>0.9</v>
      </c>
      <c r="N73" s="70">
        <v>0.85</v>
      </c>
      <c r="O73" s="70">
        <v>0.83</v>
      </c>
      <c r="P73" s="71">
        <v>0.95</v>
      </c>
      <c r="Q73" s="64"/>
      <c r="R73" s="64"/>
      <c r="S73" s="64"/>
      <c r="T73" s="64"/>
      <c r="U73" s="64"/>
      <c r="V73" s="64"/>
      <c r="W73" s="64"/>
      <c r="X73" s="64"/>
      <c r="Y73" s="64"/>
      <c r="Z73" s="64"/>
    </row>
    <row r="74" spans="1:26" thickBot="1">
      <c r="A74" s="66" t="str">
        <f t="shared" si="3"/>
        <v>Latitude 325</v>
      </c>
      <c r="B74" s="86">
        <v>3.25</v>
      </c>
      <c r="C74" s="70">
        <v>25</v>
      </c>
      <c r="D74" s="70">
        <v>0.79</v>
      </c>
      <c r="E74" s="70">
        <v>0.85</v>
      </c>
      <c r="F74" s="70">
        <v>0.93</v>
      </c>
      <c r="G74" s="70">
        <v>1.01</v>
      </c>
      <c r="H74" s="70">
        <v>1.06</v>
      </c>
      <c r="I74" s="70">
        <v>1.07</v>
      </c>
      <c r="J74" s="70">
        <v>1.05</v>
      </c>
      <c r="K74" s="70">
        <v>1</v>
      </c>
      <c r="L74" s="70">
        <v>0.94</v>
      </c>
      <c r="M74" s="70">
        <v>0.86</v>
      </c>
      <c r="N74" s="70">
        <v>0.79</v>
      </c>
      <c r="O74" s="70">
        <v>0.77</v>
      </c>
      <c r="P74" s="71">
        <v>0.93</v>
      </c>
      <c r="Q74" s="64"/>
      <c r="R74" s="64"/>
      <c r="S74" s="64"/>
      <c r="T74" s="64"/>
      <c r="U74" s="64"/>
      <c r="V74" s="64"/>
      <c r="W74" s="64"/>
      <c r="X74" s="64"/>
      <c r="Y74" s="64"/>
      <c r="Z74" s="64"/>
    </row>
    <row r="75" spans="1:26" thickBot="1">
      <c r="A75" s="66" t="str">
        <f t="shared" si="3"/>
        <v>Latitude 330</v>
      </c>
      <c r="B75" s="86">
        <v>3.3</v>
      </c>
      <c r="C75" s="70">
        <v>30</v>
      </c>
      <c r="D75" s="70">
        <v>0.73</v>
      </c>
      <c r="E75" s="70">
        <v>0.8</v>
      </c>
      <c r="F75" s="70">
        <v>0.9</v>
      </c>
      <c r="G75" s="70">
        <v>0.99</v>
      </c>
      <c r="H75" s="70">
        <v>1.05</v>
      </c>
      <c r="I75" s="70">
        <v>1.07</v>
      </c>
      <c r="J75" s="70">
        <v>1.04</v>
      </c>
      <c r="K75" s="70">
        <v>0.98</v>
      </c>
      <c r="L75" s="70">
        <v>0.9</v>
      </c>
      <c r="M75" s="70">
        <v>0.81</v>
      </c>
      <c r="N75" s="70">
        <v>0.74</v>
      </c>
      <c r="O75" s="70">
        <v>0.7</v>
      </c>
      <c r="P75" s="71">
        <v>0.89</v>
      </c>
      <c r="Q75" s="64"/>
      <c r="R75" s="64"/>
      <c r="S75" s="64"/>
      <c r="T75" s="64"/>
      <c r="U75" s="64"/>
      <c r="V75" s="64"/>
      <c r="W75" s="64"/>
      <c r="X75" s="64"/>
      <c r="Y75" s="64"/>
      <c r="Z75" s="64"/>
    </row>
    <row r="76" spans="1:26" thickBot="1">
      <c r="A76" s="66" t="str">
        <f t="shared" si="3"/>
        <v>Latitude 335</v>
      </c>
      <c r="B76" s="86">
        <v>3.35</v>
      </c>
      <c r="C76" s="70">
        <v>35</v>
      </c>
      <c r="D76" s="70">
        <v>0.66</v>
      </c>
      <c r="E76" s="70">
        <v>0.75</v>
      </c>
      <c r="F76" s="70">
        <v>0.86</v>
      </c>
      <c r="G76" s="70">
        <v>0.97</v>
      </c>
      <c r="H76" s="70">
        <v>1.04</v>
      </c>
      <c r="I76" s="70">
        <v>1.05</v>
      </c>
      <c r="J76" s="70">
        <v>1.02</v>
      </c>
      <c r="K76" s="70">
        <v>0.96</v>
      </c>
      <c r="L76" s="70">
        <v>0.87</v>
      </c>
      <c r="M76" s="70">
        <v>0.76</v>
      </c>
      <c r="N76" s="70">
        <v>0.67</v>
      </c>
      <c r="O76" s="70">
        <v>0.63</v>
      </c>
      <c r="P76" s="71">
        <v>0.85</v>
      </c>
      <c r="Q76" s="64"/>
      <c r="R76" s="64"/>
      <c r="S76" s="64"/>
      <c r="T76" s="64"/>
      <c r="U76" s="64"/>
      <c r="V76" s="64"/>
      <c r="W76" s="64"/>
      <c r="X76" s="64"/>
      <c r="Y76" s="64"/>
      <c r="Z76" s="64"/>
    </row>
    <row r="77" spans="1:26" thickBot="1">
      <c r="A77" s="66" t="str">
        <f t="shared" si="3"/>
        <v>Latitude 340</v>
      </c>
      <c r="B77" s="86">
        <v>3.4</v>
      </c>
      <c r="C77" s="70">
        <v>40</v>
      </c>
      <c r="D77" s="70">
        <v>0.59</v>
      </c>
      <c r="E77" s="70">
        <v>0.69</v>
      </c>
      <c r="F77" s="70">
        <v>0.82</v>
      </c>
      <c r="G77" s="70">
        <v>0.94</v>
      </c>
      <c r="H77" s="70">
        <v>1.02</v>
      </c>
      <c r="I77" s="70">
        <v>1.04</v>
      </c>
      <c r="J77" s="70">
        <v>1</v>
      </c>
      <c r="K77" s="70">
        <v>0.93</v>
      </c>
      <c r="L77" s="70">
        <v>0.82</v>
      </c>
      <c r="M77" s="70">
        <v>0.7</v>
      </c>
      <c r="N77" s="70">
        <v>0.6</v>
      </c>
      <c r="O77" s="70">
        <v>0.56000000000000005</v>
      </c>
      <c r="P77" s="71">
        <v>0.81</v>
      </c>
      <c r="Q77" s="64"/>
      <c r="R77" s="64"/>
      <c r="S77" s="64"/>
      <c r="T77" s="64"/>
      <c r="U77" s="64"/>
      <c r="V77" s="64"/>
      <c r="W77" s="64"/>
      <c r="X77" s="64"/>
      <c r="Y77" s="64"/>
      <c r="Z77" s="64"/>
    </row>
    <row r="78" spans="1:26" thickBot="1">
      <c r="A78" s="66" t="str">
        <f t="shared" si="3"/>
        <v>Latitude 345</v>
      </c>
      <c r="B78" s="86">
        <v>3.45</v>
      </c>
      <c r="C78" s="70">
        <v>45</v>
      </c>
      <c r="D78" s="70">
        <v>0.52</v>
      </c>
      <c r="E78" s="70">
        <v>0.63</v>
      </c>
      <c r="F78" s="70">
        <v>0.76</v>
      </c>
      <c r="G78" s="70">
        <v>0.9</v>
      </c>
      <c r="H78" s="70">
        <v>0.99</v>
      </c>
      <c r="I78" s="70">
        <v>1.01</v>
      </c>
      <c r="J78" s="70">
        <v>0.97</v>
      </c>
      <c r="K78" s="70">
        <v>0.89</v>
      </c>
      <c r="L78" s="70">
        <v>0.77</v>
      </c>
      <c r="M78" s="70">
        <v>0.64</v>
      </c>
      <c r="N78" s="70">
        <v>0.53</v>
      </c>
      <c r="O78" s="70">
        <v>0.49</v>
      </c>
      <c r="P78" s="71">
        <v>0.76</v>
      </c>
      <c r="Q78" s="64"/>
      <c r="R78" s="64"/>
      <c r="S78" s="64"/>
      <c r="T78" s="64"/>
      <c r="U78" s="64"/>
      <c r="V78" s="64"/>
      <c r="W78" s="64"/>
      <c r="X78" s="64"/>
      <c r="Y78" s="64"/>
      <c r="Z78" s="64"/>
    </row>
    <row r="79" spans="1:26" thickBot="1">
      <c r="A79" s="66" t="str">
        <f t="shared" si="3"/>
        <v>Latitude 350</v>
      </c>
      <c r="B79" s="86">
        <v>3.5</v>
      </c>
      <c r="C79" s="70">
        <v>50</v>
      </c>
      <c r="D79" s="70">
        <v>0.44</v>
      </c>
      <c r="E79" s="70">
        <v>0.56000000000000005</v>
      </c>
      <c r="F79" s="70">
        <v>0.71</v>
      </c>
      <c r="G79" s="70">
        <v>0.85</v>
      </c>
      <c r="H79" s="70">
        <v>0.95</v>
      </c>
      <c r="I79" s="70">
        <v>0.98</v>
      </c>
      <c r="J79" s="70">
        <v>0.94</v>
      </c>
      <c r="K79" s="70">
        <v>0.85</v>
      </c>
      <c r="L79" s="70">
        <v>0.72</v>
      </c>
      <c r="M79" s="70">
        <v>0.57999999999999996</v>
      </c>
      <c r="N79" s="70">
        <v>0.46</v>
      </c>
      <c r="O79" s="70">
        <v>0.41</v>
      </c>
      <c r="P79" s="71">
        <v>0.7</v>
      </c>
      <c r="Q79" s="64"/>
      <c r="R79" s="64"/>
      <c r="S79" s="64"/>
      <c r="T79" s="64"/>
      <c r="U79" s="64"/>
      <c r="V79" s="64"/>
      <c r="W79" s="64"/>
      <c r="X79" s="64"/>
      <c r="Y79" s="64"/>
      <c r="Z79" s="64"/>
    </row>
    <row r="80" spans="1:26" thickBot="1">
      <c r="A80" s="66" t="str">
        <f t="shared" si="3"/>
        <v>Latitude 355</v>
      </c>
      <c r="B80" s="86">
        <v>3.55</v>
      </c>
      <c r="C80" s="70">
        <v>55</v>
      </c>
      <c r="D80" s="70">
        <v>0.37</v>
      </c>
      <c r="E80" s="70">
        <v>0.49</v>
      </c>
      <c r="F80" s="70">
        <v>0.65</v>
      </c>
      <c r="G80" s="70">
        <v>0.81</v>
      </c>
      <c r="H80" s="70">
        <v>0.91</v>
      </c>
      <c r="I80" s="70">
        <v>0.94</v>
      </c>
      <c r="J80" s="70">
        <v>0.9</v>
      </c>
      <c r="K80" s="70">
        <v>0.8</v>
      </c>
      <c r="L80" s="70">
        <v>0.66</v>
      </c>
      <c r="M80" s="70">
        <v>0.51</v>
      </c>
      <c r="N80" s="70">
        <v>0.38</v>
      </c>
      <c r="O80" s="70">
        <v>0.32</v>
      </c>
      <c r="P80" s="71">
        <v>0.65</v>
      </c>
      <c r="Q80" s="64"/>
      <c r="R80" s="64"/>
      <c r="S80" s="64"/>
      <c r="T80" s="64"/>
      <c r="U80" s="64"/>
      <c r="V80" s="64"/>
      <c r="W80" s="64"/>
      <c r="X80" s="64"/>
      <c r="Y80" s="64"/>
      <c r="Z80" s="64"/>
    </row>
    <row r="81" spans="1:26" thickBot="1">
      <c r="A81" s="66" t="str">
        <f t="shared" si="3"/>
        <v>Latitude 360</v>
      </c>
      <c r="B81" s="86">
        <v>3.6</v>
      </c>
      <c r="C81" s="70">
        <v>60</v>
      </c>
      <c r="D81" s="70">
        <v>0.28000000000000003</v>
      </c>
      <c r="E81" s="70">
        <v>0.41</v>
      </c>
      <c r="F81" s="70">
        <v>0.57999999999999996</v>
      </c>
      <c r="G81" s="70">
        <v>0.75</v>
      </c>
      <c r="H81" s="70">
        <v>0.87</v>
      </c>
      <c r="I81" s="70">
        <v>0.9</v>
      </c>
      <c r="J81" s="70">
        <v>0.85</v>
      </c>
      <c r="K81" s="70">
        <v>0.75</v>
      </c>
      <c r="L81" s="70">
        <v>0.6</v>
      </c>
      <c r="M81" s="70">
        <v>0.44</v>
      </c>
      <c r="N81" s="70">
        <v>0.3</v>
      </c>
      <c r="O81" s="70">
        <v>0.24</v>
      </c>
      <c r="P81" s="71">
        <v>0.57999999999999996</v>
      </c>
      <c r="Q81" s="64"/>
      <c r="R81" s="64"/>
      <c r="S81" s="64"/>
      <c r="T81" s="64"/>
      <c r="U81" s="64"/>
      <c r="V81" s="64"/>
      <c r="W81" s="64"/>
      <c r="X81" s="64"/>
      <c r="Y81" s="64"/>
      <c r="Z81" s="64"/>
    </row>
    <row r="82" spans="1:26" thickBot="1">
      <c r="A82" s="66" t="str">
        <f t="shared" si="3"/>
        <v>Latitude 365</v>
      </c>
      <c r="B82" s="86">
        <v>3.65</v>
      </c>
      <c r="C82" s="70">
        <v>65</v>
      </c>
      <c r="D82" s="70">
        <v>0.2</v>
      </c>
      <c r="E82" s="70">
        <v>0.34</v>
      </c>
      <c r="F82" s="70">
        <v>0.52</v>
      </c>
      <c r="G82" s="70">
        <v>0.69</v>
      </c>
      <c r="H82" s="70">
        <v>0.81</v>
      </c>
      <c r="I82" s="70">
        <v>0.85</v>
      </c>
      <c r="J82" s="70">
        <v>0.8</v>
      </c>
      <c r="K82" s="70">
        <v>0.69</v>
      </c>
      <c r="L82" s="70">
        <v>0.54</v>
      </c>
      <c r="M82" s="70">
        <v>0.36</v>
      </c>
      <c r="N82" s="70">
        <v>0.22</v>
      </c>
      <c r="O82" s="70">
        <v>0.16</v>
      </c>
      <c r="P82" s="71">
        <v>0.52</v>
      </c>
      <c r="Q82" s="64"/>
      <c r="R82" s="64"/>
      <c r="S82" s="64"/>
      <c r="T82" s="64"/>
      <c r="U82" s="64"/>
      <c r="V82" s="64"/>
      <c r="W82" s="64"/>
      <c r="X82" s="64"/>
      <c r="Y82" s="64"/>
      <c r="Z82" s="64"/>
    </row>
    <row r="83" spans="1:26" thickBot="1">
      <c r="A83" s="66" t="str">
        <f t="shared" si="3"/>
        <v>Latitude 370</v>
      </c>
      <c r="B83" s="86">
        <v>3.7</v>
      </c>
      <c r="C83" s="70">
        <v>70</v>
      </c>
      <c r="D83" s="70">
        <v>0.12</v>
      </c>
      <c r="E83" s="70">
        <v>0.26</v>
      </c>
      <c r="F83" s="70">
        <v>0.44</v>
      </c>
      <c r="G83" s="70">
        <v>0.63</v>
      </c>
      <c r="H83" s="70">
        <v>0.76</v>
      </c>
      <c r="I83" s="70">
        <v>0.79</v>
      </c>
      <c r="J83" s="70">
        <v>0.75</v>
      </c>
      <c r="K83" s="70">
        <v>0.63</v>
      </c>
      <c r="L83" s="70">
        <v>0.47</v>
      </c>
      <c r="M83" s="70">
        <v>0.28999999999999998</v>
      </c>
      <c r="N83" s="70">
        <v>0.14000000000000001</v>
      </c>
      <c r="O83" s="70">
        <v>0.12</v>
      </c>
      <c r="P83" s="71">
        <v>0.45</v>
      </c>
      <c r="Q83" s="64"/>
      <c r="R83" s="64"/>
      <c r="S83" s="64"/>
      <c r="T83" s="64"/>
      <c r="U83" s="64"/>
      <c r="V83" s="64"/>
      <c r="W83" s="64"/>
      <c r="X83" s="64"/>
      <c r="Y83" s="64"/>
      <c r="Z83" s="64"/>
    </row>
    <row r="84" spans="1:26" thickBot="1">
      <c r="A84" s="66" t="str">
        <f t="shared" si="3"/>
        <v>Latitude 375</v>
      </c>
      <c r="B84" s="86">
        <v>3.75</v>
      </c>
      <c r="C84" s="70">
        <v>75</v>
      </c>
      <c r="D84" s="70">
        <v>0.1</v>
      </c>
      <c r="E84" s="70">
        <v>0.18</v>
      </c>
      <c r="F84" s="70">
        <v>0.37</v>
      </c>
      <c r="G84" s="70">
        <v>0.56000000000000005</v>
      </c>
      <c r="H84" s="70">
        <v>0.69</v>
      </c>
      <c r="I84" s="70">
        <v>0.73</v>
      </c>
      <c r="J84" s="70">
        <v>0.69</v>
      </c>
      <c r="K84" s="70">
        <v>0.56999999999999995</v>
      </c>
      <c r="L84" s="70">
        <v>0.4</v>
      </c>
      <c r="M84" s="70">
        <v>0.21</v>
      </c>
      <c r="N84" s="70">
        <v>0.12</v>
      </c>
      <c r="O84" s="70">
        <v>0.11</v>
      </c>
      <c r="P84" s="71">
        <v>0.39</v>
      </c>
      <c r="Q84" s="64"/>
      <c r="R84" s="64"/>
      <c r="S84" s="64"/>
      <c r="T84" s="64"/>
      <c r="U84" s="64"/>
      <c r="V84" s="64"/>
      <c r="W84" s="64"/>
      <c r="X84" s="64"/>
      <c r="Y84" s="64"/>
      <c r="Z84" s="64"/>
    </row>
    <row r="85" spans="1:26" thickBot="1">
      <c r="A85" s="66" t="str">
        <f t="shared" si="3"/>
        <v>Latitude 380</v>
      </c>
      <c r="B85" s="86">
        <v>3.8</v>
      </c>
      <c r="C85" s="70">
        <v>80</v>
      </c>
      <c r="D85" s="70">
        <v>0.1</v>
      </c>
      <c r="E85" s="70">
        <v>0.1</v>
      </c>
      <c r="F85" s="70">
        <v>0.28999999999999998</v>
      </c>
      <c r="G85" s="70">
        <v>0.49</v>
      </c>
      <c r="H85" s="70">
        <v>0.63</v>
      </c>
      <c r="I85" s="70">
        <v>0.67</v>
      </c>
      <c r="J85" s="70">
        <v>0.62</v>
      </c>
      <c r="K85" s="70">
        <v>0.5</v>
      </c>
      <c r="L85" s="70">
        <v>0.33</v>
      </c>
      <c r="M85" s="70">
        <v>0.13</v>
      </c>
      <c r="N85" s="70">
        <v>0.11</v>
      </c>
      <c r="O85" s="70">
        <v>0.1</v>
      </c>
      <c r="P85" s="71">
        <v>0.34</v>
      </c>
      <c r="Q85" s="64"/>
      <c r="R85" s="64"/>
      <c r="S85" s="64"/>
      <c r="T85" s="64"/>
      <c r="U85" s="64"/>
      <c r="V85" s="64"/>
      <c r="W85" s="64"/>
      <c r="X85" s="64"/>
      <c r="Y85" s="64"/>
      <c r="Z85" s="64"/>
    </row>
    <row r="86" spans="1:26" thickBot="1">
      <c r="A86" s="66" t="str">
        <f t="shared" si="3"/>
        <v>Latitude 385</v>
      </c>
      <c r="B86" s="86">
        <v>3.85</v>
      </c>
      <c r="C86" s="70">
        <v>85</v>
      </c>
      <c r="D86" s="70">
        <v>0.09</v>
      </c>
      <c r="E86" s="70">
        <v>0.09</v>
      </c>
      <c r="F86" s="70">
        <v>0.22</v>
      </c>
      <c r="G86" s="70">
        <v>0.41</v>
      </c>
      <c r="H86" s="70">
        <v>0.56000000000000005</v>
      </c>
      <c r="I86" s="70">
        <v>0.6</v>
      </c>
      <c r="J86" s="70">
        <v>0.56000000000000005</v>
      </c>
      <c r="K86" s="70">
        <v>0.43</v>
      </c>
      <c r="L86" s="70">
        <v>0.25</v>
      </c>
      <c r="M86" s="70">
        <v>0.12</v>
      </c>
      <c r="N86" s="70">
        <v>0.11</v>
      </c>
      <c r="O86" s="70">
        <v>0.1</v>
      </c>
      <c r="P86" s="71">
        <v>0.3</v>
      </c>
      <c r="Q86" s="64"/>
      <c r="R86" s="64"/>
      <c r="S86" s="64"/>
      <c r="T86" s="64"/>
      <c r="U86" s="64"/>
      <c r="V86" s="64"/>
      <c r="W86" s="64"/>
      <c r="X86" s="64"/>
      <c r="Y86" s="64"/>
      <c r="Z86" s="64"/>
    </row>
    <row r="87" spans="1:26" thickBot="1">
      <c r="A87" s="66" t="str">
        <f t="shared" si="3"/>
        <v>Latitude 390</v>
      </c>
      <c r="B87" s="86">
        <v>3.9</v>
      </c>
      <c r="C87" s="70">
        <v>90</v>
      </c>
      <c r="D87" s="70">
        <v>0.08</v>
      </c>
      <c r="E87" s="70">
        <v>0.08</v>
      </c>
      <c r="F87" s="70">
        <v>0.14000000000000001</v>
      </c>
      <c r="G87" s="70">
        <v>0.34</v>
      </c>
      <c r="H87" s="70">
        <v>0.49</v>
      </c>
      <c r="I87" s="70">
        <v>0.53</v>
      </c>
      <c r="J87" s="70">
        <v>0.49</v>
      </c>
      <c r="K87" s="70">
        <v>0.36</v>
      </c>
      <c r="L87" s="70">
        <v>0.18</v>
      </c>
      <c r="M87" s="70">
        <v>0.11</v>
      </c>
      <c r="N87" s="70">
        <v>0.1</v>
      </c>
      <c r="O87" s="70">
        <v>0.09</v>
      </c>
      <c r="P87" s="71">
        <v>0.25</v>
      </c>
      <c r="Q87" s="64"/>
      <c r="R87" s="64"/>
      <c r="S87" s="64"/>
      <c r="T87" s="64"/>
      <c r="U87" s="64"/>
      <c r="V87" s="64"/>
      <c r="W87" s="64"/>
      <c r="X87" s="64"/>
      <c r="Y87" s="64"/>
      <c r="Z87" s="64"/>
    </row>
    <row r="88" spans="1:26" thickBot="1">
      <c r="A88" s="66"/>
      <c r="B88" s="87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66"/>
      <c r="Q88" s="64"/>
      <c r="R88" s="64"/>
      <c r="S88" s="64"/>
      <c r="T88" s="64"/>
      <c r="U88" s="64"/>
      <c r="V88" s="64"/>
      <c r="W88" s="64"/>
      <c r="X88" s="64"/>
      <c r="Y88" s="64"/>
      <c r="Z88" s="64"/>
    </row>
    <row r="89" spans="1:26" thickBot="1">
      <c r="A89" s="66"/>
      <c r="B89" s="67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66"/>
      <c r="Q89" s="64"/>
      <c r="R89" s="64"/>
      <c r="S89" s="64"/>
      <c r="T89" s="64"/>
      <c r="U89" s="64"/>
      <c r="V89" s="64"/>
      <c r="W89" s="64"/>
      <c r="X89" s="64"/>
      <c r="Y89" s="64"/>
      <c r="Z89" s="64"/>
    </row>
    <row r="90" spans="1:26" thickBot="1">
      <c r="A90" s="66"/>
      <c r="B90" s="85" t="s">
        <v>5868</v>
      </c>
      <c r="C90" s="75" t="s">
        <v>5853</v>
      </c>
      <c r="D90" s="75" t="s">
        <v>5827</v>
      </c>
      <c r="E90" s="75" t="s">
        <v>5828</v>
      </c>
      <c r="F90" s="75" t="s">
        <v>5829</v>
      </c>
      <c r="G90" s="75" t="s">
        <v>5830</v>
      </c>
      <c r="H90" s="75" t="s">
        <v>5831</v>
      </c>
      <c r="I90" s="75" t="s">
        <v>5832</v>
      </c>
      <c r="J90" s="75" t="s">
        <v>5833</v>
      </c>
      <c r="K90" s="75" t="s">
        <v>5834</v>
      </c>
      <c r="L90" s="75" t="s">
        <v>5835</v>
      </c>
      <c r="M90" s="75" t="s">
        <v>5836</v>
      </c>
      <c r="N90" s="75" t="s">
        <v>5837</v>
      </c>
      <c r="O90" s="75" t="s">
        <v>5838</v>
      </c>
      <c r="P90" s="74" t="s">
        <v>20</v>
      </c>
      <c r="Q90" s="64"/>
      <c r="R90" s="64"/>
      <c r="S90" s="64"/>
      <c r="T90" s="64"/>
      <c r="U90" s="64"/>
      <c r="V90" s="64"/>
      <c r="W90" s="64"/>
      <c r="X90" s="64"/>
      <c r="Y90" s="64"/>
      <c r="Z90" s="64"/>
    </row>
    <row r="91" spans="1:26" thickBot="1">
      <c r="A91" s="66" t="str">
        <f>$B$90&amp;C91</f>
        <v>Latitude 40</v>
      </c>
      <c r="B91" s="86">
        <v>4</v>
      </c>
      <c r="C91" s="70">
        <v>0</v>
      </c>
      <c r="D91" s="70">
        <v>1</v>
      </c>
      <c r="E91" s="70">
        <v>1</v>
      </c>
      <c r="F91" s="70">
        <v>1</v>
      </c>
      <c r="G91" s="70">
        <v>1</v>
      </c>
      <c r="H91" s="70">
        <v>1</v>
      </c>
      <c r="I91" s="70">
        <v>1</v>
      </c>
      <c r="J91" s="70">
        <v>1</v>
      </c>
      <c r="K91" s="70">
        <v>1</v>
      </c>
      <c r="L91" s="70">
        <v>1</v>
      </c>
      <c r="M91" s="70">
        <v>1</v>
      </c>
      <c r="N91" s="70">
        <v>1</v>
      </c>
      <c r="O91" s="70">
        <v>1</v>
      </c>
      <c r="P91" s="71">
        <v>1</v>
      </c>
      <c r="Q91" s="64"/>
      <c r="R91" s="64"/>
      <c r="S91" s="64"/>
      <c r="T91" s="64"/>
      <c r="U91" s="64"/>
      <c r="V91" s="64"/>
      <c r="W91" s="64"/>
      <c r="X91" s="64"/>
      <c r="Y91" s="64"/>
      <c r="Z91" s="64"/>
    </row>
    <row r="92" spans="1:26" thickBot="1">
      <c r="A92" s="66" t="str">
        <f t="shared" ref="A92:A109" si="4">$B$90&amp;C92</f>
        <v>Latitude 45</v>
      </c>
      <c r="B92" s="86">
        <v>4.5</v>
      </c>
      <c r="C92" s="70">
        <v>5</v>
      </c>
      <c r="D92" s="70">
        <v>0.97</v>
      </c>
      <c r="E92" s="70">
        <v>0.98</v>
      </c>
      <c r="F92" s="70">
        <v>1</v>
      </c>
      <c r="G92" s="70">
        <v>1.02</v>
      </c>
      <c r="H92" s="70">
        <v>1.03</v>
      </c>
      <c r="I92" s="70">
        <v>1.03</v>
      </c>
      <c r="J92" s="70">
        <v>1.02</v>
      </c>
      <c r="K92" s="70">
        <v>1.01</v>
      </c>
      <c r="L92" s="70">
        <v>1</v>
      </c>
      <c r="M92" s="70">
        <v>0.99</v>
      </c>
      <c r="N92" s="70">
        <v>0.97</v>
      </c>
      <c r="O92" s="70">
        <v>0.97</v>
      </c>
      <c r="P92" s="71">
        <v>1</v>
      </c>
      <c r="Q92" s="64"/>
      <c r="R92" s="64"/>
      <c r="S92" s="64"/>
      <c r="T92" s="64"/>
      <c r="U92" s="64"/>
      <c r="V92" s="64"/>
      <c r="W92" s="64"/>
      <c r="X92" s="64"/>
      <c r="Y92" s="64"/>
      <c r="Z92" s="64"/>
    </row>
    <row r="93" spans="1:26" thickBot="1">
      <c r="A93" s="66" t="str">
        <f t="shared" si="4"/>
        <v>Latitude 410</v>
      </c>
      <c r="B93" s="86">
        <v>4.0999999999999996</v>
      </c>
      <c r="C93" s="70">
        <v>10</v>
      </c>
      <c r="D93" s="70">
        <v>0.94</v>
      </c>
      <c r="E93" s="70">
        <v>0.96</v>
      </c>
      <c r="F93" s="70">
        <v>1</v>
      </c>
      <c r="G93" s="70">
        <v>1.03</v>
      </c>
      <c r="H93" s="70">
        <v>1.05</v>
      </c>
      <c r="I93" s="70">
        <v>1.05</v>
      </c>
      <c r="J93" s="70">
        <v>1.04</v>
      </c>
      <c r="K93" s="70">
        <v>1.02</v>
      </c>
      <c r="L93" s="70">
        <v>1</v>
      </c>
      <c r="M93" s="70">
        <v>0.96</v>
      </c>
      <c r="N93" s="70">
        <v>0.94</v>
      </c>
      <c r="O93" s="70">
        <v>0.93</v>
      </c>
      <c r="P93" s="71">
        <v>0.99</v>
      </c>
      <c r="Q93" s="64"/>
      <c r="R93" s="64"/>
      <c r="S93" s="64"/>
      <c r="T93" s="64"/>
      <c r="U93" s="64"/>
      <c r="V93" s="64"/>
      <c r="W93" s="64"/>
      <c r="X93" s="64"/>
      <c r="Y93" s="64"/>
      <c r="Z93" s="64"/>
    </row>
    <row r="94" spans="1:26" thickBot="1">
      <c r="A94" s="66" t="str">
        <f t="shared" si="4"/>
        <v>Latitude 415</v>
      </c>
      <c r="B94" s="86">
        <v>4.1500000000000004</v>
      </c>
      <c r="C94" s="70">
        <v>15</v>
      </c>
      <c r="D94" s="70">
        <v>0.9</v>
      </c>
      <c r="E94" s="70">
        <v>0.93</v>
      </c>
      <c r="F94" s="70">
        <v>0.98</v>
      </c>
      <c r="G94" s="70">
        <v>1.03</v>
      </c>
      <c r="H94" s="70">
        <v>1.06</v>
      </c>
      <c r="I94" s="70">
        <v>1.07</v>
      </c>
      <c r="J94" s="70">
        <v>1.05</v>
      </c>
      <c r="K94" s="70">
        <v>1.02</v>
      </c>
      <c r="L94" s="70">
        <v>0.98</v>
      </c>
      <c r="M94" s="70">
        <v>0.94</v>
      </c>
      <c r="N94" s="70">
        <v>0.9</v>
      </c>
      <c r="O94" s="70">
        <v>0.88</v>
      </c>
      <c r="P94" s="71">
        <v>0.98</v>
      </c>
      <c r="Q94" s="64"/>
      <c r="R94" s="64"/>
      <c r="S94" s="64"/>
      <c r="T94" s="64"/>
      <c r="U94" s="64"/>
      <c r="V94" s="64"/>
      <c r="W94" s="64"/>
      <c r="X94" s="64"/>
      <c r="Y94" s="64"/>
      <c r="Z94" s="64"/>
    </row>
    <row r="95" spans="1:26" thickBot="1">
      <c r="A95" s="66" t="str">
        <f t="shared" si="4"/>
        <v>Latitude 420</v>
      </c>
      <c r="B95" s="86">
        <v>4.2</v>
      </c>
      <c r="C95" s="70">
        <v>20</v>
      </c>
      <c r="D95" s="70">
        <v>0.85</v>
      </c>
      <c r="E95" s="70">
        <v>0.9</v>
      </c>
      <c r="F95" s="70">
        <v>0.96</v>
      </c>
      <c r="G95" s="70">
        <v>1.03</v>
      </c>
      <c r="H95" s="70">
        <v>1.07</v>
      </c>
      <c r="I95" s="70">
        <v>1.08</v>
      </c>
      <c r="J95" s="70">
        <v>1.06</v>
      </c>
      <c r="K95" s="70">
        <v>1.02</v>
      </c>
      <c r="L95" s="70">
        <v>0.97</v>
      </c>
      <c r="M95" s="70">
        <v>0.9</v>
      </c>
      <c r="N95" s="70">
        <v>0.85</v>
      </c>
      <c r="O95" s="70">
        <v>0.83</v>
      </c>
      <c r="P95" s="71">
        <v>0.96</v>
      </c>
      <c r="Q95" s="64"/>
      <c r="R95" s="64"/>
      <c r="S95" s="64"/>
      <c r="T95" s="64"/>
      <c r="U95" s="64"/>
      <c r="V95" s="64"/>
      <c r="W95" s="64"/>
      <c r="X95" s="64"/>
      <c r="Y95" s="64"/>
      <c r="Z95" s="64"/>
    </row>
    <row r="96" spans="1:26" thickBot="1">
      <c r="A96" s="66" t="str">
        <f t="shared" si="4"/>
        <v>Latitude 425</v>
      </c>
      <c r="B96" s="86">
        <v>4.25</v>
      </c>
      <c r="C96" s="70">
        <v>25</v>
      </c>
      <c r="D96" s="70">
        <v>0.8</v>
      </c>
      <c r="E96" s="70">
        <v>0.86</v>
      </c>
      <c r="F96" s="70">
        <v>0.94</v>
      </c>
      <c r="G96" s="70">
        <v>1.02</v>
      </c>
      <c r="H96" s="70">
        <v>1.07</v>
      </c>
      <c r="I96" s="70">
        <v>1.08</v>
      </c>
      <c r="J96" s="70">
        <v>1.05</v>
      </c>
      <c r="K96" s="70">
        <v>1.01</v>
      </c>
      <c r="L96" s="70">
        <v>0.94</v>
      </c>
      <c r="M96" s="70">
        <v>0.86</v>
      </c>
      <c r="N96" s="70">
        <v>0.8</v>
      </c>
      <c r="O96" s="70">
        <v>0.77</v>
      </c>
      <c r="P96" s="71">
        <v>0.93</v>
      </c>
      <c r="Q96" s="64"/>
      <c r="R96" s="64"/>
      <c r="S96" s="64"/>
      <c r="T96" s="64"/>
      <c r="U96" s="64"/>
      <c r="V96" s="64"/>
      <c r="W96" s="64"/>
      <c r="X96" s="64"/>
      <c r="Y96" s="64"/>
      <c r="Z96" s="64"/>
    </row>
    <row r="97" spans="1:26" thickBot="1">
      <c r="A97" s="66" t="str">
        <f t="shared" si="4"/>
        <v>Latitude 430</v>
      </c>
      <c r="B97" s="86">
        <v>4.3</v>
      </c>
      <c r="C97" s="70">
        <v>30</v>
      </c>
      <c r="D97" s="70">
        <v>0.74</v>
      </c>
      <c r="E97" s="70">
        <v>0.81</v>
      </c>
      <c r="F97" s="70">
        <v>0.91</v>
      </c>
      <c r="G97" s="70">
        <v>1</v>
      </c>
      <c r="H97" s="70">
        <v>1.06</v>
      </c>
      <c r="I97" s="70">
        <v>1.07</v>
      </c>
      <c r="J97" s="70">
        <v>1.05</v>
      </c>
      <c r="K97" s="70">
        <v>0.99</v>
      </c>
      <c r="L97" s="70">
        <v>0.91</v>
      </c>
      <c r="M97" s="70">
        <v>0.82</v>
      </c>
      <c r="N97" s="70">
        <v>0.74</v>
      </c>
      <c r="O97" s="70">
        <v>0.71</v>
      </c>
      <c r="P97" s="71">
        <v>0.9</v>
      </c>
      <c r="Q97" s="64"/>
      <c r="R97" s="64"/>
      <c r="S97" s="64"/>
      <c r="T97" s="64"/>
      <c r="U97" s="64"/>
      <c r="V97" s="64"/>
      <c r="W97" s="64"/>
      <c r="X97" s="64"/>
      <c r="Y97" s="64"/>
      <c r="Z97" s="64"/>
    </row>
    <row r="98" spans="1:26" thickBot="1">
      <c r="A98" s="66" t="str">
        <f t="shared" si="4"/>
        <v>Latitude 435</v>
      </c>
      <c r="B98" s="86">
        <v>4.3499999999999996</v>
      </c>
      <c r="C98" s="70">
        <v>35</v>
      </c>
      <c r="D98" s="70">
        <v>0.67</v>
      </c>
      <c r="E98" s="70">
        <v>0.76</v>
      </c>
      <c r="F98" s="70">
        <v>0.87</v>
      </c>
      <c r="G98" s="70">
        <v>0.98</v>
      </c>
      <c r="H98" s="70">
        <v>1.05</v>
      </c>
      <c r="I98" s="70">
        <v>1.06</v>
      </c>
      <c r="J98" s="70">
        <v>1.03</v>
      </c>
      <c r="K98" s="70">
        <v>0.97</v>
      </c>
      <c r="L98" s="70">
        <v>0.87</v>
      </c>
      <c r="M98" s="70">
        <v>0.77</v>
      </c>
      <c r="N98" s="70">
        <v>0.68</v>
      </c>
      <c r="O98" s="70">
        <v>0.64</v>
      </c>
      <c r="P98" s="71">
        <v>0.86</v>
      </c>
      <c r="Q98" s="64"/>
      <c r="R98" s="64"/>
      <c r="S98" s="64"/>
      <c r="T98" s="64"/>
      <c r="U98" s="64"/>
      <c r="V98" s="64"/>
      <c r="W98" s="64"/>
      <c r="X98" s="64"/>
      <c r="Y98" s="64"/>
      <c r="Z98" s="64"/>
    </row>
    <row r="99" spans="1:26" thickBot="1">
      <c r="A99" s="66" t="str">
        <f t="shared" si="4"/>
        <v>Latitude 440</v>
      </c>
      <c r="B99" s="86">
        <v>4.4000000000000004</v>
      </c>
      <c r="C99" s="70">
        <v>40</v>
      </c>
      <c r="D99" s="70">
        <v>0.6</v>
      </c>
      <c r="E99" s="70">
        <v>0.7</v>
      </c>
      <c r="F99" s="70">
        <v>0.82</v>
      </c>
      <c r="G99" s="70">
        <v>0.95</v>
      </c>
      <c r="H99" s="70">
        <v>1.03</v>
      </c>
      <c r="I99" s="70">
        <v>1.04</v>
      </c>
      <c r="J99" s="70">
        <v>1.01</v>
      </c>
      <c r="K99" s="70">
        <v>0.94</v>
      </c>
      <c r="L99" s="70">
        <v>0.83</v>
      </c>
      <c r="M99" s="70">
        <v>0.71</v>
      </c>
      <c r="N99" s="70">
        <v>0.61</v>
      </c>
      <c r="O99" s="70">
        <v>0.56999999999999995</v>
      </c>
      <c r="P99" s="71">
        <v>0.82</v>
      </c>
      <c r="Q99" s="64"/>
      <c r="R99" s="64"/>
      <c r="S99" s="64"/>
      <c r="T99" s="64"/>
      <c r="U99" s="64"/>
      <c r="V99" s="64"/>
      <c r="W99" s="64"/>
      <c r="X99" s="64"/>
      <c r="Y99" s="64"/>
      <c r="Z99" s="64"/>
    </row>
    <row r="100" spans="1:26" thickBot="1">
      <c r="A100" s="66" t="str">
        <f t="shared" si="4"/>
        <v>Latitude 445</v>
      </c>
      <c r="B100" s="86">
        <v>4.45</v>
      </c>
      <c r="C100" s="70">
        <v>45</v>
      </c>
      <c r="D100" s="70">
        <v>0.53</v>
      </c>
      <c r="E100" s="70">
        <v>0.64</v>
      </c>
      <c r="F100" s="70">
        <v>0.77</v>
      </c>
      <c r="G100" s="70">
        <v>0.91</v>
      </c>
      <c r="H100" s="70">
        <v>1</v>
      </c>
      <c r="I100" s="70">
        <v>1.02</v>
      </c>
      <c r="J100" s="70">
        <v>0.98</v>
      </c>
      <c r="K100" s="70">
        <v>0.9</v>
      </c>
      <c r="L100" s="70">
        <v>0.78</v>
      </c>
      <c r="M100" s="70">
        <v>0.65</v>
      </c>
      <c r="N100" s="70">
        <v>0.54</v>
      </c>
      <c r="O100" s="70">
        <v>0.5</v>
      </c>
      <c r="P100" s="71">
        <v>0.77</v>
      </c>
      <c r="Q100" s="64"/>
      <c r="R100" s="64"/>
      <c r="S100" s="64"/>
      <c r="T100" s="64"/>
      <c r="U100" s="64"/>
      <c r="V100" s="64"/>
      <c r="W100" s="64"/>
      <c r="X100" s="64"/>
      <c r="Y100" s="64"/>
      <c r="Z100" s="64"/>
    </row>
    <row r="101" spans="1:26" thickBot="1">
      <c r="A101" s="66" t="str">
        <f t="shared" si="4"/>
        <v>Latitude 450</v>
      </c>
      <c r="B101" s="86">
        <v>4.5</v>
      </c>
      <c r="C101" s="70">
        <v>50</v>
      </c>
      <c r="D101" s="70">
        <v>0.46</v>
      </c>
      <c r="E101" s="70">
        <v>0.56999999999999995</v>
      </c>
      <c r="F101" s="70">
        <v>0.72</v>
      </c>
      <c r="G101" s="70">
        <v>0.87</v>
      </c>
      <c r="H101" s="70">
        <v>0.97</v>
      </c>
      <c r="I101" s="70">
        <v>0.99</v>
      </c>
      <c r="J101" s="70">
        <v>0.95</v>
      </c>
      <c r="K101" s="70">
        <v>0.86</v>
      </c>
      <c r="L101" s="70">
        <v>0.73</v>
      </c>
      <c r="M101" s="70">
        <v>0.59</v>
      </c>
      <c r="N101" s="70">
        <v>0.47</v>
      </c>
      <c r="O101" s="70">
        <v>0.42</v>
      </c>
      <c r="P101" s="71">
        <v>0.72</v>
      </c>
      <c r="Q101" s="64"/>
      <c r="R101" s="64"/>
      <c r="S101" s="64"/>
      <c r="T101" s="64"/>
      <c r="U101" s="64"/>
      <c r="V101" s="64"/>
      <c r="W101" s="64"/>
      <c r="X101" s="64"/>
      <c r="Y101" s="64"/>
      <c r="Z101" s="64"/>
    </row>
    <row r="102" spans="1:26" thickBot="1">
      <c r="A102" s="66" t="str">
        <f t="shared" si="4"/>
        <v>Latitude 455</v>
      </c>
      <c r="B102" s="86">
        <v>4.55</v>
      </c>
      <c r="C102" s="70">
        <v>55</v>
      </c>
      <c r="D102" s="70">
        <v>0.38</v>
      </c>
      <c r="E102" s="70">
        <v>0.5</v>
      </c>
      <c r="F102" s="70">
        <v>0.66</v>
      </c>
      <c r="G102" s="70">
        <v>0.82</v>
      </c>
      <c r="H102" s="70">
        <v>0.93</v>
      </c>
      <c r="I102" s="70">
        <v>0.95</v>
      </c>
      <c r="J102" s="70">
        <v>0.91</v>
      </c>
      <c r="K102" s="70">
        <v>0.81</v>
      </c>
      <c r="L102" s="70">
        <v>0.67</v>
      </c>
      <c r="M102" s="70">
        <v>0.52</v>
      </c>
      <c r="N102" s="70">
        <v>0.39</v>
      </c>
      <c r="O102" s="70">
        <v>0.34</v>
      </c>
      <c r="P102" s="71">
        <v>0.66</v>
      </c>
      <c r="Q102" s="64"/>
      <c r="R102" s="64"/>
      <c r="S102" s="64"/>
      <c r="T102" s="64"/>
      <c r="U102" s="64"/>
      <c r="V102" s="64"/>
      <c r="W102" s="64"/>
      <c r="X102" s="64"/>
      <c r="Y102" s="64"/>
      <c r="Z102" s="64"/>
    </row>
    <row r="103" spans="1:26" thickBot="1">
      <c r="A103" s="66" t="str">
        <f t="shared" si="4"/>
        <v>Latitude 460</v>
      </c>
      <c r="B103" s="86">
        <v>4.5999999999999996</v>
      </c>
      <c r="C103" s="70">
        <v>60</v>
      </c>
      <c r="D103" s="70">
        <v>0.3</v>
      </c>
      <c r="E103" s="70">
        <v>0.43</v>
      </c>
      <c r="F103" s="70">
        <v>0.6</v>
      </c>
      <c r="G103" s="70">
        <v>0.76</v>
      </c>
      <c r="H103" s="70">
        <v>0.88</v>
      </c>
      <c r="I103" s="70">
        <v>0.91</v>
      </c>
      <c r="J103" s="70">
        <v>0.86</v>
      </c>
      <c r="K103" s="70">
        <v>0.76</v>
      </c>
      <c r="L103" s="70">
        <v>0.61</v>
      </c>
      <c r="M103" s="70">
        <v>0.45</v>
      </c>
      <c r="N103" s="70">
        <v>0.31</v>
      </c>
      <c r="O103" s="70">
        <v>0.25</v>
      </c>
      <c r="P103" s="71">
        <v>0.59</v>
      </c>
      <c r="Q103" s="64"/>
      <c r="R103" s="64"/>
      <c r="S103" s="64"/>
      <c r="T103" s="64"/>
      <c r="U103" s="64"/>
      <c r="V103" s="64"/>
      <c r="W103" s="64"/>
      <c r="X103" s="64"/>
      <c r="Y103" s="64"/>
      <c r="Z103" s="64"/>
    </row>
    <row r="104" spans="1:26" thickBot="1">
      <c r="A104" s="66" t="str">
        <f t="shared" si="4"/>
        <v>Latitude 465</v>
      </c>
      <c r="B104" s="86">
        <v>4.6500000000000004</v>
      </c>
      <c r="C104" s="70">
        <v>65</v>
      </c>
      <c r="D104" s="70">
        <v>0.22</v>
      </c>
      <c r="E104" s="70">
        <v>0.35</v>
      </c>
      <c r="F104" s="70">
        <v>0.53</v>
      </c>
      <c r="G104" s="70">
        <v>0.7</v>
      </c>
      <c r="H104" s="70">
        <v>0.83</v>
      </c>
      <c r="I104" s="70">
        <v>0.86</v>
      </c>
      <c r="J104" s="70">
        <v>0.81</v>
      </c>
      <c r="K104" s="70">
        <v>0.71</v>
      </c>
      <c r="L104" s="70">
        <v>0.55000000000000004</v>
      </c>
      <c r="M104" s="70">
        <v>0.37</v>
      </c>
      <c r="N104" s="70">
        <v>0.23</v>
      </c>
      <c r="O104" s="70">
        <v>0.17</v>
      </c>
      <c r="P104" s="71">
        <v>0.53</v>
      </c>
      <c r="Q104" s="64"/>
      <c r="R104" s="64"/>
      <c r="S104" s="64"/>
      <c r="T104" s="64"/>
      <c r="U104" s="64"/>
      <c r="V104" s="64"/>
      <c r="W104" s="64"/>
      <c r="X104" s="64"/>
      <c r="Y104" s="64"/>
      <c r="Z104" s="64"/>
    </row>
    <row r="105" spans="1:26" thickBot="1">
      <c r="A105" s="66" t="str">
        <f t="shared" si="4"/>
        <v>Latitude 470</v>
      </c>
      <c r="B105" s="86">
        <v>4.7</v>
      </c>
      <c r="C105" s="70">
        <v>70</v>
      </c>
      <c r="D105" s="70">
        <v>0.13</v>
      </c>
      <c r="E105" s="70">
        <v>0.27</v>
      </c>
      <c r="F105" s="70">
        <v>0.46</v>
      </c>
      <c r="G105" s="70">
        <v>0.64</v>
      </c>
      <c r="H105" s="70">
        <v>0.77</v>
      </c>
      <c r="I105" s="70">
        <v>0.81</v>
      </c>
      <c r="J105" s="70">
        <v>0.76</v>
      </c>
      <c r="K105" s="70">
        <v>0.65</v>
      </c>
      <c r="L105" s="70">
        <v>0.48</v>
      </c>
      <c r="M105" s="70">
        <v>0.3</v>
      </c>
      <c r="N105" s="70">
        <v>0.15</v>
      </c>
      <c r="O105" s="70">
        <v>0.12</v>
      </c>
      <c r="P105" s="71">
        <v>0.46</v>
      </c>
      <c r="Q105" s="64"/>
      <c r="R105" s="64"/>
      <c r="S105" s="64"/>
      <c r="T105" s="64"/>
      <c r="U105" s="64"/>
      <c r="V105" s="64"/>
      <c r="W105" s="64"/>
      <c r="X105" s="64"/>
      <c r="Y105" s="64"/>
      <c r="Z105" s="64"/>
    </row>
    <row r="106" spans="1:26" thickBot="1">
      <c r="A106" s="66" t="str">
        <f t="shared" si="4"/>
        <v>Latitude 475</v>
      </c>
      <c r="B106" s="86">
        <v>4.75</v>
      </c>
      <c r="C106" s="70">
        <v>75</v>
      </c>
      <c r="D106" s="70">
        <v>0.1</v>
      </c>
      <c r="E106" s="70">
        <v>0.19</v>
      </c>
      <c r="F106" s="70">
        <v>0.38</v>
      </c>
      <c r="G106" s="70">
        <v>0.56999999999999995</v>
      </c>
      <c r="H106" s="70">
        <v>0.71</v>
      </c>
      <c r="I106" s="70">
        <v>0.75</v>
      </c>
      <c r="J106" s="70">
        <v>0.7</v>
      </c>
      <c r="K106" s="70">
        <v>0.57999999999999996</v>
      </c>
      <c r="L106" s="70">
        <v>0.41</v>
      </c>
      <c r="M106" s="70">
        <v>0.22</v>
      </c>
      <c r="N106" s="70">
        <v>0.12</v>
      </c>
      <c r="O106" s="70">
        <v>0.11</v>
      </c>
      <c r="P106" s="71">
        <v>0.4</v>
      </c>
      <c r="Q106" s="64"/>
      <c r="R106" s="64"/>
      <c r="S106" s="64"/>
      <c r="T106" s="64"/>
      <c r="U106" s="64"/>
      <c r="V106" s="64"/>
      <c r="W106" s="64"/>
      <c r="X106" s="64"/>
      <c r="Y106" s="64"/>
      <c r="Z106" s="64"/>
    </row>
    <row r="107" spans="1:26" thickBot="1">
      <c r="A107" s="66" t="str">
        <f t="shared" si="4"/>
        <v>Latitude 480</v>
      </c>
      <c r="B107" s="86">
        <v>4.8</v>
      </c>
      <c r="C107" s="70">
        <v>80</v>
      </c>
      <c r="D107" s="70">
        <v>0.1</v>
      </c>
      <c r="E107" s="70">
        <v>0.11</v>
      </c>
      <c r="F107" s="70">
        <v>0.31</v>
      </c>
      <c r="G107" s="70">
        <v>0.5</v>
      </c>
      <c r="H107" s="70">
        <v>0.64</v>
      </c>
      <c r="I107" s="70">
        <v>0.69</v>
      </c>
      <c r="J107" s="70">
        <v>0.64</v>
      </c>
      <c r="K107" s="70">
        <v>0.52</v>
      </c>
      <c r="L107" s="70">
        <v>0.34</v>
      </c>
      <c r="M107" s="70">
        <v>0.14000000000000001</v>
      </c>
      <c r="N107" s="70">
        <v>0.11</v>
      </c>
      <c r="O107" s="70">
        <v>0.1</v>
      </c>
      <c r="P107" s="71">
        <v>0.35</v>
      </c>
      <c r="Q107" s="64"/>
      <c r="R107" s="64"/>
      <c r="S107" s="64"/>
      <c r="T107" s="64"/>
      <c r="U107" s="64"/>
      <c r="V107" s="64"/>
      <c r="W107" s="64"/>
      <c r="X107" s="64"/>
      <c r="Y107" s="64"/>
      <c r="Z107" s="64"/>
    </row>
    <row r="108" spans="1:26" thickBot="1">
      <c r="A108" s="66" t="str">
        <f t="shared" si="4"/>
        <v>Latitude 485</v>
      </c>
      <c r="B108" s="86">
        <v>4.8499999999999996</v>
      </c>
      <c r="C108" s="70">
        <v>85</v>
      </c>
      <c r="D108" s="70">
        <v>0.09</v>
      </c>
      <c r="E108" s="70">
        <v>0.09</v>
      </c>
      <c r="F108" s="70">
        <v>0.23</v>
      </c>
      <c r="G108" s="70">
        <v>0.43</v>
      </c>
      <c r="H108" s="70">
        <v>0.56999999999999995</v>
      </c>
      <c r="I108" s="70">
        <v>0.62</v>
      </c>
      <c r="J108" s="70">
        <v>0.56999999999999995</v>
      </c>
      <c r="K108" s="70">
        <v>0.45</v>
      </c>
      <c r="L108" s="70">
        <v>0.26</v>
      </c>
      <c r="M108" s="70">
        <v>0.12</v>
      </c>
      <c r="N108" s="70">
        <v>0.1</v>
      </c>
      <c r="O108" s="70">
        <v>0.09</v>
      </c>
      <c r="P108" s="71">
        <v>0.3</v>
      </c>
      <c r="Q108" s="64"/>
      <c r="R108" s="64"/>
      <c r="S108" s="64"/>
      <c r="T108" s="64"/>
      <c r="U108" s="64"/>
      <c r="V108" s="64"/>
      <c r="W108" s="64"/>
      <c r="X108" s="64"/>
      <c r="Y108" s="64"/>
      <c r="Z108" s="64"/>
    </row>
    <row r="109" spans="1:26" thickBot="1">
      <c r="A109" s="66" t="str">
        <f t="shared" si="4"/>
        <v>Latitude 490</v>
      </c>
      <c r="B109" s="86">
        <v>4.9000000000000004</v>
      </c>
      <c r="C109" s="70">
        <v>90</v>
      </c>
      <c r="D109" s="70">
        <v>0.08</v>
      </c>
      <c r="E109" s="70">
        <v>0.08</v>
      </c>
      <c r="F109" s="70">
        <v>0.15</v>
      </c>
      <c r="G109" s="70">
        <v>0.35</v>
      </c>
      <c r="H109" s="70">
        <v>0.5</v>
      </c>
      <c r="I109" s="70">
        <v>0.55000000000000004</v>
      </c>
      <c r="J109" s="70">
        <v>0.5</v>
      </c>
      <c r="K109" s="70">
        <v>0.37</v>
      </c>
      <c r="L109" s="70">
        <v>0.19</v>
      </c>
      <c r="M109" s="70">
        <v>0.11</v>
      </c>
      <c r="N109" s="70">
        <v>0.1</v>
      </c>
      <c r="O109" s="70">
        <v>0.09</v>
      </c>
      <c r="P109" s="71">
        <v>0.26</v>
      </c>
      <c r="Q109" s="64"/>
      <c r="R109" s="64"/>
      <c r="S109" s="64"/>
      <c r="T109" s="64"/>
      <c r="U109" s="64"/>
      <c r="V109" s="64"/>
      <c r="W109" s="64"/>
      <c r="X109" s="64"/>
      <c r="Y109" s="64"/>
      <c r="Z109" s="64"/>
    </row>
    <row r="110" spans="1:26" thickBot="1">
      <c r="A110" s="66"/>
      <c r="B110" s="87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66"/>
      <c r="Q110" s="64"/>
      <c r="R110" s="64"/>
      <c r="S110" s="64"/>
      <c r="T110" s="64"/>
      <c r="U110" s="64"/>
      <c r="V110" s="64"/>
      <c r="W110" s="64"/>
      <c r="X110" s="64"/>
      <c r="Y110" s="64"/>
      <c r="Z110" s="64"/>
    </row>
    <row r="111" spans="1:26" thickBot="1">
      <c r="A111" s="66"/>
      <c r="B111" s="67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66"/>
      <c r="Q111" s="64"/>
      <c r="R111" s="64"/>
      <c r="S111" s="64"/>
      <c r="T111" s="64"/>
      <c r="U111" s="64"/>
      <c r="V111" s="64"/>
      <c r="W111" s="64"/>
      <c r="X111" s="64"/>
      <c r="Y111" s="64"/>
      <c r="Z111" s="64"/>
    </row>
    <row r="112" spans="1:26" thickBot="1">
      <c r="A112" s="66"/>
      <c r="B112" s="85" t="s">
        <v>5869</v>
      </c>
      <c r="C112" s="75" t="s">
        <v>5853</v>
      </c>
      <c r="D112" s="75" t="s">
        <v>5827</v>
      </c>
      <c r="E112" s="75" t="s">
        <v>5828</v>
      </c>
      <c r="F112" s="75" t="s">
        <v>5829</v>
      </c>
      <c r="G112" s="75" t="s">
        <v>5830</v>
      </c>
      <c r="H112" s="75" t="s">
        <v>5831</v>
      </c>
      <c r="I112" s="75" t="s">
        <v>5832</v>
      </c>
      <c r="J112" s="75" t="s">
        <v>5833</v>
      </c>
      <c r="K112" s="75" t="s">
        <v>5834</v>
      </c>
      <c r="L112" s="75" t="s">
        <v>5835</v>
      </c>
      <c r="M112" s="75" t="s">
        <v>5836</v>
      </c>
      <c r="N112" s="75" t="s">
        <v>5837</v>
      </c>
      <c r="O112" s="75" t="s">
        <v>5838</v>
      </c>
      <c r="P112" s="74" t="s">
        <v>20</v>
      </c>
      <c r="Q112" s="64"/>
      <c r="R112" s="64"/>
      <c r="S112" s="64"/>
      <c r="T112" s="64"/>
      <c r="U112" s="64"/>
      <c r="V112" s="64"/>
      <c r="W112" s="64"/>
      <c r="X112" s="64"/>
      <c r="Y112" s="64"/>
      <c r="Z112" s="64"/>
    </row>
    <row r="113" spans="1:26" thickBot="1">
      <c r="A113" s="66" t="str">
        <f>$B$112&amp;C113</f>
        <v>Latitude 50</v>
      </c>
      <c r="B113" s="86">
        <v>5</v>
      </c>
      <c r="C113" s="70">
        <v>0</v>
      </c>
      <c r="D113" s="70">
        <v>1</v>
      </c>
      <c r="E113" s="70">
        <v>1</v>
      </c>
      <c r="F113" s="70">
        <v>1</v>
      </c>
      <c r="G113" s="70">
        <v>1</v>
      </c>
      <c r="H113" s="70">
        <v>1</v>
      </c>
      <c r="I113" s="70">
        <v>1</v>
      </c>
      <c r="J113" s="70">
        <v>1</v>
      </c>
      <c r="K113" s="70">
        <v>1</v>
      </c>
      <c r="L113" s="70">
        <v>1</v>
      </c>
      <c r="M113" s="70">
        <v>1</v>
      </c>
      <c r="N113" s="70">
        <v>1</v>
      </c>
      <c r="O113" s="70">
        <v>1</v>
      </c>
      <c r="P113" s="71">
        <v>1</v>
      </c>
      <c r="Q113" s="64"/>
      <c r="R113" s="64"/>
      <c r="S113" s="64"/>
      <c r="T113" s="64"/>
      <c r="U113" s="64"/>
      <c r="V113" s="64"/>
      <c r="W113" s="64"/>
      <c r="X113" s="64"/>
      <c r="Y113" s="64"/>
      <c r="Z113" s="64"/>
    </row>
    <row r="114" spans="1:26" thickBot="1">
      <c r="A114" s="66" t="str">
        <f t="shared" ref="A114:A131" si="5">$B$112&amp;C114</f>
        <v>Latitude 55</v>
      </c>
      <c r="B114" s="86">
        <v>5.5</v>
      </c>
      <c r="C114" s="70">
        <v>5</v>
      </c>
      <c r="D114" s="70">
        <v>0.97</v>
      </c>
      <c r="E114" s="70">
        <v>0.99</v>
      </c>
      <c r="F114" s="70">
        <v>1</v>
      </c>
      <c r="G114" s="70">
        <v>1.02</v>
      </c>
      <c r="H114" s="70">
        <v>1.03</v>
      </c>
      <c r="I114" s="70">
        <v>1.03</v>
      </c>
      <c r="J114" s="70">
        <v>1.02</v>
      </c>
      <c r="K114" s="70">
        <v>1.02</v>
      </c>
      <c r="L114" s="70">
        <v>1</v>
      </c>
      <c r="M114" s="70">
        <v>0.99</v>
      </c>
      <c r="N114" s="70">
        <v>0.97</v>
      </c>
      <c r="O114" s="70">
        <v>0.97</v>
      </c>
      <c r="P114" s="71">
        <v>1</v>
      </c>
      <c r="Q114" s="64"/>
      <c r="R114" s="64"/>
      <c r="S114" s="64"/>
      <c r="T114" s="64"/>
      <c r="U114" s="64"/>
      <c r="V114" s="64"/>
      <c r="W114" s="64"/>
      <c r="X114" s="64"/>
      <c r="Y114" s="64"/>
      <c r="Z114" s="64"/>
    </row>
    <row r="115" spans="1:26" thickBot="1">
      <c r="A115" s="66" t="str">
        <f t="shared" si="5"/>
        <v>Latitude 510</v>
      </c>
      <c r="B115" s="86">
        <v>5.0999999999999996</v>
      </c>
      <c r="C115" s="70">
        <v>10</v>
      </c>
      <c r="D115" s="70">
        <v>0.94</v>
      </c>
      <c r="E115" s="70">
        <v>0.97</v>
      </c>
      <c r="F115" s="70">
        <v>1</v>
      </c>
      <c r="G115" s="70">
        <v>1.03</v>
      </c>
      <c r="H115" s="70">
        <v>1.05</v>
      </c>
      <c r="I115" s="70">
        <v>1.05</v>
      </c>
      <c r="J115" s="70">
        <v>1.04</v>
      </c>
      <c r="K115" s="70">
        <v>1.02</v>
      </c>
      <c r="L115" s="70">
        <v>1</v>
      </c>
      <c r="M115" s="70">
        <v>0.97</v>
      </c>
      <c r="N115" s="70">
        <v>0.94</v>
      </c>
      <c r="O115" s="70">
        <v>0.93</v>
      </c>
      <c r="P115" s="71">
        <v>1</v>
      </c>
      <c r="Q115" s="64"/>
      <c r="R115" s="64"/>
      <c r="S115" s="64"/>
      <c r="T115" s="64"/>
      <c r="U115" s="64"/>
      <c r="V115" s="64"/>
      <c r="W115" s="64"/>
      <c r="X115" s="64"/>
      <c r="Y115" s="64"/>
      <c r="Z115" s="64"/>
    </row>
    <row r="116" spans="1:26" thickBot="1">
      <c r="A116" s="66" t="str">
        <f t="shared" si="5"/>
        <v>Latitude 515</v>
      </c>
      <c r="B116" s="86">
        <v>5.15</v>
      </c>
      <c r="C116" s="70">
        <v>15</v>
      </c>
      <c r="D116" s="70">
        <v>0.9</v>
      </c>
      <c r="E116" s="70">
        <v>0.94</v>
      </c>
      <c r="F116" s="70">
        <v>0.99</v>
      </c>
      <c r="G116" s="70">
        <v>1.04</v>
      </c>
      <c r="H116" s="70">
        <v>1.07</v>
      </c>
      <c r="I116" s="70">
        <v>1.07</v>
      </c>
      <c r="J116" s="70">
        <v>1.06</v>
      </c>
      <c r="K116" s="70">
        <v>1.03</v>
      </c>
      <c r="L116" s="70">
        <v>0.99</v>
      </c>
      <c r="M116" s="70">
        <v>0.94</v>
      </c>
      <c r="N116" s="70">
        <v>0.9</v>
      </c>
      <c r="O116" s="70">
        <v>0.89</v>
      </c>
      <c r="P116" s="71">
        <v>0.99</v>
      </c>
      <c r="Q116" s="64"/>
      <c r="R116" s="64"/>
      <c r="S116" s="64"/>
      <c r="T116" s="64"/>
      <c r="U116" s="64"/>
      <c r="V116" s="64"/>
      <c r="W116" s="64"/>
      <c r="X116" s="64"/>
      <c r="Y116" s="64"/>
      <c r="Z116" s="64"/>
    </row>
    <row r="117" spans="1:26" thickBot="1">
      <c r="A117" s="66" t="str">
        <f t="shared" si="5"/>
        <v>Latitude 520</v>
      </c>
      <c r="B117" s="86">
        <v>5.2</v>
      </c>
      <c r="C117" s="70">
        <v>20</v>
      </c>
      <c r="D117" s="70">
        <v>0.85</v>
      </c>
      <c r="E117" s="70">
        <v>0.9</v>
      </c>
      <c r="F117" s="70">
        <v>0.97</v>
      </c>
      <c r="G117" s="70">
        <v>1.03</v>
      </c>
      <c r="H117" s="70">
        <v>1.07</v>
      </c>
      <c r="I117" s="70">
        <v>1.08</v>
      </c>
      <c r="J117" s="70">
        <v>1.06</v>
      </c>
      <c r="K117" s="70">
        <v>1.02</v>
      </c>
      <c r="L117" s="70">
        <v>0.97</v>
      </c>
      <c r="M117" s="70">
        <v>0.91</v>
      </c>
      <c r="N117" s="70">
        <v>0.86</v>
      </c>
      <c r="O117" s="70">
        <v>0.84</v>
      </c>
      <c r="P117" s="71">
        <v>0.96</v>
      </c>
      <c r="Q117" s="64"/>
      <c r="R117" s="64"/>
      <c r="S117" s="64"/>
      <c r="T117" s="64"/>
      <c r="U117" s="64"/>
      <c r="V117" s="64"/>
      <c r="W117" s="64"/>
      <c r="X117" s="64"/>
      <c r="Y117" s="64"/>
      <c r="Z117" s="64"/>
    </row>
    <row r="118" spans="1:26" thickBot="1">
      <c r="A118" s="66" t="str">
        <f t="shared" si="5"/>
        <v>Latitude 525</v>
      </c>
      <c r="B118" s="86">
        <v>5.25</v>
      </c>
      <c r="C118" s="70">
        <v>25</v>
      </c>
      <c r="D118" s="70">
        <v>0.8</v>
      </c>
      <c r="E118" s="70">
        <v>0.86</v>
      </c>
      <c r="F118" s="70">
        <v>0.95</v>
      </c>
      <c r="G118" s="70">
        <v>1.02</v>
      </c>
      <c r="H118" s="70">
        <v>1.08</v>
      </c>
      <c r="I118" s="70">
        <v>1.08</v>
      </c>
      <c r="J118" s="70">
        <v>1.06</v>
      </c>
      <c r="K118" s="70">
        <v>1.01</v>
      </c>
      <c r="L118" s="70">
        <v>0.95</v>
      </c>
      <c r="M118" s="70">
        <v>0.87</v>
      </c>
      <c r="N118" s="70">
        <v>0.81</v>
      </c>
      <c r="O118" s="70">
        <v>0.78</v>
      </c>
      <c r="P118" s="71">
        <v>0.94</v>
      </c>
      <c r="Q118" s="64"/>
      <c r="R118" s="64"/>
      <c r="S118" s="64"/>
      <c r="T118" s="64"/>
      <c r="U118" s="64"/>
      <c r="V118" s="64"/>
      <c r="W118" s="64"/>
      <c r="X118" s="64"/>
      <c r="Y118" s="64"/>
      <c r="Z118" s="64"/>
    </row>
    <row r="119" spans="1:26" thickBot="1">
      <c r="A119" s="66" t="str">
        <f t="shared" si="5"/>
        <v>Latitude 530</v>
      </c>
      <c r="B119" s="86">
        <v>5.3</v>
      </c>
      <c r="C119" s="70">
        <v>30</v>
      </c>
      <c r="D119" s="70">
        <v>0.74</v>
      </c>
      <c r="E119" s="70">
        <v>0.82</v>
      </c>
      <c r="F119" s="70">
        <v>0.91</v>
      </c>
      <c r="G119" s="70">
        <v>1.01</v>
      </c>
      <c r="H119" s="70">
        <v>1.07</v>
      </c>
      <c r="I119" s="70">
        <v>1.08</v>
      </c>
      <c r="J119" s="70">
        <v>1.05</v>
      </c>
      <c r="K119" s="70">
        <v>1</v>
      </c>
      <c r="L119" s="70">
        <v>0.92</v>
      </c>
      <c r="M119" s="70">
        <v>0.83</v>
      </c>
      <c r="N119" s="70">
        <v>0.75</v>
      </c>
      <c r="O119" s="70">
        <v>0.72</v>
      </c>
      <c r="P119" s="71">
        <v>0.91</v>
      </c>
      <c r="Q119" s="64"/>
      <c r="R119" s="64"/>
      <c r="S119" s="64"/>
      <c r="T119" s="64"/>
      <c r="U119" s="64"/>
      <c r="V119" s="64"/>
      <c r="W119" s="64"/>
      <c r="X119" s="64"/>
      <c r="Y119" s="64"/>
      <c r="Z119" s="64"/>
    </row>
    <row r="120" spans="1:26" thickBot="1">
      <c r="A120" s="66" t="str">
        <f t="shared" si="5"/>
        <v>Latitude 535</v>
      </c>
      <c r="B120" s="86">
        <v>5.35</v>
      </c>
      <c r="C120" s="70">
        <v>35</v>
      </c>
      <c r="D120" s="70">
        <v>0.68</v>
      </c>
      <c r="E120" s="70">
        <v>0.77</v>
      </c>
      <c r="F120" s="70">
        <v>0.88</v>
      </c>
      <c r="G120" s="70">
        <v>0.98</v>
      </c>
      <c r="H120" s="70">
        <v>1.06</v>
      </c>
      <c r="I120" s="70">
        <v>1.07</v>
      </c>
      <c r="J120" s="70">
        <v>1.04</v>
      </c>
      <c r="K120" s="70">
        <v>0.97</v>
      </c>
      <c r="L120" s="70">
        <v>0.88</v>
      </c>
      <c r="M120" s="70">
        <v>0.78</v>
      </c>
      <c r="N120" s="70">
        <v>0.69</v>
      </c>
      <c r="O120" s="70">
        <v>0.65</v>
      </c>
      <c r="P120" s="71">
        <v>0.87</v>
      </c>
      <c r="Q120" s="64"/>
      <c r="R120" s="64"/>
      <c r="S120" s="64"/>
      <c r="T120" s="64"/>
      <c r="U120" s="64"/>
      <c r="V120" s="64"/>
      <c r="W120" s="64"/>
      <c r="X120" s="64"/>
      <c r="Y120" s="64"/>
      <c r="Z120" s="64"/>
    </row>
    <row r="121" spans="1:26" thickBot="1">
      <c r="A121" s="66" t="str">
        <f t="shared" si="5"/>
        <v>Latitude 540</v>
      </c>
      <c r="B121" s="86">
        <v>5.4</v>
      </c>
      <c r="C121" s="70">
        <v>40</v>
      </c>
      <c r="D121" s="70">
        <v>0.61</v>
      </c>
      <c r="E121" s="70">
        <v>0.71</v>
      </c>
      <c r="F121" s="70">
        <v>0.83</v>
      </c>
      <c r="G121" s="70">
        <v>0.96</v>
      </c>
      <c r="H121" s="70">
        <v>1.04</v>
      </c>
      <c r="I121" s="70">
        <v>1.05</v>
      </c>
      <c r="J121" s="70">
        <v>1.02</v>
      </c>
      <c r="K121" s="70">
        <v>0.94</v>
      </c>
      <c r="L121" s="70">
        <v>0.84</v>
      </c>
      <c r="M121" s="70">
        <v>0.72</v>
      </c>
      <c r="N121" s="70">
        <v>0.62</v>
      </c>
      <c r="O121" s="70">
        <v>0.57999999999999996</v>
      </c>
      <c r="P121" s="71">
        <v>0.83</v>
      </c>
      <c r="Q121" s="64"/>
      <c r="R121" s="64"/>
      <c r="S121" s="64"/>
      <c r="T121" s="64"/>
      <c r="U121" s="64"/>
      <c r="V121" s="64"/>
      <c r="W121" s="64"/>
      <c r="X121" s="64"/>
      <c r="Y121" s="64"/>
      <c r="Z121" s="64"/>
    </row>
    <row r="122" spans="1:26" thickBot="1">
      <c r="A122" s="66" t="str">
        <f t="shared" si="5"/>
        <v>Latitude 545</v>
      </c>
      <c r="B122" s="86">
        <v>5.45</v>
      </c>
      <c r="C122" s="70">
        <v>45</v>
      </c>
      <c r="D122" s="70">
        <v>0.54</v>
      </c>
      <c r="E122" s="70">
        <v>0.65</v>
      </c>
      <c r="F122" s="70">
        <v>0.78</v>
      </c>
      <c r="G122" s="70">
        <v>0.92</v>
      </c>
      <c r="H122" s="70">
        <v>1.01</v>
      </c>
      <c r="I122" s="70">
        <v>1.03</v>
      </c>
      <c r="J122" s="70">
        <v>0.99</v>
      </c>
      <c r="K122" s="70">
        <v>0.91</v>
      </c>
      <c r="L122" s="70">
        <v>0.79</v>
      </c>
      <c r="M122" s="70">
        <v>0.66</v>
      </c>
      <c r="N122" s="70">
        <v>0.55000000000000004</v>
      </c>
      <c r="O122" s="70">
        <v>0.51</v>
      </c>
      <c r="P122" s="71">
        <v>0.78</v>
      </c>
      <c r="Q122" s="64"/>
      <c r="R122" s="64"/>
      <c r="S122" s="64"/>
      <c r="T122" s="64"/>
      <c r="U122" s="64"/>
      <c r="V122" s="64"/>
      <c r="W122" s="64"/>
      <c r="X122" s="64"/>
      <c r="Y122" s="64"/>
      <c r="Z122" s="64"/>
    </row>
    <row r="123" spans="1:26" thickBot="1">
      <c r="A123" s="66" t="str">
        <f t="shared" si="5"/>
        <v>Latitude 550</v>
      </c>
      <c r="B123" s="86">
        <v>5.5</v>
      </c>
      <c r="C123" s="70">
        <v>50</v>
      </c>
      <c r="D123" s="70">
        <v>0.47</v>
      </c>
      <c r="E123" s="70">
        <v>0.57999999999999996</v>
      </c>
      <c r="F123" s="70">
        <v>0.73</v>
      </c>
      <c r="G123" s="70">
        <v>0.88</v>
      </c>
      <c r="H123" s="70">
        <v>0.98</v>
      </c>
      <c r="I123" s="70">
        <v>1</v>
      </c>
      <c r="J123" s="70">
        <v>0.96</v>
      </c>
      <c r="K123" s="70">
        <v>0.87</v>
      </c>
      <c r="L123" s="70">
        <v>0.74</v>
      </c>
      <c r="M123" s="70">
        <v>0.6</v>
      </c>
      <c r="N123" s="70">
        <v>0.48</v>
      </c>
      <c r="O123" s="70">
        <v>0.43</v>
      </c>
      <c r="P123" s="71">
        <v>0.73</v>
      </c>
      <c r="Q123" s="64"/>
      <c r="R123" s="64"/>
      <c r="S123" s="64"/>
      <c r="T123" s="64"/>
      <c r="U123" s="64"/>
      <c r="V123" s="64"/>
      <c r="W123" s="64"/>
      <c r="X123" s="64"/>
      <c r="Y123" s="64"/>
      <c r="Z123" s="64"/>
    </row>
    <row r="124" spans="1:26" thickBot="1">
      <c r="A124" s="66" t="str">
        <f t="shared" si="5"/>
        <v>Latitude 555</v>
      </c>
      <c r="B124" s="86">
        <v>5.55</v>
      </c>
      <c r="C124" s="70">
        <v>55</v>
      </c>
      <c r="D124" s="70">
        <v>0.39</v>
      </c>
      <c r="E124" s="70">
        <v>0.51</v>
      </c>
      <c r="F124" s="70">
        <v>0.67</v>
      </c>
      <c r="G124" s="70">
        <v>0.83</v>
      </c>
      <c r="H124" s="70">
        <v>0.94</v>
      </c>
      <c r="I124" s="70">
        <v>0.96</v>
      </c>
      <c r="J124" s="70">
        <v>0.92</v>
      </c>
      <c r="K124" s="70">
        <v>0.82</v>
      </c>
      <c r="L124" s="70">
        <v>0.68</v>
      </c>
      <c r="M124" s="70">
        <v>0.53</v>
      </c>
      <c r="N124" s="70">
        <v>0.4</v>
      </c>
      <c r="O124" s="70">
        <v>0.35</v>
      </c>
      <c r="P124" s="71">
        <v>0.67</v>
      </c>
      <c r="Q124" s="64"/>
      <c r="R124" s="64"/>
      <c r="S124" s="64"/>
      <c r="T124" s="64"/>
      <c r="U124" s="64"/>
      <c r="V124" s="64"/>
      <c r="W124" s="64"/>
      <c r="X124" s="64"/>
      <c r="Y124" s="64"/>
      <c r="Z124" s="64"/>
    </row>
    <row r="125" spans="1:26" thickBot="1">
      <c r="A125" s="66" t="str">
        <f t="shared" si="5"/>
        <v>Latitude 560</v>
      </c>
      <c r="B125" s="86">
        <v>5.6</v>
      </c>
      <c r="C125" s="70">
        <v>60</v>
      </c>
      <c r="D125" s="70">
        <v>0.31</v>
      </c>
      <c r="E125" s="70">
        <v>0.44</v>
      </c>
      <c r="F125" s="70">
        <v>0.61</v>
      </c>
      <c r="G125" s="70">
        <v>0.78</v>
      </c>
      <c r="H125" s="70">
        <v>0.89</v>
      </c>
      <c r="I125" s="70">
        <v>0.92</v>
      </c>
      <c r="J125" s="70">
        <v>0.87</v>
      </c>
      <c r="K125" s="70">
        <v>0.77</v>
      </c>
      <c r="L125" s="70">
        <v>0.62</v>
      </c>
      <c r="M125" s="70">
        <v>0.46</v>
      </c>
      <c r="N125" s="70">
        <v>0.33</v>
      </c>
      <c r="O125" s="70">
        <v>0.27</v>
      </c>
      <c r="P125" s="71">
        <v>0.61</v>
      </c>
      <c r="Q125" s="64"/>
      <c r="R125" s="64"/>
      <c r="S125" s="64"/>
      <c r="T125" s="64"/>
      <c r="U125" s="64"/>
      <c r="V125" s="64"/>
      <c r="W125" s="64"/>
      <c r="X125" s="64"/>
      <c r="Y125" s="64"/>
      <c r="Z125" s="64"/>
    </row>
    <row r="126" spans="1:26" thickBot="1">
      <c r="A126" s="66" t="str">
        <f t="shared" si="5"/>
        <v>Latitude 565</v>
      </c>
      <c r="B126" s="86">
        <v>5.65</v>
      </c>
      <c r="C126" s="70">
        <v>65</v>
      </c>
      <c r="D126" s="70">
        <v>0.23</v>
      </c>
      <c r="E126" s="70">
        <v>0.36</v>
      </c>
      <c r="F126" s="70">
        <v>0.54</v>
      </c>
      <c r="G126" s="70">
        <v>0.72</v>
      </c>
      <c r="H126" s="70">
        <v>0.84</v>
      </c>
      <c r="I126" s="70">
        <v>0.87</v>
      </c>
      <c r="J126" s="70">
        <v>0.82</v>
      </c>
      <c r="K126" s="70">
        <v>0.72</v>
      </c>
      <c r="L126" s="70">
        <v>0.56000000000000005</v>
      </c>
      <c r="M126" s="70">
        <v>0.39</v>
      </c>
      <c r="N126" s="70">
        <v>0.25</v>
      </c>
      <c r="O126" s="70">
        <v>0.18</v>
      </c>
      <c r="P126" s="71">
        <v>0.54</v>
      </c>
      <c r="Q126" s="64"/>
      <c r="R126" s="64"/>
      <c r="S126" s="64"/>
      <c r="T126" s="64"/>
      <c r="U126" s="64"/>
      <c r="V126" s="64"/>
      <c r="W126" s="64"/>
      <c r="X126" s="64"/>
      <c r="Y126" s="64"/>
      <c r="Z126" s="64"/>
    </row>
    <row r="127" spans="1:26" thickBot="1">
      <c r="A127" s="66" t="str">
        <f t="shared" si="5"/>
        <v>Latitude 570</v>
      </c>
      <c r="B127" s="86">
        <v>5.7</v>
      </c>
      <c r="C127" s="70">
        <v>70</v>
      </c>
      <c r="D127" s="70">
        <v>0.15</v>
      </c>
      <c r="E127" s="70">
        <v>0.28000000000000003</v>
      </c>
      <c r="F127" s="70">
        <v>0.47</v>
      </c>
      <c r="G127" s="70">
        <v>0.66</v>
      </c>
      <c r="H127" s="70">
        <v>0.79</v>
      </c>
      <c r="I127" s="70">
        <v>0.82</v>
      </c>
      <c r="J127" s="70">
        <v>0.77</v>
      </c>
      <c r="K127" s="70">
        <v>0.66</v>
      </c>
      <c r="L127" s="70">
        <v>0.49</v>
      </c>
      <c r="M127" s="70">
        <v>0.31</v>
      </c>
      <c r="N127" s="70">
        <v>0.16</v>
      </c>
      <c r="O127" s="70">
        <v>0.12</v>
      </c>
      <c r="P127" s="71">
        <v>0.47</v>
      </c>
      <c r="Q127" s="64"/>
      <c r="R127" s="64"/>
      <c r="S127" s="64"/>
      <c r="T127" s="64"/>
      <c r="U127" s="64"/>
      <c r="V127" s="64"/>
      <c r="W127" s="64"/>
      <c r="X127" s="64"/>
      <c r="Y127" s="64"/>
      <c r="Z127" s="64"/>
    </row>
    <row r="128" spans="1:26" thickBot="1">
      <c r="A128" s="66" t="str">
        <f t="shared" si="5"/>
        <v>Latitude 575</v>
      </c>
      <c r="B128" s="86">
        <v>5.75</v>
      </c>
      <c r="C128" s="70">
        <v>75</v>
      </c>
      <c r="D128" s="70">
        <v>0.1</v>
      </c>
      <c r="E128" s="70">
        <v>0.21</v>
      </c>
      <c r="F128" s="70">
        <v>0.4</v>
      </c>
      <c r="G128" s="70">
        <v>0.59</v>
      </c>
      <c r="H128" s="70">
        <v>0.72</v>
      </c>
      <c r="I128" s="70">
        <v>0.76</v>
      </c>
      <c r="J128" s="70">
        <v>0.71</v>
      </c>
      <c r="K128" s="70">
        <v>0.59</v>
      </c>
      <c r="L128" s="70">
        <v>0.42</v>
      </c>
      <c r="M128" s="70">
        <v>0.23</v>
      </c>
      <c r="N128" s="70">
        <v>0.12</v>
      </c>
      <c r="O128" s="70">
        <v>0.11</v>
      </c>
      <c r="P128" s="71">
        <v>0.41</v>
      </c>
      <c r="Q128" s="64"/>
      <c r="R128" s="64"/>
      <c r="S128" s="64"/>
      <c r="T128" s="64"/>
      <c r="U128" s="64"/>
      <c r="V128" s="64"/>
      <c r="W128" s="64"/>
      <c r="X128" s="64"/>
      <c r="Y128" s="64"/>
      <c r="Z128" s="64"/>
    </row>
    <row r="129" spans="1:26" thickBot="1">
      <c r="A129" s="66" t="str">
        <f t="shared" si="5"/>
        <v>Latitude 580</v>
      </c>
      <c r="B129" s="86">
        <v>5.8</v>
      </c>
      <c r="C129" s="70">
        <v>80</v>
      </c>
      <c r="D129" s="70">
        <v>0.1</v>
      </c>
      <c r="E129" s="70">
        <v>0.13</v>
      </c>
      <c r="F129" s="70">
        <v>0.32</v>
      </c>
      <c r="G129" s="70">
        <v>0.52</v>
      </c>
      <c r="H129" s="70">
        <v>0.66</v>
      </c>
      <c r="I129" s="70">
        <v>0.7</v>
      </c>
      <c r="J129" s="70">
        <v>0.65</v>
      </c>
      <c r="K129" s="70">
        <v>0.53</v>
      </c>
      <c r="L129" s="70">
        <v>0.35</v>
      </c>
      <c r="M129" s="70">
        <v>0.16</v>
      </c>
      <c r="N129" s="70">
        <v>0.11</v>
      </c>
      <c r="O129" s="70">
        <v>0.1</v>
      </c>
      <c r="P129" s="71">
        <v>0.36</v>
      </c>
      <c r="Q129" s="64"/>
      <c r="R129" s="64"/>
      <c r="S129" s="64"/>
      <c r="T129" s="64"/>
      <c r="U129" s="64"/>
      <c r="V129" s="64"/>
      <c r="W129" s="64"/>
      <c r="X129" s="64"/>
      <c r="Y129" s="64"/>
      <c r="Z129" s="64"/>
    </row>
    <row r="130" spans="1:26" thickBot="1">
      <c r="A130" s="66" t="str">
        <f t="shared" si="5"/>
        <v>Latitude 585</v>
      </c>
      <c r="B130" s="86">
        <v>5.85</v>
      </c>
      <c r="C130" s="70">
        <v>85</v>
      </c>
      <c r="D130" s="70">
        <v>0.09</v>
      </c>
      <c r="E130" s="70">
        <v>0.09</v>
      </c>
      <c r="F130" s="70">
        <v>0.24</v>
      </c>
      <c r="G130" s="70">
        <v>0.44</v>
      </c>
      <c r="H130" s="70">
        <v>0.59</v>
      </c>
      <c r="I130" s="70">
        <v>0.63</v>
      </c>
      <c r="J130" s="70">
        <v>0.57999999999999996</v>
      </c>
      <c r="K130" s="70">
        <v>0.46</v>
      </c>
      <c r="L130" s="70">
        <v>0.28000000000000003</v>
      </c>
      <c r="M130" s="70">
        <v>0.12</v>
      </c>
      <c r="N130" s="70">
        <v>0.1</v>
      </c>
      <c r="O130" s="70">
        <v>0.09</v>
      </c>
      <c r="P130" s="71">
        <v>0.31</v>
      </c>
      <c r="Q130" s="64"/>
      <c r="R130" s="64"/>
      <c r="S130" s="64"/>
      <c r="T130" s="64"/>
      <c r="U130" s="64"/>
      <c r="V130" s="64"/>
      <c r="W130" s="64"/>
      <c r="X130" s="64"/>
      <c r="Y130" s="64"/>
      <c r="Z130" s="64"/>
    </row>
    <row r="131" spans="1:26" thickBot="1">
      <c r="A131" s="66" t="str">
        <f t="shared" si="5"/>
        <v>Latitude 590</v>
      </c>
      <c r="B131" s="86">
        <v>5.9</v>
      </c>
      <c r="C131" s="70">
        <v>90</v>
      </c>
      <c r="D131" s="70">
        <v>0.08</v>
      </c>
      <c r="E131" s="70">
        <v>0.08</v>
      </c>
      <c r="F131" s="70">
        <v>0.16</v>
      </c>
      <c r="G131" s="70">
        <v>0.37</v>
      </c>
      <c r="H131" s="70">
        <v>0.52</v>
      </c>
      <c r="I131" s="70">
        <v>0.56000000000000005</v>
      </c>
      <c r="J131" s="70">
        <v>0.51</v>
      </c>
      <c r="K131" s="70">
        <v>0.39</v>
      </c>
      <c r="L131" s="70">
        <v>0.2</v>
      </c>
      <c r="M131" s="70">
        <v>0.11</v>
      </c>
      <c r="N131" s="70">
        <v>0.1</v>
      </c>
      <c r="O131" s="70">
        <v>0.09</v>
      </c>
      <c r="P131" s="71">
        <v>0.26</v>
      </c>
      <c r="Q131" s="64"/>
      <c r="R131" s="64"/>
      <c r="S131" s="64"/>
      <c r="T131" s="64"/>
      <c r="U131" s="64"/>
      <c r="V131" s="64"/>
      <c r="W131" s="64"/>
      <c r="X131" s="64"/>
      <c r="Y131" s="64"/>
      <c r="Z131" s="64"/>
    </row>
    <row r="132" spans="1:26" thickBot="1">
      <c r="A132" s="66"/>
      <c r="B132" s="87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66"/>
      <c r="Q132" s="64"/>
      <c r="R132" s="64"/>
      <c r="S132" s="64"/>
      <c r="T132" s="64"/>
      <c r="U132" s="64"/>
      <c r="V132" s="64"/>
      <c r="W132" s="64"/>
      <c r="X132" s="64"/>
      <c r="Y132" s="64"/>
      <c r="Z132" s="64"/>
    </row>
    <row r="133" spans="1:26" thickBot="1">
      <c r="A133" s="66"/>
      <c r="B133" s="67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66"/>
      <c r="Q133" s="64"/>
      <c r="R133" s="64"/>
      <c r="S133" s="64"/>
      <c r="T133" s="64"/>
      <c r="U133" s="64"/>
      <c r="V133" s="64"/>
      <c r="W133" s="64"/>
      <c r="X133" s="64"/>
      <c r="Y133" s="64"/>
      <c r="Z133" s="64"/>
    </row>
    <row r="134" spans="1:26" thickBot="1">
      <c r="A134" s="66"/>
      <c r="B134" s="85" t="s">
        <v>5870</v>
      </c>
      <c r="C134" s="75" t="s">
        <v>5853</v>
      </c>
      <c r="D134" s="75" t="s">
        <v>5827</v>
      </c>
      <c r="E134" s="75" t="s">
        <v>5828</v>
      </c>
      <c r="F134" s="75" t="s">
        <v>5829</v>
      </c>
      <c r="G134" s="75" t="s">
        <v>5830</v>
      </c>
      <c r="H134" s="75" t="s">
        <v>5831</v>
      </c>
      <c r="I134" s="75" t="s">
        <v>5832</v>
      </c>
      <c r="J134" s="75" t="s">
        <v>5833</v>
      </c>
      <c r="K134" s="75" t="s">
        <v>5834</v>
      </c>
      <c r="L134" s="75" t="s">
        <v>5835</v>
      </c>
      <c r="M134" s="75" t="s">
        <v>5836</v>
      </c>
      <c r="N134" s="75" t="s">
        <v>5837</v>
      </c>
      <c r="O134" s="75" t="s">
        <v>5838</v>
      </c>
      <c r="P134" s="74" t="s">
        <v>20</v>
      </c>
      <c r="Q134" s="64"/>
      <c r="R134" s="64"/>
      <c r="S134" s="64"/>
      <c r="T134" s="64"/>
      <c r="U134" s="64"/>
      <c r="V134" s="64"/>
      <c r="W134" s="64"/>
      <c r="X134" s="64"/>
      <c r="Y134" s="64"/>
      <c r="Z134" s="64"/>
    </row>
    <row r="135" spans="1:26" thickBot="1">
      <c r="A135" s="66" t="str">
        <f>$B$134&amp;C135</f>
        <v>Latitude 60</v>
      </c>
      <c r="B135" s="86">
        <v>6</v>
      </c>
      <c r="C135" s="70">
        <v>0</v>
      </c>
      <c r="D135" s="70">
        <v>1</v>
      </c>
      <c r="E135" s="70">
        <v>1</v>
      </c>
      <c r="F135" s="70">
        <v>1</v>
      </c>
      <c r="G135" s="70">
        <v>1</v>
      </c>
      <c r="H135" s="70">
        <v>1</v>
      </c>
      <c r="I135" s="70">
        <v>1</v>
      </c>
      <c r="J135" s="70">
        <v>1</v>
      </c>
      <c r="K135" s="70">
        <v>1</v>
      </c>
      <c r="L135" s="70">
        <v>1</v>
      </c>
      <c r="M135" s="70">
        <v>1</v>
      </c>
      <c r="N135" s="70">
        <v>1</v>
      </c>
      <c r="O135" s="70">
        <v>1</v>
      </c>
      <c r="P135" s="71">
        <v>1</v>
      </c>
      <c r="Q135" s="64"/>
      <c r="R135" s="64"/>
      <c r="S135" s="64"/>
      <c r="T135" s="64"/>
      <c r="U135" s="64"/>
      <c r="V135" s="64"/>
      <c r="W135" s="64"/>
      <c r="X135" s="64"/>
      <c r="Y135" s="64"/>
      <c r="Z135" s="64"/>
    </row>
    <row r="136" spans="1:26" thickBot="1">
      <c r="A136" s="66" t="str">
        <f t="shared" ref="A136:A153" si="6">$B$134&amp;C136</f>
        <v>Latitude 65</v>
      </c>
      <c r="B136" s="86">
        <v>6.5</v>
      </c>
      <c r="C136" s="70">
        <v>5</v>
      </c>
      <c r="D136" s="70">
        <v>0.97</v>
      </c>
      <c r="E136" s="70">
        <v>0.99</v>
      </c>
      <c r="F136" s="70">
        <v>1</v>
      </c>
      <c r="G136" s="70">
        <v>1.02</v>
      </c>
      <c r="H136" s="70">
        <v>1.03</v>
      </c>
      <c r="I136" s="70">
        <v>1.03</v>
      </c>
      <c r="J136" s="70">
        <v>1.03</v>
      </c>
      <c r="K136" s="70">
        <v>1.02</v>
      </c>
      <c r="L136" s="70">
        <v>1</v>
      </c>
      <c r="M136" s="70">
        <v>0.99</v>
      </c>
      <c r="N136" s="70">
        <v>0.98</v>
      </c>
      <c r="O136" s="70">
        <v>0.97</v>
      </c>
      <c r="P136" s="71">
        <v>1</v>
      </c>
      <c r="Q136" s="64"/>
      <c r="R136" s="64"/>
      <c r="S136" s="64"/>
      <c r="T136" s="64"/>
      <c r="U136" s="64"/>
      <c r="V136" s="64"/>
      <c r="W136" s="64"/>
      <c r="X136" s="64"/>
      <c r="Y136" s="64"/>
      <c r="Z136" s="64"/>
    </row>
    <row r="137" spans="1:26" thickBot="1">
      <c r="A137" s="66" t="str">
        <f t="shared" si="6"/>
        <v>Latitude 610</v>
      </c>
      <c r="B137" s="86">
        <v>6.1</v>
      </c>
      <c r="C137" s="70">
        <v>10</v>
      </c>
      <c r="D137" s="70">
        <v>0.94</v>
      </c>
      <c r="E137" s="70">
        <v>0.97</v>
      </c>
      <c r="F137" s="70">
        <v>1</v>
      </c>
      <c r="G137" s="70">
        <v>1.03</v>
      </c>
      <c r="H137" s="70">
        <v>1.05</v>
      </c>
      <c r="I137" s="70">
        <v>1.06</v>
      </c>
      <c r="J137" s="70">
        <v>1.05</v>
      </c>
      <c r="K137" s="70">
        <v>1.03</v>
      </c>
      <c r="L137" s="70">
        <v>1</v>
      </c>
      <c r="M137" s="70">
        <v>0.97</v>
      </c>
      <c r="N137" s="70">
        <v>0.94</v>
      </c>
      <c r="O137" s="70">
        <v>0.93</v>
      </c>
      <c r="P137" s="71">
        <v>1</v>
      </c>
      <c r="Q137" s="64"/>
      <c r="R137" s="64"/>
      <c r="S137" s="64"/>
      <c r="T137" s="64"/>
      <c r="U137" s="64"/>
      <c r="V137" s="64"/>
      <c r="W137" s="64"/>
      <c r="X137" s="64"/>
      <c r="Y137" s="64"/>
      <c r="Z137" s="64"/>
    </row>
    <row r="138" spans="1:26" thickBot="1">
      <c r="A138" s="66" t="str">
        <f t="shared" si="6"/>
        <v>Latitude 615</v>
      </c>
      <c r="B138" s="86">
        <v>6.15</v>
      </c>
      <c r="C138" s="70">
        <v>15</v>
      </c>
      <c r="D138" s="70">
        <v>0.9</v>
      </c>
      <c r="E138" s="70">
        <v>0.94</v>
      </c>
      <c r="F138" s="70">
        <v>0.99</v>
      </c>
      <c r="G138" s="70">
        <v>1.04</v>
      </c>
      <c r="H138" s="70">
        <v>1.07</v>
      </c>
      <c r="I138" s="70">
        <v>1.07</v>
      </c>
      <c r="J138" s="70">
        <v>1.06</v>
      </c>
      <c r="K138" s="70">
        <v>1.03</v>
      </c>
      <c r="L138" s="70">
        <v>0.99</v>
      </c>
      <c r="M138" s="70">
        <v>0.94</v>
      </c>
      <c r="N138" s="70">
        <v>0.91</v>
      </c>
      <c r="O138" s="70">
        <v>0.89</v>
      </c>
      <c r="P138" s="71">
        <v>0.99</v>
      </c>
      <c r="Q138" s="64"/>
      <c r="R138" s="64"/>
      <c r="S138" s="64"/>
      <c r="T138" s="64"/>
      <c r="U138" s="64"/>
      <c r="V138" s="64"/>
      <c r="W138" s="64"/>
      <c r="X138" s="64"/>
      <c r="Y138" s="64"/>
      <c r="Z138" s="64"/>
    </row>
    <row r="139" spans="1:26" thickBot="1">
      <c r="A139" s="66" t="str">
        <f t="shared" si="6"/>
        <v>Latitude 620</v>
      </c>
      <c r="B139" s="86">
        <v>6.2</v>
      </c>
      <c r="C139" s="70">
        <v>20</v>
      </c>
      <c r="D139" s="70">
        <v>0.86</v>
      </c>
      <c r="E139" s="70">
        <v>0.91</v>
      </c>
      <c r="F139" s="70">
        <v>0.97</v>
      </c>
      <c r="G139" s="70">
        <v>1.04</v>
      </c>
      <c r="H139" s="70">
        <v>1.08</v>
      </c>
      <c r="I139" s="70">
        <v>1.0900000000000001</v>
      </c>
      <c r="J139" s="70">
        <v>1.07</v>
      </c>
      <c r="K139" s="70">
        <v>1.03</v>
      </c>
      <c r="L139" s="70">
        <v>0.97</v>
      </c>
      <c r="M139" s="70">
        <v>0.91</v>
      </c>
      <c r="N139" s="70">
        <v>0.86</v>
      </c>
      <c r="O139" s="70">
        <v>0.84</v>
      </c>
      <c r="P139" s="71">
        <v>0.97</v>
      </c>
      <c r="Q139" s="64"/>
      <c r="R139" s="64"/>
      <c r="S139" s="64"/>
      <c r="T139" s="64"/>
      <c r="U139" s="64"/>
      <c r="V139" s="64"/>
      <c r="W139" s="64"/>
      <c r="X139" s="64"/>
      <c r="Y139" s="64"/>
      <c r="Z139" s="64"/>
    </row>
    <row r="140" spans="1:26" thickBot="1">
      <c r="A140" s="66" t="str">
        <f t="shared" si="6"/>
        <v>Latitude 625</v>
      </c>
      <c r="B140" s="86">
        <v>6.25</v>
      </c>
      <c r="C140" s="70">
        <v>25</v>
      </c>
      <c r="D140" s="70">
        <v>0.81</v>
      </c>
      <c r="E140" s="70">
        <v>0.87</v>
      </c>
      <c r="F140" s="70">
        <v>0.95</v>
      </c>
      <c r="G140" s="70">
        <v>1.03</v>
      </c>
      <c r="H140" s="70">
        <v>1.08</v>
      </c>
      <c r="I140" s="70">
        <v>1.0900000000000001</v>
      </c>
      <c r="J140" s="70">
        <v>1.06</v>
      </c>
      <c r="K140" s="70">
        <v>1.02</v>
      </c>
      <c r="L140" s="70">
        <v>0.95</v>
      </c>
      <c r="M140" s="70">
        <v>0.88</v>
      </c>
      <c r="N140" s="70">
        <v>0.81</v>
      </c>
      <c r="O140" s="70">
        <v>0.79</v>
      </c>
      <c r="P140" s="71">
        <v>0.95</v>
      </c>
      <c r="Q140" s="64"/>
      <c r="R140" s="64"/>
      <c r="S140" s="64"/>
      <c r="T140" s="64"/>
      <c r="U140" s="64"/>
      <c r="V140" s="64"/>
      <c r="W140" s="64"/>
      <c r="X140" s="64"/>
      <c r="Y140" s="64"/>
      <c r="Z140" s="64"/>
    </row>
    <row r="141" spans="1:26" thickBot="1">
      <c r="A141" s="66" t="str">
        <f t="shared" si="6"/>
        <v>Latitude 630</v>
      </c>
      <c r="B141" s="86">
        <v>6.3</v>
      </c>
      <c r="C141" s="70">
        <v>30</v>
      </c>
      <c r="D141" s="70">
        <v>0.75</v>
      </c>
      <c r="E141" s="70">
        <v>0.82</v>
      </c>
      <c r="F141" s="70">
        <v>0.92</v>
      </c>
      <c r="G141" s="70">
        <v>1.01</v>
      </c>
      <c r="H141" s="70">
        <v>1.08</v>
      </c>
      <c r="I141" s="70">
        <v>1.0900000000000001</v>
      </c>
      <c r="J141" s="70">
        <v>1.06</v>
      </c>
      <c r="K141" s="70">
        <v>1</v>
      </c>
      <c r="L141" s="70">
        <v>0.92</v>
      </c>
      <c r="M141" s="70">
        <v>0.83</v>
      </c>
      <c r="N141" s="70">
        <v>0.76</v>
      </c>
      <c r="O141" s="70">
        <v>0.73</v>
      </c>
      <c r="P141" s="71">
        <v>0.91</v>
      </c>
      <c r="Q141" s="64"/>
      <c r="R141" s="64"/>
      <c r="S141" s="64"/>
      <c r="T141" s="64"/>
      <c r="U141" s="64"/>
      <c r="V141" s="64"/>
      <c r="W141" s="64"/>
      <c r="X141" s="64"/>
      <c r="Y141" s="64"/>
      <c r="Z141" s="64"/>
    </row>
    <row r="142" spans="1:26" thickBot="1">
      <c r="A142" s="66" t="str">
        <f t="shared" si="6"/>
        <v>Latitude 635</v>
      </c>
      <c r="B142" s="86">
        <v>6.35</v>
      </c>
      <c r="C142" s="70">
        <v>35</v>
      </c>
      <c r="D142" s="70">
        <v>0.69</v>
      </c>
      <c r="E142" s="70">
        <v>0.77</v>
      </c>
      <c r="F142" s="70">
        <v>0.89</v>
      </c>
      <c r="G142" s="70">
        <v>0.99</v>
      </c>
      <c r="H142" s="70">
        <v>1.07</v>
      </c>
      <c r="I142" s="70">
        <v>1.08</v>
      </c>
      <c r="J142" s="70">
        <v>1.04</v>
      </c>
      <c r="K142" s="70">
        <v>0.98</v>
      </c>
      <c r="L142" s="70">
        <v>0.89</v>
      </c>
      <c r="M142" s="70">
        <v>0.78</v>
      </c>
      <c r="N142" s="70">
        <v>0.7</v>
      </c>
      <c r="O142" s="70">
        <v>0.66</v>
      </c>
      <c r="P142" s="71">
        <v>0.88</v>
      </c>
      <c r="Q142" s="64"/>
      <c r="R142" s="64"/>
      <c r="S142" s="64"/>
      <c r="T142" s="64"/>
      <c r="U142" s="64"/>
      <c r="V142" s="64"/>
      <c r="W142" s="64"/>
      <c r="X142" s="64"/>
      <c r="Y142" s="64"/>
      <c r="Z142" s="64"/>
    </row>
    <row r="143" spans="1:26" thickBot="1">
      <c r="A143" s="66" t="str">
        <f t="shared" si="6"/>
        <v>Latitude 640</v>
      </c>
      <c r="B143" s="86">
        <v>6.4</v>
      </c>
      <c r="C143" s="70">
        <v>40</v>
      </c>
      <c r="D143" s="70">
        <v>0.62</v>
      </c>
      <c r="E143" s="70">
        <v>0.72</v>
      </c>
      <c r="F143" s="70">
        <v>0.84</v>
      </c>
      <c r="G143" s="70">
        <v>0.96</v>
      </c>
      <c r="H143" s="70">
        <v>1.05</v>
      </c>
      <c r="I143" s="70">
        <v>1.06</v>
      </c>
      <c r="J143" s="70">
        <v>1.03</v>
      </c>
      <c r="K143" s="70">
        <v>0.95</v>
      </c>
      <c r="L143" s="70">
        <v>0.85</v>
      </c>
      <c r="M143" s="70">
        <v>0.73</v>
      </c>
      <c r="N143" s="70">
        <v>0.63</v>
      </c>
      <c r="O143" s="70">
        <v>0.59</v>
      </c>
      <c r="P143" s="71">
        <v>0.84</v>
      </c>
      <c r="Q143" s="64"/>
      <c r="R143" s="64"/>
      <c r="S143" s="64"/>
      <c r="T143" s="64"/>
      <c r="U143" s="64"/>
      <c r="V143" s="64"/>
      <c r="W143" s="64"/>
      <c r="X143" s="64"/>
      <c r="Y143" s="64"/>
      <c r="Z143" s="64"/>
    </row>
    <row r="144" spans="1:26" thickBot="1">
      <c r="A144" s="66" t="str">
        <f t="shared" si="6"/>
        <v>Latitude 645</v>
      </c>
      <c r="B144" s="86">
        <v>6.45</v>
      </c>
      <c r="C144" s="70">
        <v>45</v>
      </c>
      <c r="D144" s="70">
        <v>0.55000000000000004</v>
      </c>
      <c r="E144" s="70">
        <v>0.66</v>
      </c>
      <c r="F144" s="70">
        <v>0.79</v>
      </c>
      <c r="G144" s="70">
        <v>0.93</v>
      </c>
      <c r="H144" s="70">
        <v>1.02</v>
      </c>
      <c r="I144" s="70">
        <v>1.04</v>
      </c>
      <c r="J144" s="70">
        <v>1</v>
      </c>
      <c r="K144" s="70">
        <v>0.92</v>
      </c>
      <c r="L144" s="70">
        <v>0.8</v>
      </c>
      <c r="M144" s="70">
        <v>0.67</v>
      </c>
      <c r="N144" s="70">
        <v>0.56000000000000005</v>
      </c>
      <c r="O144" s="70">
        <v>0.52</v>
      </c>
      <c r="P144" s="71">
        <v>0.79</v>
      </c>
      <c r="Q144" s="64"/>
      <c r="R144" s="64"/>
      <c r="S144" s="64"/>
      <c r="T144" s="64"/>
      <c r="U144" s="64"/>
      <c r="V144" s="64"/>
      <c r="W144" s="64"/>
      <c r="X144" s="64"/>
      <c r="Y144" s="64"/>
      <c r="Z144" s="64"/>
    </row>
    <row r="145" spans="1:26" thickBot="1">
      <c r="A145" s="66" t="str">
        <f t="shared" si="6"/>
        <v>Latitude 650</v>
      </c>
      <c r="B145" s="86">
        <v>6.5</v>
      </c>
      <c r="C145" s="70">
        <v>50</v>
      </c>
      <c r="D145" s="70">
        <v>0.48</v>
      </c>
      <c r="E145" s="70">
        <v>0.59</v>
      </c>
      <c r="F145" s="70">
        <v>0.74</v>
      </c>
      <c r="G145" s="70">
        <v>0.89</v>
      </c>
      <c r="H145" s="70">
        <v>0.99</v>
      </c>
      <c r="I145" s="70">
        <v>1.01</v>
      </c>
      <c r="J145" s="70">
        <v>0.97</v>
      </c>
      <c r="K145" s="70">
        <v>0.88</v>
      </c>
      <c r="L145" s="70">
        <v>0.75</v>
      </c>
      <c r="M145" s="70">
        <v>0.61</v>
      </c>
      <c r="N145" s="70">
        <v>0.49</v>
      </c>
      <c r="O145" s="70">
        <v>0.44</v>
      </c>
      <c r="P145" s="71">
        <v>0.74</v>
      </c>
      <c r="Q145" s="64"/>
      <c r="R145" s="64"/>
      <c r="S145" s="64"/>
      <c r="T145" s="64"/>
      <c r="U145" s="64"/>
      <c r="V145" s="64"/>
      <c r="W145" s="64"/>
      <c r="X145" s="64"/>
      <c r="Y145" s="64"/>
      <c r="Z145" s="64"/>
    </row>
    <row r="146" spans="1:26" thickBot="1">
      <c r="A146" s="66" t="str">
        <f t="shared" si="6"/>
        <v>Latitude 655</v>
      </c>
      <c r="B146" s="86">
        <v>6.55</v>
      </c>
      <c r="C146" s="70">
        <v>55</v>
      </c>
      <c r="D146" s="70">
        <v>0.4</v>
      </c>
      <c r="E146" s="70">
        <v>0.52</v>
      </c>
      <c r="F146" s="70">
        <v>0.68</v>
      </c>
      <c r="G146" s="70">
        <v>0.84</v>
      </c>
      <c r="H146" s="70">
        <v>0.95</v>
      </c>
      <c r="I146" s="70">
        <v>0.98</v>
      </c>
      <c r="J146" s="70">
        <v>0.93</v>
      </c>
      <c r="K146" s="70">
        <v>0.83</v>
      </c>
      <c r="L146" s="70">
        <v>0.7</v>
      </c>
      <c r="M146" s="70">
        <v>0.54</v>
      </c>
      <c r="N146" s="70">
        <v>0.42</v>
      </c>
      <c r="O146" s="70">
        <v>0.36</v>
      </c>
      <c r="P146" s="71">
        <v>0.68</v>
      </c>
      <c r="Q146" s="64"/>
      <c r="R146" s="64"/>
      <c r="S146" s="64"/>
      <c r="T146" s="64"/>
      <c r="U146" s="64"/>
      <c r="V146" s="64"/>
      <c r="W146" s="64"/>
      <c r="X146" s="64"/>
      <c r="Y146" s="64"/>
      <c r="Z146" s="64"/>
    </row>
    <row r="147" spans="1:26" thickBot="1">
      <c r="A147" s="66" t="str">
        <f t="shared" si="6"/>
        <v>Latitude 660</v>
      </c>
      <c r="B147" s="86">
        <v>6.6</v>
      </c>
      <c r="C147" s="70">
        <v>60</v>
      </c>
      <c r="D147" s="70">
        <v>0.33</v>
      </c>
      <c r="E147" s="70">
        <v>0.45</v>
      </c>
      <c r="F147" s="70">
        <v>0.62</v>
      </c>
      <c r="G147" s="70">
        <v>0.79</v>
      </c>
      <c r="H147" s="70">
        <v>0.91</v>
      </c>
      <c r="I147" s="70">
        <v>0.93</v>
      </c>
      <c r="J147" s="70">
        <v>0.89</v>
      </c>
      <c r="K147" s="70">
        <v>0.78</v>
      </c>
      <c r="L147" s="70">
        <v>0.64</v>
      </c>
      <c r="M147" s="70">
        <v>0.47</v>
      </c>
      <c r="N147" s="70">
        <v>0.34</v>
      </c>
      <c r="O147" s="70">
        <v>0.28000000000000003</v>
      </c>
      <c r="P147" s="71">
        <v>0.62</v>
      </c>
      <c r="Q147" s="64"/>
      <c r="R147" s="64"/>
      <c r="S147" s="64"/>
      <c r="T147" s="64"/>
      <c r="U147" s="64"/>
      <c r="V147" s="64"/>
      <c r="W147" s="64"/>
      <c r="X147" s="64"/>
      <c r="Y147" s="64"/>
      <c r="Z147" s="64"/>
    </row>
    <row r="148" spans="1:26" thickBot="1">
      <c r="A148" s="66" t="str">
        <f t="shared" si="6"/>
        <v>Latitude 665</v>
      </c>
      <c r="B148" s="86">
        <v>6.65</v>
      </c>
      <c r="C148" s="70">
        <v>65</v>
      </c>
      <c r="D148" s="70">
        <v>0.24</v>
      </c>
      <c r="E148" s="70">
        <v>0.38</v>
      </c>
      <c r="F148" s="70">
        <v>0.55000000000000004</v>
      </c>
      <c r="G148" s="70">
        <v>0.73</v>
      </c>
      <c r="H148" s="70">
        <v>0.86</v>
      </c>
      <c r="I148" s="70">
        <v>0.89</v>
      </c>
      <c r="J148" s="70">
        <v>0.84</v>
      </c>
      <c r="K148" s="70">
        <v>0.73</v>
      </c>
      <c r="L148" s="70">
        <v>0.56999999999999995</v>
      </c>
      <c r="M148" s="70">
        <v>0.4</v>
      </c>
      <c r="N148" s="70">
        <v>0.26</v>
      </c>
      <c r="O148" s="70">
        <v>0.2</v>
      </c>
      <c r="P148" s="71">
        <v>0.55000000000000004</v>
      </c>
      <c r="Q148" s="64"/>
      <c r="R148" s="64"/>
      <c r="S148" s="64"/>
      <c r="T148" s="64"/>
      <c r="U148" s="64"/>
      <c r="V148" s="64"/>
      <c r="W148" s="64"/>
      <c r="X148" s="64"/>
      <c r="Y148" s="64"/>
      <c r="Z148" s="64"/>
    </row>
    <row r="149" spans="1:26" thickBot="1">
      <c r="A149" s="66" t="str">
        <f t="shared" si="6"/>
        <v>Latitude 670</v>
      </c>
      <c r="B149" s="86">
        <v>6.7</v>
      </c>
      <c r="C149" s="70">
        <v>70</v>
      </c>
      <c r="D149" s="70">
        <v>0.16</v>
      </c>
      <c r="E149" s="70">
        <v>0.3</v>
      </c>
      <c r="F149" s="70">
        <v>0.48</v>
      </c>
      <c r="G149" s="70">
        <v>0.67</v>
      </c>
      <c r="H149" s="70">
        <v>0.8</v>
      </c>
      <c r="I149" s="70">
        <v>0.83</v>
      </c>
      <c r="J149" s="70">
        <v>0.78</v>
      </c>
      <c r="K149" s="70">
        <v>0.67</v>
      </c>
      <c r="L149" s="70">
        <v>0.5</v>
      </c>
      <c r="M149" s="70">
        <v>0.32</v>
      </c>
      <c r="N149" s="70">
        <v>0.18</v>
      </c>
      <c r="O149" s="70">
        <v>0.12</v>
      </c>
      <c r="P149" s="71">
        <v>0.48</v>
      </c>
      <c r="Q149" s="64"/>
      <c r="R149" s="64"/>
      <c r="S149" s="64"/>
      <c r="T149" s="64"/>
      <c r="U149" s="64"/>
      <c r="V149" s="64"/>
      <c r="W149" s="64"/>
      <c r="X149" s="64"/>
      <c r="Y149" s="64"/>
      <c r="Z149" s="64"/>
    </row>
    <row r="150" spans="1:26" thickBot="1">
      <c r="A150" s="66" t="str">
        <f t="shared" si="6"/>
        <v>Latitude 675</v>
      </c>
      <c r="B150" s="86">
        <v>6.75</v>
      </c>
      <c r="C150" s="70">
        <v>75</v>
      </c>
      <c r="D150" s="70">
        <v>0.1</v>
      </c>
      <c r="E150" s="70">
        <v>0.22</v>
      </c>
      <c r="F150" s="70">
        <v>0.41</v>
      </c>
      <c r="G150" s="70">
        <v>0.6</v>
      </c>
      <c r="H150" s="70">
        <v>0.74</v>
      </c>
      <c r="I150" s="70">
        <v>0.78</v>
      </c>
      <c r="J150" s="70">
        <v>0.72</v>
      </c>
      <c r="K150" s="70">
        <v>0.61</v>
      </c>
      <c r="L150" s="70">
        <v>0.44</v>
      </c>
      <c r="M150" s="70">
        <v>0.25</v>
      </c>
      <c r="N150" s="70">
        <v>0.12</v>
      </c>
      <c r="O150" s="70">
        <v>0.11</v>
      </c>
      <c r="P150" s="71">
        <v>0.43</v>
      </c>
      <c r="Q150" s="64"/>
      <c r="R150" s="64"/>
      <c r="S150" s="64"/>
      <c r="T150" s="64"/>
      <c r="U150" s="64"/>
      <c r="V150" s="64"/>
      <c r="W150" s="64"/>
      <c r="X150" s="64"/>
      <c r="Y150" s="64"/>
      <c r="Z150" s="64"/>
    </row>
    <row r="151" spans="1:26" thickBot="1">
      <c r="A151" s="66" t="str">
        <f t="shared" si="6"/>
        <v>Latitude 680</v>
      </c>
      <c r="B151" s="86">
        <v>6.8</v>
      </c>
      <c r="C151" s="70">
        <v>80</v>
      </c>
      <c r="D151" s="70">
        <v>0.1</v>
      </c>
      <c r="E151" s="70">
        <v>0.14000000000000001</v>
      </c>
      <c r="F151" s="70">
        <v>0.34</v>
      </c>
      <c r="G151" s="70">
        <v>0.53</v>
      </c>
      <c r="H151" s="70">
        <v>0.67</v>
      </c>
      <c r="I151" s="70">
        <v>0.71</v>
      </c>
      <c r="J151" s="70">
        <v>0.66</v>
      </c>
      <c r="K151" s="70">
        <v>0.54</v>
      </c>
      <c r="L151" s="70">
        <v>0.36</v>
      </c>
      <c r="M151" s="70">
        <v>0.17</v>
      </c>
      <c r="N151" s="70">
        <v>0.11</v>
      </c>
      <c r="O151" s="70">
        <v>0.1</v>
      </c>
      <c r="P151" s="71">
        <v>0.37</v>
      </c>
      <c r="Q151" s="64"/>
      <c r="R151" s="64"/>
      <c r="S151" s="64"/>
      <c r="T151" s="64"/>
      <c r="U151" s="64"/>
      <c r="V151" s="64"/>
      <c r="W151" s="64"/>
      <c r="X151" s="64"/>
      <c r="Y151" s="64"/>
      <c r="Z151" s="64"/>
    </row>
    <row r="152" spans="1:26" thickBot="1">
      <c r="A152" s="66" t="str">
        <f t="shared" si="6"/>
        <v>Latitude 685</v>
      </c>
      <c r="B152" s="86">
        <v>6.85</v>
      </c>
      <c r="C152" s="70">
        <v>85</v>
      </c>
      <c r="D152" s="70">
        <v>0.09</v>
      </c>
      <c r="E152" s="70">
        <v>0.09</v>
      </c>
      <c r="F152" s="70">
        <v>0.26</v>
      </c>
      <c r="G152" s="70">
        <v>0.46</v>
      </c>
      <c r="H152" s="70">
        <v>0.6</v>
      </c>
      <c r="I152" s="70">
        <v>0.65</v>
      </c>
      <c r="J152" s="70">
        <v>0.6</v>
      </c>
      <c r="K152" s="70">
        <v>0.47</v>
      </c>
      <c r="L152" s="70">
        <v>0.28999999999999998</v>
      </c>
      <c r="M152" s="70">
        <v>0.12</v>
      </c>
      <c r="N152" s="70">
        <v>0.1</v>
      </c>
      <c r="O152" s="70">
        <v>0.09</v>
      </c>
      <c r="P152" s="71">
        <v>0.32</v>
      </c>
      <c r="Q152" s="64"/>
      <c r="R152" s="64"/>
      <c r="S152" s="64"/>
      <c r="T152" s="64"/>
      <c r="U152" s="64"/>
      <c r="V152" s="64"/>
      <c r="W152" s="64"/>
      <c r="X152" s="64"/>
      <c r="Y152" s="64"/>
      <c r="Z152" s="64"/>
    </row>
    <row r="153" spans="1:26" thickBot="1">
      <c r="A153" s="66" t="str">
        <f t="shared" si="6"/>
        <v>Latitude 690</v>
      </c>
      <c r="B153" s="86">
        <v>6.9</v>
      </c>
      <c r="C153" s="70">
        <v>90</v>
      </c>
      <c r="D153" s="70">
        <v>0.08</v>
      </c>
      <c r="E153" s="70">
        <v>0.08</v>
      </c>
      <c r="F153" s="70">
        <v>0.18</v>
      </c>
      <c r="G153" s="70">
        <v>0.38</v>
      </c>
      <c r="H153" s="70">
        <v>0.53</v>
      </c>
      <c r="I153" s="70">
        <v>0.57999999999999996</v>
      </c>
      <c r="J153" s="70">
        <v>0.53</v>
      </c>
      <c r="K153" s="70">
        <v>0.4</v>
      </c>
      <c r="L153" s="70">
        <v>0.21</v>
      </c>
      <c r="M153" s="70">
        <v>0.11</v>
      </c>
      <c r="N153" s="70">
        <v>0.1</v>
      </c>
      <c r="O153" s="70">
        <v>0.09</v>
      </c>
      <c r="P153" s="71">
        <v>0.27</v>
      </c>
      <c r="Q153" s="64"/>
      <c r="R153" s="64"/>
      <c r="S153" s="64"/>
      <c r="T153" s="64"/>
      <c r="U153" s="64"/>
      <c r="V153" s="64"/>
      <c r="W153" s="64"/>
      <c r="X153" s="64"/>
      <c r="Y153" s="64"/>
      <c r="Z153" s="64"/>
    </row>
    <row r="154" spans="1:26" thickBot="1">
      <c r="A154" s="66"/>
      <c r="B154" s="87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66"/>
      <c r="Q154" s="64"/>
      <c r="R154" s="64"/>
      <c r="S154" s="64"/>
      <c r="T154" s="64"/>
      <c r="U154" s="64"/>
      <c r="V154" s="64"/>
      <c r="W154" s="64"/>
      <c r="X154" s="64"/>
      <c r="Y154" s="64"/>
      <c r="Z154" s="64"/>
    </row>
    <row r="155" spans="1:26" thickBot="1">
      <c r="A155" s="66"/>
      <c r="B155" s="67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66"/>
      <c r="Q155" s="64"/>
      <c r="R155" s="64"/>
      <c r="S155" s="64"/>
      <c r="T155" s="64"/>
      <c r="U155" s="64"/>
      <c r="V155" s="64"/>
      <c r="W155" s="64"/>
      <c r="X155" s="64"/>
      <c r="Y155" s="64"/>
      <c r="Z155" s="64"/>
    </row>
    <row r="156" spans="1:26" thickBot="1">
      <c r="A156" s="66"/>
      <c r="B156" s="85" t="s">
        <v>5871</v>
      </c>
      <c r="C156" s="75" t="s">
        <v>5853</v>
      </c>
      <c r="D156" s="75" t="s">
        <v>5827</v>
      </c>
      <c r="E156" s="75" t="s">
        <v>5828</v>
      </c>
      <c r="F156" s="75" t="s">
        <v>5829</v>
      </c>
      <c r="G156" s="75" t="s">
        <v>5830</v>
      </c>
      <c r="H156" s="75" t="s">
        <v>5831</v>
      </c>
      <c r="I156" s="75" t="s">
        <v>5832</v>
      </c>
      <c r="J156" s="75" t="s">
        <v>5833</v>
      </c>
      <c r="K156" s="75" t="s">
        <v>5834</v>
      </c>
      <c r="L156" s="75" t="s">
        <v>5835</v>
      </c>
      <c r="M156" s="75" t="s">
        <v>5836</v>
      </c>
      <c r="N156" s="75" t="s">
        <v>5837</v>
      </c>
      <c r="O156" s="75" t="s">
        <v>5838</v>
      </c>
      <c r="P156" s="74" t="s">
        <v>20</v>
      </c>
      <c r="Q156" s="64"/>
      <c r="R156" s="64"/>
      <c r="S156" s="64"/>
      <c r="T156" s="64"/>
      <c r="U156" s="64"/>
      <c r="V156" s="64"/>
      <c r="W156" s="64"/>
      <c r="X156" s="64"/>
      <c r="Y156" s="64"/>
      <c r="Z156" s="64"/>
    </row>
    <row r="157" spans="1:26" thickBot="1">
      <c r="A157" s="66" t="str">
        <f>$B$156&amp;C157</f>
        <v>Latitude 70</v>
      </c>
      <c r="B157" s="86">
        <v>7</v>
      </c>
      <c r="C157" s="70">
        <v>0</v>
      </c>
      <c r="D157" s="70">
        <v>1</v>
      </c>
      <c r="E157" s="70">
        <v>1</v>
      </c>
      <c r="F157" s="70">
        <v>1</v>
      </c>
      <c r="G157" s="70">
        <v>1</v>
      </c>
      <c r="H157" s="70">
        <v>1</v>
      </c>
      <c r="I157" s="70">
        <v>1</v>
      </c>
      <c r="J157" s="70">
        <v>1</v>
      </c>
      <c r="K157" s="70">
        <v>1</v>
      </c>
      <c r="L157" s="70">
        <v>1</v>
      </c>
      <c r="M157" s="70">
        <v>1</v>
      </c>
      <c r="N157" s="70">
        <v>1</v>
      </c>
      <c r="O157" s="70">
        <v>1</v>
      </c>
      <c r="P157" s="71">
        <v>1</v>
      </c>
      <c r="Q157" s="64"/>
      <c r="R157" s="64"/>
      <c r="S157" s="64"/>
      <c r="T157" s="64"/>
      <c r="U157" s="64"/>
      <c r="V157" s="64"/>
      <c r="W157" s="64"/>
      <c r="X157" s="64"/>
      <c r="Y157" s="64"/>
      <c r="Z157" s="64"/>
    </row>
    <row r="158" spans="1:26" thickBot="1">
      <c r="A158" s="66" t="str">
        <f t="shared" ref="A158:A175" si="7">$B$156&amp;C158</f>
        <v>Latitude 75</v>
      </c>
      <c r="B158" s="86">
        <v>7.5</v>
      </c>
      <c r="C158" s="70">
        <v>5</v>
      </c>
      <c r="D158" s="70">
        <v>0.99</v>
      </c>
      <c r="E158" s="70">
        <v>0.99</v>
      </c>
      <c r="F158" s="70">
        <v>1.01</v>
      </c>
      <c r="G158" s="70">
        <v>1.02</v>
      </c>
      <c r="H158" s="70">
        <v>1.03</v>
      </c>
      <c r="I158" s="70">
        <v>1.03</v>
      </c>
      <c r="J158" s="70">
        <v>1.03</v>
      </c>
      <c r="K158" s="70">
        <v>1.02</v>
      </c>
      <c r="L158" s="70">
        <v>1</v>
      </c>
      <c r="M158" s="70">
        <v>0.99</v>
      </c>
      <c r="N158" s="70">
        <v>0.98</v>
      </c>
      <c r="O158" s="70">
        <v>0.97</v>
      </c>
      <c r="P158" s="71">
        <v>1.01</v>
      </c>
      <c r="Q158" s="64"/>
      <c r="R158" s="64"/>
      <c r="S158" s="64"/>
      <c r="T158" s="64"/>
      <c r="U158" s="64"/>
      <c r="V158" s="64"/>
      <c r="W158" s="64"/>
      <c r="X158" s="64"/>
      <c r="Y158" s="64"/>
      <c r="Z158" s="64"/>
    </row>
    <row r="159" spans="1:26" thickBot="1">
      <c r="A159" s="66" t="str">
        <f t="shared" si="7"/>
        <v>Latitude 710</v>
      </c>
      <c r="B159" s="86">
        <v>7.1</v>
      </c>
      <c r="C159" s="70">
        <v>10</v>
      </c>
      <c r="D159" s="70">
        <v>0.97</v>
      </c>
      <c r="E159" s="70">
        <v>0.97</v>
      </c>
      <c r="F159" s="70">
        <v>1</v>
      </c>
      <c r="G159" s="70">
        <v>1.04</v>
      </c>
      <c r="H159" s="70">
        <v>1.06</v>
      </c>
      <c r="I159" s="70">
        <v>1.06</v>
      </c>
      <c r="J159" s="70">
        <v>1.05</v>
      </c>
      <c r="K159" s="70">
        <v>1.03</v>
      </c>
      <c r="L159" s="70">
        <v>1</v>
      </c>
      <c r="M159" s="70">
        <v>0.97</v>
      </c>
      <c r="N159" s="70">
        <v>0.95</v>
      </c>
      <c r="O159" s="70">
        <v>0.94</v>
      </c>
      <c r="P159" s="71">
        <v>1</v>
      </c>
      <c r="Q159" s="64"/>
      <c r="R159" s="64"/>
      <c r="S159" s="64"/>
      <c r="T159" s="64"/>
      <c r="U159" s="64"/>
      <c r="V159" s="64"/>
      <c r="W159" s="64"/>
      <c r="X159" s="64"/>
      <c r="Y159" s="64"/>
      <c r="Z159" s="64"/>
    </row>
    <row r="160" spans="1:26" thickBot="1">
      <c r="A160" s="66" t="str">
        <f t="shared" si="7"/>
        <v>Latitude 715</v>
      </c>
      <c r="B160" s="86">
        <v>7.15</v>
      </c>
      <c r="C160" s="70">
        <v>15</v>
      </c>
      <c r="D160" s="70">
        <v>0.95</v>
      </c>
      <c r="E160" s="70">
        <v>0.95</v>
      </c>
      <c r="F160" s="70">
        <v>0.99</v>
      </c>
      <c r="G160" s="70">
        <v>1.04</v>
      </c>
      <c r="H160" s="70">
        <v>1.07</v>
      </c>
      <c r="I160" s="70">
        <v>1.08</v>
      </c>
      <c r="J160" s="70">
        <v>1.06</v>
      </c>
      <c r="K160" s="70">
        <v>1.03</v>
      </c>
      <c r="L160" s="70">
        <v>0.99</v>
      </c>
      <c r="M160" s="70">
        <v>0.95</v>
      </c>
      <c r="N160" s="70">
        <v>0.91</v>
      </c>
      <c r="O160" s="70">
        <v>0.89</v>
      </c>
      <c r="P160" s="71">
        <v>0.99</v>
      </c>
      <c r="Q160" s="64"/>
      <c r="R160" s="64"/>
      <c r="S160" s="64"/>
      <c r="T160" s="64"/>
      <c r="U160" s="64"/>
      <c r="V160" s="64"/>
      <c r="W160" s="64"/>
      <c r="X160" s="64"/>
      <c r="Y160" s="64"/>
      <c r="Z160" s="64"/>
    </row>
    <row r="161" spans="1:26" thickBot="1">
      <c r="A161" s="66" t="str">
        <f t="shared" si="7"/>
        <v>Latitude 720</v>
      </c>
      <c r="B161" s="86">
        <v>7.2</v>
      </c>
      <c r="C161" s="70">
        <v>20</v>
      </c>
      <c r="D161" s="70">
        <v>0.91</v>
      </c>
      <c r="E161" s="70">
        <v>0.91</v>
      </c>
      <c r="F161" s="70">
        <v>0.98</v>
      </c>
      <c r="G161" s="70">
        <v>1.04</v>
      </c>
      <c r="H161" s="70">
        <v>1.08</v>
      </c>
      <c r="I161" s="70">
        <v>1.0900000000000001</v>
      </c>
      <c r="J161" s="70">
        <v>1.07</v>
      </c>
      <c r="K161" s="70">
        <v>1.03</v>
      </c>
      <c r="L161" s="70">
        <v>0.98</v>
      </c>
      <c r="M161" s="70">
        <v>0.92</v>
      </c>
      <c r="N161" s="70">
        <v>0.87</v>
      </c>
      <c r="O161" s="70">
        <v>0.85</v>
      </c>
      <c r="P161" s="71">
        <v>0.98</v>
      </c>
      <c r="Q161" s="64"/>
      <c r="R161" s="64"/>
      <c r="S161" s="64"/>
      <c r="T161" s="64"/>
      <c r="U161" s="64"/>
      <c r="V161" s="64"/>
      <c r="W161" s="64"/>
      <c r="X161" s="64"/>
      <c r="Y161" s="64"/>
      <c r="Z161" s="64"/>
    </row>
    <row r="162" spans="1:26" thickBot="1">
      <c r="A162" s="66" t="str">
        <f t="shared" si="7"/>
        <v>Latitude 725</v>
      </c>
      <c r="B162" s="86">
        <v>7.25</v>
      </c>
      <c r="C162" s="70">
        <v>25</v>
      </c>
      <c r="D162" s="70">
        <v>0.88</v>
      </c>
      <c r="E162" s="70">
        <v>0.88</v>
      </c>
      <c r="F162" s="70">
        <v>0.96</v>
      </c>
      <c r="G162" s="70">
        <v>1.04</v>
      </c>
      <c r="H162" s="70">
        <v>1.0900000000000001</v>
      </c>
      <c r="I162" s="70">
        <v>1.1000000000000001</v>
      </c>
      <c r="J162" s="70">
        <v>1.07</v>
      </c>
      <c r="K162" s="70">
        <v>1.02</v>
      </c>
      <c r="L162" s="70">
        <v>0.96</v>
      </c>
      <c r="M162" s="70">
        <v>0.88</v>
      </c>
      <c r="N162" s="70">
        <v>0.82</v>
      </c>
      <c r="O162" s="70">
        <v>0.79</v>
      </c>
      <c r="P162" s="71">
        <v>0.96</v>
      </c>
      <c r="Q162" s="64"/>
      <c r="R162" s="64"/>
      <c r="S162" s="64"/>
      <c r="T162" s="64"/>
      <c r="U162" s="64"/>
      <c r="V162" s="64"/>
      <c r="W162" s="64"/>
      <c r="X162" s="64"/>
      <c r="Y162" s="64"/>
      <c r="Z162" s="64"/>
    </row>
    <row r="163" spans="1:26" thickBot="1">
      <c r="A163" s="66" t="str">
        <f t="shared" si="7"/>
        <v>Latitude 730</v>
      </c>
      <c r="B163" s="86">
        <v>7.3</v>
      </c>
      <c r="C163" s="70">
        <v>30</v>
      </c>
      <c r="D163" s="70">
        <v>0.83</v>
      </c>
      <c r="E163" s="70">
        <v>0.83</v>
      </c>
      <c r="F163" s="70">
        <v>0.93</v>
      </c>
      <c r="G163" s="70">
        <v>1.02</v>
      </c>
      <c r="H163" s="70">
        <v>1.08</v>
      </c>
      <c r="I163" s="70">
        <v>1.1000000000000001</v>
      </c>
      <c r="J163" s="70">
        <v>1.06</v>
      </c>
      <c r="K163" s="70">
        <v>1.01</v>
      </c>
      <c r="L163" s="70">
        <v>0.93</v>
      </c>
      <c r="M163" s="70">
        <v>0.84</v>
      </c>
      <c r="N163" s="70">
        <v>0.77</v>
      </c>
      <c r="O163" s="70">
        <v>0.73</v>
      </c>
      <c r="P163" s="71">
        <v>0.93</v>
      </c>
      <c r="Q163" s="64"/>
      <c r="R163" s="64"/>
      <c r="S163" s="64"/>
      <c r="T163" s="64"/>
      <c r="U163" s="64"/>
      <c r="V163" s="64"/>
      <c r="W163" s="64"/>
      <c r="X163" s="64"/>
      <c r="Y163" s="64"/>
      <c r="Z163" s="64"/>
    </row>
    <row r="164" spans="1:26" thickBot="1">
      <c r="A164" s="66" t="str">
        <f t="shared" si="7"/>
        <v>Latitude 735</v>
      </c>
      <c r="B164" s="86">
        <v>7.35</v>
      </c>
      <c r="C164" s="70">
        <v>35</v>
      </c>
      <c r="D164" s="70">
        <v>0.78</v>
      </c>
      <c r="E164" s="70">
        <v>0.78</v>
      </c>
      <c r="F164" s="70">
        <v>0.89</v>
      </c>
      <c r="G164" s="70">
        <v>1</v>
      </c>
      <c r="H164" s="70">
        <v>1.07</v>
      </c>
      <c r="I164" s="70">
        <v>1.0900000000000001</v>
      </c>
      <c r="J164" s="70">
        <v>1.05</v>
      </c>
      <c r="K164" s="70">
        <v>0.99</v>
      </c>
      <c r="L164" s="70">
        <v>0.9</v>
      </c>
      <c r="M164" s="70">
        <v>0.79</v>
      </c>
      <c r="N164" s="70">
        <v>0.71</v>
      </c>
      <c r="O164" s="70">
        <v>0.67</v>
      </c>
      <c r="P164" s="71">
        <v>0.89</v>
      </c>
      <c r="Q164" s="64"/>
      <c r="R164" s="64"/>
      <c r="S164" s="64"/>
      <c r="T164" s="64"/>
      <c r="U164" s="64"/>
      <c r="V164" s="64"/>
      <c r="W164" s="64"/>
      <c r="X164" s="64"/>
      <c r="Y164" s="64"/>
      <c r="Z164" s="64"/>
    </row>
    <row r="165" spans="1:26" thickBot="1">
      <c r="A165" s="66" t="str">
        <f t="shared" si="7"/>
        <v>Latitude 740</v>
      </c>
      <c r="B165" s="86">
        <v>7.4</v>
      </c>
      <c r="C165" s="70">
        <v>40</v>
      </c>
      <c r="D165" s="70">
        <v>0.73</v>
      </c>
      <c r="E165" s="70">
        <v>0.73</v>
      </c>
      <c r="F165" s="70">
        <v>0.85</v>
      </c>
      <c r="G165" s="70">
        <v>0.97</v>
      </c>
      <c r="H165" s="70">
        <v>1.06</v>
      </c>
      <c r="I165" s="70">
        <v>1.07</v>
      </c>
      <c r="J165" s="70">
        <v>1.03</v>
      </c>
      <c r="K165" s="70">
        <v>0.96</v>
      </c>
      <c r="L165" s="70">
        <v>0.86</v>
      </c>
      <c r="M165" s="70">
        <v>0.74</v>
      </c>
      <c r="N165" s="70">
        <v>0.64</v>
      </c>
      <c r="O165" s="70">
        <v>0.6</v>
      </c>
      <c r="P165" s="71">
        <v>0.85</v>
      </c>
      <c r="Q165" s="64"/>
      <c r="R165" s="64"/>
      <c r="S165" s="64"/>
      <c r="T165" s="64"/>
      <c r="U165" s="64"/>
      <c r="V165" s="64"/>
      <c r="W165" s="64"/>
      <c r="X165" s="64"/>
      <c r="Y165" s="64"/>
      <c r="Z165" s="64"/>
    </row>
    <row r="166" spans="1:26" thickBot="1">
      <c r="A166" s="66" t="str">
        <f t="shared" si="7"/>
        <v>Latitude 745</v>
      </c>
      <c r="B166" s="86">
        <v>7.45</v>
      </c>
      <c r="C166" s="70">
        <v>45</v>
      </c>
      <c r="D166" s="70">
        <v>0.67</v>
      </c>
      <c r="E166" s="70">
        <v>0.67</v>
      </c>
      <c r="F166" s="70">
        <v>0.81</v>
      </c>
      <c r="G166" s="70">
        <v>0.94</v>
      </c>
      <c r="H166" s="70">
        <v>1.03</v>
      </c>
      <c r="I166" s="70">
        <v>1.05</v>
      </c>
      <c r="J166" s="70">
        <v>1.01</v>
      </c>
      <c r="K166" s="70">
        <v>0.93</v>
      </c>
      <c r="L166" s="70">
        <v>0.81</v>
      </c>
      <c r="M166" s="70">
        <v>0.68</v>
      </c>
      <c r="N166" s="70">
        <v>0.56999999999999995</v>
      </c>
      <c r="O166" s="70">
        <v>0.53</v>
      </c>
      <c r="P166" s="71">
        <v>0.81</v>
      </c>
      <c r="Q166" s="64"/>
      <c r="R166" s="64"/>
      <c r="S166" s="64"/>
      <c r="T166" s="64"/>
      <c r="U166" s="64"/>
      <c r="V166" s="64"/>
      <c r="W166" s="64"/>
      <c r="X166" s="64"/>
      <c r="Y166" s="64"/>
      <c r="Z166" s="64"/>
    </row>
    <row r="167" spans="1:26" thickBot="1">
      <c r="A167" s="66" t="str">
        <f t="shared" si="7"/>
        <v>Latitude 750</v>
      </c>
      <c r="B167" s="86">
        <v>7.5</v>
      </c>
      <c r="C167" s="70">
        <v>50</v>
      </c>
      <c r="D167" s="70">
        <v>0.6</v>
      </c>
      <c r="E167" s="70">
        <v>0.6</v>
      </c>
      <c r="F167" s="70">
        <v>0.75</v>
      </c>
      <c r="G167" s="70">
        <v>0.9</v>
      </c>
      <c r="H167" s="70">
        <v>1</v>
      </c>
      <c r="I167" s="70">
        <v>1.02</v>
      </c>
      <c r="J167" s="70">
        <v>0.98</v>
      </c>
      <c r="K167" s="70">
        <v>0.89</v>
      </c>
      <c r="L167" s="70">
        <v>0.76</v>
      </c>
      <c r="M167" s="70">
        <v>0.62</v>
      </c>
      <c r="N167" s="70">
        <v>0.5</v>
      </c>
      <c r="O167" s="70">
        <v>0.45</v>
      </c>
      <c r="P167" s="71">
        <v>0.76</v>
      </c>
      <c r="Q167" s="64"/>
      <c r="R167" s="64"/>
      <c r="S167" s="64"/>
      <c r="T167" s="64"/>
      <c r="U167" s="64"/>
      <c r="V167" s="64"/>
      <c r="W167" s="64"/>
      <c r="X167" s="64"/>
      <c r="Y167" s="64"/>
      <c r="Z167" s="64"/>
    </row>
    <row r="168" spans="1:26" thickBot="1">
      <c r="A168" s="66" t="str">
        <f t="shared" si="7"/>
        <v>Latitude 755</v>
      </c>
      <c r="B168" s="86">
        <v>7.55</v>
      </c>
      <c r="C168" s="70">
        <v>55</v>
      </c>
      <c r="D168" s="70">
        <v>0.54</v>
      </c>
      <c r="E168" s="70">
        <v>0.54</v>
      </c>
      <c r="F168" s="70">
        <v>0.7</v>
      </c>
      <c r="G168" s="70">
        <v>0.85</v>
      </c>
      <c r="H168" s="70">
        <v>0.96</v>
      </c>
      <c r="I168" s="70">
        <v>0.99</v>
      </c>
      <c r="J168" s="70">
        <v>0.94</v>
      </c>
      <c r="K168" s="70">
        <v>0.84</v>
      </c>
      <c r="L168" s="70">
        <v>0.71</v>
      </c>
      <c r="M168" s="70">
        <v>0.55000000000000004</v>
      </c>
      <c r="N168" s="70">
        <v>0.43</v>
      </c>
      <c r="O168" s="70">
        <v>0.38</v>
      </c>
      <c r="P168" s="71">
        <v>0.7</v>
      </c>
      <c r="Q168" s="64"/>
      <c r="R168" s="64"/>
      <c r="S168" s="64"/>
      <c r="T168" s="64"/>
      <c r="U168" s="64"/>
      <c r="V168" s="64"/>
      <c r="W168" s="64"/>
      <c r="X168" s="64"/>
      <c r="Y168" s="64"/>
      <c r="Z168" s="64"/>
    </row>
    <row r="169" spans="1:26" thickBot="1">
      <c r="A169" s="66" t="str">
        <f t="shared" si="7"/>
        <v>Latitude 760</v>
      </c>
      <c r="B169" s="86">
        <v>7.6</v>
      </c>
      <c r="C169" s="70">
        <v>60</v>
      </c>
      <c r="D169" s="70">
        <v>0.46</v>
      </c>
      <c r="E169" s="70">
        <v>0.46</v>
      </c>
      <c r="F169" s="70">
        <v>0.63</v>
      </c>
      <c r="G169" s="70">
        <v>0.8</v>
      </c>
      <c r="H169" s="70">
        <v>0.92</v>
      </c>
      <c r="I169" s="70">
        <v>0.95</v>
      </c>
      <c r="J169" s="70">
        <v>0.9</v>
      </c>
      <c r="K169" s="70">
        <v>0.79</v>
      </c>
      <c r="L169" s="70">
        <v>0.65</v>
      </c>
      <c r="M169" s="70">
        <v>0.48</v>
      </c>
      <c r="N169" s="70">
        <v>0.35</v>
      </c>
      <c r="O169" s="70">
        <v>0.3</v>
      </c>
      <c r="P169" s="71">
        <v>0.64</v>
      </c>
      <c r="Q169" s="64"/>
      <c r="R169" s="64"/>
      <c r="S169" s="64"/>
      <c r="T169" s="64"/>
      <c r="U169" s="64"/>
      <c r="V169" s="64"/>
      <c r="W169" s="64"/>
      <c r="X169" s="64"/>
      <c r="Y169" s="64"/>
      <c r="Z169" s="64"/>
    </row>
    <row r="170" spans="1:26" thickBot="1">
      <c r="A170" s="66" t="str">
        <f t="shared" si="7"/>
        <v>Latitude 765</v>
      </c>
      <c r="B170" s="86">
        <v>7.65</v>
      </c>
      <c r="C170" s="70">
        <v>65</v>
      </c>
      <c r="D170" s="70">
        <v>0.39</v>
      </c>
      <c r="E170" s="70">
        <v>0.39</v>
      </c>
      <c r="F170" s="70">
        <v>0.56999999999999995</v>
      </c>
      <c r="G170" s="70">
        <v>0.75</v>
      </c>
      <c r="H170" s="70">
        <v>0.87</v>
      </c>
      <c r="I170" s="70">
        <v>0.9</v>
      </c>
      <c r="J170" s="70">
        <v>0.85</v>
      </c>
      <c r="K170" s="70">
        <v>0.74</v>
      </c>
      <c r="L170" s="70">
        <v>0.57999999999999996</v>
      </c>
      <c r="M170" s="70">
        <v>0.41</v>
      </c>
      <c r="N170" s="70">
        <v>0.27</v>
      </c>
      <c r="O170" s="70">
        <v>0.21</v>
      </c>
      <c r="P170" s="71">
        <v>0.57999999999999996</v>
      </c>
      <c r="Q170" s="64"/>
      <c r="R170" s="64"/>
      <c r="S170" s="64"/>
      <c r="T170" s="64"/>
      <c r="U170" s="64"/>
      <c r="V170" s="64"/>
      <c r="W170" s="64"/>
      <c r="X170" s="64"/>
      <c r="Y170" s="64"/>
      <c r="Z170" s="64"/>
    </row>
    <row r="171" spans="1:26" thickBot="1">
      <c r="A171" s="66" t="str">
        <f t="shared" si="7"/>
        <v>Latitude 770</v>
      </c>
      <c r="B171" s="86">
        <v>7.7</v>
      </c>
      <c r="C171" s="70">
        <v>70</v>
      </c>
      <c r="D171" s="70">
        <v>0.31</v>
      </c>
      <c r="E171" s="70">
        <v>0.31</v>
      </c>
      <c r="F171" s="70">
        <v>0.5</v>
      </c>
      <c r="G171" s="70">
        <v>0.68</v>
      </c>
      <c r="H171" s="70">
        <v>0.81</v>
      </c>
      <c r="I171" s="70">
        <v>0.85</v>
      </c>
      <c r="J171" s="70">
        <v>0.8</v>
      </c>
      <c r="K171" s="70">
        <v>0.68</v>
      </c>
      <c r="L171" s="70">
        <v>0.52</v>
      </c>
      <c r="M171" s="70">
        <v>0.34</v>
      </c>
      <c r="N171" s="70">
        <v>0.19</v>
      </c>
      <c r="O171" s="70">
        <v>0.13</v>
      </c>
      <c r="P171" s="71">
        <v>0.51</v>
      </c>
      <c r="Q171" s="64"/>
      <c r="R171" s="64"/>
      <c r="S171" s="64"/>
      <c r="T171" s="64"/>
      <c r="U171" s="64"/>
      <c r="V171" s="64"/>
      <c r="W171" s="64"/>
      <c r="X171" s="64"/>
      <c r="Y171" s="64"/>
      <c r="Z171" s="64"/>
    </row>
    <row r="172" spans="1:26" thickBot="1">
      <c r="A172" s="66" t="str">
        <f t="shared" si="7"/>
        <v>Latitude 775</v>
      </c>
      <c r="B172" s="86">
        <v>7.75</v>
      </c>
      <c r="C172" s="70">
        <v>75</v>
      </c>
      <c r="D172" s="70">
        <v>0.23</v>
      </c>
      <c r="E172" s="70">
        <v>0.23</v>
      </c>
      <c r="F172" s="70">
        <v>0.42</v>
      </c>
      <c r="G172" s="70">
        <v>0.62</v>
      </c>
      <c r="H172" s="70">
        <v>0.75</v>
      </c>
      <c r="I172" s="70">
        <v>0.79</v>
      </c>
      <c r="J172" s="70">
        <v>0.74</v>
      </c>
      <c r="K172" s="70">
        <v>0.62</v>
      </c>
      <c r="L172" s="70">
        <v>0.45</v>
      </c>
      <c r="M172" s="70">
        <v>0.26</v>
      </c>
      <c r="N172" s="70">
        <v>0.12</v>
      </c>
      <c r="O172" s="70">
        <v>0.11</v>
      </c>
      <c r="P172" s="71">
        <v>0.45</v>
      </c>
      <c r="Q172" s="64"/>
      <c r="R172" s="64"/>
      <c r="S172" s="64"/>
      <c r="T172" s="64"/>
      <c r="U172" s="64"/>
      <c r="V172" s="64"/>
      <c r="W172" s="64"/>
      <c r="X172" s="64"/>
      <c r="Y172" s="64"/>
      <c r="Z172" s="64"/>
    </row>
    <row r="173" spans="1:26" thickBot="1">
      <c r="A173" s="66" t="str">
        <f t="shared" si="7"/>
        <v>Latitude 780</v>
      </c>
      <c r="B173" s="86">
        <v>7.8</v>
      </c>
      <c r="C173" s="70">
        <v>80</v>
      </c>
      <c r="D173" s="70">
        <v>0.15</v>
      </c>
      <c r="E173" s="70">
        <v>0.15</v>
      </c>
      <c r="F173" s="70">
        <v>0.35</v>
      </c>
      <c r="G173" s="70">
        <v>0.55000000000000004</v>
      </c>
      <c r="H173" s="70">
        <v>0.69</v>
      </c>
      <c r="I173" s="70">
        <v>0.73</v>
      </c>
      <c r="J173" s="70">
        <v>0.68</v>
      </c>
      <c r="K173" s="70">
        <v>0.55000000000000004</v>
      </c>
      <c r="L173" s="70">
        <v>0.38</v>
      </c>
      <c r="M173" s="70">
        <v>0.18</v>
      </c>
      <c r="N173" s="70">
        <v>0.11</v>
      </c>
      <c r="O173" s="70">
        <v>0.1</v>
      </c>
      <c r="P173" s="71">
        <v>0.39</v>
      </c>
      <c r="Q173" s="64"/>
      <c r="R173" s="64"/>
      <c r="S173" s="64"/>
      <c r="T173" s="64"/>
      <c r="U173" s="64"/>
      <c r="V173" s="64"/>
      <c r="W173" s="64"/>
      <c r="X173" s="64"/>
      <c r="Y173" s="64"/>
      <c r="Z173" s="64"/>
    </row>
    <row r="174" spans="1:26" thickBot="1">
      <c r="A174" s="66" t="str">
        <f t="shared" si="7"/>
        <v>Latitude 785</v>
      </c>
      <c r="B174" s="86">
        <v>7.85</v>
      </c>
      <c r="C174" s="70">
        <v>85</v>
      </c>
      <c r="D174" s="70">
        <v>0.09</v>
      </c>
      <c r="E174" s="70">
        <v>0.09</v>
      </c>
      <c r="F174" s="70">
        <v>0.27</v>
      </c>
      <c r="G174" s="70">
        <v>0.47</v>
      </c>
      <c r="H174" s="70">
        <v>0.62</v>
      </c>
      <c r="I174" s="70">
        <v>0.66</v>
      </c>
      <c r="J174" s="70">
        <v>0.61</v>
      </c>
      <c r="K174" s="70">
        <v>0.48</v>
      </c>
      <c r="L174" s="70">
        <v>0.3</v>
      </c>
      <c r="M174" s="70">
        <v>0.12</v>
      </c>
      <c r="N174" s="70">
        <v>0.1</v>
      </c>
      <c r="O174" s="70">
        <v>0.09</v>
      </c>
      <c r="P174" s="71">
        <v>0.33</v>
      </c>
      <c r="Q174" s="64"/>
      <c r="R174" s="64"/>
      <c r="S174" s="64"/>
      <c r="T174" s="64"/>
      <c r="U174" s="64"/>
      <c r="V174" s="64"/>
      <c r="W174" s="64"/>
      <c r="X174" s="64"/>
      <c r="Y174" s="64"/>
      <c r="Z174" s="64"/>
    </row>
    <row r="175" spans="1:26" thickBot="1">
      <c r="A175" s="66" t="str">
        <f t="shared" si="7"/>
        <v>Latitude 790</v>
      </c>
      <c r="B175" s="86">
        <v>7.9</v>
      </c>
      <c r="C175" s="70">
        <v>90</v>
      </c>
      <c r="D175" s="70">
        <v>0.08</v>
      </c>
      <c r="E175" s="70">
        <v>0.08</v>
      </c>
      <c r="F175" s="70">
        <v>0.19</v>
      </c>
      <c r="G175" s="70">
        <v>0.4</v>
      </c>
      <c r="H175" s="70">
        <v>0.55000000000000004</v>
      </c>
      <c r="I175" s="70">
        <v>0.59</v>
      </c>
      <c r="J175" s="70">
        <v>0.54</v>
      </c>
      <c r="K175" s="70">
        <v>0.41</v>
      </c>
      <c r="L175" s="70">
        <v>0.23</v>
      </c>
      <c r="M175" s="70">
        <v>0.11</v>
      </c>
      <c r="N175" s="70">
        <v>0.09</v>
      </c>
      <c r="O175" s="70">
        <v>0.09</v>
      </c>
      <c r="P175" s="71">
        <v>0.28000000000000003</v>
      </c>
      <c r="Q175" s="64"/>
      <c r="R175" s="64"/>
      <c r="S175" s="64"/>
      <c r="T175" s="64"/>
      <c r="U175" s="64"/>
      <c r="V175" s="64"/>
      <c r="W175" s="64"/>
      <c r="X175" s="64"/>
      <c r="Y175" s="64"/>
      <c r="Z175" s="64"/>
    </row>
    <row r="176" spans="1:26" thickBot="1">
      <c r="A176" s="66"/>
      <c r="B176" s="87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66"/>
      <c r="Q176" s="64"/>
      <c r="R176" s="64"/>
      <c r="S176" s="64"/>
      <c r="T176" s="64"/>
      <c r="U176" s="64"/>
      <c r="V176" s="64"/>
      <c r="W176" s="64"/>
      <c r="X176" s="64"/>
      <c r="Y176" s="64"/>
      <c r="Z176" s="64"/>
    </row>
    <row r="177" spans="1:26" thickBot="1">
      <c r="A177" s="66"/>
      <c r="B177" s="67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66"/>
      <c r="Q177" s="64"/>
      <c r="R177" s="64"/>
      <c r="S177" s="64"/>
      <c r="T177" s="64"/>
      <c r="U177" s="64"/>
      <c r="V177" s="64"/>
      <c r="W177" s="64"/>
      <c r="X177" s="64"/>
      <c r="Y177" s="64"/>
      <c r="Z177" s="64"/>
    </row>
    <row r="178" spans="1:26" thickBot="1">
      <c r="A178" s="66"/>
      <c r="B178" s="85" t="s">
        <v>5872</v>
      </c>
      <c r="C178" s="75" t="s">
        <v>5853</v>
      </c>
      <c r="D178" s="75" t="s">
        <v>5827</v>
      </c>
      <c r="E178" s="75" t="s">
        <v>5828</v>
      </c>
      <c r="F178" s="75" t="s">
        <v>5829</v>
      </c>
      <c r="G178" s="75" t="s">
        <v>5830</v>
      </c>
      <c r="H178" s="75" t="s">
        <v>5831</v>
      </c>
      <c r="I178" s="75" t="s">
        <v>5832</v>
      </c>
      <c r="J178" s="75" t="s">
        <v>5833</v>
      </c>
      <c r="K178" s="75" t="s">
        <v>5834</v>
      </c>
      <c r="L178" s="75" t="s">
        <v>5835</v>
      </c>
      <c r="M178" s="75" t="s">
        <v>5836</v>
      </c>
      <c r="N178" s="75" t="s">
        <v>5837</v>
      </c>
      <c r="O178" s="75" t="s">
        <v>5838</v>
      </c>
      <c r="P178" s="74" t="s">
        <v>20</v>
      </c>
      <c r="Q178" s="64"/>
      <c r="R178" s="64"/>
      <c r="S178" s="64"/>
      <c r="T178" s="64"/>
      <c r="U178" s="64"/>
      <c r="V178" s="64"/>
      <c r="W178" s="64"/>
      <c r="X178" s="64"/>
      <c r="Y178" s="64"/>
      <c r="Z178" s="64"/>
    </row>
    <row r="179" spans="1:26" thickBot="1">
      <c r="A179" s="66" t="str">
        <f>$B$178&amp;C179</f>
        <v>Latitude 80</v>
      </c>
      <c r="B179" s="86">
        <v>8</v>
      </c>
      <c r="C179" s="70">
        <v>0</v>
      </c>
      <c r="D179" s="70">
        <v>1</v>
      </c>
      <c r="E179" s="70">
        <v>1</v>
      </c>
      <c r="F179" s="70">
        <v>1</v>
      </c>
      <c r="G179" s="70">
        <v>1</v>
      </c>
      <c r="H179" s="70">
        <v>1</v>
      </c>
      <c r="I179" s="70">
        <v>1</v>
      </c>
      <c r="J179" s="70">
        <v>1</v>
      </c>
      <c r="K179" s="70">
        <v>1</v>
      </c>
      <c r="L179" s="70">
        <v>1</v>
      </c>
      <c r="M179" s="70">
        <v>1</v>
      </c>
      <c r="N179" s="70">
        <v>1</v>
      </c>
      <c r="O179" s="70">
        <v>1</v>
      </c>
      <c r="P179" s="71">
        <v>1</v>
      </c>
      <c r="Q179" s="64"/>
      <c r="R179" s="64"/>
      <c r="S179" s="64"/>
      <c r="T179" s="64"/>
      <c r="U179" s="64"/>
      <c r="V179" s="64"/>
      <c r="W179" s="64"/>
      <c r="X179" s="64"/>
      <c r="Y179" s="64"/>
      <c r="Z179" s="64"/>
    </row>
    <row r="180" spans="1:26" thickBot="1">
      <c r="A180" s="66" t="str">
        <f t="shared" ref="A180:A197" si="8">$B$178&amp;C180</f>
        <v>Latitude 85</v>
      </c>
      <c r="B180" s="86">
        <v>8.5</v>
      </c>
      <c r="C180" s="70">
        <v>5</v>
      </c>
      <c r="D180" s="70">
        <v>0.98</v>
      </c>
      <c r="E180" s="70">
        <v>0.99</v>
      </c>
      <c r="F180" s="70">
        <v>1.01</v>
      </c>
      <c r="G180" s="70">
        <v>1.02</v>
      </c>
      <c r="H180" s="70">
        <v>1.03</v>
      </c>
      <c r="I180" s="70">
        <v>1.03</v>
      </c>
      <c r="J180" s="70">
        <v>1.03</v>
      </c>
      <c r="K180" s="70">
        <v>1.02</v>
      </c>
      <c r="L180" s="70">
        <v>1.01</v>
      </c>
      <c r="M180" s="70">
        <v>0.99</v>
      </c>
      <c r="N180" s="70">
        <v>0.98</v>
      </c>
      <c r="O180" s="70">
        <v>0.97</v>
      </c>
      <c r="P180" s="71">
        <v>1.01</v>
      </c>
      <c r="Q180" s="64"/>
      <c r="R180" s="64"/>
      <c r="S180" s="64"/>
      <c r="T180" s="64"/>
      <c r="U180" s="64"/>
      <c r="V180" s="64"/>
      <c r="W180" s="64"/>
      <c r="X180" s="64"/>
      <c r="Y180" s="64"/>
      <c r="Z180" s="64"/>
    </row>
    <row r="181" spans="1:26" thickBot="1">
      <c r="A181" s="66" t="str">
        <f t="shared" si="8"/>
        <v>Latitude 810</v>
      </c>
      <c r="B181" s="86">
        <v>8.1</v>
      </c>
      <c r="C181" s="70">
        <v>10</v>
      </c>
      <c r="D181" s="70">
        <v>0.95</v>
      </c>
      <c r="E181" s="70">
        <v>0.97</v>
      </c>
      <c r="F181" s="70">
        <v>1.01</v>
      </c>
      <c r="G181" s="70">
        <v>1.04</v>
      </c>
      <c r="H181" s="70">
        <v>1.06</v>
      </c>
      <c r="I181" s="70">
        <v>1.06</v>
      </c>
      <c r="J181" s="70">
        <v>1.05</v>
      </c>
      <c r="K181" s="70">
        <v>1.03</v>
      </c>
      <c r="L181" s="70">
        <v>1</v>
      </c>
      <c r="M181" s="70">
        <v>0.97</v>
      </c>
      <c r="N181" s="70">
        <v>0.95</v>
      </c>
      <c r="O181" s="70">
        <v>0.94</v>
      </c>
      <c r="P181" s="71">
        <v>1</v>
      </c>
      <c r="Q181" s="64"/>
      <c r="R181" s="64"/>
      <c r="S181" s="64"/>
      <c r="T181" s="64"/>
      <c r="U181" s="64"/>
      <c r="V181" s="64"/>
      <c r="W181" s="64"/>
      <c r="X181" s="64"/>
      <c r="Y181" s="64"/>
      <c r="Z181" s="64"/>
    </row>
    <row r="182" spans="1:26" thickBot="1">
      <c r="A182" s="66" t="str">
        <f t="shared" si="8"/>
        <v>Latitude 815</v>
      </c>
      <c r="B182" s="86">
        <v>8.15</v>
      </c>
      <c r="C182" s="70">
        <v>15</v>
      </c>
      <c r="D182" s="70">
        <v>0.91</v>
      </c>
      <c r="E182" s="70">
        <v>0.95</v>
      </c>
      <c r="F182" s="70">
        <v>1</v>
      </c>
      <c r="G182" s="70">
        <v>1.05</v>
      </c>
      <c r="H182" s="70">
        <v>1.08</v>
      </c>
      <c r="I182" s="70">
        <v>1.08</v>
      </c>
      <c r="J182" s="70">
        <v>1.07</v>
      </c>
      <c r="K182" s="70">
        <v>1.04</v>
      </c>
      <c r="L182" s="70">
        <v>1</v>
      </c>
      <c r="M182" s="70">
        <v>0.95</v>
      </c>
      <c r="N182" s="70">
        <v>0.91</v>
      </c>
      <c r="O182" s="70">
        <v>0.9</v>
      </c>
      <c r="P182" s="71">
        <v>1</v>
      </c>
      <c r="Q182" s="64"/>
      <c r="R182" s="64"/>
      <c r="S182" s="64"/>
      <c r="T182" s="64"/>
      <c r="U182" s="64"/>
      <c r="V182" s="64"/>
      <c r="W182" s="64"/>
      <c r="X182" s="64"/>
      <c r="Y182" s="64"/>
      <c r="Z182" s="64"/>
    </row>
    <row r="183" spans="1:26" thickBot="1">
      <c r="A183" s="66" t="str">
        <f t="shared" si="8"/>
        <v>Latitude 820</v>
      </c>
      <c r="B183" s="86">
        <v>8.1999999999999993</v>
      </c>
      <c r="C183" s="70">
        <v>20</v>
      </c>
      <c r="D183" s="70">
        <v>0.87</v>
      </c>
      <c r="E183" s="70">
        <v>0.92</v>
      </c>
      <c r="F183" s="70">
        <v>0.98</v>
      </c>
      <c r="G183" s="70">
        <v>1.05</v>
      </c>
      <c r="H183" s="70">
        <v>1.0900000000000001</v>
      </c>
      <c r="I183" s="70">
        <v>1.1000000000000001</v>
      </c>
      <c r="J183" s="70">
        <v>1.07</v>
      </c>
      <c r="K183" s="70">
        <v>1.04</v>
      </c>
      <c r="L183" s="70">
        <v>0.98</v>
      </c>
      <c r="M183" s="70">
        <v>0.92</v>
      </c>
      <c r="N183" s="70">
        <v>0.87</v>
      </c>
      <c r="O183" s="70">
        <v>0.85</v>
      </c>
      <c r="P183" s="71">
        <v>0.98</v>
      </c>
      <c r="Q183" s="64"/>
      <c r="R183" s="64"/>
      <c r="S183" s="64"/>
      <c r="T183" s="64"/>
      <c r="U183" s="64"/>
      <c r="V183" s="64"/>
      <c r="W183" s="64"/>
      <c r="X183" s="64"/>
      <c r="Y183" s="64"/>
      <c r="Z183" s="64"/>
    </row>
    <row r="184" spans="1:26" thickBot="1">
      <c r="A184" s="66" t="str">
        <f t="shared" si="8"/>
        <v>Latitude 825</v>
      </c>
      <c r="B184" s="86">
        <v>8.25</v>
      </c>
      <c r="C184" s="70">
        <v>25</v>
      </c>
      <c r="D184" s="70">
        <v>0.82</v>
      </c>
      <c r="E184" s="70">
        <v>0.88</v>
      </c>
      <c r="F184" s="70">
        <v>0.96</v>
      </c>
      <c r="G184" s="70">
        <v>1.04</v>
      </c>
      <c r="H184" s="70">
        <v>1.0900000000000001</v>
      </c>
      <c r="I184" s="70">
        <v>1.1000000000000001</v>
      </c>
      <c r="J184" s="70">
        <v>1.08</v>
      </c>
      <c r="K184" s="70">
        <v>1.03</v>
      </c>
      <c r="L184" s="70">
        <v>0.96</v>
      </c>
      <c r="M184" s="70">
        <v>0.89</v>
      </c>
      <c r="N184" s="70">
        <v>0.83</v>
      </c>
      <c r="O184" s="70">
        <v>0.8</v>
      </c>
      <c r="P184" s="71">
        <v>0.96</v>
      </c>
      <c r="Q184" s="64"/>
      <c r="R184" s="64"/>
      <c r="S184" s="64"/>
      <c r="T184" s="64"/>
      <c r="U184" s="64"/>
      <c r="V184" s="64"/>
      <c r="W184" s="64"/>
      <c r="X184" s="64"/>
      <c r="Y184" s="64"/>
      <c r="Z184" s="64"/>
    </row>
    <row r="185" spans="1:26" thickBot="1">
      <c r="A185" s="66" t="str">
        <f t="shared" si="8"/>
        <v>Latitude 830</v>
      </c>
      <c r="B185" s="86">
        <v>8.3000000000000007</v>
      </c>
      <c r="C185" s="70">
        <v>30</v>
      </c>
      <c r="D185" s="70">
        <v>0.77</v>
      </c>
      <c r="E185" s="70">
        <v>0.84</v>
      </c>
      <c r="F185" s="70">
        <v>0.94</v>
      </c>
      <c r="G185" s="70">
        <v>1.03</v>
      </c>
      <c r="H185" s="70">
        <v>1.0900000000000001</v>
      </c>
      <c r="I185" s="70">
        <v>1.1000000000000001</v>
      </c>
      <c r="J185" s="70">
        <v>1.07</v>
      </c>
      <c r="K185" s="70">
        <v>1.02</v>
      </c>
      <c r="L185" s="70">
        <v>0.94</v>
      </c>
      <c r="M185" s="70">
        <v>0.85</v>
      </c>
      <c r="N185" s="70">
        <v>0.77</v>
      </c>
      <c r="O185" s="70">
        <v>0.74</v>
      </c>
      <c r="P185" s="71">
        <v>0.93</v>
      </c>
      <c r="Q185" s="64"/>
      <c r="R185" s="64"/>
      <c r="S185" s="64"/>
      <c r="T185" s="64"/>
      <c r="U185" s="64"/>
      <c r="V185" s="64"/>
      <c r="W185" s="64"/>
      <c r="X185" s="64"/>
      <c r="Y185" s="64"/>
      <c r="Z185" s="64"/>
    </row>
    <row r="186" spans="1:26" thickBot="1">
      <c r="A186" s="66" t="str">
        <f t="shared" si="8"/>
        <v>Latitude 835</v>
      </c>
      <c r="B186" s="86">
        <v>8.35</v>
      </c>
      <c r="C186" s="70">
        <v>35</v>
      </c>
      <c r="D186" s="70">
        <v>0.71</v>
      </c>
      <c r="E186" s="70">
        <v>0.79</v>
      </c>
      <c r="F186" s="70">
        <v>0.9</v>
      </c>
      <c r="G186" s="70">
        <v>1.01</v>
      </c>
      <c r="H186" s="70">
        <v>1.08</v>
      </c>
      <c r="I186" s="70">
        <v>1.1000000000000001</v>
      </c>
      <c r="J186" s="70">
        <v>1.06</v>
      </c>
      <c r="K186" s="70">
        <v>1</v>
      </c>
      <c r="L186" s="70">
        <v>0.9</v>
      </c>
      <c r="M186" s="70">
        <v>0.8</v>
      </c>
      <c r="N186" s="70">
        <v>0.72</v>
      </c>
      <c r="O186" s="70">
        <v>0.68</v>
      </c>
      <c r="P186" s="71">
        <v>0.9</v>
      </c>
      <c r="Q186" s="64"/>
      <c r="R186" s="64"/>
      <c r="S186" s="64"/>
      <c r="T186" s="64"/>
      <c r="U186" s="64"/>
      <c r="V186" s="64"/>
      <c r="W186" s="64"/>
      <c r="X186" s="64"/>
      <c r="Y186" s="64"/>
      <c r="Z186" s="64"/>
    </row>
    <row r="187" spans="1:26" thickBot="1">
      <c r="A187" s="66" t="str">
        <f t="shared" si="8"/>
        <v>Latitude 840</v>
      </c>
      <c r="B187" s="86">
        <v>8.4</v>
      </c>
      <c r="C187" s="70">
        <v>40</v>
      </c>
      <c r="D187" s="70">
        <v>0.64</v>
      </c>
      <c r="E187" s="70">
        <v>0.74</v>
      </c>
      <c r="F187" s="70">
        <v>0.86</v>
      </c>
      <c r="G187" s="70">
        <v>0.98</v>
      </c>
      <c r="H187" s="70">
        <v>1.07</v>
      </c>
      <c r="I187" s="70">
        <v>1.08</v>
      </c>
      <c r="J187" s="70">
        <v>1.04</v>
      </c>
      <c r="K187" s="70">
        <v>0.97</v>
      </c>
      <c r="L187" s="70">
        <v>0.86</v>
      </c>
      <c r="M187" s="70">
        <v>0.75</v>
      </c>
      <c r="N187" s="70">
        <v>0.65</v>
      </c>
      <c r="O187" s="70">
        <v>0.61</v>
      </c>
      <c r="P187" s="71">
        <v>0.85</v>
      </c>
      <c r="Q187" s="64"/>
      <c r="R187" s="64"/>
      <c r="S187" s="64"/>
      <c r="T187" s="64"/>
      <c r="U187" s="64"/>
      <c r="V187" s="64"/>
      <c r="W187" s="64"/>
      <c r="X187" s="64"/>
      <c r="Y187" s="64"/>
      <c r="Z187" s="64"/>
    </row>
    <row r="188" spans="1:26" thickBot="1">
      <c r="A188" s="66" t="str">
        <f t="shared" si="8"/>
        <v>Latitude 845</v>
      </c>
      <c r="B188" s="86">
        <v>8.4499999999999993</v>
      </c>
      <c r="C188" s="70">
        <v>45</v>
      </c>
      <c r="D188" s="70">
        <v>0.57999999999999996</v>
      </c>
      <c r="E188" s="70">
        <v>0.68</v>
      </c>
      <c r="F188" s="70">
        <v>0.82</v>
      </c>
      <c r="G188" s="70">
        <v>0.95</v>
      </c>
      <c r="H188" s="70">
        <v>1.04</v>
      </c>
      <c r="I188" s="70">
        <v>1.06</v>
      </c>
      <c r="J188" s="70">
        <v>1.02</v>
      </c>
      <c r="K188" s="70">
        <v>0.94</v>
      </c>
      <c r="L188" s="70">
        <v>0.82</v>
      </c>
      <c r="M188" s="70">
        <v>0.69</v>
      </c>
      <c r="N188" s="70">
        <v>0.59</v>
      </c>
      <c r="O188" s="70">
        <v>0.54</v>
      </c>
      <c r="P188" s="71">
        <v>0.81</v>
      </c>
      <c r="Q188" s="64"/>
      <c r="R188" s="64"/>
      <c r="S188" s="64"/>
      <c r="T188" s="64"/>
      <c r="U188" s="64"/>
      <c r="V188" s="64"/>
      <c r="W188" s="64"/>
      <c r="X188" s="64"/>
      <c r="Y188" s="64"/>
      <c r="Z188" s="64"/>
    </row>
    <row r="189" spans="1:26" thickBot="1">
      <c r="A189" s="66" t="str">
        <f t="shared" si="8"/>
        <v>Latitude 850</v>
      </c>
      <c r="B189" s="86">
        <v>8.5</v>
      </c>
      <c r="C189" s="70">
        <v>50</v>
      </c>
      <c r="D189" s="70">
        <v>0.5</v>
      </c>
      <c r="E189" s="70">
        <v>0.61</v>
      </c>
      <c r="F189" s="70">
        <v>0.76</v>
      </c>
      <c r="G189" s="70">
        <v>0.91</v>
      </c>
      <c r="H189" s="70">
        <v>1.01</v>
      </c>
      <c r="I189" s="70">
        <v>1.03</v>
      </c>
      <c r="J189" s="70">
        <v>0.99</v>
      </c>
      <c r="K189" s="70">
        <v>0.9</v>
      </c>
      <c r="L189" s="70">
        <v>0.77</v>
      </c>
      <c r="M189" s="70">
        <v>0.63</v>
      </c>
      <c r="N189" s="70">
        <v>0.51</v>
      </c>
      <c r="O189" s="70">
        <v>0.47</v>
      </c>
      <c r="P189" s="71">
        <v>0.76</v>
      </c>
      <c r="Q189" s="64"/>
      <c r="R189" s="64"/>
      <c r="S189" s="64"/>
      <c r="T189" s="64"/>
      <c r="U189" s="64"/>
      <c r="V189" s="64"/>
      <c r="W189" s="64"/>
      <c r="X189" s="64"/>
      <c r="Y189" s="64"/>
      <c r="Z189" s="64"/>
    </row>
    <row r="190" spans="1:26" thickBot="1">
      <c r="A190" s="66" t="str">
        <f t="shared" si="8"/>
        <v>Latitude 855</v>
      </c>
      <c r="B190" s="86">
        <v>8.5500000000000007</v>
      </c>
      <c r="C190" s="70">
        <v>55</v>
      </c>
      <c r="D190" s="70">
        <v>0.43</v>
      </c>
      <c r="E190" s="70">
        <v>0.55000000000000004</v>
      </c>
      <c r="F190" s="70">
        <v>0.71</v>
      </c>
      <c r="G190" s="70">
        <v>0.87</v>
      </c>
      <c r="H190" s="70">
        <v>0.98</v>
      </c>
      <c r="I190" s="70">
        <v>1</v>
      </c>
      <c r="J190" s="70">
        <v>0.95</v>
      </c>
      <c r="K190" s="70">
        <v>0.85</v>
      </c>
      <c r="L190" s="70">
        <v>0.72</v>
      </c>
      <c r="M190" s="70">
        <v>0.56000000000000005</v>
      </c>
      <c r="N190" s="70">
        <v>0.44</v>
      </c>
      <c r="O190" s="70">
        <v>0.39</v>
      </c>
      <c r="P190" s="71">
        <v>0.7</v>
      </c>
      <c r="Q190" s="64"/>
      <c r="R190" s="64"/>
      <c r="S190" s="64"/>
      <c r="T190" s="64"/>
      <c r="U190" s="64"/>
      <c r="V190" s="64"/>
      <c r="W190" s="64"/>
      <c r="X190" s="64"/>
      <c r="Y190" s="64"/>
      <c r="Z190" s="64"/>
    </row>
    <row r="191" spans="1:26" thickBot="1">
      <c r="A191" s="66" t="str">
        <f t="shared" si="8"/>
        <v>Latitude 860</v>
      </c>
      <c r="B191" s="86">
        <v>8.6</v>
      </c>
      <c r="C191" s="70">
        <v>60</v>
      </c>
      <c r="D191" s="70">
        <v>0.35</v>
      </c>
      <c r="E191" s="70">
        <v>0.48</v>
      </c>
      <c r="F191" s="70">
        <v>0.65</v>
      </c>
      <c r="G191" s="70">
        <v>0.82</v>
      </c>
      <c r="H191" s="70">
        <v>0.93</v>
      </c>
      <c r="I191" s="70">
        <v>0.96</v>
      </c>
      <c r="J191" s="70">
        <v>0.91</v>
      </c>
      <c r="K191" s="70">
        <v>0.81</v>
      </c>
      <c r="L191" s="70">
        <v>0.66</v>
      </c>
      <c r="M191" s="70">
        <v>0.49</v>
      </c>
      <c r="N191" s="70">
        <v>0.36</v>
      </c>
      <c r="O191" s="70">
        <v>0.31</v>
      </c>
      <c r="P191" s="71">
        <v>0.64</v>
      </c>
      <c r="Q191" s="64"/>
      <c r="R191" s="64"/>
      <c r="S191" s="64"/>
      <c r="T191" s="64"/>
      <c r="U191" s="64"/>
      <c r="V191" s="64"/>
      <c r="W191" s="64"/>
      <c r="X191" s="64"/>
      <c r="Y191" s="64"/>
      <c r="Z191" s="64"/>
    </row>
    <row r="192" spans="1:26" thickBot="1">
      <c r="A192" s="66" t="str">
        <f t="shared" si="8"/>
        <v>Latitude 865</v>
      </c>
      <c r="B192" s="86">
        <v>8.65</v>
      </c>
      <c r="C192" s="70">
        <v>65</v>
      </c>
      <c r="D192" s="70">
        <v>0.27</v>
      </c>
      <c r="E192" s="70">
        <v>0.4</v>
      </c>
      <c r="F192" s="70">
        <v>0.57999999999999996</v>
      </c>
      <c r="G192" s="70">
        <v>0.76</v>
      </c>
      <c r="H192" s="70">
        <v>0.88</v>
      </c>
      <c r="I192" s="70">
        <v>0.91</v>
      </c>
      <c r="J192" s="70">
        <v>0.86</v>
      </c>
      <c r="K192" s="70">
        <v>0.75</v>
      </c>
      <c r="L192" s="70">
        <v>0.59</v>
      </c>
      <c r="M192" s="70">
        <v>0.42</v>
      </c>
      <c r="N192" s="70">
        <v>0.28999999999999998</v>
      </c>
      <c r="O192" s="70">
        <v>0.23</v>
      </c>
      <c r="P192" s="71">
        <v>0.57999999999999996</v>
      </c>
      <c r="Q192" s="64"/>
      <c r="R192" s="64"/>
      <c r="S192" s="64"/>
      <c r="T192" s="64"/>
      <c r="U192" s="64"/>
      <c r="V192" s="64"/>
      <c r="W192" s="64"/>
      <c r="X192" s="64"/>
      <c r="Y192" s="64"/>
      <c r="Z192" s="64"/>
    </row>
    <row r="193" spans="1:26" thickBot="1">
      <c r="A193" s="66" t="str">
        <f t="shared" si="8"/>
        <v>Latitude 870</v>
      </c>
      <c r="B193" s="86">
        <v>8.6999999999999993</v>
      </c>
      <c r="C193" s="70">
        <v>70</v>
      </c>
      <c r="D193" s="70">
        <v>0.19</v>
      </c>
      <c r="E193" s="70">
        <v>0.33</v>
      </c>
      <c r="F193" s="70">
        <v>0.51</v>
      </c>
      <c r="G193" s="70">
        <v>0.7</v>
      </c>
      <c r="H193" s="70">
        <v>0.83</v>
      </c>
      <c r="I193" s="70">
        <v>0.86</v>
      </c>
      <c r="J193" s="70">
        <v>0.81</v>
      </c>
      <c r="K193" s="70">
        <v>0.69</v>
      </c>
      <c r="L193" s="70">
        <v>0.53</v>
      </c>
      <c r="M193" s="70">
        <v>0.35</v>
      </c>
      <c r="N193" s="70">
        <v>0.21</v>
      </c>
      <c r="O193" s="70">
        <v>0.14000000000000001</v>
      </c>
      <c r="P193" s="71">
        <v>0.51</v>
      </c>
      <c r="Q193" s="64"/>
      <c r="R193" s="64"/>
      <c r="S193" s="64"/>
      <c r="T193" s="64"/>
      <c r="U193" s="64"/>
      <c r="V193" s="64"/>
      <c r="W193" s="64"/>
      <c r="X193" s="64"/>
      <c r="Y193" s="64"/>
      <c r="Z193" s="64"/>
    </row>
    <row r="194" spans="1:26" thickBot="1">
      <c r="A194" s="66" t="str">
        <f t="shared" si="8"/>
        <v>Latitude 875</v>
      </c>
      <c r="B194" s="86">
        <v>8.75</v>
      </c>
      <c r="C194" s="70">
        <v>75</v>
      </c>
      <c r="D194" s="70">
        <v>0.11</v>
      </c>
      <c r="E194" s="70">
        <v>0.25</v>
      </c>
      <c r="F194" s="70">
        <v>0.44</v>
      </c>
      <c r="G194" s="70">
        <v>0.63</v>
      </c>
      <c r="H194" s="70">
        <v>0.77</v>
      </c>
      <c r="I194" s="70">
        <v>0.81</v>
      </c>
      <c r="J194" s="70">
        <v>0.75</v>
      </c>
      <c r="K194" s="70">
        <v>0.63</v>
      </c>
      <c r="L194" s="70">
        <v>0.46</v>
      </c>
      <c r="M194" s="70">
        <v>0.27</v>
      </c>
      <c r="N194" s="70">
        <v>0.12</v>
      </c>
      <c r="O194" s="70">
        <v>0.11</v>
      </c>
      <c r="P194" s="71">
        <v>0.45</v>
      </c>
      <c r="Q194" s="64"/>
      <c r="R194" s="64"/>
      <c r="S194" s="64"/>
      <c r="T194" s="64"/>
      <c r="U194" s="64"/>
      <c r="V194" s="64"/>
      <c r="W194" s="64"/>
      <c r="X194" s="64"/>
      <c r="Y194" s="64"/>
      <c r="Z194" s="64"/>
    </row>
    <row r="195" spans="1:26" thickBot="1">
      <c r="A195" s="66" t="str">
        <f t="shared" si="8"/>
        <v>Latitude 880</v>
      </c>
      <c r="B195" s="86">
        <v>8.8000000000000007</v>
      </c>
      <c r="C195" s="70">
        <v>80</v>
      </c>
      <c r="D195" s="70">
        <v>0.1</v>
      </c>
      <c r="E195" s="70">
        <v>0.17</v>
      </c>
      <c r="F195" s="70">
        <v>0.36</v>
      </c>
      <c r="G195" s="70">
        <v>0.56000000000000005</v>
      </c>
      <c r="H195" s="70">
        <v>0.7</v>
      </c>
      <c r="I195" s="70">
        <v>0.74</v>
      </c>
      <c r="J195" s="70">
        <v>0.69</v>
      </c>
      <c r="K195" s="70">
        <v>0.56999999999999995</v>
      </c>
      <c r="L195" s="70">
        <v>0.39</v>
      </c>
      <c r="M195" s="70">
        <v>0.2</v>
      </c>
      <c r="N195" s="70">
        <v>0.11</v>
      </c>
      <c r="O195" s="70">
        <v>0.1</v>
      </c>
      <c r="P195" s="71">
        <v>0.39</v>
      </c>
      <c r="Q195" s="64"/>
      <c r="R195" s="64"/>
      <c r="S195" s="64"/>
      <c r="T195" s="64"/>
      <c r="U195" s="64"/>
      <c r="V195" s="64"/>
      <c r="W195" s="64"/>
      <c r="X195" s="64"/>
      <c r="Y195" s="64"/>
      <c r="Z195" s="64"/>
    </row>
    <row r="196" spans="1:26" thickBot="1">
      <c r="A196" s="66" t="str">
        <f t="shared" si="8"/>
        <v>Latitude 885</v>
      </c>
      <c r="B196" s="86">
        <v>8.85</v>
      </c>
      <c r="C196" s="70">
        <v>85</v>
      </c>
      <c r="D196" s="70">
        <v>0.09</v>
      </c>
      <c r="E196" s="70">
        <v>0.09</v>
      </c>
      <c r="F196" s="70">
        <v>0.28999999999999998</v>
      </c>
      <c r="G196" s="70">
        <v>0.49</v>
      </c>
      <c r="H196" s="70">
        <v>0.64</v>
      </c>
      <c r="I196" s="70">
        <v>0.68</v>
      </c>
      <c r="J196" s="70">
        <v>0.62</v>
      </c>
      <c r="K196" s="70">
        <v>0.5</v>
      </c>
      <c r="L196" s="70">
        <v>0.32</v>
      </c>
      <c r="M196" s="70">
        <v>0.12</v>
      </c>
      <c r="N196" s="70">
        <v>0.1</v>
      </c>
      <c r="O196" s="70">
        <v>0.09</v>
      </c>
      <c r="P196" s="71">
        <v>0.34</v>
      </c>
      <c r="Q196" s="64"/>
      <c r="R196" s="64"/>
      <c r="S196" s="64"/>
      <c r="T196" s="64"/>
      <c r="U196" s="64"/>
      <c r="V196" s="64"/>
      <c r="W196" s="64"/>
      <c r="X196" s="64"/>
      <c r="Y196" s="64"/>
      <c r="Z196" s="64"/>
    </row>
    <row r="197" spans="1:26" thickBot="1">
      <c r="A197" s="66" t="str">
        <f t="shared" si="8"/>
        <v>Latitude 890</v>
      </c>
      <c r="B197" s="86">
        <v>8.9</v>
      </c>
      <c r="C197" s="70">
        <v>90</v>
      </c>
      <c r="D197" s="70">
        <v>0.08</v>
      </c>
      <c r="E197" s="70">
        <v>0.08</v>
      </c>
      <c r="F197" s="70">
        <v>0.21</v>
      </c>
      <c r="G197" s="70">
        <v>0.41</v>
      </c>
      <c r="H197" s="70">
        <v>0.56000000000000005</v>
      </c>
      <c r="I197" s="70">
        <v>0.61</v>
      </c>
      <c r="J197" s="70">
        <v>0.56000000000000005</v>
      </c>
      <c r="K197" s="70">
        <v>0.43</v>
      </c>
      <c r="L197" s="70">
        <v>0.24</v>
      </c>
      <c r="M197" s="70">
        <v>0.11</v>
      </c>
      <c r="N197" s="70">
        <v>0.09</v>
      </c>
      <c r="O197" s="70">
        <v>0.09</v>
      </c>
      <c r="P197" s="71">
        <v>0.28999999999999998</v>
      </c>
      <c r="Q197" s="64"/>
      <c r="R197" s="64"/>
      <c r="S197" s="64"/>
      <c r="T197" s="64"/>
      <c r="U197" s="64"/>
      <c r="V197" s="64"/>
      <c r="W197" s="64"/>
      <c r="X197" s="64"/>
      <c r="Y197" s="64"/>
      <c r="Z197" s="64"/>
    </row>
    <row r="198" spans="1:26" thickBot="1">
      <c r="A198" s="66"/>
      <c r="B198" s="87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66"/>
      <c r="Q198" s="64"/>
      <c r="R198" s="64"/>
      <c r="S198" s="64"/>
      <c r="T198" s="64"/>
      <c r="U198" s="64"/>
      <c r="V198" s="64"/>
      <c r="W198" s="64"/>
      <c r="X198" s="64"/>
      <c r="Y198" s="64"/>
      <c r="Z198" s="64"/>
    </row>
    <row r="199" spans="1:26" thickBot="1">
      <c r="A199" s="66"/>
      <c r="B199" s="67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66"/>
      <c r="Q199" s="64"/>
      <c r="R199" s="64"/>
      <c r="S199" s="64"/>
      <c r="T199" s="64"/>
      <c r="U199" s="64"/>
      <c r="V199" s="64"/>
      <c r="W199" s="64"/>
      <c r="X199" s="64"/>
      <c r="Y199" s="64"/>
      <c r="Z199" s="64"/>
    </row>
    <row r="200" spans="1:26" thickBot="1">
      <c r="A200" s="66"/>
      <c r="B200" s="85" t="s">
        <v>5873</v>
      </c>
      <c r="C200" s="75" t="s">
        <v>5853</v>
      </c>
      <c r="D200" s="75" t="s">
        <v>5827</v>
      </c>
      <c r="E200" s="75" t="s">
        <v>5828</v>
      </c>
      <c r="F200" s="75" t="s">
        <v>5829</v>
      </c>
      <c r="G200" s="75" t="s">
        <v>5830</v>
      </c>
      <c r="H200" s="75" t="s">
        <v>5831</v>
      </c>
      <c r="I200" s="75" t="s">
        <v>5832</v>
      </c>
      <c r="J200" s="75" t="s">
        <v>5833</v>
      </c>
      <c r="K200" s="75" t="s">
        <v>5834</v>
      </c>
      <c r="L200" s="75" t="s">
        <v>5835</v>
      </c>
      <c r="M200" s="75" t="s">
        <v>5836</v>
      </c>
      <c r="N200" s="75" t="s">
        <v>5837</v>
      </c>
      <c r="O200" s="75" t="s">
        <v>5838</v>
      </c>
      <c r="P200" s="74" t="s">
        <v>20</v>
      </c>
      <c r="Q200" s="64"/>
      <c r="R200" s="64"/>
      <c r="S200" s="64"/>
      <c r="T200" s="64"/>
      <c r="U200" s="64"/>
      <c r="V200" s="64"/>
      <c r="W200" s="64"/>
      <c r="X200" s="64"/>
      <c r="Y200" s="64"/>
      <c r="Z200" s="64"/>
    </row>
    <row r="201" spans="1:26" thickBot="1">
      <c r="A201" s="66" t="str">
        <f>$B$200&amp;C201</f>
        <v>Latitude 90</v>
      </c>
      <c r="B201" s="86">
        <v>9</v>
      </c>
      <c r="C201" s="70">
        <v>0</v>
      </c>
      <c r="D201" s="70">
        <v>1</v>
      </c>
      <c r="E201" s="70">
        <v>1</v>
      </c>
      <c r="F201" s="70">
        <v>1</v>
      </c>
      <c r="G201" s="70">
        <v>1</v>
      </c>
      <c r="H201" s="70">
        <v>1</v>
      </c>
      <c r="I201" s="70">
        <v>1</v>
      </c>
      <c r="J201" s="70">
        <v>1</v>
      </c>
      <c r="K201" s="70">
        <v>1</v>
      </c>
      <c r="L201" s="70">
        <v>1</v>
      </c>
      <c r="M201" s="70">
        <v>1</v>
      </c>
      <c r="N201" s="70">
        <v>1</v>
      </c>
      <c r="O201" s="70">
        <v>1</v>
      </c>
      <c r="P201" s="71">
        <v>1</v>
      </c>
      <c r="Q201" s="64"/>
      <c r="R201" s="64"/>
      <c r="S201" s="64"/>
      <c r="T201" s="64"/>
      <c r="U201" s="64"/>
      <c r="V201" s="64"/>
      <c r="W201" s="64"/>
      <c r="X201" s="64"/>
      <c r="Y201" s="64"/>
      <c r="Z201" s="64"/>
    </row>
    <row r="202" spans="1:26" thickBot="1">
      <c r="A202" s="66" t="str">
        <f t="shared" ref="A202:A219" si="9">$B$200&amp;C202</f>
        <v>Latitude 95</v>
      </c>
      <c r="B202" s="86">
        <v>9.5</v>
      </c>
      <c r="C202" s="70">
        <v>5</v>
      </c>
      <c r="D202" s="70">
        <v>0.98</v>
      </c>
      <c r="E202" s="70">
        <v>0.99</v>
      </c>
      <c r="F202" s="70">
        <v>1.01</v>
      </c>
      <c r="G202" s="70">
        <v>1.02</v>
      </c>
      <c r="H202" s="70">
        <v>1.03</v>
      </c>
      <c r="I202" s="70">
        <v>1.03</v>
      </c>
      <c r="J202" s="70">
        <v>1.03</v>
      </c>
      <c r="K202" s="70">
        <v>1.02</v>
      </c>
      <c r="L202" s="70">
        <v>1.01</v>
      </c>
      <c r="M202" s="70">
        <v>0.99</v>
      </c>
      <c r="N202" s="70">
        <v>0.98</v>
      </c>
      <c r="O202" s="70">
        <v>0.97</v>
      </c>
      <c r="P202" s="71">
        <v>1.01</v>
      </c>
      <c r="Q202" s="64"/>
      <c r="R202" s="64"/>
      <c r="S202" s="64"/>
      <c r="T202" s="64"/>
      <c r="U202" s="64"/>
      <c r="V202" s="64"/>
      <c r="W202" s="64"/>
      <c r="X202" s="64"/>
      <c r="Y202" s="64"/>
      <c r="Z202" s="64"/>
    </row>
    <row r="203" spans="1:26" thickBot="1">
      <c r="A203" s="66" t="str">
        <f t="shared" si="9"/>
        <v>Latitude 910</v>
      </c>
      <c r="B203" s="86">
        <v>9.1</v>
      </c>
      <c r="C203" s="70">
        <v>10</v>
      </c>
      <c r="D203" s="70">
        <v>0.95</v>
      </c>
      <c r="E203" s="70">
        <v>0.98</v>
      </c>
      <c r="F203" s="70">
        <v>1.01</v>
      </c>
      <c r="G203" s="70">
        <v>1.04</v>
      </c>
      <c r="H203" s="70">
        <v>1.06</v>
      </c>
      <c r="I203" s="70">
        <v>1.06</v>
      </c>
      <c r="J203" s="70">
        <v>1.05</v>
      </c>
      <c r="K203" s="70">
        <v>1.03</v>
      </c>
      <c r="L203" s="70">
        <v>1.01</v>
      </c>
      <c r="M203" s="70">
        <v>0.98</v>
      </c>
      <c r="N203" s="70">
        <v>0.95</v>
      </c>
      <c r="O203" s="70">
        <v>0.94</v>
      </c>
      <c r="P203" s="71">
        <v>1.01</v>
      </c>
      <c r="Q203" s="64"/>
      <c r="R203" s="64"/>
      <c r="S203" s="64"/>
      <c r="T203" s="64"/>
      <c r="U203" s="64"/>
      <c r="V203" s="64"/>
      <c r="W203" s="64"/>
      <c r="X203" s="64"/>
      <c r="Y203" s="64"/>
      <c r="Z203" s="64"/>
    </row>
    <row r="204" spans="1:26" thickBot="1">
      <c r="A204" s="66" t="str">
        <f t="shared" si="9"/>
        <v>Latitude 915</v>
      </c>
      <c r="B204" s="86">
        <v>9.15</v>
      </c>
      <c r="C204" s="70">
        <v>15</v>
      </c>
      <c r="D204" s="70">
        <v>0.92</v>
      </c>
      <c r="E204" s="70">
        <v>0.95</v>
      </c>
      <c r="F204" s="70">
        <v>1</v>
      </c>
      <c r="G204" s="70">
        <v>1.05</v>
      </c>
      <c r="H204" s="70">
        <v>1.08</v>
      </c>
      <c r="I204" s="70">
        <v>1.0900000000000001</v>
      </c>
      <c r="J204" s="70">
        <v>1.07</v>
      </c>
      <c r="K204" s="70">
        <v>1.04</v>
      </c>
      <c r="L204" s="70">
        <v>1</v>
      </c>
      <c r="M204" s="70">
        <v>0.96</v>
      </c>
      <c r="N204" s="70">
        <v>0.92</v>
      </c>
      <c r="O204" s="70">
        <v>0.9</v>
      </c>
      <c r="P204" s="71">
        <v>1</v>
      </c>
      <c r="Q204" s="64"/>
      <c r="R204" s="64"/>
      <c r="S204" s="64"/>
      <c r="T204" s="64"/>
      <c r="U204" s="64"/>
      <c r="V204" s="64"/>
      <c r="W204" s="64"/>
      <c r="X204" s="64"/>
      <c r="Y204" s="64"/>
      <c r="Z204" s="64"/>
    </row>
    <row r="205" spans="1:26" thickBot="1">
      <c r="A205" s="66" t="str">
        <f t="shared" si="9"/>
        <v>Latitude 920</v>
      </c>
      <c r="B205" s="86">
        <v>9.1999999999999993</v>
      </c>
      <c r="C205" s="70">
        <v>20</v>
      </c>
      <c r="D205" s="70">
        <v>0.88</v>
      </c>
      <c r="E205" s="70">
        <v>0.92</v>
      </c>
      <c r="F205" s="70">
        <v>0.99</v>
      </c>
      <c r="G205" s="70">
        <v>1.05</v>
      </c>
      <c r="H205" s="70">
        <v>1.0900000000000001</v>
      </c>
      <c r="I205" s="70">
        <v>1.1000000000000001</v>
      </c>
      <c r="J205" s="70">
        <v>1.08</v>
      </c>
      <c r="K205" s="70">
        <v>1.04</v>
      </c>
      <c r="L205" s="70">
        <v>0.99</v>
      </c>
      <c r="M205" s="70">
        <v>0.93</v>
      </c>
      <c r="N205" s="70">
        <v>0.88</v>
      </c>
      <c r="O205" s="70">
        <v>0.86</v>
      </c>
      <c r="P205" s="71">
        <v>0.98</v>
      </c>
      <c r="Q205" s="64"/>
      <c r="R205" s="64"/>
      <c r="S205" s="64"/>
      <c r="T205" s="64"/>
      <c r="U205" s="64"/>
      <c r="V205" s="64"/>
      <c r="W205" s="64"/>
      <c r="X205" s="64"/>
      <c r="Y205" s="64"/>
      <c r="Z205" s="64"/>
    </row>
    <row r="206" spans="1:26" thickBot="1">
      <c r="A206" s="66" t="str">
        <f t="shared" si="9"/>
        <v>Latitude 925</v>
      </c>
      <c r="B206" s="86">
        <v>9.25</v>
      </c>
      <c r="C206" s="70">
        <v>25</v>
      </c>
      <c r="D206" s="70">
        <v>0.83</v>
      </c>
      <c r="E206" s="70">
        <v>0.89</v>
      </c>
      <c r="F206" s="70">
        <v>0.97</v>
      </c>
      <c r="G206" s="70">
        <v>1.05</v>
      </c>
      <c r="H206" s="70">
        <v>1.1000000000000001</v>
      </c>
      <c r="I206" s="70">
        <v>1.1100000000000001</v>
      </c>
      <c r="J206" s="70">
        <v>1.08</v>
      </c>
      <c r="K206" s="70">
        <v>1.03</v>
      </c>
      <c r="L206" s="70">
        <v>0.97</v>
      </c>
      <c r="M206" s="70">
        <v>0.89</v>
      </c>
      <c r="N206" s="70">
        <v>0.83</v>
      </c>
      <c r="O206" s="70">
        <v>0.81</v>
      </c>
      <c r="P206" s="71">
        <v>0.96</v>
      </c>
      <c r="Q206" s="64"/>
      <c r="R206" s="64"/>
      <c r="S206" s="64"/>
      <c r="T206" s="64"/>
      <c r="U206" s="64"/>
      <c r="V206" s="64"/>
      <c r="W206" s="64"/>
      <c r="X206" s="64"/>
      <c r="Y206" s="64"/>
      <c r="Z206" s="64"/>
    </row>
    <row r="207" spans="1:26" thickBot="1">
      <c r="A207" s="66" t="str">
        <f t="shared" si="9"/>
        <v>Latitude 930</v>
      </c>
      <c r="B207" s="86">
        <v>9.3000000000000007</v>
      </c>
      <c r="C207" s="70">
        <v>30</v>
      </c>
      <c r="D207" s="70">
        <v>0.78</v>
      </c>
      <c r="E207" s="70">
        <v>0.85</v>
      </c>
      <c r="F207" s="70">
        <v>0.94</v>
      </c>
      <c r="G207" s="70">
        <v>1.04</v>
      </c>
      <c r="H207" s="70">
        <v>1.1000000000000001</v>
      </c>
      <c r="I207" s="70">
        <v>1.1100000000000001</v>
      </c>
      <c r="J207" s="70">
        <v>1.08</v>
      </c>
      <c r="K207" s="70">
        <v>1.02</v>
      </c>
      <c r="L207" s="70">
        <v>0.94</v>
      </c>
      <c r="M207" s="70">
        <v>0.85</v>
      </c>
      <c r="N207" s="70">
        <v>0.78</v>
      </c>
      <c r="O207" s="70">
        <v>0.75</v>
      </c>
      <c r="P207" s="71">
        <v>0.94</v>
      </c>
      <c r="Q207" s="64"/>
      <c r="R207" s="64"/>
      <c r="S207" s="64"/>
      <c r="T207" s="64"/>
      <c r="U207" s="64"/>
      <c r="V207" s="64"/>
      <c r="W207" s="64"/>
      <c r="X207" s="64"/>
      <c r="Y207" s="64"/>
      <c r="Z207" s="64"/>
    </row>
    <row r="208" spans="1:26" thickBot="1">
      <c r="A208" s="66" t="str">
        <f t="shared" si="9"/>
        <v>Latitude 935</v>
      </c>
      <c r="B208" s="86">
        <v>9.35</v>
      </c>
      <c r="C208" s="70">
        <v>35</v>
      </c>
      <c r="D208" s="70">
        <v>0.72</v>
      </c>
      <c r="E208" s="70">
        <v>0.8</v>
      </c>
      <c r="F208" s="70">
        <v>0.91</v>
      </c>
      <c r="G208" s="70">
        <v>1.02</v>
      </c>
      <c r="H208" s="70">
        <v>1.0900000000000001</v>
      </c>
      <c r="I208" s="70">
        <v>1.1000000000000001</v>
      </c>
      <c r="J208" s="70">
        <v>1.07</v>
      </c>
      <c r="K208" s="70">
        <v>1</v>
      </c>
      <c r="L208" s="70">
        <v>0.91</v>
      </c>
      <c r="M208" s="70">
        <v>0.81</v>
      </c>
      <c r="N208" s="70">
        <v>0.72</v>
      </c>
      <c r="O208" s="70">
        <v>0.69</v>
      </c>
      <c r="P208" s="71">
        <v>0.9</v>
      </c>
      <c r="Q208" s="64"/>
      <c r="R208" s="64"/>
      <c r="S208" s="64"/>
      <c r="T208" s="64"/>
      <c r="U208" s="64"/>
      <c r="V208" s="64"/>
      <c r="W208" s="64"/>
      <c r="X208" s="64"/>
      <c r="Y208" s="64"/>
      <c r="Z208" s="64"/>
    </row>
    <row r="209" spans="1:26" thickBot="1">
      <c r="A209" s="66" t="str">
        <f t="shared" si="9"/>
        <v>Latitude 940</v>
      </c>
      <c r="B209" s="86">
        <v>9.4</v>
      </c>
      <c r="C209" s="70">
        <v>40</v>
      </c>
      <c r="D209" s="70">
        <v>0.65</v>
      </c>
      <c r="E209" s="70">
        <v>0.75</v>
      </c>
      <c r="F209" s="70">
        <v>0.87</v>
      </c>
      <c r="G209" s="70">
        <v>0.99</v>
      </c>
      <c r="H209" s="70">
        <v>1.08</v>
      </c>
      <c r="I209" s="70">
        <v>1.0900000000000001</v>
      </c>
      <c r="J209" s="70">
        <v>1.05</v>
      </c>
      <c r="K209" s="70">
        <v>0.98</v>
      </c>
      <c r="L209" s="70">
        <v>0.87</v>
      </c>
      <c r="M209" s="70">
        <v>0.76</v>
      </c>
      <c r="N209" s="70">
        <v>0.66</v>
      </c>
      <c r="O209" s="70">
        <v>0.62</v>
      </c>
      <c r="P209" s="71">
        <v>0.86</v>
      </c>
      <c r="Q209" s="64"/>
      <c r="R209" s="64"/>
      <c r="S209" s="64"/>
      <c r="T209" s="64"/>
      <c r="U209" s="64"/>
      <c r="V209" s="64"/>
      <c r="W209" s="64"/>
      <c r="X209" s="64"/>
      <c r="Y209" s="64"/>
      <c r="Z209" s="64"/>
    </row>
    <row r="210" spans="1:26" thickBot="1">
      <c r="A210" s="66" t="str">
        <f t="shared" si="9"/>
        <v>Latitude 945</v>
      </c>
      <c r="B210" s="86">
        <v>9.4499999999999993</v>
      </c>
      <c r="C210" s="70">
        <v>45</v>
      </c>
      <c r="D210" s="70">
        <v>0.59</v>
      </c>
      <c r="E210" s="70">
        <v>0.69</v>
      </c>
      <c r="F210" s="70">
        <v>0.83</v>
      </c>
      <c r="G210" s="70">
        <v>0.96</v>
      </c>
      <c r="H210" s="70">
        <v>1.05</v>
      </c>
      <c r="I210" s="70">
        <v>1.07</v>
      </c>
      <c r="J210" s="70">
        <v>1.03</v>
      </c>
      <c r="K210" s="70">
        <v>0.95</v>
      </c>
      <c r="L210" s="70">
        <v>0.83</v>
      </c>
      <c r="M210" s="70">
        <v>0.7</v>
      </c>
      <c r="N210" s="70">
        <v>0.6</v>
      </c>
      <c r="O210" s="70">
        <v>0.55000000000000004</v>
      </c>
      <c r="P210" s="71">
        <v>0.82</v>
      </c>
      <c r="Q210" s="64"/>
      <c r="R210" s="64"/>
      <c r="S210" s="64"/>
      <c r="T210" s="64"/>
      <c r="U210" s="64"/>
      <c r="V210" s="64"/>
      <c r="W210" s="64"/>
      <c r="X210" s="64"/>
      <c r="Y210" s="64"/>
      <c r="Z210" s="64"/>
    </row>
    <row r="211" spans="1:26" thickBot="1">
      <c r="A211" s="66" t="str">
        <f t="shared" si="9"/>
        <v>Latitude 950</v>
      </c>
      <c r="B211" s="86">
        <v>9.5</v>
      </c>
      <c r="C211" s="70">
        <v>50</v>
      </c>
      <c r="D211" s="70">
        <v>0.52</v>
      </c>
      <c r="E211" s="70">
        <v>0.63</v>
      </c>
      <c r="F211" s="70">
        <v>0.77</v>
      </c>
      <c r="G211" s="70">
        <v>0.92</v>
      </c>
      <c r="H211" s="70">
        <v>1.02</v>
      </c>
      <c r="I211" s="70">
        <v>1.04</v>
      </c>
      <c r="J211" s="70">
        <v>1</v>
      </c>
      <c r="K211" s="70">
        <v>0.91</v>
      </c>
      <c r="L211" s="70">
        <v>0.78</v>
      </c>
      <c r="M211" s="70">
        <v>0.64</v>
      </c>
      <c r="N211" s="70">
        <v>0.53</v>
      </c>
      <c r="O211" s="70">
        <v>0.48</v>
      </c>
      <c r="P211" s="71">
        <v>0.77</v>
      </c>
      <c r="Q211" s="64"/>
      <c r="R211" s="64"/>
      <c r="S211" s="64"/>
      <c r="T211" s="64"/>
      <c r="U211" s="64"/>
      <c r="V211" s="64"/>
      <c r="W211" s="64"/>
      <c r="X211" s="64"/>
      <c r="Y211" s="64"/>
      <c r="Z211" s="64"/>
    </row>
    <row r="212" spans="1:26" thickBot="1">
      <c r="A212" s="66" t="str">
        <f t="shared" si="9"/>
        <v>Latitude 955</v>
      </c>
      <c r="B212" s="86">
        <v>9.5500000000000007</v>
      </c>
      <c r="C212" s="70">
        <v>55</v>
      </c>
      <c r="D212" s="70">
        <v>0.44</v>
      </c>
      <c r="E212" s="70">
        <v>0.54600000000000004</v>
      </c>
      <c r="F212" s="70">
        <v>0.72</v>
      </c>
      <c r="G212" s="70">
        <v>0.88</v>
      </c>
      <c r="H212" s="70">
        <v>0.99</v>
      </c>
      <c r="I212" s="70">
        <v>1.01</v>
      </c>
      <c r="J212" s="70">
        <v>0.96</v>
      </c>
      <c r="K212" s="70">
        <v>0.876</v>
      </c>
      <c r="L212" s="70">
        <v>0.73</v>
      </c>
      <c r="M212" s="70">
        <v>0.56999999999999995</v>
      </c>
      <c r="N212" s="70">
        <v>0.45</v>
      </c>
      <c r="O212" s="70">
        <v>0.4</v>
      </c>
      <c r="P212" s="71">
        <v>0.71</v>
      </c>
      <c r="Q212" s="64"/>
      <c r="R212" s="64"/>
      <c r="S212" s="64"/>
      <c r="T212" s="64"/>
      <c r="U212" s="64"/>
      <c r="V212" s="64"/>
      <c r="W212" s="64"/>
      <c r="X212" s="64"/>
      <c r="Y212" s="64"/>
      <c r="Z212" s="64"/>
    </row>
    <row r="213" spans="1:26" thickBot="1">
      <c r="A213" s="66" t="str">
        <f t="shared" si="9"/>
        <v>Latitude 960</v>
      </c>
      <c r="B213" s="86">
        <v>9.6</v>
      </c>
      <c r="C213" s="70">
        <v>60</v>
      </c>
      <c r="D213" s="70">
        <v>0.36</v>
      </c>
      <c r="E213" s="70">
        <v>0.49</v>
      </c>
      <c r="F213" s="70">
        <v>0.66</v>
      </c>
      <c r="G213" s="70">
        <v>0.83</v>
      </c>
      <c r="H213" s="70">
        <v>0.95</v>
      </c>
      <c r="I213" s="70">
        <v>0.97</v>
      </c>
      <c r="J213" s="70">
        <v>0.92</v>
      </c>
      <c r="K213" s="70">
        <v>0.82</v>
      </c>
      <c r="L213" s="70">
        <v>0.67</v>
      </c>
      <c r="M213" s="70">
        <v>0.51</v>
      </c>
      <c r="N213" s="70">
        <v>0.38</v>
      </c>
      <c r="O213" s="70">
        <v>0.32</v>
      </c>
      <c r="P213" s="71">
        <v>0.66</v>
      </c>
      <c r="Q213" s="64"/>
      <c r="R213" s="64"/>
      <c r="S213" s="64"/>
      <c r="T213" s="64"/>
      <c r="U213" s="64"/>
      <c r="V213" s="64"/>
      <c r="W213" s="64"/>
      <c r="X213" s="64"/>
      <c r="Y213" s="64"/>
      <c r="Z213" s="64"/>
    </row>
    <row r="214" spans="1:26" thickBot="1">
      <c r="A214" s="66" t="str">
        <f t="shared" si="9"/>
        <v>Latitude 965</v>
      </c>
      <c r="B214" s="86">
        <v>9.65</v>
      </c>
      <c r="C214" s="70">
        <v>65</v>
      </c>
      <c r="D214" s="70">
        <v>0.28999999999999998</v>
      </c>
      <c r="E214" s="70">
        <v>0.42</v>
      </c>
      <c r="F214" s="70">
        <v>0.59</v>
      </c>
      <c r="G214" s="70">
        <v>0.77</v>
      </c>
      <c r="H214" s="70">
        <v>0.9</v>
      </c>
      <c r="I214" s="70">
        <v>0.93</v>
      </c>
      <c r="J214" s="70">
        <v>0.87</v>
      </c>
      <c r="K214" s="70">
        <v>0.76</v>
      </c>
      <c r="L214" s="70">
        <v>0.61</v>
      </c>
      <c r="M214" s="70">
        <v>0.44</v>
      </c>
      <c r="N214" s="70">
        <v>0.3</v>
      </c>
      <c r="O214" s="70">
        <v>0.24</v>
      </c>
      <c r="P214" s="71">
        <v>0.59</v>
      </c>
      <c r="Q214" s="64"/>
      <c r="R214" s="64"/>
      <c r="S214" s="64"/>
      <c r="T214" s="64"/>
      <c r="U214" s="64"/>
      <c r="V214" s="64"/>
      <c r="W214" s="64"/>
      <c r="X214" s="64"/>
      <c r="Y214" s="64"/>
      <c r="Z214" s="64"/>
    </row>
    <row r="215" spans="1:26" thickBot="1">
      <c r="A215" s="66" t="str">
        <f t="shared" si="9"/>
        <v>Latitude 970</v>
      </c>
      <c r="B215" s="86">
        <v>9.6999999999999993</v>
      </c>
      <c r="C215" s="70">
        <v>70</v>
      </c>
      <c r="D215" s="70">
        <v>0.2</v>
      </c>
      <c r="E215" s="70">
        <v>0.34</v>
      </c>
      <c r="F215" s="70">
        <v>0.52</v>
      </c>
      <c r="G215" s="70">
        <v>0.71</v>
      </c>
      <c r="H215" s="70">
        <v>0.84</v>
      </c>
      <c r="I215" s="70">
        <v>0.88</v>
      </c>
      <c r="J215" s="70">
        <v>0.82</v>
      </c>
      <c r="K215" s="70">
        <v>0.71</v>
      </c>
      <c r="L215" s="70">
        <v>0.54</v>
      </c>
      <c r="M215" s="70">
        <v>0.36</v>
      </c>
      <c r="N215" s="70">
        <v>0.22</v>
      </c>
      <c r="O215" s="70">
        <v>0.16</v>
      </c>
      <c r="P215" s="71">
        <v>0.53</v>
      </c>
      <c r="Q215" s="64"/>
      <c r="R215" s="64"/>
      <c r="S215" s="64"/>
      <c r="T215" s="64"/>
      <c r="U215" s="64"/>
      <c r="V215" s="64"/>
      <c r="W215" s="64"/>
      <c r="X215" s="64"/>
      <c r="Y215" s="64"/>
      <c r="Z215" s="64"/>
    </row>
    <row r="216" spans="1:26" thickBot="1">
      <c r="A216" s="66" t="str">
        <f t="shared" si="9"/>
        <v>Latitude 975</v>
      </c>
      <c r="B216" s="86">
        <v>9.75</v>
      </c>
      <c r="C216" s="70">
        <v>75</v>
      </c>
      <c r="D216" s="70">
        <v>0.12</v>
      </c>
      <c r="E216" s="70">
        <v>0.26</v>
      </c>
      <c r="F216" s="70">
        <v>0.45</v>
      </c>
      <c r="G216" s="70">
        <v>0.65</v>
      </c>
      <c r="H216" s="70">
        <v>0.78</v>
      </c>
      <c r="I216" s="70">
        <v>0.82</v>
      </c>
      <c r="J216" s="70">
        <v>0.76</v>
      </c>
      <c r="K216" s="70">
        <v>0.64</v>
      </c>
      <c r="L216" s="70">
        <v>0.47</v>
      </c>
      <c r="M216" s="70">
        <v>0.28999999999999998</v>
      </c>
      <c r="N216" s="70">
        <v>0.14000000000000001</v>
      </c>
      <c r="O216" s="70">
        <v>0.11</v>
      </c>
      <c r="P216" s="71">
        <v>0.46</v>
      </c>
      <c r="Q216" s="64"/>
      <c r="R216" s="64"/>
      <c r="S216" s="64"/>
      <c r="T216" s="64"/>
      <c r="U216" s="64"/>
      <c r="V216" s="64"/>
      <c r="W216" s="64"/>
      <c r="X216" s="64"/>
      <c r="Y216" s="64"/>
      <c r="Z216" s="64"/>
    </row>
    <row r="217" spans="1:26" thickBot="1">
      <c r="A217" s="66" t="str">
        <f t="shared" si="9"/>
        <v>Latitude 980</v>
      </c>
      <c r="B217" s="86">
        <v>9.8000000000000007</v>
      </c>
      <c r="C217" s="70">
        <v>80</v>
      </c>
      <c r="D217" s="70">
        <v>0.1</v>
      </c>
      <c r="E217" s="70">
        <v>0.18</v>
      </c>
      <c r="F217" s="70">
        <v>0.38</v>
      </c>
      <c r="G217" s="70">
        <v>0.57999999999999996</v>
      </c>
      <c r="H217" s="70">
        <v>0.72</v>
      </c>
      <c r="I217" s="70">
        <v>0.76</v>
      </c>
      <c r="J217" s="70">
        <v>0.7</v>
      </c>
      <c r="K217" s="70">
        <v>0.57999999999999996</v>
      </c>
      <c r="L217" s="70">
        <v>0.4</v>
      </c>
      <c r="M217" s="70">
        <v>0.21</v>
      </c>
      <c r="N217" s="70">
        <v>0.11</v>
      </c>
      <c r="O217" s="70">
        <v>0.1</v>
      </c>
      <c r="P217" s="71">
        <v>0.4</v>
      </c>
      <c r="Q217" s="64"/>
      <c r="R217" s="64"/>
      <c r="S217" s="64"/>
      <c r="T217" s="64"/>
      <c r="U217" s="64"/>
      <c r="V217" s="64"/>
      <c r="W217" s="64"/>
      <c r="X217" s="64"/>
      <c r="Y217" s="64"/>
      <c r="Z217" s="64"/>
    </row>
    <row r="218" spans="1:26" thickBot="1">
      <c r="A218" s="66" t="str">
        <f t="shared" si="9"/>
        <v>Latitude 985</v>
      </c>
      <c r="B218" s="86">
        <v>9.85</v>
      </c>
      <c r="C218" s="70">
        <v>85</v>
      </c>
      <c r="D218" s="70">
        <v>0.09</v>
      </c>
      <c r="E218" s="70">
        <v>0.1</v>
      </c>
      <c r="F218" s="70">
        <v>0.3</v>
      </c>
      <c r="G218" s="70">
        <v>0.5</v>
      </c>
      <c r="H218" s="70">
        <v>0.65</v>
      </c>
      <c r="I218" s="70">
        <v>0.69</v>
      </c>
      <c r="J218" s="70">
        <v>0.64</v>
      </c>
      <c r="K218" s="70">
        <v>0.51</v>
      </c>
      <c r="L218" s="70">
        <v>0.33</v>
      </c>
      <c r="M218" s="70">
        <v>0.13</v>
      </c>
      <c r="N218" s="70">
        <v>0.1</v>
      </c>
      <c r="O218" s="70">
        <v>0.09</v>
      </c>
      <c r="P218" s="71">
        <v>0.34</v>
      </c>
      <c r="Q218" s="64"/>
      <c r="R218" s="64"/>
      <c r="S218" s="64"/>
      <c r="T218" s="64"/>
      <c r="U218" s="64"/>
      <c r="V218" s="64"/>
      <c r="W218" s="64"/>
      <c r="X218" s="64"/>
      <c r="Y218" s="64"/>
      <c r="Z218" s="64"/>
    </row>
    <row r="219" spans="1:26" thickBot="1">
      <c r="A219" s="66" t="str">
        <f t="shared" si="9"/>
        <v>Latitude 990</v>
      </c>
      <c r="B219" s="86">
        <v>9.9</v>
      </c>
      <c r="C219" s="70">
        <v>90</v>
      </c>
      <c r="D219" s="70">
        <v>0.08</v>
      </c>
      <c r="E219" s="70">
        <v>0.08</v>
      </c>
      <c r="F219" s="70">
        <v>0.22</v>
      </c>
      <c r="G219" s="70">
        <v>0.43</v>
      </c>
      <c r="H219" s="70">
        <v>0.57999999999999996</v>
      </c>
      <c r="I219" s="70">
        <v>0.62</v>
      </c>
      <c r="J219" s="70">
        <v>0.56999999999999995</v>
      </c>
      <c r="K219" s="70">
        <v>0.44</v>
      </c>
      <c r="L219" s="70">
        <v>0.25</v>
      </c>
      <c r="M219" s="70">
        <v>0.11</v>
      </c>
      <c r="N219" s="70">
        <v>0.09</v>
      </c>
      <c r="O219" s="70">
        <v>0.08</v>
      </c>
      <c r="P219" s="71">
        <v>0.3</v>
      </c>
      <c r="Q219" s="64"/>
      <c r="R219" s="64"/>
      <c r="S219" s="64"/>
      <c r="T219" s="64"/>
      <c r="U219" s="64"/>
      <c r="V219" s="64"/>
      <c r="W219" s="64"/>
      <c r="X219" s="64"/>
      <c r="Y219" s="64"/>
      <c r="Z219" s="64"/>
    </row>
    <row r="220" spans="1:26" thickBot="1">
      <c r="A220" s="66"/>
      <c r="B220" s="87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66"/>
      <c r="Q220" s="64"/>
      <c r="R220" s="64"/>
      <c r="S220" s="64"/>
      <c r="T220" s="64"/>
      <c r="U220" s="64"/>
      <c r="V220" s="64"/>
      <c r="W220" s="64"/>
      <c r="X220" s="64"/>
      <c r="Y220" s="64"/>
      <c r="Z220" s="64"/>
    </row>
    <row r="221" spans="1:26" thickBot="1">
      <c r="A221" s="66"/>
      <c r="B221" s="67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66"/>
      <c r="Q221" s="64"/>
      <c r="R221" s="64"/>
      <c r="S221" s="64"/>
      <c r="T221" s="64"/>
      <c r="U221" s="64"/>
      <c r="V221" s="64"/>
      <c r="W221" s="64"/>
      <c r="X221" s="64"/>
      <c r="Y221" s="64"/>
      <c r="Z221" s="64"/>
    </row>
    <row r="222" spans="1:26" thickBot="1">
      <c r="A222" s="66"/>
      <c r="B222" s="85" t="s">
        <v>5874</v>
      </c>
      <c r="C222" s="75" t="s">
        <v>5853</v>
      </c>
      <c r="D222" s="75" t="s">
        <v>5827</v>
      </c>
      <c r="E222" s="75" t="s">
        <v>5828</v>
      </c>
      <c r="F222" s="75" t="s">
        <v>5829</v>
      </c>
      <c r="G222" s="75" t="s">
        <v>5830</v>
      </c>
      <c r="H222" s="75" t="s">
        <v>5831</v>
      </c>
      <c r="I222" s="75" t="s">
        <v>5832</v>
      </c>
      <c r="J222" s="75" t="s">
        <v>5833</v>
      </c>
      <c r="K222" s="75" t="s">
        <v>5834</v>
      </c>
      <c r="L222" s="75" t="s">
        <v>5835</v>
      </c>
      <c r="M222" s="75" t="s">
        <v>5836</v>
      </c>
      <c r="N222" s="75" t="s">
        <v>5837</v>
      </c>
      <c r="O222" s="75" t="s">
        <v>5838</v>
      </c>
      <c r="P222" s="74" t="s">
        <v>20</v>
      </c>
      <c r="Q222" s="64"/>
      <c r="R222" s="64"/>
      <c r="S222" s="64"/>
      <c r="T222" s="64"/>
      <c r="U222" s="64"/>
      <c r="V222" s="64"/>
      <c r="W222" s="64"/>
      <c r="X222" s="64"/>
      <c r="Y222" s="64"/>
      <c r="Z222" s="64"/>
    </row>
    <row r="223" spans="1:26" thickBot="1">
      <c r="A223" s="66" t="str">
        <f>$B$222&amp;C223</f>
        <v>Latitude 100</v>
      </c>
      <c r="B223" s="86">
        <v>10</v>
      </c>
      <c r="C223" s="70">
        <v>0</v>
      </c>
      <c r="D223" s="70">
        <v>1</v>
      </c>
      <c r="E223" s="70">
        <v>1</v>
      </c>
      <c r="F223" s="70">
        <v>1</v>
      </c>
      <c r="G223" s="70">
        <v>1</v>
      </c>
      <c r="H223" s="70">
        <v>1</v>
      </c>
      <c r="I223" s="70">
        <v>1</v>
      </c>
      <c r="J223" s="70">
        <v>1</v>
      </c>
      <c r="K223" s="70">
        <v>1</v>
      </c>
      <c r="L223" s="70">
        <v>1</v>
      </c>
      <c r="M223" s="70">
        <v>1</v>
      </c>
      <c r="N223" s="70">
        <v>1</v>
      </c>
      <c r="O223" s="70">
        <v>1</v>
      </c>
      <c r="P223" s="71">
        <v>1</v>
      </c>
      <c r="Q223" s="64"/>
      <c r="R223" s="64"/>
      <c r="S223" s="64"/>
      <c r="T223" s="64"/>
      <c r="U223" s="64"/>
      <c r="V223" s="64"/>
      <c r="W223" s="64"/>
      <c r="X223" s="64"/>
      <c r="Y223" s="64"/>
      <c r="Z223" s="64"/>
    </row>
    <row r="224" spans="1:26" thickBot="1">
      <c r="A224" s="66" t="str">
        <f t="shared" ref="A224:A241" si="10">$B$222&amp;C224</f>
        <v>Latitude 105</v>
      </c>
      <c r="B224" s="86">
        <v>10.5</v>
      </c>
      <c r="C224" s="70">
        <v>5</v>
      </c>
      <c r="D224" s="70">
        <v>0.98</v>
      </c>
      <c r="E224" s="70">
        <v>0.99</v>
      </c>
      <c r="F224" s="70">
        <v>1.01</v>
      </c>
      <c r="G224" s="70">
        <v>1.03</v>
      </c>
      <c r="H224" s="70">
        <v>1.04</v>
      </c>
      <c r="I224" s="70">
        <v>1.04</v>
      </c>
      <c r="J224" s="70">
        <v>1.03</v>
      </c>
      <c r="K224" s="70">
        <v>1.02</v>
      </c>
      <c r="L224" s="70">
        <v>1.01</v>
      </c>
      <c r="M224" s="70">
        <v>0.99</v>
      </c>
      <c r="N224" s="70">
        <v>0.98</v>
      </c>
      <c r="O224" s="70">
        <v>0.98</v>
      </c>
      <c r="P224" s="71">
        <v>1.01</v>
      </c>
      <c r="Q224" s="64"/>
      <c r="R224" s="64"/>
      <c r="S224" s="64"/>
      <c r="T224" s="64"/>
      <c r="U224" s="64"/>
      <c r="V224" s="64"/>
      <c r="W224" s="64"/>
      <c r="X224" s="64"/>
      <c r="Y224" s="64"/>
      <c r="Z224" s="64"/>
    </row>
    <row r="225" spans="1:26" thickBot="1">
      <c r="A225" s="66" t="str">
        <f t="shared" si="10"/>
        <v>Latitude 1010</v>
      </c>
      <c r="B225" s="86">
        <v>10.1</v>
      </c>
      <c r="C225" s="70">
        <v>10</v>
      </c>
      <c r="D225" s="70">
        <v>0.95</v>
      </c>
      <c r="E225" s="70">
        <v>0.98</v>
      </c>
      <c r="F225" s="70">
        <v>1.01</v>
      </c>
      <c r="G225" s="70">
        <v>1.04</v>
      </c>
      <c r="H225" s="70">
        <v>1.06</v>
      </c>
      <c r="I225" s="70">
        <v>1.07</v>
      </c>
      <c r="J225" s="70">
        <v>1.05</v>
      </c>
      <c r="K225" s="70">
        <v>1.04</v>
      </c>
      <c r="L225" s="70">
        <v>1.01</v>
      </c>
      <c r="M225" s="70">
        <v>0.98</v>
      </c>
      <c r="N225" s="70">
        <v>0.95</v>
      </c>
      <c r="O225" s="70">
        <v>0.94</v>
      </c>
      <c r="P225" s="71">
        <v>1.01</v>
      </c>
      <c r="Q225" s="64"/>
      <c r="R225" s="64"/>
      <c r="S225" s="64"/>
      <c r="T225" s="64"/>
      <c r="U225" s="64"/>
      <c r="V225" s="64"/>
      <c r="W225" s="64"/>
      <c r="X225" s="64"/>
      <c r="Y225" s="64"/>
      <c r="Z225" s="64"/>
    </row>
    <row r="226" spans="1:26" thickBot="1">
      <c r="A226" s="66" t="str">
        <f t="shared" si="10"/>
        <v>Latitude 1015</v>
      </c>
      <c r="B226" s="86">
        <v>10.15</v>
      </c>
      <c r="C226" s="70">
        <v>15</v>
      </c>
      <c r="D226" s="70">
        <v>0.92</v>
      </c>
      <c r="E226" s="70">
        <v>0.96</v>
      </c>
      <c r="F226" s="70">
        <v>1.01</v>
      </c>
      <c r="G226" s="70">
        <v>1.05</v>
      </c>
      <c r="H226" s="70">
        <v>1.0900000000000001</v>
      </c>
      <c r="I226" s="70">
        <v>1.0900000000000001</v>
      </c>
      <c r="J226" s="70">
        <v>1.07</v>
      </c>
      <c r="K226" s="70">
        <v>1.04</v>
      </c>
      <c r="L226" s="70">
        <v>1</v>
      </c>
      <c r="M226" s="70">
        <v>0.96</v>
      </c>
      <c r="N226" s="70">
        <v>0.92</v>
      </c>
      <c r="O226" s="70">
        <v>0.91</v>
      </c>
      <c r="P226" s="71">
        <v>1</v>
      </c>
      <c r="Q226" s="64"/>
      <c r="R226" s="64"/>
      <c r="S226" s="64"/>
      <c r="T226" s="64"/>
      <c r="U226" s="64"/>
      <c r="V226" s="64"/>
      <c r="W226" s="64"/>
      <c r="X226" s="64"/>
      <c r="Y226" s="64"/>
      <c r="Z226" s="64"/>
    </row>
    <row r="227" spans="1:26" thickBot="1">
      <c r="A227" s="66" t="str">
        <f t="shared" si="10"/>
        <v>Latitude 1020</v>
      </c>
      <c r="B227" s="86">
        <v>10.199999999999999</v>
      </c>
      <c r="C227" s="70">
        <v>20</v>
      </c>
      <c r="D227" s="70">
        <v>0.88</v>
      </c>
      <c r="E227" s="70">
        <v>0.93</v>
      </c>
      <c r="F227" s="70">
        <v>0.99</v>
      </c>
      <c r="G227" s="70">
        <v>1.06</v>
      </c>
      <c r="H227" s="70">
        <v>1.1000000000000001</v>
      </c>
      <c r="I227" s="70">
        <v>1.1100000000000001</v>
      </c>
      <c r="J227" s="70">
        <v>1.08</v>
      </c>
      <c r="K227" s="70">
        <v>1.04</v>
      </c>
      <c r="L227" s="70">
        <v>0.99</v>
      </c>
      <c r="M227" s="70">
        <v>0.94</v>
      </c>
      <c r="N227" s="70">
        <v>0.88</v>
      </c>
      <c r="O227" s="70">
        <v>0.86</v>
      </c>
      <c r="P227" s="71">
        <v>0.99</v>
      </c>
      <c r="Q227" s="64"/>
      <c r="R227" s="64"/>
      <c r="S227" s="64"/>
      <c r="T227" s="64"/>
      <c r="U227" s="64"/>
      <c r="V227" s="64"/>
      <c r="W227" s="64"/>
      <c r="X227" s="64"/>
      <c r="Y227" s="64"/>
      <c r="Z227" s="64"/>
    </row>
    <row r="228" spans="1:26" thickBot="1">
      <c r="A228" s="66" t="str">
        <f t="shared" si="10"/>
        <v>Latitude 1025</v>
      </c>
      <c r="B228" s="86">
        <v>10.25</v>
      </c>
      <c r="C228" s="70">
        <v>25</v>
      </c>
      <c r="D228" s="70">
        <v>0.83</v>
      </c>
      <c r="E228" s="70">
        <v>0.89</v>
      </c>
      <c r="F228" s="70">
        <v>0.98</v>
      </c>
      <c r="G228" s="70">
        <v>1.06</v>
      </c>
      <c r="H228" s="70">
        <v>1.1100000000000001</v>
      </c>
      <c r="I228" s="70">
        <v>1.1100000000000001</v>
      </c>
      <c r="J228" s="70">
        <v>1.0900000000000001</v>
      </c>
      <c r="K228" s="70">
        <v>1.04</v>
      </c>
      <c r="L228" s="70">
        <v>0.97</v>
      </c>
      <c r="M228" s="70">
        <v>0.9</v>
      </c>
      <c r="N228" s="70">
        <v>0.84</v>
      </c>
      <c r="O228" s="70">
        <v>0.81</v>
      </c>
      <c r="P228" s="71">
        <v>0.97</v>
      </c>
      <c r="Q228" s="64"/>
      <c r="R228" s="64"/>
      <c r="S228" s="64"/>
      <c r="T228" s="64"/>
      <c r="U228" s="64"/>
      <c r="V228" s="64"/>
      <c r="W228" s="64"/>
      <c r="X228" s="64"/>
      <c r="Y228" s="64"/>
      <c r="Z228" s="64"/>
    </row>
    <row r="229" spans="1:26" thickBot="1">
      <c r="A229" s="66" t="str">
        <f t="shared" si="10"/>
        <v>Latitude 1030</v>
      </c>
      <c r="B229" s="86">
        <v>10.3</v>
      </c>
      <c r="C229" s="70">
        <v>30</v>
      </c>
      <c r="D229" s="70">
        <v>0.78</v>
      </c>
      <c r="E229" s="70">
        <v>0.85</v>
      </c>
      <c r="F229" s="70">
        <v>0.95</v>
      </c>
      <c r="G229" s="70">
        <v>1.05</v>
      </c>
      <c r="H229" s="70">
        <v>1.1100000000000001</v>
      </c>
      <c r="I229" s="70">
        <v>1.1200000000000001</v>
      </c>
      <c r="J229" s="70">
        <v>1.08</v>
      </c>
      <c r="K229" s="70">
        <v>1.03</v>
      </c>
      <c r="L229" s="70">
        <v>0.95</v>
      </c>
      <c r="M229" s="70">
        <v>0.87</v>
      </c>
      <c r="N229" s="70">
        <v>0.79</v>
      </c>
      <c r="O229" s="70">
        <v>0.76</v>
      </c>
      <c r="P229" s="71">
        <v>0.95</v>
      </c>
      <c r="Q229" s="64"/>
      <c r="R229" s="64"/>
      <c r="S229" s="64"/>
      <c r="T229" s="64"/>
      <c r="U229" s="64"/>
      <c r="V229" s="64"/>
      <c r="W229" s="64"/>
      <c r="X229" s="64"/>
      <c r="Y229" s="64"/>
      <c r="Z229" s="64"/>
    </row>
    <row r="230" spans="1:26" thickBot="1">
      <c r="A230" s="66" t="str">
        <f t="shared" si="10"/>
        <v>Latitude 1035</v>
      </c>
      <c r="B230" s="86">
        <v>10.35</v>
      </c>
      <c r="C230" s="70">
        <v>35</v>
      </c>
      <c r="D230" s="70">
        <v>0.73</v>
      </c>
      <c r="E230" s="70">
        <v>0.81</v>
      </c>
      <c r="F230" s="70">
        <v>0.92</v>
      </c>
      <c r="G230" s="70">
        <v>1.03</v>
      </c>
      <c r="H230" s="70">
        <v>1.1000000000000001</v>
      </c>
      <c r="I230" s="70">
        <v>1.1100000000000001</v>
      </c>
      <c r="J230" s="70">
        <v>1.08</v>
      </c>
      <c r="K230" s="70">
        <v>1.01</v>
      </c>
      <c r="L230" s="70">
        <v>0.92</v>
      </c>
      <c r="M230" s="70">
        <v>0.82</v>
      </c>
      <c r="N230" s="70">
        <v>0.73</v>
      </c>
      <c r="O230" s="70">
        <v>0.7</v>
      </c>
      <c r="P230" s="71">
        <v>0.91</v>
      </c>
      <c r="Q230" s="64"/>
      <c r="R230" s="64"/>
      <c r="S230" s="64"/>
      <c r="T230" s="64"/>
      <c r="U230" s="64"/>
      <c r="V230" s="64"/>
      <c r="W230" s="64"/>
      <c r="X230" s="64"/>
      <c r="Y230" s="64"/>
      <c r="Z230" s="64"/>
    </row>
    <row r="231" spans="1:26" thickBot="1">
      <c r="A231" s="66" t="str">
        <f t="shared" si="10"/>
        <v>Latitude 1040</v>
      </c>
      <c r="B231" s="86">
        <v>10.4</v>
      </c>
      <c r="C231" s="70">
        <v>40</v>
      </c>
      <c r="D231" s="70">
        <v>0.66</v>
      </c>
      <c r="E231" s="70">
        <v>0.76</v>
      </c>
      <c r="F231" s="70">
        <v>0.88</v>
      </c>
      <c r="G231" s="70">
        <v>1</v>
      </c>
      <c r="H231" s="70">
        <v>1.0900000000000001</v>
      </c>
      <c r="I231" s="70">
        <v>1.1000000000000001</v>
      </c>
      <c r="J231" s="70">
        <v>1.06</v>
      </c>
      <c r="K231" s="70">
        <v>0.99</v>
      </c>
      <c r="L231" s="70">
        <v>0.88</v>
      </c>
      <c r="M231" s="70">
        <v>0.77</v>
      </c>
      <c r="N231" s="70">
        <v>0.67</v>
      </c>
      <c r="O231" s="70">
        <v>0.63</v>
      </c>
      <c r="P231" s="71">
        <v>0.87</v>
      </c>
      <c r="Q231" s="64"/>
      <c r="R231" s="64"/>
      <c r="S231" s="64"/>
      <c r="T231" s="64"/>
      <c r="U231" s="64"/>
      <c r="V231" s="64"/>
      <c r="W231" s="64"/>
      <c r="X231" s="64"/>
      <c r="Y231" s="64"/>
      <c r="Z231" s="64"/>
    </row>
    <row r="232" spans="1:26" thickBot="1">
      <c r="A232" s="66" t="str">
        <f t="shared" si="10"/>
        <v>Latitude 1045</v>
      </c>
      <c r="B232" s="86">
        <v>10.45</v>
      </c>
      <c r="C232" s="70">
        <v>45</v>
      </c>
      <c r="D232" s="70">
        <v>0.6</v>
      </c>
      <c r="E232" s="70">
        <v>0.7</v>
      </c>
      <c r="F232" s="70">
        <v>0.84</v>
      </c>
      <c r="G232" s="70">
        <v>0.97</v>
      </c>
      <c r="H232" s="70">
        <v>1.07</v>
      </c>
      <c r="I232" s="70">
        <v>1.08</v>
      </c>
      <c r="J232" s="70">
        <v>1.04</v>
      </c>
      <c r="K232" s="70">
        <v>0.95</v>
      </c>
      <c r="L232" s="70">
        <v>0.84</v>
      </c>
      <c r="M232" s="70">
        <v>0.72</v>
      </c>
      <c r="N232" s="70">
        <v>0.61</v>
      </c>
      <c r="O232" s="70">
        <v>0.56000000000000005</v>
      </c>
      <c r="P232" s="71">
        <v>0.83</v>
      </c>
      <c r="Q232" s="64"/>
      <c r="R232" s="64"/>
      <c r="S232" s="64"/>
      <c r="T232" s="64"/>
      <c r="U232" s="64"/>
      <c r="V232" s="64"/>
      <c r="W232" s="64"/>
      <c r="X232" s="64"/>
      <c r="Y232" s="64"/>
      <c r="Z232" s="64"/>
    </row>
    <row r="233" spans="1:26" thickBot="1">
      <c r="A233" s="66" t="str">
        <f t="shared" si="10"/>
        <v>Latitude 1050</v>
      </c>
      <c r="B233" s="86">
        <v>10.5</v>
      </c>
      <c r="C233" s="70">
        <v>50</v>
      </c>
      <c r="D233" s="70">
        <v>0.53</v>
      </c>
      <c r="E233" s="70">
        <v>0.64</v>
      </c>
      <c r="F233" s="70">
        <v>0.79</v>
      </c>
      <c r="G233" s="70">
        <v>0.94</v>
      </c>
      <c r="H233" s="70">
        <v>1.04</v>
      </c>
      <c r="I233" s="70">
        <v>1.06</v>
      </c>
      <c r="J233" s="70">
        <v>1.01</v>
      </c>
      <c r="K233" s="70">
        <v>0.92</v>
      </c>
      <c r="L233" s="70">
        <v>0.79</v>
      </c>
      <c r="M233" s="70">
        <v>0.66</v>
      </c>
      <c r="N233" s="70">
        <v>0.54</v>
      </c>
      <c r="O233" s="70">
        <v>0.49</v>
      </c>
      <c r="P233" s="71">
        <v>0.78</v>
      </c>
      <c r="Q233" s="64"/>
      <c r="R233" s="64"/>
      <c r="S233" s="64"/>
      <c r="T233" s="64"/>
      <c r="U233" s="64"/>
      <c r="V233" s="64"/>
      <c r="W233" s="64"/>
      <c r="X233" s="64"/>
      <c r="Y233" s="64"/>
      <c r="Z233" s="64"/>
    </row>
    <row r="234" spans="1:26" thickBot="1">
      <c r="A234" s="66" t="str">
        <f t="shared" si="10"/>
        <v>Latitude 1055</v>
      </c>
      <c r="B234" s="86">
        <v>10.55</v>
      </c>
      <c r="C234" s="70">
        <v>55</v>
      </c>
      <c r="D234" s="70">
        <v>0.45</v>
      </c>
      <c r="E234" s="70">
        <v>0.56999999999999995</v>
      </c>
      <c r="F234" s="70">
        <v>0.73</v>
      </c>
      <c r="G234" s="70">
        <v>0.89</v>
      </c>
      <c r="H234" s="70">
        <v>1</v>
      </c>
      <c r="I234" s="70">
        <v>1.02</v>
      </c>
      <c r="J234" s="70">
        <v>0.97</v>
      </c>
      <c r="K234" s="70">
        <v>0.88</v>
      </c>
      <c r="L234" s="70">
        <v>0.74</v>
      </c>
      <c r="M234" s="70">
        <v>0.6</v>
      </c>
      <c r="N234" s="70">
        <v>0.46</v>
      </c>
      <c r="O234" s="70">
        <v>0.41</v>
      </c>
      <c r="P234" s="71">
        <v>0.73</v>
      </c>
      <c r="Q234" s="64"/>
      <c r="R234" s="64"/>
      <c r="S234" s="64"/>
      <c r="T234" s="64"/>
      <c r="U234" s="64"/>
      <c r="V234" s="64"/>
      <c r="W234" s="64"/>
      <c r="X234" s="64"/>
      <c r="Y234" s="64"/>
      <c r="Z234" s="64"/>
    </row>
    <row r="235" spans="1:26" thickBot="1">
      <c r="A235" s="66" t="str">
        <f t="shared" si="10"/>
        <v>Latitude 1060</v>
      </c>
      <c r="B235" s="86">
        <v>10.6</v>
      </c>
      <c r="C235" s="70">
        <v>60</v>
      </c>
      <c r="D235" s="70">
        <v>0.38</v>
      </c>
      <c r="E235" s="70">
        <v>0.5</v>
      </c>
      <c r="F235" s="70">
        <v>0.67</v>
      </c>
      <c r="G235" s="70">
        <v>0.84</v>
      </c>
      <c r="H235" s="70">
        <v>0.96</v>
      </c>
      <c r="I235" s="70">
        <v>0.99</v>
      </c>
      <c r="J235" s="70">
        <v>0.93</v>
      </c>
      <c r="K235" s="70">
        <v>0.83</v>
      </c>
      <c r="L235" s="70">
        <v>0.68</v>
      </c>
      <c r="M235" s="70">
        <v>0.53</v>
      </c>
      <c r="N235" s="70">
        <v>0.39</v>
      </c>
      <c r="O235" s="70">
        <v>0.34</v>
      </c>
      <c r="P235" s="71">
        <v>0.67</v>
      </c>
      <c r="Q235" s="64"/>
      <c r="R235" s="64"/>
      <c r="S235" s="64"/>
      <c r="T235" s="64"/>
      <c r="U235" s="64"/>
      <c r="V235" s="64"/>
      <c r="W235" s="64"/>
      <c r="X235" s="64"/>
      <c r="Y235" s="64"/>
      <c r="Z235" s="64"/>
    </row>
    <row r="236" spans="1:26" thickBot="1">
      <c r="A236" s="66" t="str">
        <f t="shared" si="10"/>
        <v>Latitude 1065</v>
      </c>
      <c r="B236" s="86">
        <v>10.65</v>
      </c>
      <c r="C236" s="70">
        <v>65</v>
      </c>
      <c r="D236" s="70">
        <v>0.3</v>
      </c>
      <c r="E236" s="70">
        <v>0.43</v>
      </c>
      <c r="F236" s="70">
        <v>0.61</v>
      </c>
      <c r="G236" s="70">
        <v>0.79</v>
      </c>
      <c r="H236" s="70">
        <v>0.91</v>
      </c>
      <c r="I236" s="70">
        <v>0.94</v>
      </c>
      <c r="J236" s="70">
        <v>0.89</v>
      </c>
      <c r="K236" s="70">
        <v>0.78</v>
      </c>
      <c r="L236" s="70">
        <v>0.62</v>
      </c>
      <c r="M236" s="70">
        <v>0.46</v>
      </c>
      <c r="N236" s="70">
        <v>0.31</v>
      </c>
      <c r="O236" s="70">
        <v>0.26</v>
      </c>
      <c r="P236" s="71">
        <v>0.61</v>
      </c>
      <c r="Q236" s="64"/>
      <c r="R236" s="64"/>
      <c r="S236" s="64"/>
      <c r="T236" s="64"/>
      <c r="U236" s="64"/>
      <c r="V236" s="64"/>
      <c r="W236" s="64"/>
      <c r="X236" s="64"/>
      <c r="Y236" s="64"/>
      <c r="Z236" s="64"/>
    </row>
    <row r="237" spans="1:26" thickBot="1">
      <c r="A237" s="66" t="str">
        <f t="shared" si="10"/>
        <v>Latitude 1070</v>
      </c>
      <c r="B237" s="86">
        <v>10.7</v>
      </c>
      <c r="C237" s="70">
        <v>70</v>
      </c>
      <c r="D237" s="70">
        <v>0.22</v>
      </c>
      <c r="E237" s="70">
        <v>0.35</v>
      </c>
      <c r="F237" s="70">
        <v>0.54</v>
      </c>
      <c r="G237" s="70">
        <v>0.73</v>
      </c>
      <c r="H237" s="70">
        <v>0.86</v>
      </c>
      <c r="I237" s="70">
        <v>0.89</v>
      </c>
      <c r="J237" s="70">
        <v>0.83</v>
      </c>
      <c r="K237" s="70">
        <v>0.72</v>
      </c>
      <c r="L237" s="70">
        <v>0.55000000000000004</v>
      </c>
      <c r="M237" s="70">
        <v>0.39</v>
      </c>
      <c r="N237" s="70">
        <v>0.23</v>
      </c>
      <c r="O237" s="70">
        <v>0.17</v>
      </c>
      <c r="P237" s="71">
        <v>0.54</v>
      </c>
      <c r="Q237" s="64"/>
      <c r="R237" s="64"/>
      <c r="S237" s="64"/>
      <c r="T237" s="64"/>
      <c r="U237" s="64"/>
      <c r="V237" s="64"/>
      <c r="W237" s="64"/>
      <c r="X237" s="64"/>
      <c r="Y237" s="64"/>
      <c r="Z237" s="64"/>
    </row>
    <row r="238" spans="1:26" thickBot="1">
      <c r="A238" s="66" t="str">
        <f t="shared" si="10"/>
        <v>Latitude 1075</v>
      </c>
      <c r="B238" s="86">
        <v>10.75</v>
      </c>
      <c r="C238" s="70">
        <v>75</v>
      </c>
      <c r="D238" s="70">
        <v>0.14000000000000001</v>
      </c>
      <c r="E238" s="70">
        <v>0.28000000000000003</v>
      </c>
      <c r="F238" s="70">
        <v>0.47</v>
      </c>
      <c r="G238" s="70">
        <v>0.66</v>
      </c>
      <c r="H238" s="70">
        <v>0.8</v>
      </c>
      <c r="I238" s="70">
        <v>0.84</v>
      </c>
      <c r="J238" s="70">
        <v>0.78</v>
      </c>
      <c r="K238" s="70">
        <v>0.66</v>
      </c>
      <c r="L238" s="70">
        <v>0.49</v>
      </c>
      <c r="M238" s="70">
        <v>0.31</v>
      </c>
      <c r="N238" s="70">
        <v>0.15</v>
      </c>
      <c r="O238" s="70">
        <v>0.11</v>
      </c>
      <c r="P238" s="71">
        <v>0.47</v>
      </c>
      <c r="Q238" s="64"/>
      <c r="R238" s="64"/>
      <c r="S238" s="64"/>
      <c r="T238" s="64"/>
      <c r="U238" s="64"/>
      <c r="V238" s="64"/>
      <c r="W238" s="64"/>
      <c r="X238" s="64"/>
      <c r="Y238" s="64"/>
      <c r="Z238" s="64"/>
    </row>
    <row r="239" spans="1:26" thickBot="1">
      <c r="A239" s="66" t="str">
        <f t="shared" si="10"/>
        <v>Latitude 1080</v>
      </c>
      <c r="B239" s="86">
        <v>10.8</v>
      </c>
      <c r="C239" s="70">
        <v>80</v>
      </c>
      <c r="D239" s="70">
        <v>0.09</v>
      </c>
      <c r="E239" s="70">
        <v>0.2</v>
      </c>
      <c r="F239" s="70">
        <v>0.39</v>
      </c>
      <c r="G239" s="70">
        <v>0.59</v>
      </c>
      <c r="H239" s="70">
        <v>0.74</v>
      </c>
      <c r="I239" s="70">
        <v>0.77</v>
      </c>
      <c r="J239" s="70">
        <v>0.72</v>
      </c>
      <c r="K239" s="70">
        <v>0.59</v>
      </c>
      <c r="L239" s="70">
        <v>0.41</v>
      </c>
      <c r="M239" s="70">
        <v>0.24</v>
      </c>
      <c r="N239" s="70">
        <v>0.11</v>
      </c>
      <c r="O239" s="70">
        <v>0.1</v>
      </c>
      <c r="P239" s="71">
        <v>0.41</v>
      </c>
      <c r="Q239" s="64"/>
      <c r="R239" s="64"/>
      <c r="S239" s="64"/>
      <c r="T239" s="64"/>
      <c r="U239" s="64"/>
      <c r="V239" s="64"/>
      <c r="W239" s="64"/>
      <c r="X239" s="64"/>
      <c r="Y239" s="64"/>
      <c r="Z239" s="64"/>
    </row>
    <row r="240" spans="1:26" thickBot="1">
      <c r="A240" s="66" t="str">
        <f t="shared" si="10"/>
        <v>Latitude 1085</v>
      </c>
      <c r="B240" s="86">
        <v>10.85</v>
      </c>
      <c r="C240" s="70">
        <v>85</v>
      </c>
      <c r="D240" s="70">
        <v>0.09</v>
      </c>
      <c r="E240" s="70">
        <v>0.12</v>
      </c>
      <c r="F240" s="70">
        <v>0.32</v>
      </c>
      <c r="G240" s="70">
        <v>0.52</v>
      </c>
      <c r="H240" s="70">
        <v>0.67</v>
      </c>
      <c r="I240" s="70">
        <v>0.71</v>
      </c>
      <c r="J240" s="70">
        <v>0.65</v>
      </c>
      <c r="K240" s="70">
        <v>0.52</v>
      </c>
      <c r="L240" s="70">
        <v>0.34</v>
      </c>
      <c r="M240" s="70">
        <v>0.16</v>
      </c>
      <c r="N240" s="70">
        <v>0.1</v>
      </c>
      <c r="O240" s="70">
        <v>0.09</v>
      </c>
      <c r="P240" s="71">
        <v>0.36</v>
      </c>
      <c r="Q240" s="64"/>
      <c r="R240" s="64"/>
      <c r="S240" s="64"/>
      <c r="T240" s="64"/>
      <c r="U240" s="64"/>
      <c r="V240" s="64"/>
      <c r="W240" s="64"/>
      <c r="X240" s="64"/>
      <c r="Y240" s="64"/>
      <c r="Z240" s="64"/>
    </row>
    <row r="241" spans="1:26" thickBot="1">
      <c r="A241" s="66" t="str">
        <f t="shared" si="10"/>
        <v>Latitude 1090</v>
      </c>
      <c r="B241" s="86">
        <v>10.9</v>
      </c>
      <c r="C241" s="70">
        <v>90</v>
      </c>
      <c r="D241" s="70">
        <v>0.08</v>
      </c>
      <c r="E241" s="70">
        <v>0.08</v>
      </c>
      <c r="F241" s="70">
        <v>0.24</v>
      </c>
      <c r="G241" s="70">
        <v>0.44</v>
      </c>
      <c r="H241" s="70">
        <v>0.6</v>
      </c>
      <c r="I241" s="70">
        <v>0.64</v>
      </c>
      <c r="J241" s="70">
        <v>0.57999999999999996</v>
      </c>
      <c r="K241" s="70">
        <v>0.45</v>
      </c>
      <c r="L241" s="70">
        <v>0.27</v>
      </c>
      <c r="M241" s="70">
        <v>0.11</v>
      </c>
      <c r="N241" s="70">
        <v>0.09</v>
      </c>
      <c r="O241" s="70">
        <v>0.08</v>
      </c>
      <c r="P241" s="71">
        <v>0.31</v>
      </c>
      <c r="Q241" s="64"/>
      <c r="R241" s="64"/>
      <c r="S241" s="64"/>
      <c r="T241" s="64"/>
      <c r="U241" s="64"/>
      <c r="V241" s="64"/>
      <c r="W241" s="64"/>
      <c r="X241" s="64"/>
      <c r="Y241" s="64"/>
      <c r="Z241" s="64"/>
    </row>
    <row r="242" spans="1:26" thickBot="1">
      <c r="A242" s="66"/>
      <c r="B242" s="88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66"/>
      <c r="Q242" s="64"/>
      <c r="R242" s="64"/>
      <c r="S242" s="64"/>
      <c r="T242" s="64"/>
      <c r="U242" s="64"/>
      <c r="V242" s="64"/>
      <c r="W242" s="64"/>
      <c r="X242" s="64"/>
      <c r="Y242" s="64"/>
      <c r="Z242" s="64"/>
    </row>
    <row r="243" spans="1:26" thickBot="1">
      <c r="A243" s="66"/>
      <c r="B243" s="88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66"/>
      <c r="Q243" s="64"/>
      <c r="R243" s="64"/>
      <c r="S243" s="64"/>
      <c r="T243" s="64"/>
      <c r="U243" s="64"/>
      <c r="V243" s="64"/>
      <c r="W243" s="64"/>
      <c r="X243" s="64"/>
      <c r="Y243" s="64"/>
      <c r="Z243" s="64"/>
    </row>
    <row r="244" spans="1:26" thickBot="1">
      <c r="A244" s="66"/>
      <c r="B244" s="85" t="s">
        <v>5875</v>
      </c>
      <c r="C244" s="75" t="s">
        <v>5853</v>
      </c>
      <c r="D244" s="75" t="s">
        <v>5827</v>
      </c>
      <c r="E244" s="75" t="s">
        <v>5828</v>
      </c>
      <c r="F244" s="75" t="s">
        <v>5829</v>
      </c>
      <c r="G244" s="75" t="s">
        <v>5830</v>
      </c>
      <c r="H244" s="75" t="s">
        <v>5831</v>
      </c>
      <c r="I244" s="75" t="s">
        <v>5832</v>
      </c>
      <c r="J244" s="75" t="s">
        <v>5833</v>
      </c>
      <c r="K244" s="75" t="s">
        <v>5834</v>
      </c>
      <c r="L244" s="75" t="s">
        <v>5835</v>
      </c>
      <c r="M244" s="75" t="s">
        <v>5836</v>
      </c>
      <c r="N244" s="75" t="s">
        <v>5837</v>
      </c>
      <c r="O244" s="75" t="s">
        <v>5838</v>
      </c>
      <c r="P244" s="74" t="s">
        <v>20</v>
      </c>
      <c r="Q244" s="64"/>
      <c r="R244" s="64"/>
      <c r="S244" s="64"/>
      <c r="T244" s="64"/>
      <c r="U244" s="64"/>
      <c r="V244" s="64"/>
      <c r="W244" s="64"/>
      <c r="X244" s="64"/>
      <c r="Y244" s="64"/>
      <c r="Z244" s="64"/>
    </row>
    <row r="245" spans="1:26" thickBot="1">
      <c r="A245" s="66" t="str">
        <f>$B$244&amp;C245</f>
        <v>Latitude 110</v>
      </c>
      <c r="B245" s="86">
        <v>11</v>
      </c>
      <c r="C245" s="70">
        <v>0</v>
      </c>
      <c r="D245" s="70">
        <v>1</v>
      </c>
      <c r="E245" s="70">
        <v>1</v>
      </c>
      <c r="F245" s="70">
        <v>1</v>
      </c>
      <c r="G245" s="70">
        <v>1</v>
      </c>
      <c r="H245" s="70">
        <v>1</v>
      </c>
      <c r="I245" s="70">
        <v>1</v>
      </c>
      <c r="J245" s="70">
        <v>1</v>
      </c>
      <c r="K245" s="70">
        <v>1</v>
      </c>
      <c r="L245" s="70">
        <v>1</v>
      </c>
      <c r="M245" s="70">
        <v>1</v>
      </c>
      <c r="N245" s="70">
        <v>1</v>
      </c>
      <c r="O245" s="70">
        <v>1</v>
      </c>
      <c r="P245" s="71">
        <v>1</v>
      </c>
      <c r="Q245" s="64"/>
      <c r="R245" s="64"/>
      <c r="S245" s="64"/>
      <c r="T245" s="64"/>
      <c r="U245" s="64"/>
      <c r="V245" s="64"/>
      <c r="W245" s="64"/>
      <c r="X245" s="64"/>
      <c r="Y245" s="64"/>
      <c r="Z245" s="64"/>
    </row>
    <row r="246" spans="1:26" thickBot="1">
      <c r="A246" s="66" t="str">
        <f t="shared" ref="A246:A263" si="11">$B$244&amp;C246</f>
        <v>Latitude 115</v>
      </c>
      <c r="B246" s="86">
        <v>11.5</v>
      </c>
      <c r="C246" s="70">
        <v>5</v>
      </c>
      <c r="D246" s="70">
        <v>0.98</v>
      </c>
      <c r="E246" s="70">
        <v>0.99</v>
      </c>
      <c r="F246" s="70">
        <v>1.01</v>
      </c>
      <c r="G246" s="70">
        <v>1.03</v>
      </c>
      <c r="H246" s="70">
        <v>1.04</v>
      </c>
      <c r="I246" s="70">
        <v>1.04</v>
      </c>
      <c r="J246" s="70">
        <v>1.03</v>
      </c>
      <c r="K246" s="70">
        <v>1.02</v>
      </c>
      <c r="L246" s="70">
        <v>1.01</v>
      </c>
      <c r="M246" s="70">
        <v>0.99</v>
      </c>
      <c r="N246" s="70">
        <v>0.98</v>
      </c>
      <c r="O246" s="70">
        <v>0.98</v>
      </c>
      <c r="P246" s="71">
        <v>1.01</v>
      </c>
      <c r="Q246" s="64"/>
      <c r="R246" s="64"/>
      <c r="S246" s="64"/>
      <c r="T246" s="64"/>
      <c r="U246" s="64"/>
      <c r="V246" s="64"/>
      <c r="W246" s="64"/>
      <c r="X246" s="64"/>
      <c r="Y246" s="64"/>
      <c r="Z246" s="64"/>
    </row>
    <row r="247" spans="1:26" thickBot="1">
      <c r="A247" s="66" t="str">
        <f t="shared" si="11"/>
        <v>Latitude 1110</v>
      </c>
      <c r="B247" s="86">
        <v>11.1</v>
      </c>
      <c r="C247" s="70">
        <v>10</v>
      </c>
      <c r="D247" s="70">
        <v>0.96</v>
      </c>
      <c r="E247" s="70">
        <v>0.98</v>
      </c>
      <c r="F247" s="70">
        <v>1.01</v>
      </c>
      <c r="G247" s="70">
        <v>1.05</v>
      </c>
      <c r="H247" s="70">
        <v>1.07</v>
      </c>
      <c r="I247" s="70">
        <v>1.07</v>
      </c>
      <c r="J247" s="70">
        <v>1.06</v>
      </c>
      <c r="K247" s="70">
        <v>1.04</v>
      </c>
      <c r="L247" s="70">
        <v>1.01</v>
      </c>
      <c r="M247" s="70">
        <v>0.98</v>
      </c>
      <c r="N247" s="70">
        <v>0.96</v>
      </c>
      <c r="O247" s="70">
        <v>0.95</v>
      </c>
      <c r="P247" s="71">
        <v>1.01</v>
      </c>
      <c r="Q247" s="64"/>
      <c r="R247" s="64"/>
      <c r="S247" s="64"/>
      <c r="T247" s="64"/>
      <c r="U247" s="64"/>
      <c r="V247" s="64"/>
      <c r="W247" s="64"/>
      <c r="X247" s="64"/>
      <c r="Y247" s="64"/>
      <c r="Z247" s="64"/>
    </row>
    <row r="248" spans="1:26" thickBot="1">
      <c r="A248" s="66" t="str">
        <f t="shared" si="11"/>
        <v>Latitude 1115</v>
      </c>
      <c r="B248" s="86">
        <v>11.15</v>
      </c>
      <c r="C248" s="70">
        <v>15</v>
      </c>
      <c r="D248" s="70">
        <v>0.92</v>
      </c>
      <c r="E248" s="70">
        <v>0.96</v>
      </c>
      <c r="F248" s="70">
        <v>1.01</v>
      </c>
      <c r="G248" s="70">
        <v>1.06</v>
      </c>
      <c r="H248" s="70">
        <v>1.0900000000000001</v>
      </c>
      <c r="I248" s="70">
        <v>1.0900000000000001</v>
      </c>
      <c r="J248" s="70">
        <v>1.08</v>
      </c>
      <c r="K248" s="70">
        <v>1.05</v>
      </c>
      <c r="L248" s="70">
        <v>1.01</v>
      </c>
      <c r="M248" s="70">
        <v>0.96</v>
      </c>
      <c r="N248" s="70">
        <v>0.93</v>
      </c>
      <c r="O248" s="70">
        <v>0.91</v>
      </c>
      <c r="P248" s="71">
        <v>1.01</v>
      </c>
      <c r="Q248" s="64"/>
      <c r="R248" s="64"/>
      <c r="S248" s="64"/>
      <c r="T248" s="64"/>
      <c r="U248" s="64"/>
      <c r="V248" s="64"/>
      <c r="W248" s="64"/>
      <c r="X248" s="64"/>
      <c r="Y248" s="64"/>
      <c r="Z248" s="64"/>
    </row>
    <row r="249" spans="1:26" thickBot="1">
      <c r="A249" s="66" t="str">
        <f t="shared" si="11"/>
        <v>Latitude 1120</v>
      </c>
      <c r="B249" s="86">
        <v>11.2</v>
      </c>
      <c r="C249" s="70">
        <v>20</v>
      </c>
      <c r="D249" s="70">
        <v>0.89</v>
      </c>
      <c r="E249" s="70">
        <v>0.93</v>
      </c>
      <c r="F249" s="70">
        <v>1</v>
      </c>
      <c r="G249" s="70">
        <v>1.06</v>
      </c>
      <c r="H249" s="70">
        <v>1.1100000000000001</v>
      </c>
      <c r="I249" s="70">
        <v>1.1100000000000001</v>
      </c>
      <c r="J249" s="70">
        <v>1.0900000000000001</v>
      </c>
      <c r="K249" s="70">
        <v>1.05</v>
      </c>
      <c r="L249" s="70">
        <v>1</v>
      </c>
      <c r="M249" s="70">
        <v>0.94</v>
      </c>
      <c r="N249" s="70">
        <v>0.89</v>
      </c>
      <c r="O249" s="70">
        <v>0.87</v>
      </c>
      <c r="P249" s="71">
        <v>1</v>
      </c>
      <c r="Q249" s="64"/>
      <c r="R249" s="64"/>
      <c r="S249" s="64"/>
      <c r="T249" s="64"/>
      <c r="U249" s="64"/>
      <c r="V249" s="64"/>
      <c r="W249" s="64"/>
      <c r="X249" s="64"/>
      <c r="Y249" s="64"/>
      <c r="Z249" s="64"/>
    </row>
    <row r="250" spans="1:26" thickBot="1">
      <c r="A250" s="66" t="str">
        <f t="shared" si="11"/>
        <v>Latitude 1125</v>
      </c>
      <c r="B250" s="86">
        <v>11.25</v>
      </c>
      <c r="C250" s="70">
        <v>25</v>
      </c>
      <c r="D250" s="70">
        <v>0.84</v>
      </c>
      <c r="E250" s="70">
        <v>0.9</v>
      </c>
      <c r="F250" s="70">
        <v>0.98</v>
      </c>
      <c r="G250" s="70">
        <v>1.06</v>
      </c>
      <c r="H250" s="70">
        <v>1.1100000000000001</v>
      </c>
      <c r="I250" s="70">
        <v>1.1200000000000001</v>
      </c>
      <c r="J250" s="70">
        <v>1.0900000000000001</v>
      </c>
      <c r="K250" s="70">
        <v>1.05</v>
      </c>
      <c r="L250" s="70">
        <v>0.98</v>
      </c>
      <c r="M250" s="70">
        <v>0.9</v>
      </c>
      <c r="N250" s="70">
        <v>0.84</v>
      </c>
      <c r="O250" s="70">
        <v>0.82</v>
      </c>
      <c r="P250" s="71">
        <v>0.97</v>
      </c>
      <c r="Q250" s="64"/>
      <c r="R250" s="64"/>
      <c r="S250" s="64"/>
      <c r="T250" s="64"/>
      <c r="U250" s="64"/>
      <c r="V250" s="64"/>
      <c r="W250" s="64"/>
      <c r="X250" s="64"/>
      <c r="Y250" s="64"/>
      <c r="Z250" s="64"/>
    </row>
    <row r="251" spans="1:26" thickBot="1">
      <c r="A251" s="66" t="str">
        <f t="shared" si="11"/>
        <v>Latitude 1130</v>
      </c>
      <c r="B251" s="86">
        <v>11.3</v>
      </c>
      <c r="C251" s="70">
        <v>30</v>
      </c>
      <c r="D251" s="70">
        <v>0.79</v>
      </c>
      <c r="E251" s="70">
        <v>0.86</v>
      </c>
      <c r="F251" s="70">
        <v>0.96</v>
      </c>
      <c r="G251" s="70">
        <v>1.05</v>
      </c>
      <c r="H251" s="70">
        <v>1.1200000000000001</v>
      </c>
      <c r="I251" s="70">
        <v>1.1200000000000001</v>
      </c>
      <c r="J251" s="70">
        <v>1.0900000000000001</v>
      </c>
      <c r="K251" s="70">
        <v>1.03</v>
      </c>
      <c r="L251" s="70">
        <v>0.95</v>
      </c>
      <c r="M251" s="70">
        <v>0.87</v>
      </c>
      <c r="N251" s="70">
        <v>0.8</v>
      </c>
      <c r="O251" s="70">
        <v>0.77</v>
      </c>
      <c r="P251" s="71">
        <v>0.95</v>
      </c>
      <c r="Q251" s="64"/>
      <c r="R251" s="64"/>
      <c r="S251" s="64"/>
      <c r="T251" s="64"/>
      <c r="U251" s="64"/>
      <c r="V251" s="64"/>
      <c r="W251" s="64"/>
      <c r="X251" s="64"/>
      <c r="Y251" s="64"/>
      <c r="Z251" s="64"/>
    </row>
    <row r="252" spans="1:26" thickBot="1">
      <c r="A252" s="66" t="str">
        <f t="shared" si="11"/>
        <v>Latitude 1135</v>
      </c>
      <c r="B252" s="86">
        <v>11.35</v>
      </c>
      <c r="C252" s="70">
        <v>35</v>
      </c>
      <c r="D252" s="70">
        <v>0.73</v>
      </c>
      <c r="E252" s="70">
        <v>0.82</v>
      </c>
      <c r="F252" s="70">
        <v>0.93</v>
      </c>
      <c r="G252" s="70">
        <v>1.04</v>
      </c>
      <c r="H252" s="70">
        <v>1.1100000000000001</v>
      </c>
      <c r="I252" s="70">
        <v>1.1200000000000001</v>
      </c>
      <c r="J252" s="70">
        <v>1.08</v>
      </c>
      <c r="K252" s="70">
        <v>1.02</v>
      </c>
      <c r="L252" s="70">
        <v>0.92</v>
      </c>
      <c r="M252" s="70">
        <v>0.82</v>
      </c>
      <c r="N252" s="70">
        <v>0.74</v>
      </c>
      <c r="O252" s="70">
        <v>0.71</v>
      </c>
      <c r="P252" s="71">
        <v>0.92</v>
      </c>
      <c r="Q252" s="64"/>
      <c r="R252" s="64"/>
      <c r="S252" s="64"/>
      <c r="T252" s="64"/>
      <c r="U252" s="64"/>
      <c r="V252" s="64"/>
      <c r="W252" s="64"/>
      <c r="X252" s="64"/>
      <c r="Y252" s="64"/>
      <c r="Z252" s="64"/>
    </row>
    <row r="253" spans="1:26" thickBot="1">
      <c r="A253" s="66" t="str">
        <f t="shared" si="11"/>
        <v>Latitude 1140</v>
      </c>
      <c r="B253" s="86">
        <v>11.4</v>
      </c>
      <c r="C253" s="70">
        <v>40</v>
      </c>
      <c r="D253" s="70">
        <v>0.67</v>
      </c>
      <c r="E253" s="70">
        <v>0.77</v>
      </c>
      <c r="F253" s="70">
        <v>0.89</v>
      </c>
      <c r="G253" s="70">
        <v>1.01</v>
      </c>
      <c r="H253" s="70">
        <v>1.1000000000000001</v>
      </c>
      <c r="I253" s="70">
        <v>1.1100000000000001</v>
      </c>
      <c r="J253" s="70">
        <v>1.07</v>
      </c>
      <c r="K253" s="70">
        <v>0.99</v>
      </c>
      <c r="L253" s="70">
        <v>0.89</v>
      </c>
      <c r="M253" s="70">
        <v>0.77</v>
      </c>
      <c r="N253" s="70">
        <v>0.68</v>
      </c>
      <c r="O253" s="70">
        <v>0.64</v>
      </c>
      <c r="P253" s="71">
        <v>0.88</v>
      </c>
      <c r="Q253" s="64"/>
      <c r="R253" s="64"/>
      <c r="S253" s="64"/>
      <c r="T253" s="64"/>
      <c r="U253" s="64"/>
      <c r="V253" s="64"/>
      <c r="W253" s="64"/>
      <c r="X253" s="64"/>
      <c r="Y253" s="64"/>
      <c r="Z253" s="64"/>
    </row>
    <row r="254" spans="1:26" thickBot="1">
      <c r="A254" s="66" t="str">
        <f t="shared" si="11"/>
        <v>Latitude 1145</v>
      </c>
      <c r="B254" s="86">
        <v>11.45</v>
      </c>
      <c r="C254" s="70">
        <v>45</v>
      </c>
      <c r="D254" s="70">
        <v>0.61</v>
      </c>
      <c r="E254" s="70">
        <v>0.71</v>
      </c>
      <c r="F254" s="70">
        <v>0.85</v>
      </c>
      <c r="G254" s="70">
        <v>0.98</v>
      </c>
      <c r="H254" s="70">
        <v>1.08</v>
      </c>
      <c r="I254" s="70">
        <v>1.0900000000000001</v>
      </c>
      <c r="J254" s="70">
        <v>1.05</v>
      </c>
      <c r="K254" s="70">
        <v>0.96</v>
      </c>
      <c r="L254" s="70">
        <v>0.85</v>
      </c>
      <c r="M254" s="70">
        <v>0.72</v>
      </c>
      <c r="N254" s="70">
        <v>0.62</v>
      </c>
      <c r="O254" s="70">
        <v>0.56999999999999995</v>
      </c>
      <c r="P254" s="71">
        <v>0.84</v>
      </c>
      <c r="Q254" s="64"/>
      <c r="R254" s="64"/>
      <c r="S254" s="64"/>
      <c r="T254" s="64"/>
      <c r="U254" s="64"/>
      <c r="V254" s="64"/>
      <c r="W254" s="64"/>
      <c r="X254" s="64"/>
      <c r="Y254" s="64"/>
      <c r="Z254" s="64"/>
    </row>
    <row r="255" spans="1:26" thickBot="1">
      <c r="A255" s="66" t="str">
        <f t="shared" si="11"/>
        <v>Latitude 1150</v>
      </c>
      <c r="B255" s="86">
        <v>11.5</v>
      </c>
      <c r="C255" s="70">
        <v>50</v>
      </c>
      <c r="D255" s="70">
        <v>0.54</v>
      </c>
      <c r="E255" s="70">
        <v>0.65</v>
      </c>
      <c r="F255" s="70">
        <v>0.8</v>
      </c>
      <c r="G255" s="70">
        <v>0.95</v>
      </c>
      <c r="H255" s="70">
        <v>1.05</v>
      </c>
      <c r="I255" s="70">
        <v>1.07</v>
      </c>
      <c r="J255" s="70">
        <v>1.02</v>
      </c>
      <c r="K255" s="70">
        <v>0.93</v>
      </c>
      <c r="L255" s="70">
        <v>0.8</v>
      </c>
      <c r="M255" s="70">
        <v>0.66</v>
      </c>
      <c r="N255" s="70">
        <v>0.55000000000000004</v>
      </c>
      <c r="O255" s="70">
        <v>0.5</v>
      </c>
      <c r="P255" s="71">
        <v>0.79</v>
      </c>
      <c r="Q255" s="64"/>
      <c r="R255" s="64"/>
      <c r="S255" s="64"/>
      <c r="T255" s="64"/>
      <c r="U255" s="64"/>
      <c r="V255" s="64"/>
      <c r="W255" s="64"/>
      <c r="X255" s="64"/>
      <c r="Y255" s="64"/>
      <c r="Z255" s="64"/>
    </row>
    <row r="256" spans="1:26" thickBot="1">
      <c r="A256" s="66" t="str">
        <f t="shared" si="11"/>
        <v>Latitude 1155</v>
      </c>
      <c r="B256" s="86">
        <v>11.55</v>
      </c>
      <c r="C256" s="70">
        <v>55</v>
      </c>
      <c r="D256" s="70">
        <v>0.47</v>
      </c>
      <c r="E256" s="70">
        <v>0.57999999999999996</v>
      </c>
      <c r="F256" s="70">
        <v>0.74</v>
      </c>
      <c r="G256" s="70">
        <v>0.9</v>
      </c>
      <c r="H256" s="70">
        <v>1.01</v>
      </c>
      <c r="I256" s="70">
        <v>1.04</v>
      </c>
      <c r="J256" s="70">
        <v>0.98</v>
      </c>
      <c r="K256" s="70">
        <v>0.89</v>
      </c>
      <c r="L256" s="70">
        <v>0.75</v>
      </c>
      <c r="M256" s="70">
        <v>0.6</v>
      </c>
      <c r="N256" s="70">
        <v>0.48</v>
      </c>
      <c r="O256" s="70">
        <v>0.43</v>
      </c>
      <c r="P256" s="71">
        <v>0.74</v>
      </c>
      <c r="Q256" s="64"/>
      <c r="R256" s="64"/>
      <c r="S256" s="64"/>
      <c r="T256" s="64"/>
      <c r="U256" s="64"/>
      <c r="V256" s="64"/>
      <c r="W256" s="64"/>
      <c r="X256" s="64"/>
      <c r="Y256" s="64"/>
      <c r="Z256" s="64"/>
    </row>
    <row r="257" spans="1:26" thickBot="1">
      <c r="A257" s="66" t="str">
        <f t="shared" si="11"/>
        <v>Latitude 1160</v>
      </c>
      <c r="B257" s="86">
        <v>11.6</v>
      </c>
      <c r="C257" s="70">
        <v>60</v>
      </c>
      <c r="D257" s="70">
        <v>0.39</v>
      </c>
      <c r="E257" s="70">
        <v>0.51</v>
      </c>
      <c r="F257" s="70">
        <v>0.68</v>
      </c>
      <c r="G257" s="70">
        <v>0.86</v>
      </c>
      <c r="H257" s="70">
        <v>0.97</v>
      </c>
      <c r="I257" s="70">
        <v>1</v>
      </c>
      <c r="J257" s="70">
        <v>0.94</v>
      </c>
      <c r="K257" s="70">
        <v>0.84</v>
      </c>
      <c r="L257" s="70">
        <v>0.69</v>
      </c>
      <c r="M257" s="70">
        <v>0.53</v>
      </c>
      <c r="N257" s="70">
        <v>0.4</v>
      </c>
      <c r="O257" s="70">
        <v>0.35</v>
      </c>
      <c r="P257" s="71">
        <v>0.68</v>
      </c>
      <c r="Q257" s="64"/>
      <c r="R257" s="64"/>
      <c r="S257" s="64"/>
      <c r="T257" s="64"/>
      <c r="U257" s="64"/>
      <c r="V257" s="64"/>
      <c r="W257" s="64"/>
      <c r="X257" s="64"/>
      <c r="Y257" s="64"/>
      <c r="Z257" s="64"/>
    </row>
    <row r="258" spans="1:26" thickBot="1">
      <c r="A258" s="66" t="str">
        <f t="shared" si="11"/>
        <v>Latitude 1165</v>
      </c>
      <c r="B258" s="86">
        <v>11.65</v>
      </c>
      <c r="C258" s="70">
        <v>65</v>
      </c>
      <c r="D258" s="70">
        <v>0.31</v>
      </c>
      <c r="E258" s="70">
        <v>0.44</v>
      </c>
      <c r="F258" s="70">
        <v>0.62</v>
      </c>
      <c r="G258" s="70">
        <v>0.8</v>
      </c>
      <c r="H258" s="70">
        <v>0.93</v>
      </c>
      <c r="I258" s="70">
        <v>0.95</v>
      </c>
      <c r="J258" s="70">
        <v>0.9</v>
      </c>
      <c r="K258" s="70">
        <v>0.79</v>
      </c>
      <c r="L258" s="70">
        <v>0.63</v>
      </c>
      <c r="M258" s="70">
        <v>0.46</v>
      </c>
      <c r="N258" s="70">
        <v>0.33</v>
      </c>
      <c r="O258" s="70">
        <v>0.27</v>
      </c>
      <c r="P258" s="71">
        <v>0.62</v>
      </c>
      <c r="Q258" s="64"/>
      <c r="R258" s="64"/>
      <c r="S258" s="64"/>
      <c r="T258" s="64"/>
      <c r="U258" s="64"/>
      <c r="V258" s="64"/>
      <c r="W258" s="64"/>
      <c r="X258" s="64"/>
      <c r="Y258" s="64"/>
      <c r="Z258" s="64"/>
    </row>
    <row r="259" spans="1:26" thickBot="1">
      <c r="A259" s="66" t="str">
        <f t="shared" si="11"/>
        <v>Latitude 1170</v>
      </c>
      <c r="B259" s="86">
        <v>11.7</v>
      </c>
      <c r="C259" s="70">
        <v>70</v>
      </c>
      <c r="D259" s="70">
        <v>0.23</v>
      </c>
      <c r="E259" s="70">
        <v>0.37</v>
      </c>
      <c r="F259" s="70">
        <v>0.55000000000000004</v>
      </c>
      <c r="G259" s="70">
        <v>0.74</v>
      </c>
      <c r="H259" s="70">
        <v>0.87</v>
      </c>
      <c r="I259" s="70">
        <v>0.91</v>
      </c>
      <c r="J259" s="70">
        <v>0.85</v>
      </c>
      <c r="K259" s="70">
        <v>0.73</v>
      </c>
      <c r="L259" s="70">
        <v>0.56999999999999995</v>
      </c>
      <c r="M259" s="70">
        <v>0.39</v>
      </c>
      <c r="N259" s="70">
        <v>0.25</v>
      </c>
      <c r="O259" s="70">
        <v>0.19</v>
      </c>
      <c r="P259" s="71">
        <v>0.55000000000000004</v>
      </c>
      <c r="Q259" s="64"/>
      <c r="R259" s="64"/>
      <c r="S259" s="64"/>
      <c r="T259" s="64"/>
      <c r="U259" s="64"/>
      <c r="V259" s="64"/>
      <c r="W259" s="64"/>
      <c r="X259" s="64"/>
      <c r="Y259" s="64"/>
      <c r="Z259" s="64"/>
    </row>
    <row r="260" spans="1:26" thickBot="1">
      <c r="A260" s="66" t="str">
        <f t="shared" si="11"/>
        <v>Latitude 1175</v>
      </c>
      <c r="B260" s="86">
        <v>11.75</v>
      </c>
      <c r="C260" s="70">
        <v>75</v>
      </c>
      <c r="D260" s="70">
        <v>0.15</v>
      </c>
      <c r="E260" s="70">
        <v>0.28999999999999998</v>
      </c>
      <c r="F260" s="70">
        <v>0.48</v>
      </c>
      <c r="G260" s="70">
        <v>0.68</v>
      </c>
      <c r="H260" s="70">
        <v>0.82</v>
      </c>
      <c r="I260" s="70">
        <v>0.85</v>
      </c>
      <c r="J260" s="70">
        <v>0.79</v>
      </c>
      <c r="K260" s="70">
        <v>0.67</v>
      </c>
      <c r="L260" s="70">
        <v>0.5</v>
      </c>
      <c r="M260" s="70">
        <v>0.31</v>
      </c>
      <c r="N260" s="70">
        <v>0.17</v>
      </c>
      <c r="O260" s="70">
        <v>0.11</v>
      </c>
      <c r="P260" s="71">
        <v>0.49</v>
      </c>
      <c r="Q260" s="64"/>
      <c r="R260" s="64"/>
      <c r="S260" s="64"/>
      <c r="T260" s="64"/>
      <c r="U260" s="64"/>
      <c r="V260" s="64"/>
      <c r="W260" s="64"/>
      <c r="X260" s="64"/>
      <c r="Y260" s="64"/>
      <c r="Z260" s="64"/>
    </row>
    <row r="261" spans="1:26" thickBot="1">
      <c r="A261" s="66" t="str">
        <f t="shared" si="11"/>
        <v>Latitude 1180</v>
      </c>
      <c r="B261" s="86">
        <v>11.8</v>
      </c>
      <c r="C261" s="70">
        <v>80</v>
      </c>
      <c r="D261" s="70">
        <v>0.09</v>
      </c>
      <c r="E261" s="70">
        <v>0.21</v>
      </c>
      <c r="F261" s="70">
        <v>0.41</v>
      </c>
      <c r="G261" s="70">
        <v>0.61</v>
      </c>
      <c r="H261" s="70">
        <v>0.75</v>
      </c>
      <c r="I261" s="70">
        <v>0.79</v>
      </c>
      <c r="J261" s="70">
        <v>0.73</v>
      </c>
      <c r="K261" s="70">
        <v>0.61</v>
      </c>
      <c r="L261" s="70">
        <v>0.43</v>
      </c>
      <c r="M261" s="70">
        <v>0.24</v>
      </c>
      <c r="N261" s="70">
        <v>11</v>
      </c>
      <c r="O261" s="70">
        <v>0.1</v>
      </c>
      <c r="P261" s="71">
        <v>1.33</v>
      </c>
      <c r="Q261" s="64"/>
      <c r="R261" s="64"/>
      <c r="S261" s="64"/>
      <c r="T261" s="64"/>
      <c r="U261" s="64"/>
      <c r="V261" s="64"/>
      <c r="W261" s="64"/>
      <c r="X261" s="64"/>
      <c r="Y261" s="64"/>
      <c r="Z261" s="64"/>
    </row>
    <row r="262" spans="1:26" thickBot="1">
      <c r="A262" s="66" t="str">
        <f t="shared" si="11"/>
        <v>Latitude 1185</v>
      </c>
      <c r="B262" s="86">
        <v>11.85</v>
      </c>
      <c r="C262" s="70">
        <v>85</v>
      </c>
      <c r="D262" s="70">
        <v>0.09</v>
      </c>
      <c r="E262" s="70">
        <v>0.13</v>
      </c>
      <c r="F262" s="70">
        <v>0.33</v>
      </c>
      <c r="G262" s="70">
        <v>0.54</v>
      </c>
      <c r="H262" s="70">
        <v>0.69</v>
      </c>
      <c r="I262" s="70">
        <v>0.73</v>
      </c>
      <c r="J262" s="70">
        <v>0.67</v>
      </c>
      <c r="K262" s="70">
        <v>0.54</v>
      </c>
      <c r="L262" s="70">
        <v>0.35</v>
      </c>
      <c r="M262" s="70">
        <v>0.16</v>
      </c>
      <c r="N262" s="70">
        <v>0.1</v>
      </c>
      <c r="O262" s="70">
        <v>0.09</v>
      </c>
      <c r="P262" s="71">
        <v>0.37</v>
      </c>
      <c r="Q262" s="64"/>
      <c r="R262" s="64"/>
      <c r="S262" s="64"/>
      <c r="T262" s="64"/>
      <c r="U262" s="64"/>
      <c r="V262" s="64"/>
      <c r="W262" s="64"/>
      <c r="X262" s="64"/>
      <c r="Y262" s="64"/>
      <c r="Z262" s="64"/>
    </row>
    <row r="263" spans="1:26" thickBot="1">
      <c r="A263" s="66" t="str">
        <f t="shared" si="11"/>
        <v>Latitude 1190</v>
      </c>
      <c r="B263" s="86">
        <v>11.9</v>
      </c>
      <c r="C263" s="70">
        <v>90</v>
      </c>
      <c r="D263" s="70">
        <v>0.08</v>
      </c>
      <c r="E263" s="70">
        <v>0.08</v>
      </c>
      <c r="F263" s="70">
        <v>0.25</v>
      </c>
      <c r="G263" s="70">
        <v>0.46</v>
      </c>
      <c r="H263" s="70">
        <v>0.61</v>
      </c>
      <c r="I263" s="70">
        <v>0.66</v>
      </c>
      <c r="J263" s="70">
        <v>0.6</v>
      </c>
      <c r="K263" s="70">
        <v>0.47</v>
      </c>
      <c r="L263" s="70">
        <v>0.28000000000000003</v>
      </c>
      <c r="M263" s="70">
        <v>0.11</v>
      </c>
      <c r="N263" s="70">
        <v>0.09</v>
      </c>
      <c r="O263" s="70">
        <v>0.08</v>
      </c>
      <c r="P263" s="71">
        <v>0.31</v>
      </c>
      <c r="Q263" s="64"/>
      <c r="R263" s="64"/>
      <c r="S263" s="64"/>
      <c r="T263" s="64"/>
      <c r="U263" s="64"/>
      <c r="V263" s="64"/>
      <c r="W263" s="64"/>
      <c r="X263" s="64"/>
      <c r="Y263" s="64"/>
      <c r="Z263" s="64"/>
    </row>
    <row r="264" spans="1:26" thickBot="1">
      <c r="A264" s="66"/>
      <c r="B264" s="88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66"/>
      <c r="Q264" s="64"/>
      <c r="R264" s="64"/>
      <c r="S264" s="64"/>
      <c r="T264" s="64"/>
      <c r="U264" s="64"/>
      <c r="V264" s="64"/>
      <c r="W264" s="64"/>
      <c r="X264" s="64"/>
      <c r="Y264" s="64"/>
      <c r="Z264" s="64"/>
    </row>
    <row r="265" spans="1:26" thickBot="1">
      <c r="A265" s="66"/>
      <c r="B265" s="88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66"/>
      <c r="Q265" s="64"/>
      <c r="R265" s="64"/>
      <c r="S265" s="64"/>
      <c r="T265" s="64"/>
      <c r="U265" s="64"/>
      <c r="V265" s="64"/>
      <c r="W265" s="64"/>
      <c r="X265" s="64"/>
      <c r="Y265" s="64"/>
      <c r="Z265" s="64"/>
    </row>
    <row r="266" spans="1:26" thickBot="1">
      <c r="A266" s="66"/>
      <c r="B266" s="85" t="s">
        <v>5876</v>
      </c>
      <c r="C266" s="75" t="s">
        <v>5853</v>
      </c>
      <c r="D266" s="75" t="s">
        <v>5827</v>
      </c>
      <c r="E266" s="75" t="s">
        <v>5828</v>
      </c>
      <c r="F266" s="75" t="s">
        <v>5829</v>
      </c>
      <c r="G266" s="75" t="s">
        <v>5830</v>
      </c>
      <c r="H266" s="75" t="s">
        <v>5831</v>
      </c>
      <c r="I266" s="75" t="s">
        <v>5832</v>
      </c>
      <c r="J266" s="75" t="s">
        <v>5833</v>
      </c>
      <c r="K266" s="75" t="s">
        <v>5834</v>
      </c>
      <c r="L266" s="75" t="s">
        <v>5835</v>
      </c>
      <c r="M266" s="75" t="s">
        <v>5836</v>
      </c>
      <c r="N266" s="75" t="s">
        <v>5837</v>
      </c>
      <c r="O266" s="75" t="s">
        <v>5838</v>
      </c>
      <c r="P266" s="74" t="s">
        <v>20</v>
      </c>
      <c r="Q266" s="64"/>
      <c r="R266" s="64"/>
      <c r="S266" s="64"/>
      <c r="T266" s="64"/>
      <c r="U266" s="64"/>
      <c r="V266" s="64"/>
      <c r="W266" s="64"/>
      <c r="X266" s="64"/>
      <c r="Y266" s="64"/>
      <c r="Z266" s="64"/>
    </row>
    <row r="267" spans="1:26" thickBot="1">
      <c r="A267" s="66" t="str">
        <f>$B$266&amp;C267</f>
        <v>Latitude 120</v>
      </c>
      <c r="B267" s="86">
        <v>12</v>
      </c>
      <c r="C267" s="69">
        <v>0</v>
      </c>
      <c r="D267" s="70">
        <v>1</v>
      </c>
      <c r="E267" s="70">
        <v>1</v>
      </c>
      <c r="F267" s="70">
        <v>1</v>
      </c>
      <c r="G267" s="70">
        <v>1</v>
      </c>
      <c r="H267" s="70">
        <v>1</v>
      </c>
      <c r="I267" s="70">
        <v>1</v>
      </c>
      <c r="J267" s="70">
        <v>1</v>
      </c>
      <c r="K267" s="70">
        <v>1</v>
      </c>
      <c r="L267" s="70">
        <v>1</v>
      </c>
      <c r="M267" s="70">
        <v>1</v>
      </c>
      <c r="N267" s="70">
        <v>1</v>
      </c>
      <c r="O267" s="70">
        <v>1</v>
      </c>
      <c r="P267" s="71">
        <v>1</v>
      </c>
      <c r="Q267" s="64"/>
      <c r="R267" s="64"/>
      <c r="S267" s="64"/>
      <c r="T267" s="64"/>
      <c r="U267" s="64"/>
      <c r="V267" s="64"/>
      <c r="W267" s="64"/>
      <c r="X267" s="64"/>
      <c r="Y267" s="64"/>
      <c r="Z267" s="64"/>
    </row>
    <row r="268" spans="1:26" thickBot="1">
      <c r="A268" s="66" t="str">
        <f t="shared" ref="A268:A285" si="12">$B$266&amp;C268</f>
        <v>Latitude 125</v>
      </c>
      <c r="B268" s="86">
        <v>12.5</v>
      </c>
      <c r="C268" s="69">
        <v>5</v>
      </c>
      <c r="D268" s="70">
        <v>0.96</v>
      </c>
      <c r="E268" s="70">
        <v>0.97</v>
      </c>
      <c r="F268" s="70">
        <v>0.98</v>
      </c>
      <c r="G268" s="70">
        <v>1</v>
      </c>
      <c r="H268" s="70">
        <v>1.01</v>
      </c>
      <c r="I268" s="70">
        <v>1.02</v>
      </c>
      <c r="J268" s="70">
        <v>1.03</v>
      </c>
      <c r="K268" s="70">
        <v>1.02</v>
      </c>
      <c r="L268" s="70">
        <v>1.01</v>
      </c>
      <c r="M268" s="70">
        <v>1</v>
      </c>
      <c r="N268" s="70">
        <v>0.98</v>
      </c>
      <c r="O268" s="70">
        <v>0.97</v>
      </c>
      <c r="P268" s="71">
        <v>1</v>
      </c>
      <c r="Q268" s="64"/>
      <c r="R268" s="64"/>
      <c r="S268" s="64"/>
      <c r="T268" s="64"/>
      <c r="U268" s="64"/>
      <c r="V268" s="64"/>
      <c r="W268" s="64"/>
      <c r="X268" s="64"/>
      <c r="Y268" s="64"/>
      <c r="Z268" s="64"/>
    </row>
    <row r="269" spans="1:26" thickBot="1">
      <c r="A269" s="66" t="str">
        <f t="shared" si="12"/>
        <v>Latitude 1210</v>
      </c>
      <c r="B269" s="86">
        <v>12.1</v>
      </c>
      <c r="C269" s="69">
        <v>10</v>
      </c>
      <c r="D269" s="70">
        <v>0.92</v>
      </c>
      <c r="E269" s="70">
        <v>0.93</v>
      </c>
      <c r="F269" s="70">
        <v>0.95</v>
      </c>
      <c r="G269" s="70">
        <v>0.99</v>
      </c>
      <c r="H269" s="70">
        <v>1.02</v>
      </c>
      <c r="I269" s="70">
        <v>1.04</v>
      </c>
      <c r="J269" s="70">
        <v>1.06</v>
      </c>
      <c r="K269" s="70">
        <v>1.03</v>
      </c>
      <c r="L269" s="70">
        <v>1.01</v>
      </c>
      <c r="M269" s="70">
        <v>0.99</v>
      </c>
      <c r="N269" s="70">
        <v>0.96</v>
      </c>
      <c r="O269" s="70">
        <v>0.93</v>
      </c>
      <c r="P269" s="71">
        <v>0.99</v>
      </c>
      <c r="Q269" s="64"/>
      <c r="R269" s="64"/>
      <c r="S269" s="64"/>
      <c r="T269" s="64"/>
      <c r="U269" s="64"/>
      <c r="V269" s="64"/>
      <c r="W269" s="64"/>
      <c r="X269" s="64"/>
      <c r="Y269" s="64"/>
      <c r="Z269" s="64"/>
    </row>
    <row r="270" spans="1:26" thickBot="1">
      <c r="A270" s="66" t="str">
        <f t="shared" si="12"/>
        <v>Latitude 1215</v>
      </c>
      <c r="B270" s="86">
        <v>12.15</v>
      </c>
      <c r="C270" s="69">
        <v>15</v>
      </c>
      <c r="D270" s="70">
        <v>0.87</v>
      </c>
      <c r="E270" s="70">
        <v>0.88</v>
      </c>
      <c r="F270" s="70">
        <v>0.92</v>
      </c>
      <c r="G270" s="70">
        <v>0.97</v>
      </c>
      <c r="H270" s="70">
        <v>1.02</v>
      </c>
      <c r="I270" s="70">
        <v>1.05</v>
      </c>
      <c r="J270" s="70">
        <v>1.08</v>
      </c>
      <c r="K270" s="70">
        <v>1.04</v>
      </c>
      <c r="L270" s="70">
        <v>1.01</v>
      </c>
      <c r="M270" s="70">
        <v>0.97</v>
      </c>
      <c r="N270" s="70">
        <v>0.92</v>
      </c>
      <c r="O270" s="70">
        <v>0.88</v>
      </c>
      <c r="P270" s="71">
        <v>0.97</v>
      </c>
      <c r="Q270" s="64"/>
      <c r="R270" s="64"/>
      <c r="S270" s="64"/>
      <c r="T270" s="64"/>
      <c r="U270" s="64"/>
      <c r="V270" s="64"/>
      <c r="W270" s="64"/>
      <c r="X270" s="64"/>
      <c r="Y270" s="64"/>
      <c r="Z270" s="64"/>
    </row>
    <row r="271" spans="1:26" thickBot="1">
      <c r="A271" s="66" t="str">
        <f t="shared" si="12"/>
        <v>Latitude 1220</v>
      </c>
      <c r="B271" s="86">
        <v>12.2</v>
      </c>
      <c r="C271" s="69">
        <v>20</v>
      </c>
      <c r="D271" s="70">
        <v>0.81</v>
      </c>
      <c r="E271" s="70">
        <v>0.83</v>
      </c>
      <c r="F271" s="70" t="s">
        <v>5849</v>
      </c>
      <c r="G271" s="70">
        <v>0.95</v>
      </c>
      <c r="H271" s="70">
        <v>1.01</v>
      </c>
      <c r="I271" s="70">
        <v>1.05</v>
      </c>
      <c r="J271" s="70">
        <v>1.0900000000000001</v>
      </c>
      <c r="K271" s="70">
        <v>1.04</v>
      </c>
      <c r="L271" s="70">
        <v>1</v>
      </c>
      <c r="M271" s="70">
        <v>0.95</v>
      </c>
      <c r="N271" s="70">
        <v>0.88</v>
      </c>
      <c r="O271" s="70">
        <v>0.83</v>
      </c>
      <c r="P271" s="71">
        <v>0.87</v>
      </c>
      <c r="Q271" s="64"/>
      <c r="R271" s="64"/>
      <c r="S271" s="64"/>
      <c r="T271" s="64"/>
      <c r="U271" s="64"/>
      <c r="V271" s="64"/>
      <c r="W271" s="64"/>
      <c r="X271" s="64"/>
      <c r="Y271" s="64"/>
      <c r="Z271" s="64"/>
    </row>
    <row r="272" spans="1:26" thickBot="1">
      <c r="A272" s="66" t="str">
        <f t="shared" si="12"/>
        <v>Latitude 1225</v>
      </c>
      <c r="B272" s="86">
        <v>12.25</v>
      </c>
      <c r="C272" s="69">
        <v>25</v>
      </c>
      <c r="D272" s="70">
        <v>0.75</v>
      </c>
      <c r="E272" s="70">
        <v>0.77</v>
      </c>
      <c r="F272" s="70">
        <v>0.83</v>
      </c>
      <c r="G272" s="70">
        <v>0.92</v>
      </c>
      <c r="H272" s="70">
        <v>0.99</v>
      </c>
      <c r="I272" s="70">
        <v>1.04</v>
      </c>
      <c r="J272" s="70">
        <v>1.1000000000000001</v>
      </c>
      <c r="K272" s="70">
        <v>1.03</v>
      </c>
      <c r="L272" s="70">
        <v>0.99</v>
      </c>
      <c r="M272" s="70">
        <v>0.92</v>
      </c>
      <c r="N272" s="70">
        <v>0.84</v>
      </c>
      <c r="O272" s="70">
        <v>0.77</v>
      </c>
      <c r="P272" s="71">
        <v>0.91</v>
      </c>
      <c r="Q272" s="64"/>
      <c r="R272" s="64"/>
      <c r="S272" s="64"/>
      <c r="T272" s="64"/>
      <c r="U272" s="64"/>
      <c r="V272" s="64"/>
      <c r="W272" s="64"/>
      <c r="X272" s="64"/>
      <c r="Y272" s="64"/>
      <c r="Z272" s="64"/>
    </row>
    <row r="273" spans="1:26" thickBot="1">
      <c r="A273" s="66" t="str">
        <f t="shared" si="12"/>
        <v>Latitude 1230</v>
      </c>
      <c r="B273" s="86">
        <v>12.3</v>
      </c>
      <c r="C273" s="69">
        <v>30</v>
      </c>
      <c r="D273" s="70">
        <v>0.68</v>
      </c>
      <c r="E273" s="70">
        <v>0.7</v>
      </c>
      <c r="F273" s="70">
        <v>0.78</v>
      </c>
      <c r="G273" s="70">
        <v>0.88</v>
      </c>
      <c r="H273" s="70">
        <v>0.97</v>
      </c>
      <c r="I273" s="70">
        <v>1.03</v>
      </c>
      <c r="J273" s="70">
        <v>1.1000000000000001</v>
      </c>
      <c r="K273" s="70">
        <v>1.02</v>
      </c>
      <c r="L273" s="70">
        <v>0.97</v>
      </c>
      <c r="M273" s="70">
        <v>0.88</v>
      </c>
      <c r="N273" s="70">
        <v>0.79</v>
      </c>
      <c r="O273" s="70">
        <v>0.71</v>
      </c>
      <c r="P273" s="71">
        <v>0.88</v>
      </c>
      <c r="Q273" s="64"/>
      <c r="R273" s="64"/>
      <c r="S273" s="64"/>
      <c r="T273" s="64"/>
      <c r="U273" s="64"/>
      <c r="V273" s="64"/>
      <c r="W273" s="64"/>
      <c r="X273" s="64"/>
      <c r="Y273" s="64"/>
      <c r="Z273" s="64"/>
    </row>
    <row r="274" spans="1:26" thickBot="1">
      <c r="A274" s="66" t="str">
        <f t="shared" si="12"/>
        <v>Latitude 1235</v>
      </c>
      <c r="B274" s="86">
        <v>12.35</v>
      </c>
      <c r="C274" s="69">
        <v>35</v>
      </c>
      <c r="D274" s="70">
        <v>0.61</v>
      </c>
      <c r="E274" s="70">
        <v>0.64</v>
      </c>
      <c r="F274" s="70">
        <v>0.72</v>
      </c>
      <c r="G274" s="70">
        <v>0.84</v>
      </c>
      <c r="H274" s="70">
        <v>0.94</v>
      </c>
      <c r="I274" s="70">
        <v>1.02</v>
      </c>
      <c r="J274" s="70">
        <v>1.0900000000000001</v>
      </c>
      <c r="K274" s="70">
        <v>1</v>
      </c>
      <c r="L274" s="70">
        <v>0.94</v>
      </c>
      <c r="M274" s="70">
        <v>0.84</v>
      </c>
      <c r="N274" s="70">
        <v>0.74</v>
      </c>
      <c r="O274" s="70">
        <v>0.64</v>
      </c>
      <c r="P274" s="71">
        <v>0.84</v>
      </c>
      <c r="Q274" s="64"/>
      <c r="R274" s="64"/>
      <c r="S274" s="64"/>
      <c r="T274" s="64"/>
      <c r="U274" s="64"/>
      <c r="V274" s="64"/>
      <c r="W274" s="64"/>
      <c r="X274" s="64"/>
      <c r="Y274" s="64"/>
      <c r="Z274" s="64"/>
    </row>
    <row r="275" spans="1:26" thickBot="1">
      <c r="A275" s="66" t="str">
        <f t="shared" si="12"/>
        <v>Latitude 1240</v>
      </c>
      <c r="B275" s="86">
        <v>12.4</v>
      </c>
      <c r="C275" s="69">
        <v>40</v>
      </c>
      <c r="D275" s="70">
        <v>0.53</v>
      </c>
      <c r="E275" s="70">
        <v>0.56000000000000005</v>
      </c>
      <c r="F275" s="70">
        <v>0.66</v>
      </c>
      <c r="G275" s="70">
        <v>0.79</v>
      </c>
      <c r="H275" s="70">
        <v>0.91</v>
      </c>
      <c r="I275" s="70">
        <v>0.99</v>
      </c>
      <c r="J275" s="70">
        <v>1.08</v>
      </c>
      <c r="K275" s="70">
        <v>0.98</v>
      </c>
      <c r="L275" s="70">
        <v>0.9</v>
      </c>
      <c r="M275" s="70">
        <v>0.8</v>
      </c>
      <c r="N275" s="70">
        <v>0.68</v>
      </c>
      <c r="O275" s="70">
        <v>0.56999999999999995</v>
      </c>
      <c r="P275" s="71">
        <v>0.79</v>
      </c>
      <c r="Q275" s="64"/>
      <c r="R275" s="64"/>
      <c r="S275" s="64"/>
      <c r="T275" s="64"/>
      <c r="U275" s="64"/>
      <c r="V275" s="64"/>
      <c r="W275" s="64"/>
      <c r="X275" s="64"/>
      <c r="Y275" s="64"/>
      <c r="Z275" s="64"/>
    </row>
    <row r="276" spans="1:26" thickBot="1">
      <c r="A276" s="66" t="str">
        <f t="shared" si="12"/>
        <v>Latitude 1245</v>
      </c>
      <c r="B276" s="86">
        <v>12.45</v>
      </c>
      <c r="C276" s="69">
        <v>45</v>
      </c>
      <c r="D276" s="70">
        <v>0.45</v>
      </c>
      <c r="E276" s="70">
        <v>0.49</v>
      </c>
      <c r="F276" s="70">
        <v>0.59</v>
      </c>
      <c r="G276" s="70">
        <v>0.73</v>
      </c>
      <c r="H276" s="70">
        <v>0.87</v>
      </c>
      <c r="I276" s="70">
        <v>0.96</v>
      </c>
      <c r="J276" s="70">
        <v>1.06</v>
      </c>
      <c r="K276" s="70">
        <v>0.95</v>
      </c>
      <c r="L276" s="70">
        <v>0.87</v>
      </c>
      <c r="M276" s="70">
        <v>0.75</v>
      </c>
      <c r="N276" s="70">
        <v>0.61</v>
      </c>
      <c r="O276" s="70">
        <v>0.5</v>
      </c>
      <c r="P276" s="71">
        <v>0.74</v>
      </c>
      <c r="Q276" s="64"/>
      <c r="R276" s="64"/>
      <c r="S276" s="64"/>
      <c r="T276" s="64"/>
      <c r="U276" s="64"/>
      <c r="V276" s="64"/>
      <c r="W276" s="64"/>
      <c r="X276" s="64"/>
      <c r="Y276" s="64"/>
      <c r="Z276" s="64"/>
    </row>
    <row r="277" spans="1:26" thickBot="1">
      <c r="A277" s="66" t="str">
        <f t="shared" si="12"/>
        <v>Latitude 1250</v>
      </c>
      <c r="B277" s="86">
        <v>12.5</v>
      </c>
      <c r="C277" s="69">
        <v>50</v>
      </c>
      <c r="D277" s="70">
        <v>0.37</v>
      </c>
      <c r="E277" s="70">
        <v>0.41</v>
      </c>
      <c r="F277" s="70">
        <v>0.52</v>
      </c>
      <c r="G277" s="70">
        <v>0.68</v>
      </c>
      <c r="H277" s="70">
        <v>0.82</v>
      </c>
      <c r="I277" s="70">
        <v>0.92</v>
      </c>
      <c r="J277" s="70">
        <v>1.03</v>
      </c>
      <c r="K277" s="70">
        <v>0.91</v>
      </c>
      <c r="L277" s="70">
        <v>0.82</v>
      </c>
      <c r="M277" s="70">
        <v>0.69</v>
      </c>
      <c r="N277" s="70">
        <v>0.54</v>
      </c>
      <c r="O277" s="70">
        <v>0.42</v>
      </c>
      <c r="P277" s="71">
        <v>0.68</v>
      </c>
      <c r="Q277" s="64"/>
      <c r="R277" s="64"/>
      <c r="S277" s="64"/>
      <c r="T277" s="64"/>
      <c r="U277" s="64"/>
      <c r="V277" s="64"/>
      <c r="W277" s="64"/>
      <c r="X277" s="64"/>
      <c r="Y277" s="64"/>
      <c r="Z277" s="64"/>
    </row>
    <row r="278" spans="1:26" thickBot="1">
      <c r="A278" s="66" t="str">
        <f t="shared" si="12"/>
        <v>Latitude 1255</v>
      </c>
      <c r="B278" s="86">
        <v>12.55</v>
      </c>
      <c r="C278" s="69">
        <v>55</v>
      </c>
      <c r="D278" s="70">
        <v>0.28000000000000003</v>
      </c>
      <c r="E278" s="70">
        <v>0.33</v>
      </c>
      <c r="F278" s="70">
        <v>0.45</v>
      </c>
      <c r="G278" s="70">
        <v>0.61</v>
      </c>
      <c r="H278" s="70">
        <v>0.77</v>
      </c>
      <c r="I278" s="70">
        <v>0.88</v>
      </c>
      <c r="J278" s="70">
        <v>1</v>
      </c>
      <c r="K278" s="70">
        <v>0.87</v>
      </c>
      <c r="L278" s="70">
        <v>0.77</v>
      </c>
      <c r="M278" s="70">
        <v>0.63</v>
      </c>
      <c r="N278" s="70">
        <v>0.47</v>
      </c>
      <c r="O278" s="70">
        <v>0.34</v>
      </c>
      <c r="P278" s="71">
        <v>0.62</v>
      </c>
      <c r="Q278" s="64"/>
      <c r="R278" s="64"/>
      <c r="S278" s="64"/>
      <c r="T278" s="64"/>
      <c r="U278" s="64"/>
      <c r="V278" s="64"/>
      <c r="W278" s="64"/>
      <c r="X278" s="64"/>
      <c r="Y278" s="64"/>
      <c r="Z278" s="64"/>
    </row>
    <row r="279" spans="1:26" thickBot="1">
      <c r="A279" s="66" t="str">
        <f t="shared" si="12"/>
        <v>Latitude 1260</v>
      </c>
      <c r="B279" s="86">
        <v>12.6</v>
      </c>
      <c r="C279" s="69">
        <v>60</v>
      </c>
      <c r="D279" s="70">
        <v>0.2</v>
      </c>
      <c r="E279" s="70">
        <v>0.24</v>
      </c>
      <c r="F279" s="70">
        <v>0.37</v>
      </c>
      <c r="G279" s="70">
        <v>0.55000000000000004</v>
      </c>
      <c r="H279" s="70">
        <v>0.71</v>
      </c>
      <c r="I279" s="70">
        <v>0.83</v>
      </c>
      <c r="J279" s="70">
        <v>0.96</v>
      </c>
      <c r="K279" s="70">
        <v>0.82</v>
      </c>
      <c r="L279" s="70">
        <v>0.72</v>
      </c>
      <c r="M279" s="70">
        <v>0.56999999999999995</v>
      </c>
      <c r="N279" s="70">
        <v>0.4</v>
      </c>
      <c r="O279" s="70">
        <v>0.26</v>
      </c>
      <c r="P279" s="71">
        <v>0.55000000000000004</v>
      </c>
      <c r="Q279" s="64"/>
      <c r="R279" s="64"/>
      <c r="S279" s="64"/>
      <c r="T279" s="64"/>
      <c r="U279" s="64"/>
      <c r="V279" s="64"/>
      <c r="W279" s="64"/>
      <c r="X279" s="64"/>
      <c r="Y279" s="64"/>
      <c r="Z279" s="64"/>
    </row>
    <row r="280" spans="1:26" thickBot="1">
      <c r="A280" s="66" t="str">
        <f t="shared" si="12"/>
        <v>Latitude 1265</v>
      </c>
      <c r="B280" s="86">
        <v>12.65</v>
      </c>
      <c r="C280" s="69">
        <v>65</v>
      </c>
      <c r="D280" s="70">
        <v>0.13</v>
      </c>
      <c r="E280" s="70">
        <v>0.16</v>
      </c>
      <c r="F280" s="70">
        <v>0.3</v>
      </c>
      <c r="G280" s="70">
        <v>0.48</v>
      </c>
      <c r="H280" s="70">
        <v>0.65</v>
      </c>
      <c r="I280" s="70">
        <v>0.77</v>
      </c>
      <c r="J280" s="70">
        <v>0.91</v>
      </c>
      <c r="K280" s="70">
        <v>0.77</v>
      </c>
      <c r="L280" s="70">
        <v>0.66</v>
      </c>
      <c r="M280" s="70">
        <v>0.5</v>
      </c>
      <c r="N280" s="70">
        <v>0.32</v>
      </c>
      <c r="O280" s="70">
        <v>0.18</v>
      </c>
      <c r="P280" s="71">
        <v>0.49</v>
      </c>
      <c r="Q280" s="64"/>
      <c r="R280" s="64"/>
      <c r="S280" s="64"/>
      <c r="T280" s="64"/>
      <c r="U280" s="64"/>
      <c r="V280" s="64"/>
      <c r="W280" s="64"/>
      <c r="X280" s="64"/>
      <c r="Y280" s="64"/>
      <c r="Z280" s="64"/>
    </row>
    <row r="281" spans="1:26" thickBot="1">
      <c r="A281" s="66" t="str">
        <f t="shared" si="12"/>
        <v>Latitude 1270</v>
      </c>
      <c r="B281" s="86">
        <v>12.7</v>
      </c>
      <c r="C281" s="69">
        <v>70</v>
      </c>
      <c r="D281" s="70">
        <v>0.12</v>
      </c>
      <c r="E281" s="70">
        <v>0.11</v>
      </c>
      <c r="F281" s="70">
        <v>0.22</v>
      </c>
      <c r="G281" s="70">
        <v>0.4</v>
      </c>
      <c r="H281" s="70">
        <v>0.59</v>
      </c>
      <c r="I281" s="70">
        <v>0.72</v>
      </c>
      <c r="J281" s="70">
        <v>0.86</v>
      </c>
      <c r="K281" s="70">
        <v>0.71</v>
      </c>
      <c r="L281" s="70">
        <v>0.6</v>
      </c>
      <c r="M281" s="70">
        <v>0.43</v>
      </c>
      <c r="N281" s="70">
        <v>0.25</v>
      </c>
      <c r="O281" s="70">
        <v>0.13</v>
      </c>
      <c r="P281" s="71">
        <v>0.43</v>
      </c>
      <c r="Q281" s="64"/>
      <c r="R281" s="64"/>
      <c r="S281" s="64"/>
      <c r="T281" s="64"/>
      <c r="U281" s="64"/>
      <c r="V281" s="64"/>
      <c r="W281" s="64"/>
      <c r="X281" s="64"/>
      <c r="Y281" s="64"/>
      <c r="Z281" s="64"/>
    </row>
    <row r="282" spans="1:26" thickBot="1">
      <c r="A282" s="66" t="str">
        <f t="shared" si="12"/>
        <v>Latitude 1275</v>
      </c>
      <c r="B282" s="86">
        <v>12.75</v>
      </c>
      <c r="C282" s="69">
        <v>75</v>
      </c>
      <c r="D282" s="70">
        <v>0.11</v>
      </c>
      <c r="E282" s="70">
        <v>0.11</v>
      </c>
      <c r="F282" s="70">
        <v>0.13</v>
      </c>
      <c r="G282" s="70">
        <v>0.33</v>
      </c>
      <c r="H282" s="70">
        <v>0.52</v>
      </c>
      <c r="I282" s="70">
        <v>0.65</v>
      </c>
      <c r="J282" s="70">
        <v>0.81</v>
      </c>
      <c r="K282" s="70">
        <v>0.65</v>
      </c>
      <c r="L282" s="70">
        <v>0.53</v>
      </c>
      <c r="M282" s="70">
        <v>0.36</v>
      </c>
      <c r="N282" s="70">
        <v>0.17</v>
      </c>
      <c r="O282" s="70">
        <v>0.12</v>
      </c>
      <c r="P282" s="71">
        <v>0.37</v>
      </c>
      <c r="Q282" s="64"/>
      <c r="R282" s="64"/>
      <c r="S282" s="64"/>
      <c r="T282" s="64"/>
      <c r="U282" s="64"/>
      <c r="V282" s="64"/>
      <c r="W282" s="64"/>
      <c r="X282" s="64"/>
      <c r="Y282" s="64"/>
      <c r="Z282" s="64"/>
    </row>
    <row r="283" spans="1:26" thickBot="1">
      <c r="A283" s="66" t="str">
        <f t="shared" si="12"/>
        <v>Latitude 1280</v>
      </c>
      <c r="B283" s="86">
        <v>12.8</v>
      </c>
      <c r="C283" s="69">
        <v>80</v>
      </c>
      <c r="D283" s="70">
        <v>0.1</v>
      </c>
      <c r="E283" s="70">
        <v>0.1</v>
      </c>
      <c r="F283" s="70">
        <v>0.1</v>
      </c>
      <c r="G283" s="70">
        <v>0.25</v>
      </c>
      <c r="H283" s="70">
        <v>0.45</v>
      </c>
      <c r="I283" s="70">
        <v>0.57999999999999996</v>
      </c>
      <c r="J283" s="70">
        <v>0.74</v>
      </c>
      <c r="K283" s="70">
        <v>0.57999999999999996</v>
      </c>
      <c r="L283" s="70">
        <v>0.47</v>
      </c>
      <c r="M283" s="70">
        <v>0.28999999999999998</v>
      </c>
      <c r="N283" s="70">
        <v>0.13</v>
      </c>
      <c r="O283" s="70">
        <v>0.12</v>
      </c>
      <c r="P283" s="71">
        <v>0.33</v>
      </c>
      <c r="Q283" s="64"/>
      <c r="R283" s="64"/>
      <c r="S283" s="64"/>
      <c r="T283" s="64"/>
      <c r="U283" s="64"/>
      <c r="V283" s="64"/>
      <c r="W283" s="64"/>
      <c r="X283" s="64"/>
      <c r="Y283" s="64"/>
      <c r="Z283" s="64"/>
    </row>
    <row r="284" spans="1:26" thickBot="1">
      <c r="A284" s="66" t="str">
        <f t="shared" si="12"/>
        <v>Latitude 1285</v>
      </c>
      <c r="B284" s="86">
        <v>12.85</v>
      </c>
      <c r="C284" s="69">
        <v>85</v>
      </c>
      <c r="D284" s="70">
        <v>0.1</v>
      </c>
      <c r="E284" s="70">
        <v>0.09</v>
      </c>
      <c r="F284" s="70">
        <v>0.09</v>
      </c>
      <c r="G284" s="70">
        <v>0.17</v>
      </c>
      <c r="H284" s="70">
        <v>0.37</v>
      </c>
      <c r="I284" s="70">
        <v>0.51</v>
      </c>
      <c r="J284" s="70">
        <v>0.68</v>
      </c>
      <c r="K284" s="70">
        <v>0.52</v>
      </c>
      <c r="L284" s="70">
        <v>0.4</v>
      </c>
      <c r="M284" s="70">
        <v>0.21</v>
      </c>
      <c r="N284" s="70">
        <v>0.12</v>
      </c>
      <c r="O284" s="70">
        <v>0.11</v>
      </c>
      <c r="P284" s="71">
        <v>0.28000000000000003</v>
      </c>
      <c r="Q284" s="64"/>
      <c r="R284" s="64"/>
      <c r="S284" s="64"/>
      <c r="T284" s="64"/>
      <c r="U284" s="64"/>
      <c r="V284" s="64"/>
      <c r="W284" s="64"/>
      <c r="X284" s="64"/>
      <c r="Y284" s="64"/>
      <c r="Z284" s="64"/>
    </row>
    <row r="285" spans="1:26" thickBot="1">
      <c r="A285" s="66" t="str">
        <f t="shared" si="12"/>
        <v>Latitude 1290</v>
      </c>
      <c r="B285" s="86">
        <v>12.9</v>
      </c>
      <c r="C285" s="69">
        <v>90</v>
      </c>
      <c r="D285" s="70">
        <v>0.09</v>
      </c>
      <c r="E285" s="70">
        <v>0.08</v>
      </c>
      <c r="F285" s="70">
        <v>0.08</v>
      </c>
      <c r="G285" s="70">
        <v>0.09</v>
      </c>
      <c r="H285" s="70">
        <v>0.28999999999999998</v>
      </c>
      <c r="I285" s="70">
        <v>0.44</v>
      </c>
      <c r="J285" s="70">
        <v>0.61</v>
      </c>
      <c r="K285" s="70">
        <v>0.45</v>
      </c>
      <c r="L285" s="70">
        <v>0.32</v>
      </c>
      <c r="M285" s="70">
        <v>0.14000000000000001</v>
      </c>
      <c r="N285" s="70">
        <v>0.11</v>
      </c>
      <c r="O285" s="70">
        <v>0.1</v>
      </c>
      <c r="P285" s="71">
        <v>0.23</v>
      </c>
      <c r="Q285" s="64"/>
      <c r="R285" s="64"/>
      <c r="S285" s="64"/>
      <c r="T285" s="64"/>
      <c r="U285" s="64"/>
      <c r="V285" s="64"/>
      <c r="W285" s="64"/>
      <c r="X285" s="64"/>
      <c r="Y285" s="64"/>
      <c r="Z285" s="64"/>
    </row>
    <row r="286" spans="1:26" thickBot="1">
      <c r="A286" s="66"/>
      <c r="B286" s="88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66"/>
      <c r="Q286" s="64"/>
      <c r="R286" s="64"/>
      <c r="S286" s="64"/>
      <c r="T286" s="64"/>
      <c r="U286" s="64"/>
      <c r="V286" s="64"/>
      <c r="W286" s="64"/>
      <c r="X286" s="64"/>
      <c r="Y286" s="64"/>
      <c r="Z286" s="64"/>
    </row>
    <row r="287" spans="1:26" thickBot="1">
      <c r="A287" s="66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66"/>
      <c r="Q287" s="64"/>
      <c r="R287" s="64"/>
      <c r="S287" s="64"/>
      <c r="T287" s="64"/>
      <c r="U287" s="64"/>
      <c r="V287" s="64"/>
      <c r="W287" s="64"/>
      <c r="X287" s="64"/>
      <c r="Y287" s="64"/>
      <c r="Z287" s="64"/>
    </row>
    <row r="288" spans="1:26" thickBot="1">
      <c r="A288" s="66"/>
      <c r="B288" s="85" t="s">
        <v>5877</v>
      </c>
      <c r="C288" s="75" t="s">
        <v>5853</v>
      </c>
      <c r="D288" s="75" t="s">
        <v>5827</v>
      </c>
      <c r="E288" s="75" t="s">
        <v>5828</v>
      </c>
      <c r="F288" s="75" t="s">
        <v>5829</v>
      </c>
      <c r="G288" s="75" t="s">
        <v>5830</v>
      </c>
      <c r="H288" s="75" t="s">
        <v>5831</v>
      </c>
      <c r="I288" s="75" t="s">
        <v>5832</v>
      </c>
      <c r="J288" s="75" t="s">
        <v>5833</v>
      </c>
      <c r="K288" s="75" t="s">
        <v>5834</v>
      </c>
      <c r="L288" s="75" t="s">
        <v>5835</v>
      </c>
      <c r="M288" s="75" t="s">
        <v>5836</v>
      </c>
      <c r="N288" s="75" t="s">
        <v>5837</v>
      </c>
      <c r="O288" s="75" t="s">
        <v>5838</v>
      </c>
      <c r="P288" s="74" t="s">
        <v>20</v>
      </c>
      <c r="Q288" s="64"/>
      <c r="R288" s="64"/>
      <c r="S288" s="64"/>
      <c r="T288" s="64"/>
      <c r="U288" s="64"/>
      <c r="V288" s="64"/>
      <c r="W288" s="64"/>
      <c r="X288" s="64"/>
      <c r="Y288" s="64"/>
      <c r="Z288" s="64"/>
    </row>
    <row r="289" spans="1:26" thickBot="1">
      <c r="A289" s="66" t="str">
        <f>$B$288&amp;C289</f>
        <v>Latitude 130</v>
      </c>
      <c r="B289" s="86">
        <v>13</v>
      </c>
      <c r="C289" s="70">
        <v>0</v>
      </c>
      <c r="D289" s="70">
        <v>1</v>
      </c>
      <c r="E289" s="70">
        <v>1</v>
      </c>
      <c r="F289" s="70">
        <v>1</v>
      </c>
      <c r="G289" s="70">
        <v>1</v>
      </c>
      <c r="H289" s="70">
        <v>1</v>
      </c>
      <c r="I289" s="70">
        <v>1</v>
      </c>
      <c r="J289" s="70">
        <v>1</v>
      </c>
      <c r="K289" s="70">
        <v>1</v>
      </c>
      <c r="L289" s="70">
        <v>1</v>
      </c>
      <c r="M289" s="70">
        <v>1</v>
      </c>
      <c r="N289" s="70">
        <v>1</v>
      </c>
      <c r="O289" s="70">
        <v>1</v>
      </c>
      <c r="P289" s="71">
        <v>1</v>
      </c>
      <c r="Q289" s="64"/>
      <c r="R289" s="64"/>
      <c r="S289" s="64"/>
      <c r="T289" s="64"/>
      <c r="U289" s="64"/>
      <c r="V289" s="64"/>
      <c r="W289" s="64"/>
      <c r="X289" s="64"/>
      <c r="Y289" s="64"/>
      <c r="Z289" s="64"/>
    </row>
    <row r="290" spans="1:26" thickBot="1">
      <c r="A290" s="66" t="str">
        <f t="shared" ref="A290:A307" si="13">$B$288&amp;C290</f>
        <v>Latitude 135</v>
      </c>
      <c r="B290" s="86">
        <v>13.5</v>
      </c>
      <c r="C290" s="70">
        <v>5</v>
      </c>
      <c r="D290" s="70">
        <v>0.98</v>
      </c>
      <c r="E290" s="70">
        <v>1</v>
      </c>
      <c r="F290" s="70">
        <v>1.01</v>
      </c>
      <c r="G290" s="70">
        <v>1.03</v>
      </c>
      <c r="H290" s="70">
        <v>1.04</v>
      </c>
      <c r="I290" s="70">
        <v>1.04</v>
      </c>
      <c r="J290" s="70">
        <v>1.03</v>
      </c>
      <c r="K290" s="70">
        <v>1.02</v>
      </c>
      <c r="L290" s="70">
        <v>1.01</v>
      </c>
      <c r="M290" s="70">
        <v>1</v>
      </c>
      <c r="N290" s="70">
        <v>0.98</v>
      </c>
      <c r="O290" s="70">
        <v>0.98</v>
      </c>
      <c r="P290" s="71">
        <v>1.01</v>
      </c>
      <c r="Q290" s="64"/>
      <c r="R290" s="64"/>
      <c r="S290" s="64"/>
      <c r="T290" s="64"/>
      <c r="U290" s="64"/>
      <c r="V290" s="64"/>
      <c r="W290" s="64"/>
      <c r="X290" s="64"/>
      <c r="Y290" s="64"/>
      <c r="Z290" s="64"/>
    </row>
    <row r="291" spans="1:26" thickBot="1">
      <c r="A291" s="66" t="str">
        <f t="shared" si="13"/>
        <v>Latitude 1310</v>
      </c>
      <c r="B291" s="86">
        <v>13.1</v>
      </c>
      <c r="C291" s="70">
        <v>10</v>
      </c>
      <c r="D291" s="70">
        <v>0.96</v>
      </c>
      <c r="E291" s="70">
        <v>0.99</v>
      </c>
      <c r="F291" s="70">
        <v>1.02</v>
      </c>
      <c r="G291" s="70">
        <v>1.05</v>
      </c>
      <c r="H291" s="70">
        <v>1.07</v>
      </c>
      <c r="I291" s="70">
        <v>1.07</v>
      </c>
      <c r="J291" s="70">
        <v>1.06</v>
      </c>
      <c r="K291" s="70">
        <v>1.04</v>
      </c>
      <c r="L291" s="70">
        <v>1.02</v>
      </c>
      <c r="M291" s="70">
        <v>0.99</v>
      </c>
      <c r="N291" s="70">
        <v>0.96</v>
      </c>
      <c r="O291" s="70">
        <v>0.95</v>
      </c>
      <c r="P291" s="71">
        <v>1.02</v>
      </c>
      <c r="Q291" s="64"/>
      <c r="R291" s="64"/>
      <c r="S291" s="64"/>
      <c r="T291" s="64"/>
      <c r="U291" s="64"/>
      <c r="V291" s="64"/>
      <c r="W291" s="64"/>
      <c r="X291" s="64"/>
      <c r="Y291" s="64"/>
      <c r="Z291" s="64"/>
    </row>
    <row r="292" spans="1:26" thickBot="1">
      <c r="A292" s="66" t="str">
        <f t="shared" si="13"/>
        <v>Latitude 1315</v>
      </c>
      <c r="B292" s="86">
        <v>13.15</v>
      </c>
      <c r="C292" s="70">
        <v>15</v>
      </c>
      <c r="D292" s="70">
        <v>0.93</v>
      </c>
      <c r="E292" s="70">
        <v>0.97</v>
      </c>
      <c r="F292" s="70">
        <v>1.02</v>
      </c>
      <c r="G292" s="70">
        <v>1.07</v>
      </c>
      <c r="H292" s="70">
        <v>1.1000000000000001</v>
      </c>
      <c r="I292" s="70">
        <v>1.1000000000000001</v>
      </c>
      <c r="J292" s="70">
        <v>1.08</v>
      </c>
      <c r="K292" s="70">
        <v>1.05</v>
      </c>
      <c r="L292" s="70">
        <v>1.01</v>
      </c>
      <c r="M292" s="70">
        <v>0.97</v>
      </c>
      <c r="N292" s="70">
        <v>0.93</v>
      </c>
      <c r="O292" s="70">
        <v>0.92</v>
      </c>
      <c r="P292" s="71">
        <v>1.01</v>
      </c>
      <c r="Q292" s="64"/>
      <c r="R292" s="64"/>
      <c r="S292" s="64"/>
      <c r="T292" s="64"/>
      <c r="U292" s="64"/>
      <c r="V292" s="64"/>
      <c r="W292" s="64"/>
      <c r="X292" s="64"/>
      <c r="Y292" s="64"/>
      <c r="Z292" s="64"/>
    </row>
    <row r="293" spans="1:26" thickBot="1">
      <c r="A293" s="66" t="str">
        <f t="shared" si="13"/>
        <v>Latitude 1320</v>
      </c>
      <c r="B293" s="86">
        <v>13.2</v>
      </c>
      <c r="C293" s="70">
        <v>20</v>
      </c>
      <c r="D293" s="70">
        <v>0.9</v>
      </c>
      <c r="E293" s="70">
        <v>0.94</v>
      </c>
      <c r="F293" s="70">
        <v>1.01</v>
      </c>
      <c r="G293" s="70">
        <v>1.07</v>
      </c>
      <c r="H293" s="70">
        <v>1.1200000000000001</v>
      </c>
      <c r="I293" s="70">
        <v>1.1200000000000001</v>
      </c>
      <c r="J293" s="70">
        <v>1.1000000000000001</v>
      </c>
      <c r="K293" s="70">
        <v>1.06</v>
      </c>
      <c r="L293" s="70">
        <v>1</v>
      </c>
      <c r="M293" s="70">
        <v>0.95</v>
      </c>
      <c r="N293" s="70">
        <v>0.9</v>
      </c>
      <c r="O293" s="70">
        <v>0.88</v>
      </c>
      <c r="P293" s="71">
        <v>1</v>
      </c>
      <c r="Q293" s="64"/>
      <c r="R293" s="64"/>
      <c r="S293" s="64"/>
      <c r="T293" s="64"/>
      <c r="U293" s="64"/>
      <c r="V293" s="64"/>
      <c r="W293" s="64"/>
      <c r="X293" s="64"/>
      <c r="Y293" s="64"/>
      <c r="Z293" s="64"/>
    </row>
    <row r="294" spans="1:26" thickBot="1">
      <c r="A294" s="66" t="str">
        <f t="shared" si="13"/>
        <v>Latitude 1325</v>
      </c>
      <c r="B294" s="86">
        <v>13.25</v>
      </c>
      <c r="C294" s="70">
        <v>25</v>
      </c>
      <c r="D294" s="70">
        <v>0.85</v>
      </c>
      <c r="E294" s="70">
        <v>0.91</v>
      </c>
      <c r="F294" s="70">
        <v>0.99</v>
      </c>
      <c r="G294" s="70">
        <v>1.08</v>
      </c>
      <c r="H294" s="70">
        <v>1.1299999999999999</v>
      </c>
      <c r="I294" s="70">
        <v>1.1299999999999999</v>
      </c>
      <c r="J294" s="70">
        <v>1.1000000000000001</v>
      </c>
      <c r="K294" s="70">
        <v>1.06</v>
      </c>
      <c r="L294" s="70">
        <v>0.99</v>
      </c>
      <c r="M294" s="70">
        <v>0.92</v>
      </c>
      <c r="N294" s="70">
        <v>0.86</v>
      </c>
      <c r="O294" s="70">
        <v>0.83</v>
      </c>
      <c r="P294" s="71">
        <v>0.99</v>
      </c>
      <c r="Q294" s="64"/>
      <c r="R294" s="64"/>
      <c r="S294" s="64"/>
      <c r="T294" s="64"/>
      <c r="U294" s="64"/>
      <c r="V294" s="64"/>
      <c r="W294" s="64"/>
      <c r="X294" s="64"/>
      <c r="Y294" s="64"/>
      <c r="Z294" s="64"/>
    </row>
    <row r="295" spans="1:26" thickBot="1">
      <c r="A295" s="66" t="str">
        <f t="shared" si="13"/>
        <v>Latitude 1330</v>
      </c>
      <c r="B295" s="86">
        <v>13.3</v>
      </c>
      <c r="C295" s="70">
        <v>30</v>
      </c>
      <c r="D295" s="70">
        <v>0.81</v>
      </c>
      <c r="E295" s="70">
        <v>0.88</v>
      </c>
      <c r="F295" s="70">
        <v>0.97</v>
      </c>
      <c r="G295" s="70">
        <v>1.07</v>
      </c>
      <c r="H295" s="70">
        <v>1.1299999999999999</v>
      </c>
      <c r="I295" s="70">
        <v>1.1399999999999999</v>
      </c>
      <c r="J295" s="70">
        <v>1.1000000000000001</v>
      </c>
      <c r="K295" s="70">
        <v>1.05</v>
      </c>
      <c r="L295" s="70">
        <v>0.97</v>
      </c>
      <c r="M295" s="70">
        <v>0.88</v>
      </c>
      <c r="N295" s="70">
        <v>0.81</v>
      </c>
      <c r="O295" s="70">
        <v>0.78</v>
      </c>
      <c r="P295" s="71">
        <v>0.97</v>
      </c>
      <c r="Q295" s="64"/>
      <c r="R295" s="64"/>
      <c r="S295" s="64"/>
      <c r="T295" s="64"/>
      <c r="U295" s="64"/>
      <c r="V295" s="64"/>
      <c r="W295" s="64"/>
      <c r="X295" s="64"/>
      <c r="Y295" s="64"/>
      <c r="Z295" s="64"/>
    </row>
    <row r="296" spans="1:26" thickBot="1">
      <c r="A296" s="66" t="str">
        <f t="shared" si="13"/>
        <v>Latitude 1335</v>
      </c>
      <c r="B296" s="86">
        <v>13.35</v>
      </c>
      <c r="C296" s="70">
        <v>35</v>
      </c>
      <c r="D296" s="70">
        <v>0.75</v>
      </c>
      <c r="E296" s="70">
        <v>0.83</v>
      </c>
      <c r="F296" s="70">
        <v>0.94</v>
      </c>
      <c r="G296" s="70">
        <v>1.05</v>
      </c>
      <c r="H296" s="70">
        <v>1.1299999999999999</v>
      </c>
      <c r="I296" s="70">
        <v>1.1399999999999999</v>
      </c>
      <c r="J296" s="70">
        <v>1.1000000000000001</v>
      </c>
      <c r="K296" s="70">
        <v>1.03</v>
      </c>
      <c r="L296" s="70">
        <v>0.94</v>
      </c>
      <c r="M296" s="70">
        <v>0.84</v>
      </c>
      <c r="N296" s="70">
        <v>0.76</v>
      </c>
      <c r="O296" s="70">
        <v>0.72</v>
      </c>
      <c r="P296" s="71">
        <v>0.94</v>
      </c>
      <c r="Q296" s="64"/>
      <c r="R296" s="64"/>
      <c r="S296" s="64"/>
      <c r="T296" s="64"/>
      <c r="U296" s="64"/>
      <c r="V296" s="64"/>
      <c r="W296" s="64"/>
      <c r="X296" s="64"/>
      <c r="Y296" s="64"/>
      <c r="Z296" s="64"/>
    </row>
    <row r="297" spans="1:26" thickBot="1">
      <c r="A297" s="66" t="str">
        <f t="shared" si="13"/>
        <v>Latitude 1340</v>
      </c>
      <c r="B297" s="86">
        <v>13.4</v>
      </c>
      <c r="C297" s="70">
        <v>40</v>
      </c>
      <c r="D297" s="70">
        <v>0.69</v>
      </c>
      <c r="E297" s="70">
        <v>0.78</v>
      </c>
      <c r="F297" s="70">
        <v>0.91</v>
      </c>
      <c r="G297" s="70">
        <v>1.03</v>
      </c>
      <c r="H297" s="70">
        <v>1.1200000000000001</v>
      </c>
      <c r="I297" s="70">
        <v>1.1299999999999999</v>
      </c>
      <c r="J297" s="70">
        <v>1.0900000000000001</v>
      </c>
      <c r="K297" s="70">
        <v>1.01</v>
      </c>
      <c r="L297" s="70">
        <v>0.91</v>
      </c>
      <c r="M297" s="70">
        <v>0.79</v>
      </c>
      <c r="N297" s="70">
        <v>0.7</v>
      </c>
      <c r="O297" s="70">
        <v>0.66</v>
      </c>
      <c r="P297" s="71">
        <v>0.9</v>
      </c>
      <c r="Q297" s="64"/>
      <c r="R297" s="64"/>
      <c r="S297" s="64"/>
      <c r="T297" s="64"/>
      <c r="U297" s="64"/>
      <c r="V297" s="64"/>
      <c r="W297" s="64"/>
      <c r="X297" s="64"/>
      <c r="Y297" s="64"/>
      <c r="Z297" s="64"/>
    </row>
    <row r="298" spans="1:26" thickBot="1">
      <c r="A298" s="66" t="str">
        <f t="shared" si="13"/>
        <v>Latitude 1345</v>
      </c>
      <c r="B298" s="86">
        <v>13.45</v>
      </c>
      <c r="C298" s="70">
        <v>45</v>
      </c>
      <c r="D298" s="70">
        <v>0.63</v>
      </c>
      <c r="E298" s="70">
        <v>0.73</v>
      </c>
      <c r="F298" s="70">
        <v>0.87</v>
      </c>
      <c r="G298" s="70">
        <v>1.01</v>
      </c>
      <c r="H298" s="70">
        <v>1.1000000000000001</v>
      </c>
      <c r="I298" s="70">
        <v>1.1100000000000001</v>
      </c>
      <c r="J298" s="70">
        <v>1.07</v>
      </c>
      <c r="K298" s="70">
        <v>0.98</v>
      </c>
      <c r="L298" s="70">
        <v>0.87</v>
      </c>
      <c r="M298" s="70">
        <v>0.74</v>
      </c>
      <c r="N298" s="70">
        <v>0.64</v>
      </c>
      <c r="O298" s="70">
        <v>0.6</v>
      </c>
      <c r="P298" s="71">
        <v>0.86</v>
      </c>
      <c r="Q298" s="64"/>
      <c r="R298" s="64"/>
      <c r="S298" s="64"/>
      <c r="T298" s="64"/>
      <c r="U298" s="64"/>
      <c r="V298" s="64"/>
      <c r="W298" s="64"/>
      <c r="X298" s="64"/>
      <c r="Y298" s="64"/>
      <c r="Z298" s="64"/>
    </row>
    <row r="299" spans="1:26" thickBot="1">
      <c r="A299" s="66" t="str">
        <f t="shared" si="13"/>
        <v>Latitude 1350</v>
      </c>
      <c r="B299" s="86">
        <v>13.5</v>
      </c>
      <c r="C299" s="70">
        <v>50</v>
      </c>
      <c r="D299" s="70">
        <v>0.56000000000000005</v>
      </c>
      <c r="E299" s="70">
        <v>0.67</v>
      </c>
      <c r="F299" s="70">
        <v>0.82</v>
      </c>
      <c r="G299" s="70">
        <v>0.97</v>
      </c>
      <c r="H299" s="70">
        <v>1.07</v>
      </c>
      <c r="I299" s="70">
        <v>1.0900000000000001</v>
      </c>
      <c r="J299" s="70">
        <v>1.04</v>
      </c>
      <c r="K299" s="70">
        <v>0.95</v>
      </c>
      <c r="L299" s="70">
        <v>0.82</v>
      </c>
      <c r="M299" s="70">
        <v>0.68</v>
      </c>
      <c r="N299" s="70">
        <v>0.56999999999999995</v>
      </c>
      <c r="O299" s="70">
        <v>0.53</v>
      </c>
      <c r="P299" s="71">
        <v>0.81</v>
      </c>
      <c r="Q299" s="64"/>
      <c r="R299" s="64"/>
      <c r="S299" s="64"/>
      <c r="T299" s="64"/>
      <c r="U299" s="64"/>
      <c r="V299" s="64"/>
      <c r="W299" s="64"/>
      <c r="X299" s="64"/>
      <c r="Y299" s="64"/>
      <c r="Z299" s="64"/>
    </row>
    <row r="300" spans="1:26" thickBot="1">
      <c r="A300" s="66" t="str">
        <f t="shared" si="13"/>
        <v>Latitude 1355</v>
      </c>
      <c r="B300" s="86">
        <v>13.55</v>
      </c>
      <c r="C300" s="70">
        <v>55</v>
      </c>
      <c r="D300" s="70">
        <v>0.49</v>
      </c>
      <c r="E300" s="70">
        <v>0.61</v>
      </c>
      <c r="F300" s="70">
        <v>0.77</v>
      </c>
      <c r="G300" s="70">
        <v>0.93</v>
      </c>
      <c r="H300" s="70">
        <v>1.04</v>
      </c>
      <c r="I300" s="70">
        <v>1.06</v>
      </c>
      <c r="J300" s="70">
        <v>1.01</v>
      </c>
      <c r="K300" s="70">
        <v>0.91</v>
      </c>
      <c r="L300" s="70">
        <v>0.77</v>
      </c>
      <c r="M300" s="70">
        <v>0.62</v>
      </c>
      <c r="N300" s="70">
        <v>0.5</v>
      </c>
      <c r="O300" s="70">
        <v>0.45</v>
      </c>
      <c r="P300" s="71">
        <v>0.76</v>
      </c>
      <c r="Q300" s="64"/>
      <c r="R300" s="64"/>
      <c r="S300" s="64"/>
      <c r="T300" s="64"/>
      <c r="U300" s="64"/>
      <c r="V300" s="64"/>
      <c r="W300" s="64"/>
      <c r="X300" s="64"/>
      <c r="Y300" s="64"/>
      <c r="Z300" s="64"/>
    </row>
    <row r="301" spans="1:26" thickBot="1">
      <c r="A301" s="66" t="str">
        <f t="shared" si="13"/>
        <v>Latitude 1360</v>
      </c>
      <c r="B301" s="86">
        <v>13.6</v>
      </c>
      <c r="C301" s="70">
        <v>60</v>
      </c>
      <c r="D301" s="70">
        <v>0.42</v>
      </c>
      <c r="E301" s="70">
        <v>0.54</v>
      </c>
      <c r="F301" s="70">
        <v>0.71</v>
      </c>
      <c r="G301" s="70">
        <v>0.88</v>
      </c>
      <c r="H301" s="70">
        <v>1</v>
      </c>
      <c r="I301" s="70">
        <v>1.03</v>
      </c>
      <c r="J301" s="70">
        <v>0.97</v>
      </c>
      <c r="K301" s="70">
        <v>0.86</v>
      </c>
      <c r="L301" s="70">
        <v>0.71</v>
      </c>
      <c r="M301" s="70">
        <v>0.55000000000000004</v>
      </c>
      <c r="N301" s="70">
        <v>0.43</v>
      </c>
      <c r="O301" s="70">
        <v>0.38</v>
      </c>
      <c r="P301" s="71">
        <v>0.71</v>
      </c>
      <c r="Q301" s="64"/>
      <c r="R301" s="64"/>
      <c r="S301" s="64"/>
      <c r="T301" s="64"/>
      <c r="U301" s="64"/>
      <c r="V301" s="64"/>
      <c r="W301" s="64"/>
      <c r="X301" s="64"/>
      <c r="Y301" s="64"/>
      <c r="Z301" s="64"/>
    </row>
    <row r="302" spans="1:26" thickBot="1">
      <c r="A302" s="66" t="str">
        <f t="shared" si="13"/>
        <v>Latitude 1365</v>
      </c>
      <c r="B302" s="86">
        <v>13.65</v>
      </c>
      <c r="C302" s="70">
        <v>65</v>
      </c>
      <c r="D302" s="70">
        <v>0.34</v>
      </c>
      <c r="E302" s="70">
        <v>0.47</v>
      </c>
      <c r="F302" s="70">
        <v>0.65</v>
      </c>
      <c r="G302" s="70">
        <v>0.83</v>
      </c>
      <c r="H302" s="70">
        <v>0.96</v>
      </c>
      <c r="I302" s="70">
        <v>0.98</v>
      </c>
      <c r="J302" s="70">
        <v>0.92</v>
      </c>
      <c r="K302" s="70">
        <v>0.81</v>
      </c>
      <c r="L302" s="70">
        <v>0.65</v>
      </c>
      <c r="M302" s="70">
        <v>0.48</v>
      </c>
      <c r="N302" s="70">
        <v>0.35</v>
      </c>
      <c r="O302" s="70">
        <v>0.3</v>
      </c>
      <c r="P302" s="71">
        <v>0.65</v>
      </c>
      <c r="Q302" s="64"/>
      <c r="R302" s="64"/>
      <c r="S302" s="64"/>
      <c r="T302" s="64"/>
      <c r="U302" s="64"/>
      <c r="V302" s="64"/>
      <c r="W302" s="64"/>
      <c r="X302" s="64"/>
      <c r="Y302" s="64"/>
      <c r="Z302" s="64"/>
    </row>
    <row r="303" spans="1:26" thickBot="1">
      <c r="A303" s="66" t="str">
        <f t="shared" si="13"/>
        <v>Latitude 1370</v>
      </c>
      <c r="B303" s="86">
        <v>13.7</v>
      </c>
      <c r="C303" s="70">
        <v>70</v>
      </c>
      <c r="D303" s="70">
        <v>0.26</v>
      </c>
      <c r="E303" s="70">
        <v>0.39</v>
      </c>
      <c r="F303" s="70">
        <v>0.57999999999999996</v>
      </c>
      <c r="G303" s="70">
        <v>0.77</v>
      </c>
      <c r="H303" s="70">
        <v>0.91</v>
      </c>
      <c r="I303" s="70">
        <v>0.94</v>
      </c>
      <c r="J303" s="70">
        <v>0.87</v>
      </c>
      <c r="K303" s="70">
        <v>0.76</v>
      </c>
      <c r="L303" s="70">
        <v>0.59</v>
      </c>
      <c r="M303" s="70">
        <v>0.41</v>
      </c>
      <c r="N303" s="70">
        <v>0.27</v>
      </c>
      <c r="O303" s="70">
        <v>0.22</v>
      </c>
      <c r="P303" s="71">
        <v>0.57999999999999996</v>
      </c>
      <c r="Q303" s="64"/>
      <c r="R303" s="64"/>
      <c r="S303" s="64"/>
      <c r="T303" s="64"/>
      <c r="U303" s="64"/>
      <c r="V303" s="64"/>
      <c r="W303" s="64"/>
      <c r="X303" s="64"/>
      <c r="Y303" s="64"/>
      <c r="Z303" s="64"/>
    </row>
    <row r="304" spans="1:26" thickBot="1">
      <c r="A304" s="66" t="str">
        <f t="shared" si="13"/>
        <v>Latitude 1375</v>
      </c>
      <c r="B304" s="86">
        <v>13.75</v>
      </c>
      <c r="C304" s="70">
        <v>75</v>
      </c>
      <c r="D304" s="70">
        <v>0.18</v>
      </c>
      <c r="E304" s="70">
        <v>0.32</v>
      </c>
      <c r="F304" s="70">
        <v>0.51</v>
      </c>
      <c r="G304" s="70">
        <v>0.78100000000000003</v>
      </c>
      <c r="H304" s="70">
        <v>0.85</v>
      </c>
      <c r="I304" s="70">
        <v>0.88</v>
      </c>
      <c r="J304" s="70">
        <v>0.82</v>
      </c>
      <c r="K304" s="70">
        <v>0.7</v>
      </c>
      <c r="L304" s="70">
        <v>0.52</v>
      </c>
      <c r="M304" s="70">
        <v>0.34</v>
      </c>
      <c r="N304" s="70">
        <v>0.19</v>
      </c>
      <c r="O304" s="70">
        <v>0.14000000000000001</v>
      </c>
      <c r="P304" s="71">
        <v>0.52</v>
      </c>
      <c r="Q304" s="64"/>
      <c r="R304" s="64"/>
      <c r="S304" s="64"/>
      <c r="T304" s="64"/>
      <c r="U304" s="64"/>
      <c r="V304" s="64"/>
      <c r="W304" s="64"/>
      <c r="X304" s="64"/>
      <c r="Y304" s="64"/>
      <c r="Z304" s="64"/>
    </row>
    <row r="305" spans="1:26" thickBot="1">
      <c r="A305" s="66" t="str">
        <f t="shared" si="13"/>
        <v>Latitude 1380</v>
      </c>
      <c r="B305" s="86">
        <v>13.8</v>
      </c>
      <c r="C305" s="70">
        <v>80</v>
      </c>
      <c r="D305" s="70">
        <v>0.1</v>
      </c>
      <c r="E305" s="70">
        <v>0.24</v>
      </c>
      <c r="F305" s="70">
        <v>0.44</v>
      </c>
      <c r="G305" s="70">
        <v>0.64</v>
      </c>
      <c r="H305" s="70">
        <v>0.79</v>
      </c>
      <c r="I305" s="70">
        <v>0.82</v>
      </c>
      <c r="J305" s="70">
        <v>0.76</v>
      </c>
      <c r="K305" s="70">
        <v>0.63</v>
      </c>
      <c r="L305" s="70">
        <v>0.45</v>
      </c>
      <c r="M305" s="70">
        <v>0.26</v>
      </c>
      <c r="N305" s="70">
        <v>0.11</v>
      </c>
      <c r="O305" s="70">
        <v>0.1</v>
      </c>
      <c r="P305" s="71">
        <v>0.45</v>
      </c>
      <c r="Q305" s="64"/>
      <c r="R305" s="64"/>
      <c r="S305" s="64"/>
      <c r="T305" s="64"/>
      <c r="U305" s="64"/>
      <c r="V305" s="64"/>
      <c r="W305" s="64"/>
      <c r="X305" s="64"/>
      <c r="Y305" s="64"/>
      <c r="Z305" s="64"/>
    </row>
    <row r="306" spans="1:26" thickBot="1">
      <c r="A306" s="66" t="str">
        <f t="shared" si="13"/>
        <v>Latitude 1385</v>
      </c>
      <c r="B306" s="86">
        <v>13.85</v>
      </c>
      <c r="C306" s="70">
        <v>85</v>
      </c>
      <c r="D306" s="70">
        <v>0.09</v>
      </c>
      <c r="E306" s="70">
        <v>0.16</v>
      </c>
      <c r="F306" s="70">
        <v>0.36</v>
      </c>
      <c r="G306" s="70">
        <v>0.56999999999999995</v>
      </c>
      <c r="H306" s="70">
        <v>0.72</v>
      </c>
      <c r="I306" s="70">
        <v>0.76</v>
      </c>
      <c r="J306" s="70">
        <v>0.7</v>
      </c>
      <c r="K306" s="70">
        <v>0.56000000000000005</v>
      </c>
      <c r="L306" s="70">
        <v>0.38</v>
      </c>
      <c r="M306" s="70">
        <v>0.19</v>
      </c>
      <c r="N306" s="70">
        <v>0.1</v>
      </c>
      <c r="O306" s="70">
        <v>0.09</v>
      </c>
      <c r="P306" s="71">
        <v>0.39</v>
      </c>
      <c r="Q306" s="64"/>
      <c r="R306" s="64"/>
      <c r="S306" s="64"/>
      <c r="T306" s="64"/>
      <c r="U306" s="64"/>
      <c r="V306" s="64"/>
      <c r="W306" s="64"/>
      <c r="X306" s="64"/>
      <c r="Y306" s="64"/>
      <c r="Z306" s="64"/>
    </row>
    <row r="307" spans="1:26" thickBot="1">
      <c r="A307" s="66" t="str">
        <f t="shared" si="13"/>
        <v>Latitude 1390</v>
      </c>
      <c r="B307" s="86">
        <v>13.9</v>
      </c>
      <c r="C307" s="70">
        <v>90</v>
      </c>
      <c r="D307" s="70">
        <v>0.08</v>
      </c>
      <c r="E307" s="70">
        <v>0.08</v>
      </c>
      <c r="F307" s="70">
        <v>0.28000000000000003</v>
      </c>
      <c r="G307" s="70">
        <v>0.49</v>
      </c>
      <c r="H307" s="70">
        <v>0.65</v>
      </c>
      <c r="I307" s="70">
        <v>0.69</v>
      </c>
      <c r="J307" s="70">
        <v>0.63</v>
      </c>
      <c r="K307" s="70">
        <v>0.49</v>
      </c>
      <c r="L307" s="70">
        <v>0.31</v>
      </c>
      <c r="M307" s="70">
        <v>0.11</v>
      </c>
      <c r="N307" s="70">
        <v>0.09</v>
      </c>
      <c r="O307" s="70">
        <v>0.08</v>
      </c>
      <c r="P307" s="71">
        <v>0.33</v>
      </c>
      <c r="Q307" s="64"/>
      <c r="R307" s="64"/>
      <c r="S307" s="64"/>
      <c r="T307" s="64"/>
      <c r="U307" s="64"/>
      <c r="V307" s="64"/>
      <c r="W307" s="64"/>
      <c r="X307" s="64"/>
      <c r="Y307" s="64"/>
      <c r="Z307" s="64"/>
    </row>
    <row r="308" spans="1:26" thickBot="1">
      <c r="A308" s="66"/>
      <c r="B308" s="88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66"/>
      <c r="Q308" s="64"/>
      <c r="R308" s="64"/>
      <c r="S308" s="64"/>
      <c r="T308" s="64"/>
      <c r="U308" s="64"/>
      <c r="V308" s="64"/>
      <c r="W308" s="64"/>
      <c r="X308" s="64"/>
      <c r="Y308" s="64"/>
      <c r="Z308" s="64"/>
    </row>
    <row r="309" spans="1:26" thickBot="1">
      <c r="A309" s="66"/>
      <c r="B309" s="88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66"/>
      <c r="Q309" s="64"/>
      <c r="R309" s="64"/>
      <c r="S309" s="64"/>
      <c r="T309" s="64"/>
      <c r="U309" s="64"/>
      <c r="V309" s="64"/>
      <c r="W309" s="64"/>
      <c r="X309" s="64"/>
      <c r="Y309" s="64"/>
      <c r="Z309" s="64"/>
    </row>
    <row r="310" spans="1:26" thickBot="1">
      <c r="A310" s="66"/>
      <c r="B310" s="85" t="s">
        <v>5878</v>
      </c>
      <c r="C310" s="75" t="s">
        <v>5853</v>
      </c>
      <c r="D310" s="75" t="s">
        <v>5827</v>
      </c>
      <c r="E310" s="75" t="s">
        <v>5828</v>
      </c>
      <c r="F310" s="75" t="s">
        <v>5829</v>
      </c>
      <c r="G310" s="75" t="s">
        <v>5830</v>
      </c>
      <c r="H310" s="75" t="s">
        <v>5831</v>
      </c>
      <c r="I310" s="75" t="s">
        <v>5832</v>
      </c>
      <c r="J310" s="75" t="s">
        <v>5833</v>
      </c>
      <c r="K310" s="75" t="s">
        <v>5834</v>
      </c>
      <c r="L310" s="75" t="s">
        <v>5835</v>
      </c>
      <c r="M310" s="75" t="s">
        <v>5836</v>
      </c>
      <c r="N310" s="75" t="s">
        <v>5837</v>
      </c>
      <c r="O310" s="75" t="s">
        <v>5838</v>
      </c>
      <c r="P310" s="74" t="s">
        <v>20</v>
      </c>
      <c r="Q310" s="64"/>
      <c r="R310" s="64"/>
      <c r="S310" s="64"/>
      <c r="T310" s="64"/>
      <c r="U310" s="64"/>
      <c r="V310" s="64"/>
      <c r="W310" s="64"/>
      <c r="X310" s="64"/>
      <c r="Y310" s="64"/>
      <c r="Z310" s="64"/>
    </row>
    <row r="311" spans="1:26" thickBot="1">
      <c r="A311" s="66" t="str">
        <f>$B$310&amp;C311</f>
        <v>Latitude 140</v>
      </c>
      <c r="B311" s="86">
        <v>14</v>
      </c>
      <c r="C311" s="70">
        <v>0</v>
      </c>
      <c r="D311" s="70">
        <v>1</v>
      </c>
      <c r="E311" s="70">
        <v>1</v>
      </c>
      <c r="F311" s="70">
        <v>1</v>
      </c>
      <c r="G311" s="70">
        <v>1</v>
      </c>
      <c r="H311" s="70">
        <v>1</v>
      </c>
      <c r="I311" s="70">
        <v>1</v>
      </c>
      <c r="J311" s="70">
        <v>1</v>
      </c>
      <c r="K311" s="70">
        <v>1</v>
      </c>
      <c r="L311" s="70">
        <v>1</v>
      </c>
      <c r="M311" s="70">
        <v>1</v>
      </c>
      <c r="N311" s="70">
        <v>1</v>
      </c>
      <c r="O311" s="70">
        <v>1</v>
      </c>
      <c r="P311" s="71">
        <v>1</v>
      </c>
      <c r="Q311" s="64"/>
      <c r="R311" s="64"/>
      <c r="S311" s="64"/>
      <c r="T311" s="64"/>
      <c r="U311" s="64"/>
      <c r="V311" s="64"/>
      <c r="W311" s="64"/>
      <c r="X311" s="64"/>
      <c r="Y311" s="64"/>
      <c r="Z311" s="64"/>
    </row>
    <row r="312" spans="1:26" thickBot="1">
      <c r="A312" s="66" t="str">
        <f t="shared" ref="A312:A329" si="14">$B$310&amp;C312</f>
        <v>Latitude 145</v>
      </c>
      <c r="B312" s="86">
        <v>14.5</v>
      </c>
      <c r="C312" s="70">
        <v>5</v>
      </c>
      <c r="D312" s="70">
        <v>0.99</v>
      </c>
      <c r="E312" s="70">
        <v>1</v>
      </c>
      <c r="F312" s="70">
        <v>1.01</v>
      </c>
      <c r="G312" s="70">
        <v>1.03</v>
      </c>
      <c r="H312" s="70">
        <v>1.04</v>
      </c>
      <c r="I312" s="70">
        <v>1.04</v>
      </c>
      <c r="J312" s="70">
        <v>1.04</v>
      </c>
      <c r="K312" s="70">
        <v>1.03</v>
      </c>
      <c r="L312" s="70">
        <v>1.01</v>
      </c>
      <c r="M312" s="70">
        <v>1</v>
      </c>
      <c r="N312" s="70">
        <v>0.99</v>
      </c>
      <c r="O312" s="70">
        <v>0.98</v>
      </c>
      <c r="P312" s="71">
        <v>1.01</v>
      </c>
      <c r="Q312" s="64"/>
      <c r="R312" s="64"/>
      <c r="S312" s="64"/>
      <c r="T312" s="64"/>
      <c r="U312" s="64"/>
      <c r="V312" s="64"/>
      <c r="W312" s="64"/>
      <c r="X312" s="64"/>
      <c r="Y312" s="64"/>
      <c r="Z312" s="64"/>
    </row>
    <row r="313" spans="1:26" thickBot="1">
      <c r="A313" s="66" t="str">
        <f t="shared" si="14"/>
        <v>Latitude 1410</v>
      </c>
      <c r="B313" s="86">
        <v>14.1</v>
      </c>
      <c r="C313" s="70">
        <v>10</v>
      </c>
      <c r="D313" s="70">
        <v>0.96</v>
      </c>
      <c r="E313" s="70">
        <v>0.99</v>
      </c>
      <c r="F313" s="70">
        <v>1.02</v>
      </c>
      <c r="G313" s="70">
        <v>1.05</v>
      </c>
      <c r="H313" s="70">
        <v>1.08</v>
      </c>
      <c r="I313" s="70">
        <v>1.08</v>
      </c>
      <c r="J313" s="70">
        <v>1.06</v>
      </c>
      <c r="K313" s="70">
        <v>1.04</v>
      </c>
      <c r="L313" s="70">
        <v>1.02</v>
      </c>
      <c r="M313" s="70">
        <v>0.99</v>
      </c>
      <c r="N313" s="70">
        <v>0.96</v>
      </c>
      <c r="O313" s="70">
        <v>0.96</v>
      </c>
      <c r="P313" s="71">
        <v>1.02</v>
      </c>
      <c r="Q313" s="64"/>
      <c r="R313" s="64"/>
      <c r="S313" s="64"/>
      <c r="T313" s="64"/>
      <c r="U313" s="64"/>
      <c r="V313" s="64"/>
      <c r="W313" s="64"/>
      <c r="X313" s="64"/>
      <c r="Y313" s="64"/>
      <c r="Z313" s="64"/>
    </row>
    <row r="314" spans="1:26" thickBot="1">
      <c r="A314" s="66" t="str">
        <f t="shared" si="14"/>
        <v>Latitude 1415</v>
      </c>
      <c r="B314" s="86">
        <v>14.15</v>
      </c>
      <c r="C314" s="70">
        <v>15</v>
      </c>
      <c r="D314" s="70">
        <v>0.94</v>
      </c>
      <c r="E314" s="70">
        <v>0.97</v>
      </c>
      <c r="F314" s="70">
        <v>1.02</v>
      </c>
      <c r="G314" s="70">
        <v>1.07</v>
      </c>
      <c r="H314" s="70">
        <v>1.1000000000000001</v>
      </c>
      <c r="I314" s="70">
        <v>1.1000000000000001</v>
      </c>
      <c r="J314" s="70">
        <v>1.0900000000000001</v>
      </c>
      <c r="K314" s="70">
        <v>1.06</v>
      </c>
      <c r="L314" s="70">
        <v>1.02</v>
      </c>
      <c r="M314" s="70">
        <v>0.97</v>
      </c>
      <c r="N314" s="70">
        <v>0.94</v>
      </c>
      <c r="O314" s="70">
        <v>0.92</v>
      </c>
      <c r="P314" s="71">
        <v>1.02</v>
      </c>
      <c r="Q314" s="64"/>
      <c r="R314" s="64"/>
      <c r="S314" s="64"/>
      <c r="T314" s="64"/>
      <c r="U314" s="64"/>
      <c r="V314" s="64"/>
      <c r="W314" s="64"/>
      <c r="X314" s="64"/>
      <c r="Y314" s="64"/>
      <c r="Z314" s="64"/>
    </row>
    <row r="315" spans="1:26" thickBot="1">
      <c r="A315" s="66" t="str">
        <f t="shared" si="14"/>
        <v>Latitude 1420</v>
      </c>
      <c r="B315" s="86">
        <v>14.2</v>
      </c>
      <c r="C315" s="70">
        <v>20</v>
      </c>
      <c r="D315" s="70">
        <v>0.9</v>
      </c>
      <c r="E315" s="70">
        <v>0.95</v>
      </c>
      <c r="F315" s="70">
        <v>1.01</v>
      </c>
      <c r="G315" s="70">
        <v>1.08</v>
      </c>
      <c r="H315" s="70">
        <v>1.1200000000000001</v>
      </c>
      <c r="I315" s="70">
        <v>1.1299999999999999</v>
      </c>
      <c r="J315" s="70">
        <v>1.1000000000000001</v>
      </c>
      <c r="K315" s="70">
        <v>1.06</v>
      </c>
      <c r="L315" s="70">
        <v>1.01</v>
      </c>
      <c r="M315" s="70">
        <v>0.95</v>
      </c>
      <c r="N315" s="70">
        <v>0.9</v>
      </c>
      <c r="O315" s="70">
        <v>0.88</v>
      </c>
      <c r="P315" s="71">
        <v>1.01</v>
      </c>
      <c r="Q315" s="64"/>
      <c r="R315" s="64"/>
      <c r="S315" s="64"/>
      <c r="T315" s="64"/>
      <c r="U315" s="64"/>
      <c r="V315" s="64"/>
      <c r="W315" s="64"/>
      <c r="X315" s="64"/>
      <c r="Y315" s="64"/>
      <c r="Z315" s="64"/>
    </row>
    <row r="316" spans="1:26" thickBot="1">
      <c r="A316" s="66" t="str">
        <f t="shared" si="14"/>
        <v>Latitude 1425</v>
      </c>
      <c r="B316" s="86">
        <v>14.25</v>
      </c>
      <c r="C316" s="70">
        <v>25</v>
      </c>
      <c r="D316" s="70">
        <v>0.86</v>
      </c>
      <c r="E316" s="70">
        <v>0.92</v>
      </c>
      <c r="F316" s="70">
        <v>1</v>
      </c>
      <c r="G316" s="70">
        <v>1.08</v>
      </c>
      <c r="H316" s="70">
        <v>1.1399999999999999</v>
      </c>
      <c r="I316" s="70">
        <v>1.1399999999999999</v>
      </c>
      <c r="J316" s="70">
        <v>1.1100000000000001</v>
      </c>
      <c r="K316" s="70">
        <v>1.06</v>
      </c>
      <c r="L316" s="70">
        <v>1</v>
      </c>
      <c r="M316" s="70">
        <v>0.92</v>
      </c>
      <c r="N316" s="70">
        <v>0.86</v>
      </c>
      <c r="O316" s="70">
        <v>0.84</v>
      </c>
      <c r="P316" s="71">
        <v>0.99</v>
      </c>
      <c r="Q316" s="64"/>
      <c r="R316" s="64"/>
      <c r="S316" s="64"/>
      <c r="T316" s="64"/>
      <c r="U316" s="64"/>
      <c r="V316" s="64"/>
      <c r="W316" s="64"/>
      <c r="X316" s="64"/>
      <c r="Y316" s="64"/>
      <c r="Z316" s="64"/>
    </row>
    <row r="317" spans="1:26" thickBot="1">
      <c r="A317" s="66" t="str">
        <f t="shared" si="14"/>
        <v>Latitude 1430</v>
      </c>
      <c r="B317" s="86">
        <v>14.3</v>
      </c>
      <c r="C317" s="70">
        <v>30</v>
      </c>
      <c r="D317" s="70">
        <v>0.81</v>
      </c>
      <c r="E317" s="70">
        <v>0.88</v>
      </c>
      <c r="F317" s="70">
        <v>0.98</v>
      </c>
      <c r="G317" s="70">
        <v>1.08</v>
      </c>
      <c r="H317" s="70">
        <v>1.1399999999999999</v>
      </c>
      <c r="I317" s="70">
        <v>1.1499999999999999</v>
      </c>
      <c r="J317" s="70">
        <v>1.1100000000000001</v>
      </c>
      <c r="K317" s="70">
        <v>1.05</v>
      </c>
      <c r="L317" s="70">
        <v>0.97</v>
      </c>
      <c r="M317" s="70">
        <v>0.89</v>
      </c>
      <c r="N317" s="70">
        <v>0.82</v>
      </c>
      <c r="O317" s="70">
        <v>0.79</v>
      </c>
      <c r="P317" s="71">
        <v>0.97</v>
      </c>
      <c r="Q317" s="64"/>
      <c r="R317" s="64"/>
      <c r="S317" s="64"/>
      <c r="T317" s="64"/>
      <c r="U317" s="64"/>
      <c r="V317" s="64"/>
      <c r="W317" s="64"/>
      <c r="X317" s="64"/>
      <c r="Y317" s="64"/>
      <c r="Z317" s="64"/>
    </row>
    <row r="318" spans="1:26" thickBot="1">
      <c r="A318" s="66" t="str">
        <f t="shared" si="14"/>
        <v>Latitude 1435</v>
      </c>
      <c r="B318" s="86">
        <v>14.35</v>
      </c>
      <c r="C318" s="70">
        <v>35</v>
      </c>
      <c r="D318" s="70">
        <v>0.76</v>
      </c>
      <c r="E318" s="70">
        <v>0.84</v>
      </c>
      <c r="F318" s="70">
        <v>0.95</v>
      </c>
      <c r="G318" s="70">
        <v>1.06</v>
      </c>
      <c r="H318" s="70">
        <v>1.1399999999999999</v>
      </c>
      <c r="I318" s="70">
        <v>1.1499999999999999</v>
      </c>
      <c r="J318" s="70">
        <v>1.1100000000000001</v>
      </c>
      <c r="K318" s="70">
        <v>1.04</v>
      </c>
      <c r="L318" s="70">
        <v>0.95</v>
      </c>
      <c r="M318" s="70">
        <v>0.85</v>
      </c>
      <c r="N318" s="70">
        <v>0.77</v>
      </c>
      <c r="O318" s="70">
        <v>0.73</v>
      </c>
      <c r="P318" s="71">
        <v>0.95</v>
      </c>
      <c r="Q318" s="64"/>
      <c r="R318" s="64"/>
      <c r="S318" s="64"/>
      <c r="T318" s="64"/>
      <c r="U318" s="64"/>
      <c r="V318" s="64"/>
      <c r="W318" s="64"/>
      <c r="X318" s="64"/>
      <c r="Y318" s="64"/>
      <c r="Z318" s="64"/>
    </row>
    <row r="319" spans="1:26" thickBot="1">
      <c r="A319" s="66" t="str">
        <f t="shared" si="14"/>
        <v>Latitude 1440</v>
      </c>
      <c r="B319" s="86">
        <v>14.4</v>
      </c>
      <c r="C319" s="70">
        <v>40</v>
      </c>
      <c r="D319" s="70">
        <v>0.7</v>
      </c>
      <c r="E319" s="70">
        <v>0.79</v>
      </c>
      <c r="F319" s="70">
        <v>0.92</v>
      </c>
      <c r="G319" s="70">
        <v>1.04</v>
      </c>
      <c r="H319" s="70">
        <v>1.1299999999999999</v>
      </c>
      <c r="I319" s="70">
        <v>1.1399999999999999</v>
      </c>
      <c r="J319" s="70">
        <v>1.0900000000000001</v>
      </c>
      <c r="K319" s="70">
        <v>1.02</v>
      </c>
      <c r="L319" s="70">
        <v>0.91</v>
      </c>
      <c r="M319" s="70">
        <v>0.8</v>
      </c>
      <c r="N319" s="70">
        <v>0.71</v>
      </c>
      <c r="O319" s="70">
        <v>0.67</v>
      </c>
      <c r="P319" s="71">
        <v>0.91</v>
      </c>
      <c r="Q319" s="64"/>
      <c r="R319" s="64"/>
      <c r="S319" s="64"/>
      <c r="T319" s="64"/>
      <c r="U319" s="64"/>
      <c r="V319" s="64"/>
      <c r="W319" s="64"/>
      <c r="X319" s="64"/>
      <c r="Y319" s="64"/>
      <c r="Z319" s="64"/>
    </row>
    <row r="320" spans="1:26" thickBot="1">
      <c r="A320" s="66" t="str">
        <f t="shared" si="14"/>
        <v>Latitude 1445</v>
      </c>
      <c r="B320" s="86">
        <v>14.45</v>
      </c>
      <c r="C320" s="70">
        <v>45</v>
      </c>
      <c r="D320" s="70">
        <v>0.64</v>
      </c>
      <c r="E320" s="70">
        <v>0.74</v>
      </c>
      <c r="F320" s="70">
        <v>0.88</v>
      </c>
      <c r="G320" s="70">
        <v>1.02</v>
      </c>
      <c r="H320" s="70">
        <v>1.1100000000000001</v>
      </c>
      <c r="I320" s="70">
        <v>1.1299999999999999</v>
      </c>
      <c r="J320" s="70">
        <v>1.08</v>
      </c>
      <c r="K320" s="70">
        <v>0.99</v>
      </c>
      <c r="L320" s="70">
        <v>0.87</v>
      </c>
      <c r="M320" s="70">
        <v>0.75</v>
      </c>
      <c r="N320" s="70">
        <v>0.65</v>
      </c>
      <c r="O320" s="70">
        <v>0.61</v>
      </c>
      <c r="P320" s="71">
        <v>0.87</v>
      </c>
      <c r="Q320" s="64"/>
      <c r="R320" s="64"/>
      <c r="S320" s="64"/>
      <c r="T320" s="64"/>
      <c r="U320" s="64"/>
      <c r="V320" s="64"/>
      <c r="W320" s="64"/>
      <c r="X320" s="64"/>
      <c r="Y320" s="64"/>
      <c r="Z320" s="64"/>
    </row>
    <row r="321" spans="1:26" thickBot="1">
      <c r="A321" s="66" t="str">
        <f t="shared" si="14"/>
        <v>Latitude 1450</v>
      </c>
      <c r="B321" s="86">
        <v>14.5</v>
      </c>
      <c r="C321" s="70">
        <v>50</v>
      </c>
      <c r="D321" s="70">
        <v>0.56999999999999995</v>
      </c>
      <c r="E321" s="70">
        <v>0.68</v>
      </c>
      <c r="F321" s="70">
        <v>0.83</v>
      </c>
      <c r="G321" s="70">
        <v>0.98</v>
      </c>
      <c r="H321" s="70">
        <v>1.0900000000000001</v>
      </c>
      <c r="I321" s="70">
        <v>1.1000000000000001</v>
      </c>
      <c r="J321" s="70">
        <v>1.05</v>
      </c>
      <c r="K321" s="70">
        <v>0.96</v>
      </c>
      <c r="L321" s="70">
        <v>0.83</v>
      </c>
      <c r="M321" s="70">
        <v>0.69</v>
      </c>
      <c r="N321" s="70">
        <v>0.57999999999999996</v>
      </c>
      <c r="O321" s="70">
        <v>0.54</v>
      </c>
      <c r="P321" s="71">
        <v>0.83</v>
      </c>
      <c r="Q321" s="64"/>
      <c r="R321" s="64"/>
      <c r="S321" s="64"/>
      <c r="T321" s="64"/>
      <c r="U321" s="64"/>
      <c r="V321" s="64"/>
      <c r="W321" s="64"/>
      <c r="X321" s="64"/>
      <c r="Y321" s="64"/>
      <c r="Z321" s="64"/>
    </row>
    <row r="322" spans="1:26" thickBot="1">
      <c r="A322" s="66" t="str">
        <f t="shared" si="14"/>
        <v>Latitude 1455</v>
      </c>
      <c r="B322" s="86">
        <v>14.55</v>
      </c>
      <c r="C322" s="70">
        <v>55</v>
      </c>
      <c r="D322" s="70">
        <v>0.5</v>
      </c>
      <c r="E322" s="70">
        <v>0.62</v>
      </c>
      <c r="F322" s="70">
        <v>0.78</v>
      </c>
      <c r="G322" s="70">
        <v>0.94</v>
      </c>
      <c r="H322" s="70">
        <v>1.06</v>
      </c>
      <c r="I322" s="70">
        <v>1.07</v>
      </c>
      <c r="J322" s="70">
        <v>1.02</v>
      </c>
      <c r="K322" s="70">
        <v>0.92</v>
      </c>
      <c r="L322" s="70">
        <v>0.78</v>
      </c>
      <c r="M322" s="70">
        <v>0.63</v>
      </c>
      <c r="N322" s="70">
        <v>0.51</v>
      </c>
      <c r="O322" s="70">
        <v>0.46</v>
      </c>
      <c r="P322" s="71">
        <v>0.77</v>
      </c>
      <c r="Q322" s="64"/>
      <c r="R322" s="64"/>
      <c r="S322" s="64"/>
      <c r="T322" s="64"/>
      <c r="U322" s="64"/>
      <c r="V322" s="64"/>
      <c r="W322" s="64"/>
      <c r="X322" s="64"/>
      <c r="Y322" s="64"/>
      <c r="Z322" s="64"/>
    </row>
    <row r="323" spans="1:26" thickBot="1">
      <c r="A323" s="66" t="str">
        <f t="shared" si="14"/>
        <v>Latitude 1460</v>
      </c>
      <c r="B323" s="86">
        <v>14.6</v>
      </c>
      <c r="C323" s="70">
        <v>60</v>
      </c>
      <c r="D323" s="70">
        <v>0.43</v>
      </c>
      <c r="E323" s="70">
        <v>0.55000000000000004</v>
      </c>
      <c r="F323" s="70">
        <v>0.72</v>
      </c>
      <c r="G323" s="70">
        <v>0.9</v>
      </c>
      <c r="H323" s="70">
        <v>1.02</v>
      </c>
      <c r="I323" s="70">
        <v>1.04</v>
      </c>
      <c r="J323" s="70">
        <v>0.98</v>
      </c>
      <c r="K323" s="70">
        <v>0.87</v>
      </c>
      <c r="L323" s="70">
        <v>0.73</v>
      </c>
      <c r="M323" s="70">
        <v>0.56999999999999995</v>
      </c>
      <c r="N323" s="70">
        <v>0.44</v>
      </c>
      <c r="O323" s="70">
        <v>0.39</v>
      </c>
      <c r="P323" s="71">
        <v>0.72</v>
      </c>
      <c r="Q323" s="64"/>
      <c r="R323" s="64"/>
      <c r="S323" s="64"/>
      <c r="T323" s="64"/>
      <c r="U323" s="64"/>
      <c r="V323" s="64"/>
      <c r="W323" s="64"/>
      <c r="X323" s="64"/>
      <c r="Y323" s="64"/>
      <c r="Z323" s="64"/>
    </row>
    <row r="324" spans="1:26" thickBot="1">
      <c r="A324" s="66" t="str">
        <f t="shared" si="14"/>
        <v>Latitude 1465</v>
      </c>
      <c r="B324" s="86">
        <v>14.65</v>
      </c>
      <c r="C324" s="70">
        <v>65</v>
      </c>
      <c r="D324" s="70">
        <v>0.35</v>
      </c>
      <c r="E324" s="70">
        <v>0.48</v>
      </c>
      <c r="F324" s="70">
        <v>0.66</v>
      </c>
      <c r="G324" s="70">
        <v>0.84</v>
      </c>
      <c r="H324" s="70">
        <v>0.97</v>
      </c>
      <c r="I324" s="70">
        <v>1</v>
      </c>
      <c r="J324" s="70">
        <v>0.94</v>
      </c>
      <c r="K324" s="70">
        <v>0.82</v>
      </c>
      <c r="L324" s="70">
        <v>0.67</v>
      </c>
      <c r="M324" s="70">
        <v>0.5</v>
      </c>
      <c r="N324" s="70">
        <v>0.36</v>
      </c>
      <c r="O324" s="70">
        <v>0.31</v>
      </c>
      <c r="P324" s="71">
        <v>0.66</v>
      </c>
      <c r="Q324" s="64"/>
      <c r="R324" s="64"/>
      <c r="S324" s="64"/>
      <c r="T324" s="64"/>
      <c r="U324" s="64"/>
      <c r="V324" s="64"/>
      <c r="W324" s="64"/>
      <c r="X324" s="64"/>
      <c r="Y324" s="64"/>
      <c r="Z324" s="64"/>
    </row>
    <row r="325" spans="1:26" thickBot="1">
      <c r="A325" s="66" t="str">
        <f t="shared" si="14"/>
        <v>Latitude 1470</v>
      </c>
      <c r="B325" s="86">
        <v>14.7</v>
      </c>
      <c r="C325" s="70">
        <v>70</v>
      </c>
      <c r="D325" s="70">
        <v>0.28000000000000003</v>
      </c>
      <c r="E325" s="70">
        <v>0.41</v>
      </c>
      <c r="F325" s="70">
        <v>0.59</v>
      </c>
      <c r="G325" s="70">
        <v>0.79</v>
      </c>
      <c r="H325" s="70">
        <v>0.92</v>
      </c>
      <c r="I325" s="70">
        <v>0.95</v>
      </c>
      <c r="J325" s="70">
        <v>0.89</v>
      </c>
      <c r="K325" s="70">
        <v>0.77</v>
      </c>
      <c r="L325" s="70">
        <v>0.6</v>
      </c>
      <c r="M325" s="70">
        <v>0.43</v>
      </c>
      <c r="N325" s="70">
        <v>0.28999999999999998</v>
      </c>
      <c r="O325" s="70">
        <v>0.23</v>
      </c>
      <c r="P325" s="71">
        <v>0.6</v>
      </c>
      <c r="Q325" s="64"/>
      <c r="R325" s="64"/>
      <c r="S325" s="64"/>
      <c r="T325" s="64"/>
      <c r="U325" s="64"/>
      <c r="V325" s="64"/>
      <c r="W325" s="64"/>
      <c r="X325" s="64"/>
      <c r="Y325" s="64"/>
      <c r="Z325" s="64"/>
    </row>
    <row r="326" spans="1:26" thickBot="1">
      <c r="A326" s="66" t="str">
        <f t="shared" si="14"/>
        <v>Latitude 1475</v>
      </c>
      <c r="B326" s="86">
        <v>14.75</v>
      </c>
      <c r="C326" s="70">
        <v>75</v>
      </c>
      <c r="D326" s="70">
        <v>0.2</v>
      </c>
      <c r="E326" s="70">
        <v>0.33</v>
      </c>
      <c r="F326" s="70">
        <v>0.52</v>
      </c>
      <c r="G326" s="70">
        <v>0.72</v>
      </c>
      <c r="H326" s="70">
        <v>0.87</v>
      </c>
      <c r="I326" s="70">
        <v>0.9</v>
      </c>
      <c r="J326" s="70">
        <v>0.83</v>
      </c>
      <c r="K326" s="70">
        <v>0.71</v>
      </c>
      <c r="L326" s="70">
        <v>0.54</v>
      </c>
      <c r="M326" s="70">
        <v>0.35</v>
      </c>
      <c r="N326" s="70">
        <v>0.21</v>
      </c>
      <c r="O326" s="70">
        <v>0.15</v>
      </c>
      <c r="P326" s="71">
        <v>0.53</v>
      </c>
      <c r="Q326" s="64"/>
      <c r="R326" s="64"/>
      <c r="S326" s="64"/>
      <c r="T326" s="64"/>
      <c r="U326" s="64"/>
      <c r="V326" s="64"/>
      <c r="W326" s="64"/>
      <c r="X326" s="64"/>
      <c r="Y326" s="64"/>
      <c r="Z326" s="64"/>
    </row>
    <row r="327" spans="1:26" thickBot="1">
      <c r="A327" s="66" t="str">
        <f t="shared" si="14"/>
        <v>Latitude 1480</v>
      </c>
      <c r="B327" s="86">
        <v>14.8</v>
      </c>
      <c r="C327" s="70">
        <v>80</v>
      </c>
      <c r="D327" s="70">
        <v>0.11</v>
      </c>
      <c r="E327" s="70">
        <v>0.25</v>
      </c>
      <c r="F327" s="70">
        <v>0.45</v>
      </c>
      <c r="G327" s="70">
        <v>0.66</v>
      </c>
      <c r="H327" s="70">
        <v>0.8</v>
      </c>
      <c r="I327" s="70">
        <v>0.84</v>
      </c>
      <c r="J327" s="70">
        <v>0.77</v>
      </c>
      <c r="K327" s="70">
        <v>0.65</v>
      </c>
      <c r="L327" s="70">
        <v>0.47</v>
      </c>
      <c r="M327" s="70">
        <v>0.28000000000000003</v>
      </c>
      <c r="N327" s="70">
        <v>0.13</v>
      </c>
      <c r="O327" s="70">
        <v>0.1</v>
      </c>
      <c r="P327" s="71">
        <v>0.46</v>
      </c>
      <c r="Q327" s="64"/>
      <c r="R327" s="64"/>
      <c r="S327" s="64"/>
      <c r="T327" s="64"/>
      <c r="U327" s="64"/>
      <c r="V327" s="64"/>
      <c r="W327" s="64"/>
      <c r="X327" s="64"/>
      <c r="Y327" s="64"/>
      <c r="Z327" s="64"/>
    </row>
    <row r="328" spans="1:26" thickBot="1">
      <c r="A328" s="66" t="str">
        <f t="shared" si="14"/>
        <v>Latitude 1485</v>
      </c>
      <c r="B328" s="86">
        <v>14.85</v>
      </c>
      <c r="C328" s="70">
        <v>85</v>
      </c>
      <c r="D328" s="70">
        <v>0.09</v>
      </c>
      <c r="E328" s="70">
        <v>0.18</v>
      </c>
      <c r="F328" s="70">
        <v>0.38</v>
      </c>
      <c r="G328" s="70">
        <v>0.59</v>
      </c>
      <c r="H328" s="70">
        <v>0.74</v>
      </c>
      <c r="I328" s="70">
        <v>0.77</v>
      </c>
      <c r="J328" s="70">
        <v>0.71</v>
      </c>
      <c r="K328" s="70">
        <v>0.57999999999999996</v>
      </c>
      <c r="L328" s="70">
        <v>0.39</v>
      </c>
      <c r="M328" s="70">
        <v>0.2</v>
      </c>
      <c r="N328" s="70">
        <v>0.1</v>
      </c>
      <c r="O328" s="70">
        <v>0.09</v>
      </c>
      <c r="P328" s="71">
        <v>0.4</v>
      </c>
      <c r="Q328" s="64"/>
      <c r="R328" s="64"/>
      <c r="S328" s="64"/>
      <c r="T328" s="64"/>
      <c r="U328" s="64"/>
      <c r="V328" s="64"/>
      <c r="W328" s="64"/>
      <c r="X328" s="64"/>
      <c r="Y328" s="64"/>
      <c r="Z328" s="64"/>
    </row>
    <row r="329" spans="1:26" thickBot="1">
      <c r="A329" s="66" t="str">
        <f t="shared" si="14"/>
        <v>Latitude 1490</v>
      </c>
      <c r="B329" s="86">
        <v>14.9</v>
      </c>
      <c r="C329" s="70">
        <v>90</v>
      </c>
      <c r="D329" s="70">
        <v>0.08</v>
      </c>
      <c r="E329" s="70">
        <v>0.1</v>
      </c>
      <c r="F329" s="70">
        <v>0.3</v>
      </c>
      <c r="G329" s="70">
        <v>0.51</v>
      </c>
      <c r="H329" s="70">
        <v>0.67</v>
      </c>
      <c r="I329" s="70">
        <v>0.71</v>
      </c>
      <c r="J329" s="70">
        <v>0.64</v>
      </c>
      <c r="K329" s="70">
        <v>0.51</v>
      </c>
      <c r="L329" s="70">
        <v>0.32</v>
      </c>
      <c r="M329" s="70">
        <v>0.12</v>
      </c>
      <c r="N329" s="70">
        <v>0.09</v>
      </c>
      <c r="O329" s="70">
        <v>0.08</v>
      </c>
      <c r="P329" s="71">
        <v>0.34</v>
      </c>
      <c r="Q329" s="64"/>
      <c r="R329" s="64"/>
      <c r="S329" s="64"/>
      <c r="T329" s="64"/>
      <c r="U329" s="64"/>
      <c r="V329" s="64"/>
      <c r="W329" s="64"/>
      <c r="X329" s="64"/>
      <c r="Y329" s="64"/>
      <c r="Z329" s="64"/>
    </row>
    <row r="330" spans="1:26" thickBot="1">
      <c r="A330" s="66"/>
      <c r="B330" s="88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66"/>
      <c r="Q330" s="64"/>
      <c r="R330" s="64"/>
      <c r="S330" s="64"/>
      <c r="T330" s="64"/>
      <c r="U330" s="64"/>
      <c r="V330" s="64"/>
      <c r="W330" s="64"/>
      <c r="X330" s="64"/>
      <c r="Y330" s="64"/>
      <c r="Z330" s="64"/>
    </row>
    <row r="331" spans="1:26" thickBot="1">
      <c r="A331" s="66"/>
      <c r="B331" s="88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66"/>
      <c r="Q331" s="64"/>
      <c r="R331" s="64"/>
      <c r="S331" s="64"/>
      <c r="T331" s="64"/>
      <c r="U331" s="64"/>
      <c r="V331" s="64"/>
      <c r="W331" s="64"/>
      <c r="X331" s="64"/>
      <c r="Y331" s="64"/>
      <c r="Z331" s="64"/>
    </row>
    <row r="332" spans="1:26" thickBot="1">
      <c r="A332" s="66"/>
      <c r="B332" s="85" t="s">
        <v>5879</v>
      </c>
      <c r="C332" s="75" t="s">
        <v>5853</v>
      </c>
      <c r="D332" s="75" t="s">
        <v>5827</v>
      </c>
      <c r="E332" s="75" t="s">
        <v>5828</v>
      </c>
      <c r="F332" s="75" t="s">
        <v>5829</v>
      </c>
      <c r="G332" s="75" t="s">
        <v>5830</v>
      </c>
      <c r="H332" s="75" t="s">
        <v>5831</v>
      </c>
      <c r="I332" s="75" t="s">
        <v>5832</v>
      </c>
      <c r="J332" s="75" t="s">
        <v>5833</v>
      </c>
      <c r="K332" s="75" t="s">
        <v>5834</v>
      </c>
      <c r="L332" s="75" t="s">
        <v>5835</v>
      </c>
      <c r="M332" s="75" t="s">
        <v>5836</v>
      </c>
      <c r="N332" s="75" t="s">
        <v>5837</v>
      </c>
      <c r="O332" s="75" t="s">
        <v>5838</v>
      </c>
      <c r="P332" s="74" t="s">
        <v>20</v>
      </c>
      <c r="Q332" s="64"/>
      <c r="R332" s="64"/>
      <c r="S332" s="64"/>
      <c r="T332" s="64"/>
      <c r="U332" s="64"/>
      <c r="V332" s="64"/>
      <c r="W332" s="64"/>
      <c r="X332" s="64"/>
      <c r="Y332" s="64"/>
      <c r="Z332" s="64"/>
    </row>
    <row r="333" spans="1:26" thickBot="1">
      <c r="A333" s="66" t="str">
        <f>$B$332&amp;C333</f>
        <v>Latitude 150</v>
      </c>
      <c r="B333" s="86">
        <v>15</v>
      </c>
      <c r="C333" s="70">
        <v>0</v>
      </c>
      <c r="D333" s="70">
        <v>1</v>
      </c>
      <c r="E333" s="70">
        <v>1</v>
      </c>
      <c r="F333" s="70">
        <v>1</v>
      </c>
      <c r="G333" s="70">
        <v>1</v>
      </c>
      <c r="H333" s="70">
        <v>1</v>
      </c>
      <c r="I333" s="70">
        <v>1</v>
      </c>
      <c r="J333" s="70">
        <v>1</v>
      </c>
      <c r="K333" s="70">
        <v>1</v>
      </c>
      <c r="L333" s="70">
        <v>1</v>
      </c>
      <c r="M333" s="70">
        <v>1</v>
      </c>
      <c r="N333" s="70">
        <v>1</v>
      </c>
      <c r="O333" s="70">
        <v>1</v>
      </c>
      <c r="P333" s="71">
        <v>1</v>
      </c>
      <c r="Q333" s="64"/>
      <c r="R333" s="64"/>
      <c r="S333" s="64"/>
      <c r="T333" s="64"/>
      <c r="U333" s="64"/>
      <c r="V333" s="64"/>
      <c r="W333" s="64"/>
      <c r="X333" s="64"/>
      <c r="Y333" s="64"/>
      <c r="Z333" s="64"/>
    </row>
    <row r="334" spans="1:26" thickBot="1">
      <c r="A334" s="66" t="str">
        <f t="shared" ref="A334:A351" si="15">$B$332&amp;C334</f>
        <v>Latitude 155</v>
      </c>
      <c r="B334" s="86">
        <v>15.5</v>
      </c>
      <c r="C334" s="70">
        <v>5</v>
      </c>
      <c r="D334" s="70">
        <v>0.99</v>
      </c>
      <c r="E334" s="70">
        <v>1</v>
      </c>
      <c r="F334" s="70">
        <v>1.02</v>
      </c>
      <c r="G334" s="70">
        <v>1.03</v>
      </c>
      <c r="H334" s="70">
        <v>1.04</v>
      </c>
      <c r="I334" s="70">
        <v>1.04</v>
      </c>
      <c r="J334" s="70">
        <v>1.04</v>
      </c>
      <c r="K334" s="70">
        <v>1.03</v>
      </c>
      <c r="L334" s="70">
        <v>1.01</v>
      </c>
      <c r="M334" s="70">
        <v>1</v>
      </c>
      <c r="N334" s="70">
        <v>0.99</v>
      </c>
      <c r="O334" s="70">
        <v>0.98</v>
      </c>
      <c r="P334" s="71">
        <v>1.01</v>
      </c>
      <c r="Q334" s="64"/>
      <c r="R334" s="64"/>
      <c r="S334" s="64"/>
      <c r="T334" s="64"/>
      <c r="U334" s="64"/>
      <c r="V334" s="64"/>
      <c r="W334" s="64"/>
      <c r="X334" s="64"/>
      <c r="Y334" s="64"/>
      <c r="Z334" s="64"/>
    </row>
    <row r="335" spans="1:26" thickBot="1">
      <c r="A335" s="66" t="str">
        <f t="shared" si="15"/>
        <v>Latitude 1510</v>
      </c>
      <c r="B335" s="86">
        <v>15.1</v>
      </c>
      <c r="C335" s="70">
        <v>10</v>
      </c>
      <c r="D335" s="70">
        <v>0.97</v>
      </c>
      <c r="E335" s="70">
        <v>0.99</v>
      </c>
      <c r="F335" s="70">
        <v>1.02</v>
      </c>
      <c r="G335" s="70">
        <v>1.06</v>
      </c>
      <c r="H335" s="70">
        <v>1.08</v>
      </c>
      <c r="I335" s="70">
        <v>1.08</v>
      </c>
      <c r="J335" s="70">
        <v>1.07</v>
      </c>
      <c r="K335" s="70">
        <v>1.05</v>
      </c>
      <c r="L335" s="70">
        <v>1.02</v>
      </c>
      <c r="M335" s="70">
        <v>0.99</v>
      </c>
      <c r="N335" s="70">
        <v>0.97</v>
      </c>
      <c r="O335" s="70">
        <v>0.96</v>
      </c>
      <c r="P335" s="71">
        <v>1.02</v>
      </c>
      <c r="Q335" s="64"/>
      <c r="R335" s="64"/>
      <c r="S335" s="64"/>
      <c r="T335" s="64"/>
      <c r="U335" s="64"/>
      <c r="V335" s="64"/>
      <c r="W335" s="64"/>
      <c r="X335" s="64"/>
      <c r="Y335" s="64"/>
      <c r="Z335" s="64"/>
    </row>
    <row r="336" spans="1:26" thickBot="1">
      <c r="A336" s="66" t="str">
        <f t="shared" si="15"/>
        <v>Latitude 1515</v>
      </c>
      <c r="B336" s="86">
        <v>15.15</v>
      </c>
      <c r="C336" s="70">
        <v>15</v>
      </c>
      <c r="D336" s="70">
        <v>0.94</v>
      </c>
      <c r="E336" s="70">
        <v>0.98</v>
      </c>
      <c r="F336" s="70">
        <v>1.03</v>
      </c>
      <c r="G336" s="70">
        <v>1.07</v>
      </c>
      <c r="H336" s="70">
        <v>1.1100000000000001</v>
      </c>
      <c r="I336" s="70">
        <v>1.1100000000000001</v>
      </c>
      <c r="J336" s="70">
        <v>1.0900000000000001</v>
      </c>
      <c r="K336" s="70">
        <v>1.06</v>
      </c>
      <c r="L336" s="70">
        <v>1.02</v>
      </c>
      <c r="M336" s="70">
        <v>0.98</v>
      </c>
      <c r="N336" s="70">
        <v>0.94</v>
      </c>
      <c r="O336" s="70">
        <v>0.93</v>
      </c>
      <c r="P336" s="71">
        <v>1.02</v>
      </c>
      <c r="Q336" s="64"/>
      <c r="R336" s="64"/>
      <c r="S336" s="64"/>
      <c r="T336" s="64"/>
      <c r="U336" s="64"/>
      <c r="V336" s="64"/>
      <c r="W336" s="64"/>
      <c r="X336" s="64"/>
      <c r="Y336" s="64"/>
      <c r="Z336" s="64"/>
    </row>
    <row r="337" spans="1:26" thickBot="1">
      <c r="A337" s="66" t="str">
        <f t="shared" si="15"/>
        <v>Latitude 1520</v>
      </c>
      <c r="B337" s="86">
        <v>15.2</v>
      </c>
      <c r="C337" s="70">
        <v>20</v>
      </c>
      <c r="D337" s="70">
        <v>0.91</v>
      </c>
      <c r="E337" s="70">
        <v>0.95</v>
      </c>
      <c r="F337" s="70">
        <v>1.02</v>
      </c>
      <c r="G337" s="70">
        <v>1.0900000000000001</v>
      </c>
      <c r="H337" s="70">
        <v>1.1299999999999999</v>
      </c>
      <c r="I337" s="70">
        <v>1.1299999999999999</v>
      </c>
      <c r="J337" s="70">
        <v>1.1100000000000001</v>
      </c>
      <c r="K337" s="70">
        <v>1.07</v>
      </c>
      <c r="L337" s="70">
        <v>1.01</v>
      </c>
      <c r="M337" s="70">
        <v>0.95</v>
      </c>
      <c r="N337" s="70">
        <v>0.91</v>
      </c>
      <c r="O337" s="70">
        <v>0.89</v>
      </c>
      <c r="P337" s="71">
        <v>1.01</v>
      </c>
      <c r="Q337" s="64"/>
      <c r="R337" s="64"/>
      <c r="S337" s="64"/>
      <c r="T337" s="64"/>
      <c r="U337" s="64"/>
      <c r="V337" s="64"/>
      <c r="W337" s="64"/>
      <c r="X337" s="64"/>
      <c r="Y337" s="64"/>
      <c r="Z337" s="64"/>
    </row>
    <row r="338" spans="1:26" thickBot="1">
      <c r="A338" s="66" t="str">
        <f t="shared" si="15"/>
        <v>Latitude 1525</v>
      </c>
      <c r="B338" s="86">
        <v>15.25</v>
      </c>
      <c r="C338" s="70">
        <v>25</v>
      </c>
      <c r="D338" s="70">
        <v>0.87</v>
      </c>
      <c r="E338" s="70">
        <v>0.93</v>
      </c>
      <c r="F338" s="70">
        <v>1.01</v>
      </c>
      <c r="G338" s="70">
        <v>1.0900000000000001</v>
      </c>
      <c r="H338" s="70">
        <v>1.1399999999999999</v>
      </c>
      <c r="I338" s="70">
        <v>1.1499999999999999</v>
      </c>
      <c r="J338" s="70">
        <v>1.1200000000000001</v>
      </c>
      <c r="K338" s="70">
        <v>1.07</v>
      </c>
      <c r="L338" s="70">
        <v>1</v>
      </c>
      <c r="M338" s="70">
        <v>0.93</v>
      </c>
      <c r="N338" s="70">
        <v>0.87</v>
      </c>
      <c r="O338" s="70">
        <v>0.85</v>
      </c>
      <c r="P338" s="71">
        <v>1</v>
      </c>
      <c r="Q338" s="64"/>
      <c r="R338" s="64"/>
      <c r="S338" s="64"/>
      <c r="T338" s="64"/>
      <c r="U338" s="64"/>
      <c r="V338" s="64"/>
      <c r="W338" s="64"/>
      <c r="X338" s="64"/>
      <c r="Y338" s="64"/>
      <c r="Z338" s="64"/>
    </row>
    <row r="339" spans="1:26" thickBot="1">
      <c r="A339" s="66" t="str">
        <f t="shared" si="15"/>
        <v>Latitude 1530</v>
      </c>
      <c r="B339" s="86">
        <v>15.3</v>
      </c>
      <c r="C339" s="70">
        <v>30</v>
      </c>
      <c r="D339" s="70">
        <v>0.82</v>
      </c>
      <c r="E339" s="70">
        <v>0.89</v>
      </c>
      <c r="F339" s="70">
        <v>0.99</v>
      </c>
      <c r="G339" s="70">
        <v>1.08</v>
      </c>
      <c r="H339" s="70">
        <v>1.1499999999999999</v>
      </c>
      <c r="I339" s="70">
        <v>1.1599999999999999</v>
      </c>
      <c r="J339" s="70">
        <v>1.1200000000000001</v>
      </c>
      <c r="K339" s="70">
        <v>1.06</v>
      </c>
      <c r="L339" s="70">
        <v>0.98</v>
      </c>
      <c r="M339" s="70">
        <v>0.89</v>
      </c>
      <c r="N339" s="70">
        <v>0.82</v>
      </c>
      <c r="O339" s="70">
        <v>0.8</v>
      </c>
      <c r="P339" s="71">
        <v>0.98</v>
      </c>
      <c r="Q339" s="64"/>
      <c r="R339" s="64"/>
      <c r="S339" s="64"/>
      <c r="T339" s="64"/>
      <c r="U339" s="64"/>
      <c r="V339" s="64"/>
      <c r="W339" s="64"/>
      <c r="X339" s="64"/>
      <c r="Y339" s="64"/>
      <c r="Z339" s="64"/>
    </row>
    <row r="340" spans="1:26" thickBot="1">
      <c r="A340" s="66" t="str">
        <f t="shared" si="15"/>
        <v>Latitude 1535</v>
      </c>
      <c r="B340" s="86">
        <v>15.35</v>
      </c>
      <c r="C340" s="70">
        <v>35</v>
      </c>
      <c r="D340" s="70">
        <v>0.77</v>
      </c>
      <c r="E340" s="70">
        <v>0.85</v>
      </c>
      <c r="F340" s="70">
        <v>0.96</v>
      </c>
      <c r="G340" s="70">
        <v>1.07</v>
      </c>
      <c r="H340" s="70">
        <v>1.1499999999999999</v>
      </c>
      <c r="I340" s="70">
        <v>1.1599999999999999</v>
      </c>
      <c r="J340" s="70">
        <v>1.1100000000000001</v>
      </c>
      <c r="K340" s="70">
        <v>1.05</v>
      </c>
      <c r="L340" s="70">
        <v>0.95</v>
      </c>
      <c r="M340" s="70">
        <v>0.85</v>
      </c>
      <c r="N340" s="70">
        <v>0.77</v>
      </c>
      <c r="O340" s="70">
        <v>0.74</v>
      </c>
      <c r="P340" s="71">
        <v>0.95</v>
      </c>
      <c r="Q340" s="64"/>
      <c r="R340" s="64"/>
      <c r="S340" s="64"/>
      <c r="T340" s="64"/>
      <c r="U340" s="64"/>
      <c r="V340" s="64"/>
      <c r="W340" s="64"/>
      <c r="X340" s="64"/>
      <c r="Y340" s="64"/>
      <c r="Z340" s="64"/>
    </row>
    <row r="341" spans="1:26" thickBot="1">
      <c r="A341" s="66" t="str">
        <f t="shared" si="15"/>
        <v>Latitude 1540</v>
      </c>
      <c r="B341" s="86">
        <v>15.4</v>
      </c>
      <c r="C341" s="70">
        <v>40</v>
      </c>
      <c r="D341" s="70">
        <v>0.71</v>
      </c>
      <c r="E341" s="70">
        <v>0.8</v>
      </c>
      <c r="F341" s="70">
        <v>0.93</v>
      </c>
      <c r="G341" s="70">
        <v>1.05</v>
      </c>
      <c r="H341" s="70">
        <v>1.1399999999999999</v>
      </c>
      <c r="I341" s="70">
        <v>1.1499999999999999</v>
      </c>
      <c r="J341" s="70">
        <v>1.1000000000000001</v>
      </c>
      <c r="K341" s="70">
        <v>1.03</v>
      </c>
      <c r="L341" s="70">
        <v>0.92</v>
      </c>
      <c r="M341" s="70">
        <v>0.81</v>
      </c>
      <c r="N341" s="70">
        <v>0.72</v>
      </c>
      <c r="O341" s="70">
        <v>0.68</v>
      </c>
      <c r="P341" s="71">
        <v>0.92</v>
      </c>
      <c r="Q341" s="64"/>
      <c r="R341" s="64"/>
      <c r="S341" s="64"/>
      <c r="T341" s="64"/>
      <c r="U341" s="64"/>
      <c r="V341" s="64"/>
      <c r="W341" s="64"/>
      <c r="X341" s="64"/>
      <c r="Y341" s="64"/>
      <c r="Z341" s="64"/>
    </row>
    <row r="342" spans="1:26" thickBot="1">
      <c r="A342" s="66" t="str">
        <f t="shared" si="15"/>
        <v>Latitude 1545</v>
      </c>
      <c r="B342" s="86">
        <v>15.45</v>
      </c>
      <c r="C342" s="70">
        <v>45</v>
      </c>
      <c r="D342" s="70">
        <v>0.65</v>
      </c>
      <c r="E342" s="70">
        <v>0.75</v>
      </c>
      <c r="F342" s="70">
        <v>0.89</v>
      </c>
      <c r="G342" s="70">
        <v>1.03</v>
      </c>
      <c r="H342" s="70">
        <v>1.1200000000000001</v>
      </c>
      <c r="I342" s="70">
        <v>1.1399999999999999</v>
      </c>
      <c r="J342" s="70">
        <v>1.0900000000000001</v>
      </c>
      <c r="K342" s="70">
        <v>1</v>
      </c>
      <c r="L342" s="70">
        <v>0.88</v>
      </c>
      <c r="M342" s="70">
        <v>0.76</v>
      </c>
      <c r="N342" s="70">
        <v>0.66</v>
      </c>
      <c r="O342" s="70">
        <v>0.62</v>
      </c>
      <c r="P342" s="71">
        <v>0.88</v>
      </c>
      <c r="Q342" s="64"/>
      <c r="R342" s="64"/>
      <c r="S342" s="64"/>
      <c r="T342" s="64"/>
      <c r="U342" s="64"/>
      <c r="V342" s="64"/>
      <c r="W342" s="64"/>
      <c r="X342" s="64"/>
      <c r="Y342" s="64"/>
      <c r="Z342" s="64"/>
    </row>
    <row r="343" spans="1:26" thickBot="1">
      <c r="A343" s="66" t="str">
        <f t="shared" si="15"/>
        <v>Latitude 1550</v>
      </c>
      <c r="B343" s="86">
        <v>15.5</v>
      </c>
      <c r="C343" s="70">
        <v>50</v>
      </c>
      <c r="D343" s="70">
        <v>0.59</v>
      </c>
      <c r="E343" s="70">
        <v>0.69</v>
      </c>
      <c r="F343" s="70">
        <v>0.84</v>
      </c>
      <c r="G343" s="70">
        <v>1</v>
      </c>
      <c r="H343" s="70">
        <v>1.1000000000000001</v>
      </c>
      <c r="I343" s="70">
        <v>1.1200000000000001</v>
      </c>
      <c r="J343" s="70">
        <v>1.06</v>
      </c>
      <c r="K343" s="70">
        <v>0.97</v>
      </c>
      <c r="L343" s="70">
        <v>0.84</v>
      </c>
      <c r="M343" s="70">
        <v>0.7</v>
      </c>
      <c r="N343" s="70">
        <v>0.59</v>
      </c>
      <c r="O343" s="70">
        <v>0.55000000000000004</v>
      </c>
      <c r="P343" s="71">
        <v>0.84</v>
      </c>
      <c r="Q343" s="64"/>
      <c r="R343" s="64"/>
      <c r="S343" s="64"/>
      <c r="T343" s="64"/>
      <c r="U343" s="64"/>
      <c r="V343" s="64"/>
      <c r="W343" s="64"/>
      <c r="X343" s="64"/>
      <c r="Y343" s="64"/>
      <c r="Z343" s="64"/>
    </row>
    <row r="344" spans="1:26" thickBot="1">
      <c r="A344" s="66" t="str">
        <f t="shared" si="15"/>
        <v>Latitude 1555</v>
      </c>
      <c r="B344" s="86">
        <v>15.55</v>
      </c>
      <c r="C344" s="70">
        <v>55</v>
      </c>
      <c r="D344" s="70">
        <v>0.52</v>
      </c>
      <c r="E344" s="70">
        <v>0.63</v>
      </c>
      <c r="F344" s="70">
        <v>0.79</v>
      </c>
      <c r="G344" s="70">
        <v>0.96</v>
      </c>
      <c r="H344" s="70">
        <v>1.07</v>
      </c>
      <c r="I344" s="70">
        <v>1.0900000000000001</v>
      </c>
      <c r="J344" s="70">
        <v>1.03</v>
      </c>
      <c r="K344" s="70">
        <v>0.93</v>
      </c>
      <c r="L344" s="70">
        <v>0.79</v>
      </c>
      <c r="M344" s="70">
        <v>0.64</v>
      </c>
      <c r="N344" s="70">
        <v>0.52</v>
      </c>
      <c r="O344" s="70">
        <v>0.48</v>
      </c>
      <c r="P344" s="71">
        <v>0.79</v>
      </c>
      <c r="Q344" s="64"/>
      <c r="R344" s="64"/>
      <c r="S344" s="64"/>
      <c r="T344" s="64"/>
      <c r="U344" s="64"/>
      <c r="V344" s="64"/>
      <c r="W344" s="64"/>
      <c r="X344" s="64"/>
      <c r="Y344" s="64"/>
      <c r="Z344" s="64"/>
    </row>
    <row r="345" spans="1:26" thickBot="1">
      <c r="A345" s="66" t="str">
        <f t="shared" si="15"/>
        <v>Latitude 1560</v>
      </c>
      <c r="B345" s="86">
        <v>15.6</v>
      </c>
      <c r="C345" s="70">
        <v>60</v>
      </c>
      <c r="D345" s="70">
        <v>0.44</v>
      </c>
      <c r="E345" s="70">
        <v>0.56000000000000005</v>
      </c>
      <c r="F345" s="70">
        <v>0.74</v>
      </c>
      <c r="G345" s="70">
        <v>0.91</v>
      </c>
      <c r="H345" s="70">
        <v>1.03</v>
      </c>
      <c r="I345" s="70">
        <v>1.05</v>
      </c>
      <c r="J345" s="70">
        <v>0.99</v>
      </c>
      <c r="K345" s="70">
        <v>0.89</v>
      </c>
      <c r="L345" s="70">
        <v>0.74</v>
      </c>
      <c r="M345" s="70">
        <v>0.57999999999999996</v>
      </c>
      <c r="N345" s="70">
        <v>0.45</v>
      </c>
      <c r="O345" s="70">
        <v>0.4</v>
      </c>
      <c r="P345" s="71">
        <v>0.73</v>
      </c>
      <c r="Q345" s="64"/>
      <c r="R345" s="64"/>
      <c r="S345" s="64"/>
      <c r="T345" s="64"/>
      <c r="U345" s="64"/>
      <c r="V345" s="64"/>
      <c r="W345" s="64"/>
      <c r="X345" s="64"/>
      <c r="Y345" s="64"/>
      <c r="Z345" s="64"/>
    </row>
    <row r="346" spans="1:26" thickBot="1">
      <c r="A346" s="66" t="str">
        <f t="shared" si="15"/>
        <v>Latitude 1565</v>
      </c>
      <c r="B346" s="86">
        <v>15.65</v>
      </c>
      <c r="C346" s="70">
        <v>65</v>
      </c>
      <c r="D346" s="70">
        <v>0.37</v>
      </c>
      <c r="E346" s="70">
        <v>0.49</v>
      </c>
      <c r="F346" s="70">
        <v>0.67</v>
      </c>
      <c r="G346" s="70">
        <v>0.86</v>
      </c>
      <c r="H346" s="70">
        <v>0.99</v>
      </c>
      <c r="I346" s="70">
        <v>1.01</v>
      </c>
      <c r="J346" s="70">
        <v>0.95</v>
      </c>
      <c r="K346" s="70">
        <v>0.84</v>
      </c>
      <c r="L346" s="70">
        <v>0.68</v>
      </c>
      <c r="M346" s="70">
        <v>0.51</v>
      </c>
      <c r="N346" s="70">
        <v>0.38</v>
      </c>
      <c r="O346" s="70">
        <v>0.32</v>
      </c>
      <c r="P346" s="71">
        <v>0.67</v>
      </c>
      <c r="Q346" s="64"/>
      <c r="R346" s="64"/>
      <c r="S346" s="64"/>
      <c r="T346" s="64"/>
      <c r="U346" s="64"/>
      <c r="V346" s="64"/>
      <c r="W346" s="64"/>
      <c r="X346" s="64"/>
      <c r="Y346" s="64"/>
      <c r="Z346" s="64"/>
    </row>
    <row r="347" spans="1:26" thickBot="1">
      <c r="A347" s="66" t="str">
        <f t="shared" si="15"/>
        <v>Latitude 1570</v>
      </c>
      <c r="B347" s="86">
        <v>15.7</v>
      </c>
      <c r="C347" s="70">
        <v>70</v>
      </c>
      <c r="D347" s="70">
        <v>0.28999999999999998</v>
      </c>
      <c r="E347" s="70">
        <v>0.42</v>
      </c>
      <c r="F347" s="70">
        <v>0.61</v>
      </c>
      <c r="G347" s="70">
        <v>0.8</v>
      </c>
      <c r="H347" s="70">
        <v>0.94</v>
      </c>
      <c r="I347" s="70">
        <v>0.97</v>
      </c>
      <c r="J347" s="70">
        <v>0.9</v>
      </c>
      <c r="K347" s="70">
        <v>0.78</v>
      </c>
      <c r="L347" s="70">
        <v>0.62</v>
      </c>
      <c r="M347" s="70">
        <v>0.44</v>
      </c>
      <c r="N347" s="70">
        <v>0.3</v>
      </c>
      <c r="O347" s="70">
        <v>0.24</v>
      </c>
      <c r="P347" s="71">
        <v>0.61</v>
      </c>
      <c r="Q347" s="64"/>
      <c r="R347" s="64"/>
      <c r="S347" s="64"/>
      <c r="T347" s="64"/>
      <c r="U347" s="64"/>
      <c r="V347" s="64"/>
      <c r="W347" s="64"/>
      <c r="X347" s="64"/>
      <c r="Y347" s="64"/>
      <c r="Z347" s="64"/>
    </row>
    <row r="348" spans="1:26" thickBot="1">
      <c r="A348" s="66" t="str">
        <f t="shared" si="15"/>
        <v>Latitude 1575</v>
      </c>
      <c r="B348" s="86">
        <v>15.75</v>
      </c>
      <c r="C348" s="70">
        <v>75</v>
      </c>
      <c r="D348" s="70">
        <v>0.21</v>
      </c>
      <c r="E348" s="70">
        <v>0.35</v>
      </c>
      <c r="F348" s="70">
        <v>0.54</v>
      </c>
      <c r="G348" s="70">
        <v>0.74</v>
      </c>
      <c r="H348" s="70">
        <v>0.88</v>
      </c>
      <c r="I348" s="70">
        <v>0.91</v>
      </c>
      <c r="J348" s="70">
        <v>0.85</v>
      </c>
      <c r="K348" s="70">
        <v>0.72</v>
      </c>
      <c r="L348" s="70">
        <v>0.55000000000000004</v>
      </c>
      <c r="M348" s="70">
        <v>0.37</v>
      </c>
      <c r="N348" s="70">
        <v>0.22</v>
      </c>
      <c r="O348" s="70">
        <v>0.16</v>
      </c>
      <c r="P348" s="71">
        <v>0.54</v>
      </c>
      <c r="Q348" s="64"/>
      <c r="R348" s="64"/>
      <c r="S348" s="64"/>
      <c r="T348" s="64"/>
      <c r="U348" s="64"/>
      <c r="V348" s="64"/>
      <c r="W348" s="64"/>
      <c r="X348" s="64"/>
      <c r="Y348" s="64"/>
      <c r="Z348" s="64"/>
    </row>
    <row r="349" spans="1:26" thickBot="1">
      <c r="A349" s="66" t="str">
        <f t="shared" si="15"/>
        <v>Latitude 1580</v>
      </c>
      <c r="B349" s="86">
        <v>15.8</v>
      </c>
      <c r="C349" s="70">
        <v>80</v>
      </c>
      <c r="D349" s="70">
        <v>0.13</v>
      </c>
      <c r="E349" s="70">
        <v>0.27</v>
      </c>
      <c r="F349" s="70">
        <v>0.47</v>
      </c>
      <c r="G349" s="70">
        <v>0.67</v>
      </c>
      <c r="H349" s="70">
        <v>0.82</v>
      </c>
      <c r="I349" s="70">
        <v>0.85</v>
      </c>
      <c r="J349" s="70">
        <v>0.79</v>
      </c>
      <c r="K349" s="70">
        <v>0.66</v>
      </c>
      <c r="L349" s="70">
        <v>0.48</v>
      </c>
      <c r="M349" s="70">
        <v>0.28999999999999998</v>
      </c>
      <c r="N349" s="70">
        <v>0.14000000000000001</v>
      </c>
      <c r="O349" s="70">
        <v>0.1</v>
      </c>
      <c r="P349" s="71">
        <v>0.47</v>
      </c>
      <c r="Q349" s="64"/>
      <c r="R349" s="64"/>
      <c r="S349" s="64"/>
      <c r="T349" s="64"/>
      <c r="U349" s="64"/>
      <c r="V349" s="64"/>
      <c r="W349" s="64"/>
      <c r="X349" s="64"/>
      <c r="Y349" s="64"/>
      <c r="Z349" s="64"/>
    </row>
    <row r="350" spans="1:26" thickBot="1">
      <c r="A350" s="66" t="str">
        <f t="shared" si="15"/>
        <v>Latitude 1585</v>
      </c>
      <c r="B350" s="86">
        <v>15.85</v>
      </c>
      <c r="C350" s="70">
        <v>85</v>
      </c>
      <c r="D350" s="70">
        <v>0.09</v>
      </c>
      <c r="E350" s="70">
        <v>0.19</v>
      </c>
      <c r="F350" s="70">
        <v>0.39</v>
      </c>
      <c r="G350" s="70">
        <v>0.6</v>
      </c>
      <c r="H350" s="70">
        <v>0.75</v>
      </c>
      <c r="I350" s="70">
        <v>0.79</v>
      </c>
      <c r="J350" s="70">
        <v>0.73</v>
      </c>
      <c r="K350" s="70">
        <v>0.59</v>
      </c>
      <c r="L350" s="70">
        <v>0.41</v>
      </c>
      <c r="M350" s="70">
        <v>0.21</v>
      </c>
      <c r="N350" s="70">
        <v>0.1</v>
      </c>
      <c r="O350" s="70">
        <v>0.09</v>
      </c>
      <c r="P350" s="71">
        <v>0.41</v>
      </c>
      <c r="Q350" s="64"/>
      <c r="R350" s="64"/>
      <c r="S350" s="64"/>
      <c r="T350" s="64"/>
      <c r="U350" s="64"/>
      <c r="V350" s="64"/>
      <c r="W350" s="64"/>
      <c r="X350" s="64"/>
      <c r="Y350" s="64"/>
      <c r="Z350" s="64"/>
    </row>
    <row r="351" spans="1:26" thickBot="1">
      <c r="A351" s="66" t="str">
        <f t="shared" si="15"/>
        <v>Latitude 1590</v>
      </c>
      <c r="B351" s="86">
        <v>15.9</v>
      </c>
      <c r="C351" s="70">
        <v>90</v>
      </c>
      <c r="D351" s="70">
        <v>0.08</v>
      </c>
      <c r="E351" s="70">
        <v>0.11</v>
      </c>
      <c r="F351" s="70">
        <v>0.31</v>
      </c>
      <c r="G351" s="70">
        <v>0.53</v>
      </c>
      <c r="H351" s="70">
        <v>0.68</v>
      </c>
      <c r="I351" s="70">
        <v>0.72</v>
      </c>
      <c r="J351" s="70">
        <v>0.66</v>
      </c>
      <c r="K351" s="70">
        <v>0.52</v>
      </c>
      <c r="L351" s="70">
        <v>0.33</v>
      </c>
      <c r="M351" s="70">
        <v>0.14000000000000001</v>
      </c>
      <c r="N351" s="70">
        <v>0.09</v>
      </c>
      <c r="O351" s="70">
        <v>0.08</v>
      </c>
      <c r="P351" s="71">
        <v>0.35</v>
      </c>
      <c r="Q351" s="64"/>
      <c r="R351" s="64"/>
      <c r="S351" s="64"/>
      <c r="T351" s="64"/>
      <c r="U351" s="64"/>
      <c r="V351" s="64"/>
      <c r="W351" s="64"/>
      <c r="X351" s="64"/>
      <c r="Y351" s="64"/>
      <c r="Z351" s="64"/>
    </row>
    <row r="352" spans="1:26" thickBot="1">
      <c r="A352" s="66"/>
      <c r="B352" s="88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66"/>
      <c r="Q352" s="64"/>
      <c r="R352" s="64"/>
      <c r="S352" s="64"/>
      <c r="T352" s="64"/>
      <c r="U352" s="64"/>
      <c r="V352" s="64"/>
      <c r="W352" s="64"/>
      <c r="X352" s="64"/>
      <c r="Y352" s="64"/>
      <c r="Z352" s="64"/>
    </row>
    <row r="353" spans="1:26" thickBot="1">
      <c r="A353" s="66"/>
      <c r="B353" s="88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66"/>
      <c r="Q353" s="64"/>
      <c r="R353" s="64"/>
      <c r="S353" s="64"/>
      <c r="T353" s="64"/>
      <c r="U353" s="64"/>
      <c r="V353" s="64"/>
      <c r="W353" s="64"/>
      <c r="X353" s="64"/>
      <c r="Y353" s="64"/>
      <c r="Z353" s="64"/>
    </row>
    <row r="354" spans="1:26" thickBot="1">
      <c r="A354" s="66"/>
      <c r="B354" s="85" t="s">
        <v>5880</v>
      </c>
      <c r="C354" s="75" t="s">
        <v>5853</v>
      </c>
      <c r="D354" s="75" t="s">
        <v>5827</v>
      </c>
      <c r="E354" s="75" t="s">
        <v>5828</v>
      </c>
      <c r="F354" s="75" t="s">
        <v>5829</v>
      </c>
      <c r="G354" s="75" t="s">
        <v>5830</v>
      </c>
      <c r="H354" s="75" t="s">
        <v>5831</v>
      </c>
      <c r="I354" s="75" t="s">
        <v>5832</v>
      </c>
      <c r="J354" s="75" t="s">
        <v>5833</v>
      </c>
      <c r="K354" s="75" t="s">
        <v>5834</v>
      </c>
      <c r="L354" s="75" t="s">
        <v>5835</v>
      </c>
      <c r="M354" s="75" t="s">
        <v>5836</v>
      </c>
      <c r="N354" s="75" t="s">
        <v>5837</v>
      </c>
      <c r="O354" s="75" t="s">
        <v>5838</v>
      </c>
      <c r="P354" s="74" t="s">
        <v>20</v>
      </c>
      <c r="Q354" s="64"/>
      <c r="R354" s="64"/>
      <c r="S354" s="64"/>
      <c r="T354" s="64"/>
      <c r="U354" s="64"/>
      <c r="V354" s="64"/>
      <c r="W354" s="64"/>
      <c r="X354" s="64"/>
      <c r="Y354" s="64"/>
      <c r="Z354" s="64"/>
    </row>
    <row r="355" spans="1:26" thickBot="1">
      <c r="A355" s="66" t="str">
        <f>$B$354&amp;C355</f>
        <v>Latitude 160</v>
      </c>
      <c r="B355" s="86">
        <v>16</v>
      </c>
      <c r="C355" s="70">
        <v>0</v>
      </c>
      <c r="D355" s="70">
        <v>1</v>
      </c>
      <c r="E355" s="70">
        <v>1</v>
      </c>
      <c r="F355" s="70">
        <v>1</v>
      </c>
      <c r="G355" s="70">
        <v>1</v>
      </c>
      <c r="H355" s="70">
        <v>1</v>
      </c>
      <c r="I355" s="70">
        <v>1</v>
      </c>
      <c r="J355" s="70">
        <v>1</v>
      </c>
      <c r="K355" s="70">
        <v>1</v>
      </c>
      <c r="L355" s="70">
        <v>1</v>
      </c>
      <c r="M355" s="70">
        <v>1</v>
      </c>
      <c r="N355" s="70">
        <v>1</v>
      </c>
      <c r="O355" s="70">
        <v>1</v>
      </c>
      <c r="P355" s="71">
        <v>1</v>
      </c>
      <c r="Q355" s="64"/>
      <c r="R355" s="64"/>
      <c r="S355" s="64"/>
      <c r="T355" s="64"/>
      <c r="U355" s="64"/>
      <c r="V355" s="64"/>
      <c r="W355" s="64"/>
      <c r="X355" s="64"/>
      <c r="Y355" s="64"/>
      <c r="Z355" s="64"/>
    </row>
    <row r="356" spans="1:26" thickBot="1">
      <c r="A356" s="66" t="str">
        <f t="shared" ref="A356:A373" si="16">$B$354&amp;C356</f>
        <v>Latitude 165</v>
      </c>
      <c r="B356" s="86">
        <v>16.5</v>
      </c>
      <c r="C356" s="70">
        <v>5</v>
      </c>
      <c r="D356" s="70">
        <v>0.99</v>
      </c>
      <c r="E356" s="70">
        <v>1</v>
      </c>
      <c r="F356" s="70">
        <v>1.02</v>
      </c>
      <c r="G356" s="70">
        <v>1.03</v>
      </c>
      <c r="H356" s="70">
        <v>1.04</v>
      </c>
      <c r="I356" s="70">
        <v>1.04</v>
      </c>
      <c r="J356" s="70">
        <v>1.04</v>
      </c>
      <c r="K356" s="70">
        <v>1.03</v>
      </c>
      <c r="L356" s="70">
        <v>1.01</v>
      </c>
      <c r="M356" s="70">
        <v>1</v>
      </c>
      <c r="N356" s="70">
        <v>0.99</v>
      </c>
      <c r="O356" s="70">
        <v>0.98</v>
      </c>
      <c r="P356" s="71">
        <v>1.01</v>
      </c>
      <c r="Q356" s="64"/>
      <c r="R356" s="64"/>
      <c r="S356" s="64"/>
      <c r="T356" s="64"/>
      <c r="U356" s="64"/>
      <c r="V356" s="64"/>
      <c r="W356" s="64"/>
      <c r="X356" s="64"/>
      <c r="Y356" s="64"/>
      <c r="Z356" s="64"/>
    </row>
    <row r="357" spans="1:26" thickBot="1">
      <c r="A357" s="66" t="str">
        <f t="shared" si="16"/>
        <v>Latitude 1610</v>
      </c>
      <c r="B357" s="86">
        <v>16.100000000000001</v>
      </c>
      <c r="C357" s="70">
        <v>10</v>
      </c>
      <c r="D357" s="70">
        <v>0.97</v>
      </c>
      <c r="E357" s="70">
        <v>0.99</v>
      </c>
      <c r="F357" s="70">
        <v>1.03</v>
      </c>
      <c r="G357" s="70">
        <v>1.06</v>
      </c>
      <c r="H357" s="70">
        <v>1.08</v>
      </c>
      <c r="I357" s="70">
        <v>1.08</v>
      </c>
      <c r="J357" s="70">
        <v>1.07</v>
      </c>
      <c r="K357" s="70">
        <v>1.05</v>
      </c>
      <c r="L357" s="70">
        <v>1.02</v>
      </c>
      <c r="M357" s="70">
        <v>0.99</v>
      </c>
      <c r="N357" s="70">
        <v>0.97</v>
      </c>
      <c r="O357" s="70">
        <v>0.96</v>
      </c>
      <c r="P357" s="71">
        <v>1.02</v>
      </c>
      <c r="Q357" s="64"/>
      <c r="R357" s="64"/>
      <c r="S357" s="64"/>
      <c r="T357" s="64"/>
      <c r="U357" s="64"/>
      <c r="V357" s="64"/>
      <c r="W357" s="64"/>
      <c r="X357" s="64"/>
      <c r="Y357" s="64"/>
      <c r="Z357" s="64"/>
    </row>
    <row r="358" spans="1:26" thickBot="1">
      <c r="A358" s="66" t="str">
        <f t="shared" si="16"/>
        <v>Latitude 1615</v>
      </c>
      <c r="B358" s="86">
        <v>16.149999999999999</v>
      </c>
      <c r="C358" s="70">
        <v>15</v>
      </c>
      <c r="D358" s="70">
        <v>0.94</v>
      </c>
      <c r="E358" s="70">
        <v>0.98</v>
      </c>
      <c r="F358" s="70">
        <v>1.03</v>
      </c>
      <c r="G358" s="70">
        <v>1.08</v>
      </c>
      <c r="H358" s="70">
        <v>1.1100000000000001</v>
      </c>
      <c r="I358" s="70">
        <v>1.1100000000000001</v>
      </c>
      <c r="J358" s="70">
        <v>1.0900000000000001</v>
      </c>
      <c r="K358" s="70">
        <v>1.06</v>
      </c>
      <c r="L358" s="70">
        <v>1.02</v>
      </c>
      <c r="M358" s="70">
        <v>0.98</v>
      </c>
      <c r="N358" s="70">
        <v>0.94</v>
      </c>
      <c r="O358" s="70">
        <v>0.93</v>
      </c>
      <c r="P358" s="71">
        <v>1.02</v>
      </c>
      <c r="Q358" s="64"/>
      <c r="R358" s="64"/>
      <c r="S358" s="64"/>
      <c r="T358" s="64"/>
      <c r="U358" s="64"/>
      <c r="V358" s="64"/>
      <c r="W358" s="64"/>
      <c r="X358" s="64"/>
      <c r="Y358" s="64"/>
      <c r="Z358" s="64"/>
    </row>
    <row r="359" spans="1:26" thickBot="1">
      <c r="A359" s="66" t="str">
        <f t="shared" si="16"/>
        <v>Latitude 1620</v>
      </c>
      <c r="B359" s="86">
        <v>16.2</v>
      </c>
      <c r="C359" s="70">
        <v>20</v>
      </c>
      <c r="D359" s="70">
        <v>0.91</v>
      </c>
      <c r="E359" s="70">
        <v>0.96</v>
      </c>
      <c r="F359" s="70">
        <v>1.02</v>
      </c>
      <c r="G359" s="70">
        <v>1.0900000000000001</v>
      </c>
      <c r="H359" s="70">
        <v>1.1299999999999999</v>
      </c>
      <c r="I359" s="70">
        <v>1.1399999999999999</v>
      </c>
      <c r="J359" s="70">
        <v>1.1100000000000001</v>
      </c>
      <c r="K359" s="70">
        <v>1.07</v>
      </c>
      <c r="L359" s="70">
        <v>1.02</v>
      </c>
      <c r="M359" s="70">
        <v>0.96</v>
      </c>
      <c r="N359" s="70">
        <v>0.91</v>
      </c>
      <c r="O359" s="70">
        <v>0.89</v>
      </c>
      <c r="P359" s="71">
        <v>1.02</v>
      </c>
      <c r="Q359" s="64"/>
      <c r="R359" s="64"/>
      <c r="S359" s="64"/>
      <c r="T359" s="64"/>
      <c r="U359" s="64"/>
      <c r="V359" s="64"/>
      <c r="W359" s="64"/>
      <c r="X359" s="64"/>
      <c r="Y359" s="64"/>
      <c r="Z359" s="64"/>
    </row>
    <row r="360" spans="1:26" thickBot="1">
      <c r="A360" s="66" t="str">
        <f t="shared" si="16"/>
        <v>Latitude 1625</v>
      </c>
      <c r="B360" s="86">
        <v>16.25</v>
      </c>
      <c r="C360" s="70">
        <v>25</v>
      </c>
      <c r="D360" s="70">
        <v>0.87</v>
      </c>
      <c r="E360" s="70">
        <v>0.93</v>
      </c>
      <c r="F360" s="70">
        <v>1.01</v>
      </c>
      <c r="G360" s="70">
        <v>1.1000000000000001</v>
      </c>
      <c r="H360" s="70">
        <v>1.1499999999999999</v>
      </c>
      <c r="I360" s="70">
        <v>1.1499999999999999</v>
      </c>
      <c r="J360" s="70">
        <v>1.1200000000000001</v>
      </c>
      <c r="K360" s="70">
        <v>1.07</v>
      </c>
      <c r="L360" s="70">
        <v>1.01</v>
      </c>
      <c r="M360" s="70">
        <v>0.93</v>
      </c>
      <c r="N360" s="70">
        <v>0.88</v>
      </c>
      <c r="O360" s="70">
        <v>0.85</v>
      </c>
      <c r="P360" s="71">
        <v>1.01</v>
      </c>
      <c r="Q360" s="64"/>
      <c r="R360" s="64"/>
      <c r="S360" s="64"/>
      <c r="T360" s="64"/>
      <c r="U360" s="64"/>
      <c r="V360" s="64"/>
      <c r="W360" s="64"/>
      <c r="X360" s="64"/>
      <c r="Y360" s="64"/>
      <c r="Z360" s="64"/>
    </row>
    <row r="361" spans="1:26" thickBot="1">
      <c r="A361" s="66" t="str">
        <f t="shared" si="16"/>
        <v>Latitude 1630</v>
      </c>
      <c r="B361" s="86">
        <v>16.3</v>
      </c>
      <c r="C361" s="70">
        <v>30</v>
      </c>
      <c r="D361" s="70">
        <v>0.83</v>
      </c>
      <c r="E361" s="70">
        <v>0.9</v>
      </c>
      <c r="F361" s="70">
        <v>0.99</v>
      </c>
      <c r="G361" s="70">
        <v>1.0900000000000001</v>
      </c>
      <c r="H361" s="70">
        <v>1.1599999999999999</v>
      </c>
      <c r="I361" s="70">
        <v>1.1599999999999999</v>
      </c>
      <c r="J361" s="70">
        <v>1.1299999999999999</v>
      </c>
      <c r="K361" s="70">
        <v>1.07</v>
      </c>
      <c r="L361" s="70">
        <v>0.99</v>
      </c>
      <c r="M361" s="70">
        <v>0.9</v>
      </c>
      <c r="N361" s="70">
        <v>0.83</v>
      </c>
      <c r="O361" s="70">
        <v>0.8</v>
      </c>
      <c r="P361" s="71">
        <v>0.99</v>
      </c>
      <c r="Q361" s="64"/>
      <c r="R361" s="64"/>
      <c r="S361" s="64"/>
      <c r="T361" s="64"/>
      <c r="U361" s="64"/>
      <c r="V361" s="64"/>
      <c r="W361" s="64"/>
      <c r="X361" s="64"/>
      <c r="Y361" s="64"/>
      <c r="Z361" s="64"/>
    </row>
    <row r="362" spans="1:26" thickBot="1">
      <c r="A362" s="66" t="str">
        <f t="shared" si="16"/>
        <v>Latitude 1635</v>
      </c>
      <c r="B362" s="86">
        <v>16.350000000000001</v>
      </c>
      <c r="C362" s="70">
        <v>35</v>
      </c>
      <c r="D362" s="70">
        <v>0.78</v>
      </c>
      <c r="E362" s="70">
        <v>0.86</v>
      </c>
      <c r="F362" s="70">
        <v>0.97</v>
      </c>
      <c r="G362" s="70">
        <v>1.08</v>
      </c>
      <c r="H362" s="70">
        <v>1.1599999999999999</v>
      </c>
      <c r="I362" s="70">
        <v>1.17</v>
      </c>
      <c r="J362" s="70">
        <v>1.1200000000000001</v>
      </c>
      <c r="K362" s="70">
        <v>1.06</v>
      </c>
      <c r="L362" s="70">
        <v>0.96</v>
      </c>
      <c r="M362" s="70">
        <v>0.86</v>
      </c>
      <c r="N362" s="70">
        <v>0.78</v>
      </c>
      <c r="O362" s="70">
        <v>0.75</v>
      </c>
      <c r="P362" s="71">
        <v>0.96</v>
      </c>
      <c r="Q362" s="64"/>
      <c r="R362" s="64"/>
      <c r="S362" s="64"/>
      <c r="T362" s="64"/>
      <c r="U362" s="64"/>
      <c r="V362" s="64"/>
      <c r="W362" s="64"/>
      <c r="X362" s="64"/>
      <c r="Y362" s="64"/>
      <c r="Z362" s="64"/>
    </row>
    <row r="363" spans="1:26" thickBot="1">
      <c r="A363" s="66" t="str">
        <f t="shared" si="16"/>
        <v>Latitude 1640</v>
      </c>
      <c r="B363" s="86">
        <v>16.399999999999999</v>
      </c>
      <c r="C363" s="70">
        <v>40</v>
      </c>
      <c r="D363" s="70">
        <v>0.72</v>
      </c>
      <c r="E363" s="70">
        <v>0.81</v>
      </c>
      <c r="F363" s="70">
        <v>0.94</v>
      </c>
      <c r="G363" s="70">
        <v>1.07</v>
      </c>
      <c r="H363" s="70">
        <v>1.1499999999999999</v>
      </c>
      <c r="I363" s="70">
        <v>1.1599999999999999</v>
      </c>
      <c r="J363" s="70">
        <v>1.1100000000000001</v>
      </c>
      <c r="K363" s="70">
        <v>1.04</v>
      </c>
      <c r="L363" s="70">
        <v>0.93</v>
      </c>
      <c r="M363" s="70">
        <v>0.82</v>
      </c>
      <c r="N363" s="70">
        <v>0.73</v>
      </c>
      <c r="O363" s="70">
        <v>0.69</v>
      </c>
      <c r="P363" s="71">
        <v>0.93</v>
      </c>
      <c r="Q363" s="64"/>
      <c r="R363" s="64"/>
      <c r="S363" s="64"/>
      <c r="T363" s="64"/>
      <c r="U363" s="64"/>
      <c r="V363" s="64"/>
      <c r="W363" s="64"/>
      <c r="X363" s="64"/>
      <c r="Y363" s="64"/>
      <c r="Z363" s="64"/>
    </row>
    <row r="364" spans="1:26" thickBot="1">
      <c r="A364" s="66" t="str">
        <f t="shared" si="16"/>
        <v>Latitude 1645</v>
      </c>
      <c r="B364" s="86">
        <v>16.45</v>
      </c>
      <c r="C364" s="70">
        <v>45</v>
      </c>
      <c r="D364" s="70">
        <v>0.66</v>
      </c>
      <c r="E364" s="70">
        <v>0.76</v>
      </c>
      <c r="F364" s="70">
        <v>0.9</v>
      </c>
      <c r="G364" s="70">
        <v>1.04</v>
      </c>
      <c r="H364" s="70">
        <v>1.1399999999999999</v>
      </c>
      <c r="I364" s="70">
        <v>1.1499999999999999</v>
      </c>
      <c r="J364" s="70">
        <v>1.1000000000000001</v>
      </c>
      <c r="K364" s="70">
        <v>1.01</v>
      </c>
      <c r="L364" s="70">
        <v>0.89</v>
      </c>
      <c r="M364" s="70">
        <v>0.77</v>
      </c>
      <c r="N364" s="70">
        <v>0.67</v>
      </c>
      <c r="O364" s="70">
        <v>0.63</v>
      </c>
      <c r="P364" s="71">
        <v>0.89</v>
      </c>
      <c r="Q364" s="64"/>
      <c r="R364" s="64"/>
      <c r="S364" s="64"/>
      <c r="T364" s="64"/>
      <c r="U364" s="64"/>
      <c r="V364" s="64"/>
      <c r="W364" s="64"/>
      <c r="X364" s="64"/>
      <c r="Y364" s="64"/>
      <c r="Z364" s="64"/>
    </row>
    <row r="365" spans="1:26" thickBot="1">
      <c r="A365" s="66" t="str">
        <f t="shared" si="16"/>
        <v>Latitude 1650</v>
      </c>
      <c r="B365" s="86">
        <v>16.5</v>
      </c>
      <c r="C365" s="70">
        <v>50</v>
      </c>
      <c r="D365" s="70">
        <v>0.6</v>
      </c>
      <c r="E365" s="70">
        <v>0.7</v>
      </c>
      <c r="F365" s="70">
        <v>0.85</v>
      </c>
      <c r="G365" s="70">
        <v>1.01</v>
      </c>
      <c r="H365" s="70">
        <v>1.1100000000000001</v>
      </c>
      <c r="I365" s="70">
        <v>1.1299999999999999</v>
      </c>
      <c r="J365" s="70">
        <v>1.07</v>
      </c>
      <c r="K365" s="70">
        <v>0.98</v>
      </c>
      <c r="L365" s="70">
        <v>0.85</v>
      </c>
      <c r="M365" s="70">
        <v>0.71</v>
      </c>
      <c r="N365" s="70">
        <v>0.6</v>
      </c>
      <c r="O365" s="70">
        <v>0.56000000000000005</v>
      </c>
      <c r="P365" s="71">
        <v>0.85</v>
      </c>
      <c r="Q365" s="64"/>
      <c r="R365" s="64"/>
      <c r="S365" s="64"/>
      <c r="T365" s="64"/>
      <c r="U365" s="64"/>
      <c r="V365" s="64"/>
      <c r="W365" s="64"/>
      <c r="X365" s="64"/>
      <c r="Y365" s="64"/>
      <c r="Z365" s="64"/>
    </row>
    <row r="366" spans="1:26" thickBot="1">
      <c r="A366" s="66" t="str">
        <f t="shared" si="16"/>
        <v>Latitude 1655</v>
      </c>
      <c r="B366" s="86">
        <v>16.55</v>
      </c>
      <c r="C366" s="70">
        <v>55</v>
      </c>
      <c r="D366" s="70">
        <v>0.53</v>
      </c>
      <c r="E366" s="70">
        <v>0.64</v>
      </c>
      <c r="F366" s="70">
        <v>0.8</v>
      </c>
      <c r="G366" s="70">
        <v>0.97</v>
      </c>
      <c r="H366" s="70">
        <v>1.08</v>
      </c>
      <c r="I366" s="70">
        <v>1.1000000000000001</v>
      </c>
      <c r="J366" s="70">
        <v>1.04</v>
      </c>
      <c r="K366" s="70">
        <v>0.94</v>
      </c>
      <c r="L366" s="70">
        <v>0.8</v>
      </c>
      <c r="M366" s="70">
        <v>0.65</v>
      </c>
      <c r="N366" s="70">
        <v>0.54</v>
      </c>
      <c r="O366" s="70">
        <v>0.49</v>
      </c>
      <c r="P366" s="71">
        <v>0.8</v>
      </c>
      <c r="Q366" s="64"/>
      <c r="R366" s="64"/>
      <c r="S366" s="64"/>
      <c r="T366" s="64"/>
      <c r="U366" s="64"/>
      <c r="V366" s="64"/>
      <c r="W366" s="64"/>
      <c r="X366" s="64"/>
      <c r="Y366" s="64"/>
      <c r="Z366" s="64"/>
    </row>
    <row r="367" spans="1:26" thickBot="1">
      <c r="A367" s="66" t="str">
        <f t="shared" si="16"/>
        <v>Latitude 1660</v>
      </c>
      <c r="B367" s="86">
        <v>16.600000000000001</v>
      </c>
      <c r="C367" s="70">
        <v>60</v>
      </c>
      <c r="D367" s="70">
        <v>0.46</v>
      </c>
      <c r="E367" s="70">
        <v>0.57999999999999996</v>
      </c>
      <c r="F367" s="70">
        <v>0.75</v>
      </c>
      <c r="G367" s="70">
        <v>0.93</v>
      </c>
      <c r="H367" s="70">
        <v>1.05</v>
      </c>
      <c r="I367" s="70">
        <v>1.07</v>
      </c>
      <c r="J367" s="70">
        <v>1.01</v>
      </c>
      <c r="K367" s="70">
        <v>0.9</v>
      </c>
      <c r="L367" s="70">
        <v>0.75</v>
      </c>
      <c r="M367" s="70">
        <v>0.59</v>
      </c>
      <c r="N367" s="70">
        <v>0.46</v>
      </c>
      <c r="O367" s="70">
        <v>0.41</v>
      </c>
      <c r="P367" s="71">
        <v>0.75</v>
      </c>
      <c r="Q367" s="64"/>
      <c r="R367" s="64"/>
      <c r="S367" s="64"/>
      <c r="T367" s="64"/>
      <c r="U367" s="64"/>
      <c r="V367" s="64"/>
      <c r="W367" s="64"/>
      <c r="X367" s="64"/>
      <c r="Y367" s="64"/>
      <c r="Z367" s="64"/>
    </row>
    <row r="368" spans="1:26" thickBot="1">
      <c r="A368" s="66" t="str">
        <f t="shared" si="16"/>
        <v>Latitude 1665</v>
      </c>
      <c r="B368" s="86">
        <v>16.649999999999999</v>
      </c>
      <c r="C368" s="70">
        <v>65</v>
      </c>
      <c r="D368" s="70">
        <v>0.38</v>
      </c>
      <c r="E368" s="70">
        <v>0.51</v>
      </c>
      <c r="F368" s="70">
        <v>0.69</v>
      </c>
      <c r="G368" s="70">
        <v>0.87</v>
      </c>
      <c r="H368" s="70">
        <v>1.01</v>
      </c>
      <c r="I368" s="70">
        <v>1.03</v>
      </c>
      <c r="J368" s="70">
        <v>0.96</v>
      </c>
      <c r="K368" s="70">
        <v>0.85</v>
      </c>
      <c r="L368" s="70">
        <v>0.69</v>
      </c>
      <c r="M368" s="70">
        <v>0.52</v>
      </c>
      <c r="N368" s="70">
        <v>0.39</v>
      </c>
      <c r="O368" s="70">
        <v>0.34</v>
      </c>
      <c r="P368" s="71">
        <v>0.69</v>
      </c>
      <c r="Q368" s="64"/>
      <c r="R368" s="64"/>
      <c r="S368" s="64"/>
      <c r="T368" s="64"/>
      <c r="U368" s="64"/>
      <c r="V368" s="64"/>
      <c r="W368" s="64"/>
      <c r="X368" s="64"/>
      <c r="Y368" s="64"/>
      <c r="Z368" s="64"/>
    </row>
    <row r="369" spans="1:26" thickBot="1">
      <c r="A369" s="66" t="str">
        <f t="shared" si="16"/>
        <v>Latitude 1670</v>
      </c>
      <c r="B369" s="86">
        <v>16.7</v>
      </c>
      <c r="C369" s="70">
        <v>70</v>
      </c>
      <c r="D369" s="70">
        <v>0.3</v>
      </c>
      <c r="E369" s="70">
        <v>0.44</v>
      </c>
      <c r="F369" s="70">
        <v>0.62</v>
      </c>
      <c r="G369" s="70">
        <v>0.82</v>
      </c>
      <c r="H369" s="70">
        <v>0.96</v>
      </c>
      <c r="I369" s="70">
        <v>0.98</v>
      </c>
      <c r="J369" s="70">
        <v>0.92</v>
      </c>
      <c r="K369" s="70">
        <v>0.79</v>
      </c>
      <c r="L369" s="70">
        <v>0.63</v>
      </c>
      <c r="M369" s="70">
        <v>0.45</v>
      </c>
      <c r="N369" s="70">
        <v>0.31</v>
      </c>
      <c r="O369" s="70">
        <v>0.26</v>
      </c>
      <c r="P369" s="71">
        <v>0.62</v>
      </c>
      <c r="Q369" s="64"/>
      <c r="R369" s="64"/>
      <c r="S369" s="64"/>
      <c r="T369" s="64"/>
      <c r="U369" s="64"/>
      <c r="V369" s="64"/>
      <c r="W369" s="64"/>
      <c r="X369" s="64"/>
      <c r="Y369" s="64"/>
      <c r="Z369" s="64"/>
    </row>
    <row r="370" spans="1:26" thickBot="1">
      <c r="A370" s="66" t="str">
        <f t="shared" si="16"/>
        <v>Latitude 1675</v>
      </c>
      <c r="B370" s="86">
        <v>16.75</v>
      </c>
      <c r="C370" s="70">
        <v>75</v>
      </c>
      <c r="D370" s="70">
        <v>0.22</v>
      </c>
      <c r="E370" s="70">
        <v>0.36</v>
      </c>
      <c r="F370" s="70">
        <v>0.55000000000000004</v>
      </c>
      <c r="G370" s="70">
        <v>0.76</v>
      </c>
      <c r="H370" s="70">
        <v>0.9</v>
      </c>
      <c r="I370" s="70">
        <v>0.93</v>
      </c>
      <c r="J370" s="70">
        <v>0.86</v>
      </c>
      <c r="K370" s="70">
        <v>0.74</v>
      </c>
      <c r="L370" s="70">
        <v>0.56000000000000005</v>
      </c>
      <c r="M370" s="70">
        <v>0.38</v>
      </c>
      <c r="N370" s="70">
        <v>0.24</v>
      </c>
      <c r="O370" s="70">
        <v>0.18</v>
      </c>
      <c r="P370" s="71">
        <v>0.56000000000000005</v>
      </c>
      <c r="Q370" s="64"/>
      <c r="R370" s="64"/>
      <c r="S370" s="64"/>
      <c r="T370" s="64"/>
      <c r="U370" s="64"/>
      <c r="V370" s="64"/>
      <c r="W370" s="64"/>
      <c r="X370" s="64"/>
      <c r="Y370" s="64"/>
      <c r="Z370" s="64"/>
    </row>
    <row r="371" spans="1:26" thickBot="1">
      <c r="A371" s="66" t="str">
        <f t="shared" si="16"/>
        <v>Latitude 1680</v>
      </c>
      <c r="B371" s="86">
        <v>16.8</v>
      </c>
      <c r="C371" s="70">
        <v>80</v>
      </c>
      <c r="D371" s="70">
        <v>0.14000000000000001</v>
      </c>
      <c r="E371" s="70">
        <v>0.28000000000000003</v>
      </c>
      <c r="F371" s="70">
        <v>0.48</v>
      </c>
      <c r="G371" s="70">
        <v>0.69</v>
      </c>
      <c r="H371" s="70">
        <v>0.84</v>
      </c>
      <c r="I371" s="70">
        <v>0.87</v>
      </c>
      <c r="J371" s="70">
        <v>0.8</v>
      </c>
      <c r="K371" s="70">
        <v>0.67</v>
      </c>
      <c r="L371" s="70">
        <v>0.49</v>
      </c>
      <c r="M371" s="70">
        <v>0.3</v>
      </c>
      <c r="N371" s="70">
        <v>0.16</v>
      </c>
      <c r="O371" s="70">
        <v>0.1</v>
      </c>
      <c r="P371" s="71">
        <v>0.49</v>
      </c>
      <c r="Q371" s="64"/>
      <c r="R371" s="64"/>
      <c r="S371" s="64"/>
      <c r="T371" s="64"/>
      <c r="U371" s="64"/>
      <c r="V371" s="64"/>
      <c r="W371" s="64"/>
      <c r="X371" s="64"/>
      <c r="Y371" s="64"/>
      <c r="Z371" s="64"/>
    </row>
    <row r="372" spans="1:26" thickBot="1">
      <c r="A372" s="66" t="str">
        <f t="shared" si="16"/>
        <v>Latitude 1685</v>
      </c>
      <c r="B372" s="86">
        <v>16.850000000000001</v>
      </c>
      <c r="C372" s="70">
        <v>85</v>
      </c>
      <c r="D372" s="70">
        <v>0.09</v>
      </c>
      <c r="E372" s="70">
        <v>0.2</v>
      </c>
      <c r="F372" s="70">
        <v>0.41</v>
      </c>
      <c r="G372" s="70">
        <v>0.62</v>
      </c>
      <c r="H372" s="70">
        <v>0.77</v>
      </c>
      <c r="I372" s="70">
        <v>0.81</v>
      </c>
      <c r="J372" s="70">
        <v>0.74</v>
      </c>
      <c r="K372" s="70">
        <v>0.61</v>
      </c>
      <c r="L372" s="70">
        <v>0.42</v>
      </c>
      <c r="M372" s="70">
        <v>0.23</v>
      </c>
      <c r="N372" s="70">
        <v>0.1</v>
      </c>
      <c r="O372" s="70">
        <v>0.09</v>
      </c>
      <c r="P372" s="71">
        <v>0.42</v>
      </c>
      <c r="Q372" s="64"/>
      <c r="R372" s="64"/>
      <c r="S372" s="64"/>
      <c r="T372" s="64"/>
      <c r="U372" s="64"/>
      <c r="V372" s="64"/>
      <c r="W372" s="64"/>
      <c r="X372" s="64"/>
      <c r="Y372" s="64"/>
      <c r="Z372" s="64"/>
    </row>
    <row r="373" spans="1:26" thickBot="1">
      <c r="A373" s="66" t="str">
        <f t="shared" si="16"/>
        <v>Latitude 1690</v>
      </c>
      <c r="B373" s="86">
        <v>16.899999999999999</v>
      </c>
      <c r="C373" s="70">
        <v>90</v>
      </c>
      <c r="D373" s="70">
        <v>0.08</v>
      </c>
      <c r="E373" s="70">
        <v>0.12</v>
      </c>
      <c r="F373" s="70">
        <v>0.33</v>
      </c>
      <c r="G373" s="70">
        <v>0.54</v>
      </c>
      <c r="H373" s="70">
        <v>0.7</v>
      </c>
      <c r="I373" s="70">
        <v>0.74</v>
      </c>
      <c r="J373" s="70">
        <v>0.67</v>
      </c>
      <c r="K373" s="70">
        <v>0.54</v>
      </c>
      <c r="L373" s="70">
        <v>0.35</v>
      </c>
      <c r="M373" s="70">
        <v>0.15</v>
      </c>
      <c r="N373" s="70">
        <v>0.09</v>
      </c>
      <c r="O373" s="70">
        <v>0.08</v>
      </c>
      <c r="P373" s="71">
        <v>0.37</v>
      </c>
      <c r="Q373" s="64"/>
      <c r="R373" s="64"/>
      <c r="S373" s="64"/>
      <c r="T373" s="64"/>
      <c r="U373" s="64"/>
      <c r="V373" s="64"/>
      <c r="W373" s="64"/>
      <c r="X373" s="64"/>
      <c r="Y373" s="64"/>
      <c r="Z373" s="64"/>
    </row>
    <row r="374" spans="1:26" thickBot="1">
      <c r="A374" s="66"/>
      <c r="B374" s="88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66"/>
      <c r="Q374" s="64"/>
      <c r="R374" s="64"/>
      <c r="S374" s="64"/>
      <c r="T374" s="64"/>
      <c r="U374" s="64"/>
      <c r="V374" s="64"/>
      <c r="W374" s="64"/>
      <c r="X374" s="64"/>
      <c r="Y374" s="64"/>
      <c r="Z374" s="64"/>
    </row>
    <row r="375" spans="1:26" thickBot="1">
      <c r="A375" s="66"/>
      <c r="B375" s="88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66"/>
      <c r="Q375" s="64"/>
      <c r="R375" s="64"/>
      <c r="S375" s="64"/>
      <c r="T375" s="64"/>
      <c r="U375" s="64"/>
      <c r="V375" s="64"/>
      <c r="W375" s="64"/>
      <c r="X375" s="64"/>
      <c r="Y375" s="64"/>
      <c r="Z375" s="64"/>
    </row>
    <row r="376" spans="1:26" thickBot="1">
      <c r="A376" s="66"/>
      <c r="B376" s="85" t="s">
        <v>5881</v>
      </c>
      <c r="C376" s="75" t="s">
        <v>5853</v>
      </c>
      <c r="D376" s="75" t="s">
        <v>5827</v>
      </c>
      <c r="E376" s="75" t="s">
        <v>5828</v>
      </c>
      <c r="F376" s="75" t="s">
        <v>5829</v>
      </c>
      <c r="G376" s="75" t="s">
        <v>5830</v>
      </c>
      <c r="H376" s="75" t="s">
        <v>5831</v>
      </c>
      <c r="I376" s="75" t="s">
        <v>5832</v>
      </c>
      <c r="J376" s="75" t="s">
        <v>5833</v>
      </c>
      <c r="K376" s="75" t="s">
        <v>5834</v>
      </c>
      <c r="L376" s="75" t="s">
        <v>5835</v>
      </c>
      <c r="M376" s="75" t="s">
        <v>5836</v>
      </c>
      <c r="N376" s="75" t="s">
        <v>5837</v>
      </c>
      <c r="O376" s="75" t="s">
        <v>5838</v>
      </c>
      <c r="P376" s="74" t="s">
        <v>20</v>
      </c>
      <c r="Q376" s="64"/>
      <c r="R376" s="64"/>
      <c r="S376" s="64"/>
      <c r="T376" s="64"/>
      <c r="U376" s="64"/>
      <c r="V376" s="64"/>
      <c r="W376" s="64"/>
      <c r="X376" s="64"/>
      <c r="Y376" s="64"/>
      <c r="Z376" s="64"/>
    </row>
    <row r="377" spans="1:26" thickBot="1">
      <c r="A377" s="66" t="str">
        <f>$B$376&amp;C377</f>
        <v>Latitude 170</v>
      </c>
      <c r="B377" s="86">
        <v>17</v>
      </c>
      <c r="C377" s="70">
        <v>0</v>
      </c>
      <c r="D377" s="70">
        <v>1</v>
      </c>
      <c r="E377" s="70">
        <v>1</v>
      </c>
      <c r="F377" s="70">
        <v>1</v>
      </c>
      <c r="G377" s="70">
        <v>1</v>
      </c>
      <c r="H377" s="70">
        <v>1</v>
      </c>
      <c r="I377" s="70">
        <v>1</v>
      </c>
      <c r="J377" s="70">
        <v>1</v>
      </c>
      <c r="K377" s="70">
        <v>1</v>
      </c>
      <c r="L377" s="70">
        <v>1</v>
      </c>
      <c r="M377" s="70">
        <v>1</v>
      </c>
      <c r="N377" s="70">
        <v>1</v>
      </c>
      <c r="O377" s="70">
        <v>1</v>
      </c>
      <c r="P377" s="71">
        <v>1</v>
      </c>
      <c r="Q377" s="64"/>
      <c r="R377" s="64"/>
      <c r="S377" s="64"/>
      <c r="T377" s="64"/>
      <c r="U377" s="64"/>
      <c r="V377" s="64"/>
      <c r="W377" s="64"/>
      <c r="X377" s="64"/>
      <c r="Y377" s="64"/>
      <c r="Z377" s="64"/>
    </row>
    <row r="378" spans="1:26" thickBot="1">
      <c r="A378" s="66" t="str">
        <f t="shared" ref="A378:A395" si="17">$B$376&amp;C378</f>
        <v>Latitude 175</v>
      </c>
      <c r="B378" s="86">
        <v>17.5</v>
      </c>
      <c r="C378" s="70">
        <v>5</v>
      </c>
      <c r="D378" s="70">
        <v>0.99</v>
      </c>
      <c r="E378" s="70">
        <v>1</v>
      </c>
      <c r="F378" s="70">
        <v>1.02</v>
      </c>
      <c r="G378" s="70">
        <v>1.03</v>
      </c>
      <c r="H378" s="70">
        <v>1.05</v>
      </c>
      <c r="I378" s="70">
        <v>1.05</v>
      </c>
      <c r="J378" s="70">
        <v>1.04</v>
      </c>
      <c r="K378" s="70">
        <v>1.03</v>
      </c>
      <c r="L378" s="70">
        <v>1.02</v>
      </c>
      <c r="M378" s="70">
        <v>1</v>
      </c>
      <c r="N378" s="70">
        <v>0.99</v>
      </c>
      <c r="O378" s="70">
        <v>0.98</v>
      </c>
      <c r="P378" s="71">
        <v>1.02</v>
      </c>
      <c r="Q378" s="64"/>
      <c r="R378" s="64"/>
      <c r="S378" s="64"/>
      <c r="T378" s="64"/>
      <c r="U378" s="64"/>
      <c r="V378" s="64"/>
      <c r="W378" s="64"/>
      <c r="X378" s="64"/>
      <c r="Y378" s="64"/>
      <c r="Z378" s="64"/>
    </row>
    <row r="379" spans="1:26" thickBot="1">
      <c r="A379" s="66" t="str">
        <f t="shared" si="17"/>
        <v>Latitude 1710</v>
      </c>
      <c r="B379" s="86">
        <v>17.100000000000001</v>
      </c>
      <c r="C379" s="70">
        <v>10</v>
      </c>
      <c r="D379" s="70">
        <v>0.97</v>
      </c>
      <c r="E379" s="70">
        <v>1</v>
      </c>
      <c r="F379" s="70">
        <v>1.03</v>
      </c>
      <c r="G379" s="70">
        <v>1.06</v>
      </c>
      <c r="H379" s="70">
        <v>1.08</v>
      </c>
      <c r="I379" s="70">
        <v>1.08</v>
      </c>
      <c r="J379" s="70">
        <v>1.07</v>
      </c>
      <c r="K379" s="70">
        <v>1.05</v>
      </c>
      <c r="L379" s="70">
        <v>1.02</v>
      </c>
      <c r="M379" s="70">
        <v>1</v>
      </c>
      <c r="N379" s="70">
        <v>0.97</v>
      </c>
      <c r="O379" s="70">
        <v>0.96</v>
      </c>
      <c r="P379" s="71">
        <v>1.02</v>
      </c>
      <c r="Q379" s="64"/>
      <c r="R379" s="64"/>
      <c r="S379" s="64"/>
      <c r="T379" s="64"/>
      <c r="U379" s="64"/>
      <c r="V379" s="64"/>
      <c r="W379" s="64"/>
      <c r="X379" s="64"/>
      <c r="Y379" s="64"/>
      <c r="Z379" s="64"/>
    </row>
    <row r="380" spans="1:26" thickBot="1">
      <c r="A380" s="66" t="str">
        <f t="shared" si="17"/>
        <v>Latitude 1715</v>
      </c>
      <c r="B380" s="86">
        <v>17.149999999999999</v>
      </c>
      <c r="C380" s="70">
        <v>15</v>
      </c>
      <c r="D380" s="70">
        <v>0.95</v>
      </c>
      <c r="E380" s="70">
        <v>0.98</v>
      </c>
      <c r="F380" s="70">
        <v>1.03</v>
      </c>
      <c r="G380" s="70">
        <v>1.08</v>
      </c>
      <c r="H380" s="70">
        <v>1.1200000000000001</v>
      </c>
      <c r="I380" s="70">
        <v>1.1200000000000001</v>
      </c>
      <c r="J380" s="70">
        <v>1.1000000000000001</v>
      </c>
      <c r="K380" s="70">
        <v>1.07</v>
      </c>
      <c r="L380" s="70">
        <v>1.03</v>
      </c>
      <c r="M380" s="70">
        <v>0.98</v>
      </c>
      <c r="N380" s="70">
        <v>0.95</v>
      </c>
      <c r="O380" s="70">
        <v>0.93</v>
      </c>
      <c r="P380" s="71">
        <v>1.03</v>
      </c>
      <c r="Q380" s="64"/>
      <c r="R380" s="64"/>
      <c r="S380" s="64"/>
      <c r="T380" s="64"/>
      <c r="U380" s="64"/>
      <c r="V380" s="64"/>
      <c r="W380" s="64"/>
      <c r="X380" s="64"/>
      <c r="Y380" s="64"/>
      <c r="Z380" s="64"/>
    </row>
    <row r="381" spans="1:26" thickBot="1">
      <c r="A381" s="66" t="str">
        <f t="shared" si="17"/>
        <v>Latitude 1720</v>
      </c>
      <c r="B381" s="86">
        <v>17.2</v>
      </c>
      <c r="C381" s="70">
        <v>20</v>
      </c>
      <c r="D381" s="70">
        <v>0.92</v>
      </c>
      <c r="E381" s="70">
        <v>0.96</v>
      </c>
      <c r="F381" s="70">
        <v>1.03</v>
      </c>
      <c r="G381" s="70">
        <v>1.1000000000000001</v>
      </c>
      <c r="H381" s="70">
        <v>1.1399999999999999</v>
      </c>
      <c r="I381" s="70">
        <v>1.1399999999999999</v>
      </c>
      <c r="J381" s="70">
        <v>1.1200000000000001</v>
      </c>
      <c r="K381" s="70">
        <v>1.08</v>
      </c>
      <c r="L381" s="70">
        <v>1.02</v>
      </c>
      <c r="M381" s="70">
        <v>0.96</v>
      </c>
      <c r="N381" s="70">
        <v>0.92</v>
      </c>
      <c r="O381" s="70">
        <v>0.9</v>
      </c>
      <c r="P381" s="71">
        <v>1.02</v>
      </c>
      <c r="Q381" s="64"/>
      <c r="R381" s="64"/>
      <c r="S381" s="64"/>
      <c r="T381" s="64"/>
      <c r="U381" s="64"/>
      <c r="V381" s="64"/>
      <c r="W381" s="64"/>
      <c r="X381" s="64"/>
      <c r="Y381" s="64"/>
      <c r="Z381" s="64"/>
    </row>
    <row r="382" spans="1:26" thickBot="1">
      <c r="A382" s="66" t="str">
        <f t="shared" si="17"/>
        <v>Latitude 1725</v>
      </c>
      <c r="B382" s="86">
        <v>17.25</v>
      </c>
      <c r="C382" s="70">
        <v>25</v>
      </c>
      <c r="D382" s="70">
        <v>0.88</v>
      </c>
      <c r="E382" s="70">
        <v>0.94</v>
      </c>
      <c r="F382" s="70">
        <v>1.02</v>
      </c>
      <c r="G382" s="70">
        <v>1.1000000000000001</v>
      </c>
      <c r="H382" s="70">
        <v>1.1599999999999999</v>
      </c>
      <c r="I382" s="70">
        <v>1.1599999999999999</v>
      </c>
      <c r="J382" s="70">
        <v>1.1299999999999999</v>
      </c>
      <c r="K382" s="70">
        <v>1.08</v>
      </c>
      <c r="L382" s="70">
        <v>1.01</v>
      </c>
      <c r="M382" s="70">
        <v>0.94</v>
      </c>
      <c r="N382" s="70">
        <v>0.88</v>
      </c>
      <c r="O382" s="70">
        <v>0.86</v>
      </c>
      <c r="P382" s="71">
        <v>1.01</v>
      </c>
      <c r="Q382" s="64"/>
      <c r="R382" s="64"/>
      <c r="S382" s="64"/>
      <c r="T382" s="64"/>
      <c r="U382" s="64"/>
      <c r="V382" s="64"/>
      <c r="W382" s="64"/>
      <c r="X382" s="64"/>
      <c r="Y382" s="64"/>
      <c r="Z382" s="64"/>
    </row>
    <row r="383" spans="1:26" thickBot="1">
      <c r="A383" s="66" t="str">
        <f t="shared" si="17"/>
        <v>Latitude 1730</v>
      </c>
      <c r="B383" s="86">
        <v>17.3</v>
      </c>
      <c r="C383" s="70">
        <v>30</v>
      </c>
      <c r="D383" s="70">
        <v>0.84</v>
      </c>
      <c r="E383" s="70">
        <v>0.91</v>
      </c>
      <c r="F383" s="70">
        <v>1</v>
      </c>
      <c r="G383" s="70">
        <v>1.1000000000000001</v>
      </c>
      <c r="H383" s="70">
        <v>1.17</v>
      </c>
      <c r="I383" s="70">
        <v>1.17</v>
      </c>
      <c r="J383" s="70">
        <v>1.1299999999999999</v>
      </c>
      <c r="K383" s="70">
        <v>1.07</v>
      </c>
      <c r="L383" s="70">
        <v>0.99</v>
      </c>
      <c r="M383" s="70">
        <v>0.91</v>
      </c>
      <c r="N383" s="70">
        <v>0.84</v>
      </c>
      <c r="O383" s="70">
        <v>0.81</v>
      </c>
      <c r="P383" s="71">
        <v>1</v>
      </c>
      <c r="Q383" s="64"/>
      <c r="R383" s="64"/>
      <c r="S383" s="64"/>
      <c r="T383" s="64"/>
      <c r="U383" s="64"/>
      <c r="V383" s="64"/>
      <c r="W383" s="64"/>
      <c r="X383" s="64"/>
      <c r="Y383" s="64"/>
      <c r="Z383" s="64"/>
    </row>
    <row r="384" spans="1:26" thickBot="1">
      <c r="A384" s="66" t="str">
        <f t="shared" si="17"/>
        <v>Latitude 1735</v>
      </c>
      <c r="B384" s="86">
        <v>17.350000000000001</v>
      </c>
      <c r="C384" s="70">
        <v>35</v>
      </c>
      <c r="D384" s="70">
        <v>0.79</v>
      </c>
      <c r="E384" s="70">
        <v>0.87</v>
      </c>
      <c r="F384" s="70">
        <v>0.98</v>
      </c>
      <c r="G384" s="70">
        <v>1.0900000000000001</v>
      </c>
      <c r="H384" s="70">
        <v>1.17</v>
      </c>
      <c r="I384" s="70">
        <v>1.17</v>
      </c>
      <c r="J384" s="70">
        <v>1.1299999999999999</v>
      </c>
      <c r="K384" s="70">
        <v>1.06</v>
      </c>
      <c r="L384" s="70">
        <v>0.97</v>
      </c>
      <c r="M384" s="70">
        <v>0.87</v>
      </c>
      <c r="N384" s="70">
        <v>0.79</v>
      </c>
      <c r="O384" s="70">
        <v>0.76</v>
      </c>
      <c r="P384" s="71">
        <v>0.97</v>
      </c>
      <c r="Q384" s="64"/>
      <c r="R384" s="64"/>
      <c r="S384" s="64"/>
      <c r="T384" s="64"/>
      <c r="U384" s="64"/>
      <c r="V384" s="64"/>
      <c r="W384" s="64"/>
      <c r="X384" s="64"/>
      <c r="Y384" s="64"/>
      <c r="Z384" s="64"/>
    </row>
    <row r="385" spans="1:26" thickBot="1">
      <c r="A385" s="66" t="str">
        <f t="shared" si="17"/>
        <v>Latitude 1740</v>
      </c>
      <c r="B385" s="86">
        <v>17.399999999999999</v>
      </c>
      <c r="C385" s="70">
        <v>40</v>
      </c>
      <c r="D385" s="70">
        <v>0.73</v>
      </c>
      <c r="E385" s="70">
        <v>0.82</v>
      </c>
      <c r="F385" s="70">
        <v>0.95</v>
      </c>
      <c r="G385" s="70">
        <v>1.08</v>
      </c>
      <c r="H385" s="70">
        <v>1.1599999999999999</v>
      </c>
      <c r="I385" s="70">
        <v>1.17</v>
      </c>
      <c r="J385" s="70">
        <v>1.1200000000000001</v>
      </c>
      <c r="K385" s="70">
        <v>1.05</v>
      </c>
      <c r="L385" s="70">
        <v>0.94</v>
      </c>
      <c r="M385" s="70">
        <v>0.83</v>
      </c>
      <c r="N385" s="70">
        <v>0.74</v>
      </c>
      <c r="O385" s="70">
        <v>0.7</v>
      </c>
      <c r="P385" s="71">
        <v>0.94</v>
      </c>
      <c r="Q385" s="64"/>
      <c r="R385" s="64"/>
      <c r="S385" s="64"/>
      <c r="T385" s="64"/>
      <c r="U385" s="64"/>
      <c r="V385" s="64"/>
      <c r="W385" s="64"/>
      <c r="X385" s="64"/>
      <c r="Y385" s="64"/>
      <c r="Z385" s="64"/>
    </row>
    <row r="386" spans="1:26" thickBot="1">
      <c r="A386" s="66" t="str">
        <f t="shared" si="17"/>
        <v>Latitude 1745</v>
      </c>
      <c r="B386" s="86">
        <v>17.45</v>
      </c>
      <c r="C386" s="70">
        <v>45</v>
      </c>
      <c r="D386" s="70">
        <v>0.67</v>
      </c>
      <c r="E386" s="70">
        <v>0.77</v>
      </c>
      <c r="F386" s="70">
        <v>0.91</v>
      </c>
      <c r="G386" s="70">
        <v>1.05</v>
      </c>
      <c r="H386" s="70">
        <v>1.1499999999999999</v>
      </c>
      <c r="I386" s="70">
        <v>1.1599999999999999</v>
      </c>
      <c r="J386" s="70">
        <v>1.1100000000000001</v>
      </c>
      <c r="K386" s="70">
        <v>1.02</v>
      </c>
      <c r="L386" s="70">
        <v>0.9</v>
      </c>
      <c r="M386" s="70">
        <v>0.78</v>
      </c>
      <c r="N386" s="70">
        <v>0.68</v>
      </c>
      <c r="O386" s="70">
        <v>0.64</v>
      </c>
      <c r="P386" s="71">
        <v>0.9</v>
      </c>
      <c r="Q386" s="64"/>
      <c r="R386" s="64"/>
      <c r="S386" s="64"/>
      <c r="T386" s="64"/>
      <c r="U386" s="64"/>
      <c r="V386" s="64"/>
      <c r="W386" s="64"/>
      <c r="X386" s="64"/>
      <c r="Y386" s="64"/>
      <c r="Z386" s="64"/>
    </row>
    <row r="387" spans="1:26" thickBot="1">
      <c r="A387" s="66" t="str">
        <f t="shared" si="17"/>
        <v>Latitude 1750</v>
      </c>
      <c r="B387" s="86">
        <v>17.5</v>
      </c>
      <c r="C387" s="70">
        <v>50</v>
      </c>
      <c r="D387" s="70">
        <v>0.61</v>
      </c>
      <c r="E387" s="70">
        <v>0.72</v>
      </c>
      <c r="F387" s="70">
        <v>0.87</v>
      </c>
      <c r="G387" s="70">
        <v>1.02</v>
      </c>
      <c r="H387" s="70">
        <v>1.1299999999999999</v>
      </c>
      <c r="I387" s="70">
        <v>1.1399999999999999</v>
      </c>
      <c r="J387" s="70">
        <v>1.08</v>
      </c>
      <c r="K387" s="70">
        <v>0.99</v>
      </c>
      <c r="L387" s="70">
        <v>0.86</v>
      </c>
      <c r="M387" s="70">
        <v>0.72</v>
      </c>
      <c r="N387" s="70">
        <v>0.61</v>
      </c>
      <c r="O387" s="70">
        <v>0.56999999999999995</v>
      </c>
      <c r="P387" s="71">
        <v>0.86</v>
      </c>
      <c r="Q387" s="64"/>
      <c r="R387" s="64"/>
      <c r="S387" s="64"/>
      <c r="T387" s="64"/>
      <c r="U387" s="64"/>
      <c r="V387" s="64"/>
      <c r="W387" s="64"/>
      <c r="X387" s="64"/>
      <c r="Y387" s="64"/>
      <c r="Z387" s="64"/>
    </row>
    <row r="388" spans="1:26" thickBot="1">
      <c r="A388" s="66" t="str">
        <f t="shared" si="17"/>
        <v>Latitude 1755</v>
      </c>
      <c r="B388" s="86">
        <v>17.55</v>
      </c>
      <c r="C388" s="70">
        <v>55</v>
      </c>
      <c r="D388" s="70">
        <v>0.54</v>
      </c>
      <c r="E388" s="70">
        <v>0.65</v>
      </c>
      <c r="F388" s="70">
        <v>0.82</v>
      </c>
      <c r="G388" s="70">
        <v>0.98</v>
      </c>
      <c r="H388" s="70">
        <v>1.1000000000000001</v>
      </c>
      <c r="I388" s="70">
        <v>1.1200000000000001</v>
      </c>
      <c r="J388" s="70">
        <v>1.06</v>
      </c>
      <c r="K388" s="70">
        <v>0.95</v>
      </c>
      <c r="L388" s="70">
        <v>0.81</v>
      </c>
      <c r="M388" s="70">
        <v>0.66</v>
      </c>
      <c r="N388" s="70">
        <v>0.55000000000000004</v>
      </c>
      <c r="O388" s="70">
        <v>0.5</v>
      </c>
      <c r="P388" s="71">
        <v>0.81</v>
      </c>
      <c r="Q388" s="64"/>
      <c r="R388" s="64"/>
      <c r="S388" s="64"/>
      <c r="T388" s="64"/>
      <c r="U388" s="64"/>
      <c r="V388" s="64"/>
      <c r="W388" s="64"/>
      <c r="X388" s="64"/>
      <c r="Y388" s="64"/>
      <c r="Z388" s="64"/>
    </row>
    <row r="389" spans="1:26" thickBot="1">
      <c r="A389" s="66" t="str">
        <f t="shared" si="17"/>
        <v>Latitude 1760</v>
      </c>
      <c r="B389" s="86">
        <v>17.600000000000001</v>
      </c>
      <c r="C389" s="70">
        <v>60</v>
      </c>
      <c r="D389" s="70">
        <v>0.47</v>
      </c>
      <c r="E389" s="70">
        <v>0.59</v>
      </c>
      <c r="F389" s="70">
        <v>0.76</v>
      </c>
      <c r="G389" s="70">
        <v>0.94</v>
      </c>
      <c r="H389" s="70">
        <v>1.06</v>
      </c>
      <c r="I389" s="70">
        <v>1.08</v>
      </c>
      <c r="J389" s="70">
        <v>1.02</v>
      </c>
      <c r="K389" s="70">
        <v>0.91</v>
      </c>
      <c r="L389" s="70">
        <v>0.76</v>
      </c>
      <c r="M389" s="70">
        <v>0.6</v>
      </c>
      <c r="N389" s="70">
        <v>0.48</v>
      </c>
      <c r="O389" s="70">
        <v>0.43</v>
      </c>
      <c r="P389" s="71">
        <v>0.76</v>
      </c>
      <c r="Q389" s="64"/>
      <c r="R389" s="64"/>
      <c r="S389" s="64"/>
      <c r="T389" s="64"/>
      <c r="U389" s="64"/>
      <c r="V389" s="64"/>
      <c r="W389" s="64"/>
      <c r="X389" s="64"/>
      <c r="Y389" s="64"/>
      <c r="Z389" s="64"/>
    </row>
    <row r="390" spans="1:26" thickBot="1">
      <c r="A390" s="66" t="str">
        <f t="shared" si="17"/>
        <v>Latitude 1765</v>
      </c>
      <c r="B390" s="86">
        <v>17.649999999999999</v>
      </c>
      <c r="C390" s="70">
        <v>65</v>
      </c>
      <c r="D390" s="70">
        <v>0.39</v>
      </c>
      <c r="E390" s="70">
        <v>0.52</v>
      </c>
      <c r="F390" s="70">
        <v>0.7</v>
      </c>
      <c r="G390" s="70">
        <v>0.89</v>
      </c>
      <c r="H390" s="70">
        <v>1.02</v>
      </c>
      <c r="I390" s="70">
        <v>1.04</v>
      </c>
      <c r="J390" s="70">
        <v>0.98</v>
      </c>
      <c r="K390" s="70">
        <v>0.86</v>
      </c>
      <c r="L390" s="70">
        <v>0.7</v>
      </c>
      <c r="M390" s="70">
        <v>0.53</v>
      </c>
      <c r="N390" s="70">
        <v>0.4</v>
      </c>
      <c r="O390" s="70">
        <v>0.35</v>
      </c>
      <c r="P390" s="71">
        <v>0.7</v>
      </c>
      <c r="Q390" s="64"/>
      <c r="R390" s="64"/>
      <c r="S390" s="64"/>
      <c r="T390" s="64"/>
      <c r="U390" s="64"/>
      <c r="V390" s="64"/>
      <c r="W390" s="64"/>
      <c r="X390" s="64"/>
      <c r="Y390" s="64"/>
      <c r="Z390" s="64"/>
    </row>
    <row r="391" spans="1:26" thickBot="1">
      <c r="A391" s="66" t="str">
        <f t="shared" si="17"/>
        <v>Latitude 1770</v>
      </c>
      <c r="B391" s="86">
        <v>17.7</v>
      </c>
      <c r="C391" s="70">
        <v>70</v>
      </c>
      <c r="D391" s="70">
        <v>0.32</v>
      </c>
      <c r="E391" s="70">
        <v>0.45</v>
      </c>
      <c r="F391" s="70">
        <v>0.64</v>
      </c>
      <c r="G391" s="70">
        <v>0.83</v>
      </c>
      <c r="H391" s="70">
        <v>0.97</v>
      </c>
      <c r="I391" s="70">
        <v>1</v>
      </c>
      <c r="J391" s="70">
        <v>0.93</v>
      </c>
      <c r="K391" s="70">
        <v>0.81</v>
      </c>
      <c r="L391" s="70">
        <v>0.64</v>
      </c>
      <c r="M391" s="70">
        <v>0.46</v>
      </c>
      <c r="N391" s="70">
        <v>0.33</v>
      </c>
      <c r="O391" s="70">
        <v>0.27</v>
      </c>
      <c r="P391" s="71">
        <v>0.64</v>
      </c>
      <c r="Q391" s="64"/>
      <c r="R391" s="64"/>
      <c r="S391" s="64"/>
      <c r="T391" s="64"/>
      <c r="U391" s="64"/>
      <c r="V391" s="64"/>
      <c r="W391" s="64"/>
      <c r="X391" s="64"/>
      <c r="Y391" s="64"/>
      <c r="Z391" s="64"/>
    </row>
    <row r="392" spans="1:26" thickBot="1">
      <c r="A392" s="66" t="str">
        <f t="shared" si="17"/>
        <v>Latitude 1775</v>
      </c>
      <c r="B392" s="86">
        <v>17.75</v>
      </c>
      <c r="C392" s="70">
        <v>75</v>
      </c>
      <c r="D392" s="70">
        <v>0.24</v>
      </c>
      <c r="E392" s="70">
        <v>0.37</v>
      </c>
      <c r="F392" s="70">
        <v>0.56999999999999995</v>
      </c>
      <c r="G392" s="70">
        <v>0.77</v>
      </c>
      <c r="H392" s="70">
        <v>0.92</v>
      </c>
      <c r="I392" s="70">
        <v>0.95</v>
      </c>
      <c r="J392" s="70">
        <v>0.88</v>
      </c>
      <c r="K392" s="70">
        <v>0.75</v>
      </c>
      <c r="L392" s="70">
        <v>0.57999999999999996</v>
      </c>
      <c r="M392" s="70">
        <v>0.39</v>
      </c>
      <c r="N392" s="70">
        <v>0.25</v>
      </c>
      <c r="O392" s="70">
        <v>0.19</v>
      </c>
      <c r="P392" s="71">
        <v>0.56999999999999995</v>
      </c>
      <c r="Q392" s="64"/>
      <c r="R392" s="64"/>
      <c r="S392" s="64"/>
      <c r="T392" s="64"/>
      <c r="U392" s="64"/>
      <c r="V392" s="64"/>
      <c r="W392" s="64"/>
      <c r="X392" s="64"/>
      <c r="Y392" s="64"/>
      <c r="Z392" s="64"/>
    </row>
    <row r="393" spans="1:26" thickBot="1">
      <c r="A393" s="66" t="str">
        <f t="shared" si="17"/>
        <v>Latitude 1780</v>
      </c>
      <c r="B393" s="86">
        <v>17.8</v>
      </c>
      <c r="C393" s="70">
        <v>80</v>
      </c>
      <c r="D393" s="70">
        <v>0.16</v>
      </c>
      <c r="E393" s="70">
        <v>0.3</v>
      </c>
      <c r="F393" s="70">
        <v>0.5</v>
      </c>
      <c r="G393" s="70">
        <v>0.71</v>
      </c>
      <c r="H393" s="70">
        <v>0.86</v>
      </c>
      <c r="I393" s="70">
        <v>0.89</v>
      </c>
      <c r="J393" s="70">
        <v>0.82</v>
      </c>
      <c r="K393" s="70">
        <v>0.69</v>
      </c>
      <c r="L393" s="70">
        <v>0.51</v>
      </c>
      <c r="M393" s="70">
        <v>0.32</v>
      </c>
      <c r="N393" s="70">
        <v>0.17</v>
      </c>
      <c r="O393" s="70">
        <v>0.11</v>
      </c>
      <c r="P393" s="71">
        <v>0.5</v>
      </c>
      <c r="Q393" s="64"/>
      <c r="R393" s="64"/>
      <c r="S393" s="64"/>
      <c r="T393" s="64"/>
      <c r="U393" s="64"/>
      <c r="V393" s="64"/>
      <c r="W393" s="64"/>
      <c r="X393" s="64"/>
      <c r="Y393" s="64"/>
      <c r="Z393" s="64"/>
    </row>
    <row r="394" spans="1:26" thickBot="1">
      <c r="A394" s="66" t="str">
        <f t="shared" si="17"/>
        <v>Latitude 1785</v>
      </c>
      <c r="B394" s="86">
        <v>17.850000000000001</v>
      </c>
      <c r="C394" s="70">
        <v>85</v>
      </c>
      <c r="D394" s="70">
        <v>0.09</v>
      </c>
      <c r="E394" s="70">
        <v>0.22</v>
      </c>
      <c r="F394" s="70">
        <v>0.42</v>
      </c>
      <c r="G394" s="70">
        <v>0.64</v>
      </c>
      <c r="H394" s="70">
        <v>0.79</v>
      </c>
      <c r="I394" s="70">
        <v>0.83</v>
      </c>
      <c r="J394" s="70">
        <v>0.76</v>
      </c>
      <c r="K394" s="70">
        <v>0.62</v>
      </c>
      <c r="L394" s="70">
        <v>0.44</v>
      </c>
      <c r="M394" s="70">
        <v>0.24</v>
      </c>
      <c r="N394" s="70">
        <v>0.1</v>
      </c>
      <c r="O394" s="70">
        <v>0.09</v>
      </c>
      <c r="P394" s="71">
        <v>0.44</v>
      </c>
      <c r="Q394" s="64"/>
      <c r="R394" s="64"/>
      <c r="S394" s="64"/>
      <c r="T394" s="64"/>
      <c r="U394" s="64"/>
      <c r="V394" s="64"/>
      <c r="W394" s="64"/>
      <c r="X394" s="64"/>
      <c r="Y394" s="64"/>
      <c r="Z394" s="64"/>
    </row>
    <row r="395" spans="1:26" thickBot="1">
      <c r="A395" s="66" t="str">
        <f t="shared" si="17"/>
        <v>Latitude 1790</v>
      </c>
      <c r="B395" s="86">
        <v>17.899999999999999</v>
      </c>
      <c r="C395" s="70">
        <v>90</v>
      </c>
      <c r="D395" s="70">
        <v>0.08</v>
      </c>
      <c r="E395" s="70">
        <v>0.14000000000000001</v>
      </c>
      <c r="F395" s="70">
        <v>0.34</v>
      </c>
      <c r="G395" s="70">
        <v>0.56000000000000005</v>
      </c>
      <c r="H395" s="70">
        <v>0.72</v>
      </c>
      <c r="I395" s="70">
        <v>0.76</v>
      </c>
      <c r="J395" s="70">
        <v>0.69</v>
      </c>
      <c r="K395" s="70">
        <v>0.55000000000000004</v>
      </c>
      <c r="L395" s="70">
        <v>0.36</v>
      </c>
      <c r="M395" s="70">
        <v>0.16</v>
      </c>
      <c r="N395" s="70">
        <v>0.09</v>
      </c>
      <c r="O395" s="70">
        <v>0.08</v>
      </c>
      <c r="P395" s="71">
        <v>0.38</v>
      </c>
      <c r="Q395" s="64"/>
      <c r="R395" s="64"/>
      <c r="S395" s="64"/>
      <c r="T395" s="64"/>
      <c r="U395" s="64"/>
      <c r="V395" s="64"/>
      <c r="W395" s="64"/>
      <c r="X395" s="64"/>
      <c r="Y395" s="64"/>
      <c r="Z395" s="64"/>
    </row>
    <row r="396" spans="1:26" thickBot="1">
      <c r="A396" s="66"/>
      <c r="B396" s="88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66"/>
      <c r="Q396" s="64"/>
      <c r="R396" s="64"/>
      <c r="S396" s="64"/>
      <c r="T396" s="64"/>
      <c r="U396" s="64"/>
      <c r="V396" s="64"/>
      <c r="W396" s="64"/>
      <c r="X396" s="64"/>
      <c r="Y396" s="64"/>
      <c r="Z396" s="64"/>
    </row>
    <row r="397" spans="1:26" thickBot="1">
      <c r="A397" s="66"/>
      <c r="B397" s="88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66"/>
      <c r="Q397" s="64"/>
      <c r="R397" s="64"/>
      <c r="S397" s="64"/>
      <c r="T397" s="64"/>
      <c r="U397" s="64"/>
      <c r="V397" s="64"/>
      <c r="W397" s="64"/>
      <c r="X397" s="64"/>
      <c r="Y397" s="64"/>
      <c r="Z397" s="64"/>
    </row>
    <row r="398" spans="1:26" thickBot="1">
      <c r="A398" s="66"/>
      <c r="B398" s="85" t="s">
        <v>5882</v>
      </c>
      <c r="C398" s="75" t="s">
        <v>5853</v>
      </c>
      <c r="D398" s="75" t="s">
        <v>5827</v>
      </c>
      <c r="E398" s="75" t="s">
        <v>5828</v>
      </c>
      <c r="F398" s="75" t="s">
        <v>5829</v>
      </c>
      <c r="G398" s="75" t="s">
        <v>5830</v>
      </c>
      <c r="H398" s="75" t="s">
        <v>5831</v>
      </c>
      <c r="I398" s="75" t="s">
        <v>5832</v>
      </c>
      <c r="J398" s="75" t="s">
        <v>5833</v>
      </c>
      <c r="K398" s="75" t="s">
        <v>5834</v>
      </c>
      <c r="L398" s="75" t="s">
        <v>5835</v>
      </c>
      <c r="M398" s="75" t="s">
        <v>5836</v>
      </c>
      <c r="N398" s="75" t="s">
        <v>5837</v>
      </c>
      <c r="O398" s="75" t="s">
        <v>5838</v>
      </c>
      <c r="P398" s="74" t="s">
        <v>20</v>
      </c>
      <c r="Q398" s="64"/>
      <c r="R398" s="64"/>
      <c r="S398" s="64"/>
      <c r="T398" s="64"/>
      <c r="U398" s="64"/>
      <c r="V398" s="64"/>
      <c r="W398" s="64"/>
      <c r="X398" s="64"/>
      <c r="Y398" s="64"/>
      <c r="Z398" s="64"/>
    </row>
    <row r="399" spans="1:26" thickBot="1">
      <c r="A399" s="66" t="str">
        <f>$B$398&amp;C399</f>
        <v>Latitude 180</v>
      </c>
      <c r="B399" s="86">
        <v>18</v>
      </c>
      <c r="C399" s="70">
        <v>0</v>
      </c>
      <c r="D399" s="70">
        <v>1</v>
      </c>
      <c r="E399" s="70">
        <v>1</v>
      </c>
      <c r="F399" s="70">
        <v>1</v>
      </c>
      <c r="G399" s="70">
        <v>1</v>
      </c>
      <c r="H399" s="70">
        <v>1</v>
      </c>
      <c r="I399" s="70">
        <v>1</v>
      </c>
      <c r="J399" s="70">
        <v>1</v>
      </c>
      <c r="K399" s="70">
        <v>1</v>
      </c>
      <c r="L399" s="70">
        <v>1</v>
      </c>
      <c r="M399" s="70">
        <v>1</v>
      </c>
      <c r="N399" s="70">
        <v>1</v>
      </c>
      <c r="O399" s="70">
        <v>1</v>
      </c>
      <c r="P399" s="71">
        <v>1</v>
      </c>
      <c r="Q399" s="64"/>
      <c r="R399" s="64"/>
      <c r="S399" s="64"/>
      <c r="T399" s="64"/>
      <c r="U399" s="64"/>
      <c r="V399" s="64"/>
      <c r="W399" s="64"/>
      <c r="X399" s="64"/>
      <c r="Y399" s="64"/>
      <c r="Z399" s="64"/>
    </row>
    <row r="400" spans="1:26" thickBot="1">
      <c r="A400" s="66" t="str">
        <f t="shared" ref="A400:A417" si="18">$B$398&amp;C400</f>
        <v>Latitude 185</v>
      </c>
      <c r="B400" s="86">
        <v>18.5</v>
      </c>
      <c r="C400" s="70">
        <v>5</v>
      </c>
      <c r="D400" s="70">
        <v>0.99</v>
      </c>
      <c r="E400" s="70">
        <v>1</v>
      </c>
      <c r="F400" s="70">
        <v>1.02</v>
      </c>
      <c r="G400" s="70">
        <v>1.04</v>
      </c>
      <c r="H400" s="70">
        <v>1.05</v>
      </c>
      <c r="I400" s="70">
        <v>1.05</v>
      </c>
      <c r="J400" s="70">
        <v>1.04</v>
      </c>
      <c r="K400" s="70">
        <v>1.03</v>
      </c>
      <c r="L400" s="70">
        <v>1.02</v>
      </c>
      <c r="M400" s="70">
        <v>1</v>
      </c>
      <c r="N400" s="70">
        <v>0.99</v>
      </c>
      <c r="O400" s="70">
        <v>0.99</v>
      </c>
      <c r="P400" s="71">
        <v>1.02</v>
      </c>
      <c r="Q400" s="64"/>
      <c r="R400" s="64"/>
      <c r="S400" s="64"/>
      <c r="T400" s="64"/>
      <c r="U400" s="64"/>
      <c r="V400" s="64"/>
      <c r="W400" s="64"/>
      <c r="X400" s="64"/>
      <c r="Y400" s="64"/>
      <c r="Z400" s="64"/>
    </row>
    <row r="401" spans="1:26" thickBot="1">
      <c r="A401" s="66" t="str">
        <f t="shared" si="18"/>
        <v>Latitude 1810</v>
      </c>
      <c r="B401" s="86">
        <v>18.100000000000001</v>
      </c>
      <c r="C401" s="70">
        <v>10</v>
      </c>
      <c r="D401" s="70">
        <v>0.97</v>
      </c>
      <c r="E401" s="70">
        <v>1</v>
      </c>
      <c r="F401" s="70">
        <v>1.03</v>
      </c>
      <c r="G401" s="70">
        <v>1.07</v>
      </c>
      <c r="H401" s="70">
        <v>1.0900000000000001</v>
      </c>
      <c r="I401" s="70">
        <v>1.0900000000000001</v>
      </c>
      <c r="J401" s="70">
        <v>1.07</v>
      </c>
      <c r="K401" s="70">
        <v>1.05</v>
      </c>
      <c r="L401" s="70">
        <v>1.03</v>
      </c>
      <c r="M401" s="70">
        <v>1</v>
      </c>
      <c r="N401" s="70">
        <v>0.97</v>
      </c>
      <c r="O401" s="70">
        <v>0.97</v>
      </c>
      <c r="P401" s="71">
        <v>1.03</v>
      </c>
      <c r="Q401" s="64"/>
      <c r="R401" s="64"/>
      <c r="S401" s="64"/>
      <c r="T401" s="64"/>
      <c r="U401" s="64"/>
      <c r="V401" s="64"/>
      <c r="W401" s="64"/>
      <c r="X401" s="64"/>
      <c r="Y401" s="64"/>
      <c r="Z401" s="64"/>
    </row>
    <row r="402" spans="1:26" thickBot="1">
      <c r="A402" s="66" t="str">
        <f t="shared" si="18"/>
        <v>Latitude 1815</v>
      </c>
      <c r="B402" s="86">
        <v>18.149999999999999</v>
      </c>
      <c r="C402" s="70">
        <v>15</v>
      </c>
      <c r="D402" s="70">
        <v>0.95</v>
      </c>
      <c r="E402" s="70">
        <v>0.99</v>
      </c>
      <c r="F402" s="70">
        <v>1.04</v>
      </c>
      <c r="G402" s="70">
        <v>1.0900000000000001</v>
      </c>
      <c r="H402" s="70">
        <v>1.1200000000000001</v>
      </c>
      <c r="I402" s="70">
        <v>1.1200000000000001</v>
      </c>
      <c r="J402" s="70">
        <v>1.1000000000000001</v>
      </c>
      <c r="K402" s="70">
        <v>1.07</v>
      </c>
      <c r="L402" s="70">
        <v>1.03</v>
      </c>
      <c r="M402" s="70">
        <v>0.99</v>
      </c>
      <c r="N402" s="70">
        <v>0.95</v>
      </c>
      <c r="O402" s="70">
        <v>0.94</v>
      </c>
      <c r="P402" s="71">
        <v>1.03</v>
      </c>
      <c r="Q402" s="64"/>
      <c r="R402" s="64"/>
      <c r="S402" s="64"/>
      <c r="T402" s="64"/>
      <c r="U402" s="64"/>
      <c r="V402" s="64"/>
      <c r="W402" s="64"/>
      <c r="X402" s="64"/>
      <c r="Y402" s="64"/>
      <c r="Z402" s="64"/>
    </row>
    <row r="403" spans="1:26" thickBot="1">
      <c r="A403" s="66" t="str">
        <f t="shared" si="18"/>
        <v>Latitude 1820</v>
      </c>
      <c r="B403" s="86">
        <v>18.2</v>
      </c>
      <c r="C403" s="70">
        <v>20</v>
      </c>
      <c r="D403" s="70">
        <v>0.92</v>
      </c>
      <c r="E403" s="70">
        <v>0.97</v>
      </c>
      <c r="F403" s="70">
        <v>1.04</v>
      </c>
      <c r="G403" s="70">
        <v>1.1000000000000001</v>
      </c>
      <c r="H403" s="70">
        <v>1.1499999999999999</v>
      </c>
      <c r="I403" s="70">
        <v>1.1499999999999999</v>
      </c>
      <c r="J403" s="70">
        <v>1.1200000000000001</v>
      </c>
      <c r="K403" s="70">
        <v>1.08</v>
      </c>
      <c r="L403" s="70">
        <v>1.03</v>
      </c>
      <c r="M403" s="70">
        <v>0.97</v>
      </c>
      <c r="N403" s="70">
        <v>0.92</v>
      </c>
      <c r="O403" s="70">
        <v>0.9</v>
      </c>
      <c r="P403" s="71">
        <v>1.03</v>
      </c>
      <c r="Q403" s="64"/>
      <c r="R403" s="64"/>
      <c r="S403" s="64"/>
      <c r="T403" s="64"/>
      <c r="U403" s="64"/>
      <c r="V403" s="64"/>
      <c r="W403" s="64"/>
      <c r="X403" s="64"/>
      <c r="Y403" s="64"/>
      <c r="Z403" s="64"/>
    </row>
    <row r="404" spans="1:26" thickBot="1">
      <c r="A404" s="66" t="str">
        <f t="shared" si="18"/>
        <v>Latitude 1825</v>
      </c>
      <c r="B404" s="86">
        <v>18.25</v>
      </c>
      <c r="C404" s="70">
        <v>25</v>
      </c>
      <c r="D404" s="70">
        <v>0.89</v>
      </c>
      <c r="E404" s="70">
        <v>0.94</v>
      </c>
      <c r="F404" s="70">
        <v>1.03</v>
      </c>
      <c r="G404" s="70">
        <v>1.1100000000000001</v>
      </c>
      <c r="H404" s="70">
        <v>1.1599999999999999</v>
      </c>
      <c r="I404" s="70">
        <v>1.17</v>
      </c>
      <c r="J404" s="70">
        <v>1.1299999999999999</v>
      </c>
      <c r="K404" s="70">
        <v>1.08</v>
      </c>
      <c r="L404" s="70">
        <v>1.02</v>
      </c>
      <c r="M404" s="70">
        <v>0.94</v>
      </c>
      <c r="N404" s="70">
        <v>0.89</v>
      </c>
      <c r="O404" s="70">
        <v>0.86</v>
      </c>
      <c r="P404" s="71">
        <v>1.02</v>
      </c>
      <c r="Q404" s="64"/>
      <c r="R404" s="64"/>
      <c r="S404" s="64"/>
      <c r="T404" s="64"/>
      <c r="U404" s="64"/>
      <c r="V404" s="64"/>
      <c r="W404" s="64"/>
      <c r="X404" s="64"/>
      <c r="Y404" s="64"/>
      <c r="Z404" s="64"/>
    </row>
    <row r="405" spans="1:26" thickBot="1">
      <c r="A405" s="66" t="str">
        <f t="shared" si="18"/>
        <v>Latitude 1830</v>
      </c>
      <c r="B405" s="86">
        <v>18.3</v>
      </c>
      <c r="C405" s="70">
        <v>30</v>
      </c>
      <c r="D405" s="70">
        <v>0.84</v>
      </c>
      <c r="E405" s="70">
        <v>0.91</v>
      </c>
      <c r="F405" s="70">
        <v>1.01</v>
      </c>
      <c r="G405" s="70">
        <v>1.1100000000000001</v>
      </c>
      <c r="H405" s="70">
        <v>1.17</v>
      </c>
      <c r="I405" s="70">
        <v>1.18</v>
      </c>
      <c r="J405" s="70">
        <v>1.1399999999999999</v>
      </c>
      <c r="K405" s="70">
        <v>1.08</v>
      </c>
      <c r="L405" s="70">
        <v>1</v>
      </c>
      <c r="M405" s="70">
        <v>0.91</v>
      </c>
      <c r="N405" s="70">
        <v>0.85</v>
      </c>
      <c r="O405" s="70">
        <v>0.82</v>
      </c>
      <c r="P405" s="71">
        <v>1</v>
      </c>
      <c r="Q405" s="64"/>
      <c r="R405" s="64"/>
      <c r="S405" s="64"/>
      <c r="T405" s="64"/>
      <c r="U405" s="64"/>
      <c r="V405" s="64"/>
      <c r="W405" s="64"/>
      <c r="X405" s="64"/>
      <c r="Y405" s="64"/>
      <c r="Z405" s="64"/>
    </row>
    <row r="406" spans="1:26" thickBot="1">
      <c r="A406" s="66" t="str">
        <f t="shared" si="18"/>
        <v>Latitude 1835</v>
      </c>
      <c r="B406" s="86">
        <v>18.350000000000001</v>
      </c>
      <c r="C406" s="70">
        <v>35</v>
      </c>
      <c r="D406" s="70">
        <v>0.79</v>
      </c>
      <c r="E406" s="70">
        <v>0.87</v>
      </c>
      <c r="F406" s="70">
        <v>0.99</v>
      </c>
      <c r="G406" s="70">
        <v>1.1000000000000001</v>
      </c>
      <c r="H406" s="70">
        <v>1.18</v>
      </c>
      <c r="I406" s="70">
        <v>1.18</v>
      </c>
      <c r="J406" s="70">
        <v>1.1399999999999999</v>
      </c>
      <c r="K406" s="70">
        <v>1.07</v>
      </c>
      <c r="L406" s="70">
        <v>0.98</v>
      </c>
      <c r="M406" s="70">
        <v>0.88</v>
      </c>
      <c r="N406" s="70">
        <v>0.8</v>
      </c>
      <c r="O406" s="70">
        <v>0.77</v>
      </c>
      <c r="P406" s="71">
        <v>0.98</v>
      </c>
      <c r="Q406" s="64"/>
      <c r="R406" s="64"/>
      <c r="S406" s="64"/>
      <c r="T406" s="64"/>
      <c r="U406" s="64"/>
      <c r="V406" s="64"/>
      <c r="W406" s="64"/>
      <c r="X406" s="64"/>
      <c r="Y406" s="64"/>
      <c r="Z406" s="64"/>
    </row>
    <row r="407" spans="1:26" thickBot="1">
      <c r="A407" s="66" t="str">
        <f t="shared" si="18"/>
        <v>Latitude 1840</v>
      </c>
      <c r="B407" s="86">
        <v>18.399999999999999</v>
      </c>
      <c r="C407" s="70">
        <v>40</v>
      </c>
      <c r="D407" s="70">
        <v>0.74</v>
      </c>
      <c r="E407" s="70">
        <v>0.83</v>
      </c>
      <c r="F407" s="70">
        <v>0.96</v>
      </c>
      <c r="G407" s="70">
        <v>1.0900000000000001</v>
      </c>
      <c r="H407" s="70">
        <v>1.17</v>
      </c>
      <c r="I407" s="70">
        <v>1.18</v>
      </c>
      <c r="J407" s="70">
        <v>1.1299999999999999</v>
      </c>
      <c r="K407" s="70">
        <v>1.05</v>
      </c>
      <c r="L407" s="70">
        <v>0.95</v>
      </c>
      <c r="M407" s="70">
        <v>0.83</v>
      </c>
      <c r="N407" s="70">
        <v>0.75</v>
      </c>
      <c r="O407" s="70">
        <v>0.71</v>
      </c>
      <c r="P407" s="71">
        <v>0.95</v>
      </c>
      <c r="Q407" s="64"/>
      <c r="R407" s="64"/>
      <c r="S407" s="64"/>
      <c r="T407" s="64"/>
      <c r="U407" s="64"/>
      <c r="V407" s="64"/>
      <c r="W407" s="64"/>
      <c r="X407" s="64"/>
      <c r="Y407" s="64"/>
      <c r="Z407" s="64"/>
    </row>
    <row r="408" spans="1:26" thickBot="1">
      <c r="A408" s="66" t="str">
        <f t="shared" si="18"/>
        <v>Latitude 1845</v>
      </c>
      <c r="B408" s="86">
        <v>18.45</v>
      </c>
      <c r="C408" s="70">
        <v>45</v>
      </c>
      <c r="D408" s="70">
        <v>0.68</v>
      </c>
      <c r="E408" s="70">
        <v>0.78</v>
      </c>
      <c r="F408" s="70">
        <v>0.92</v>
      </c>
      <c r="G408" s="70">
        <v>1.06</v>
      </c>
      <c r="H408" s="70">
        <v>1.1599999999999999</v>
      </c>
      <c r="I408" s="70">
        <v>1.17</v>
      </c>
      <c r="J408" s="70">
        <v>1.1200000000000001</v>
      </c>
      <c r="K408" s="70">
        <v>1.03</v>
      </c>
      <c r="L408" s="70">
        <v>0.91</v>
      </c>
      <c r="M408" s="70">
        <v>0.79</v>
      </c>
      <c r="N408" s="70">
        <v>0.69</v>
      </c>
      <c r="O408" s="70">
        <v>0.65</v>
      </c>
      <c r="P408" s="71">
        <v>0.91</v>
      </c>
      <c r="Q408" s="64"/>
      <c r="R408" s="64"/>
      <c r="S408" s="64"/>
      <c r="T408" s="64"/>
      <c r="U408" s="64"/>
      <c r="V408" s="64"/>
      <c r="W408" s="64"/>
      <c r="X408" s="64"/>
      <c r="Y408" s="64"/>
      <c r="Z408" s="64"/>
    </row>
    <row r="409" spans="1:26" thickBot="1">
      <c r="A409" s="66" t="str">
        <f t="shared" si="18"/>
        <v>Latitude 1850</v>
      </c>
      <c r="B409" s="86">
        <v>18.5</v>
      </c>
      <c r="C409" s="70">
        <v>50</v>
      </c>
      <c r="D409" s="70">
        <v>0.62</v>
      </c>
      <c r="E409" s="70">
        <v>0.73</v>
      </c>
      <c r="F409" s="70">
        <v>0.88</v>
      </c>
      <c r="G409" s="70">
        <v>1.03</v>
      </c>
      <c r="H409" s="70">
        <v>1.1399999999999999</v>
      </c>
      <c r="I409" s="70">
        <v>1.1499999999999999</v>
      </c>
      <c r="J409" s="70">
        <v>1.1000000000000001</v>
      </c>
      <c r="K409" s="70">
        <v>1</v>
      </c>
      <c r="L409" s="70">
        <v>0.87</v>
      </c>
      <c r="M409" s="70">
        <v>0.73</v>
      </c>
      <c r="N409" s="70">
        <v>0.63</v>
      </c>
      <c r="O409" s="70">
        <v>0.57999999999999996</v>
      </c>
      <c r="P409" s="71">
        <v>0.87</v>
      </c>
      <c r="Q409" s="64"/>
      <c r="R409" s="64"/>
      <c r="S409" s="64"/>
      <c r="T409" s="64"/>
      <c r="U409" s="64"/>
      <c r="V409" s="64"/>
      <c r="W409" s="64"/>
      <c r="X409" s="64"/>
      <c r="Y409" s="64"/>
      <c r="Z409" s="64"/>
    </row>
    <row r="410" spans="1:26" thickBot="1">
      <c r="A410" s="66" t="str">
        <f t="shared" si="18"/>
        <v>Latitude 1855</v>
      </c>
      <c r="B410" s="86">
        <v>18.55</v>
      </c>
      <c r="C410" s="70">
        <v>55</v>
      </c>
      <c r="D410" s="70">
        <v>0.55000000000000004</v>
      </c>
      <c r="E410" s="70">
        <v>0.67</v>
      </c>
      <c r="F410" s="70">
        <v>0.83</v>
      </c>
      <c r="G410" s="70">
        <v>1</v>
      </c>
      <c r="H410" s="70">
        <v>1.1100000000000001</v>
      </c>
      <c r="I410" s="70">
        <v>1.1299999999999999</v>
      </c>
      <c r="J410" s="70">
        <v>1.07</v>
      </c>
      <c r="K410" s="70">
        <v>0.96</v>
      </c>
      <c r="L410" s="70">
        <v>0.82</v>
      </c>
      <c r="M410" s="70">
        <v>0.67</v>
      </c>
      <c r="N410" s="70">
        <v>0.56000000000000005</v>
      </c>
      <c r="O410" s="70">
        <v>0.51</v>
      </c>
      <c r="P410" s="71">
        <v>0.82</v>
      </c>
      <c r="Q410" s="64"/>
      <c r="R410" s="64"/>
      <c r="S410" s="64"/>
      <c r="T410" s="64"/>
      <c r="U410" s="64"/>
      <c r="V410" s="64"/>
      <c r="W410" s="64"/>
      <c r="X410" s="64"/>
      <c r="Y410" s="64"/>
      <c r="Z410" s="64"/>
    </row>
    <row r="411" spans="1:26" thickBot="1">
      <c r="A411" s="66" t="str">
        <f t="shared" si="18"/>
        <v>Latitude 1860</v>
      </c>
      <c r="B411" s="86">
        <v>18.600000000000001</v>
      </c>
      <c r="C411" s="70">
        <v>60</v>
      </c>
      <c r="D411" s="70">
        <v>0.48</v>
      </c>
      <c r="E411" s="70">
        <v>0.6</v>
      </c>
      <c r="F411" s="70">
        <v>0.78</v>
      </c>
      <c r="G411" s="70">
        <v>0.96</v>
      </c>
      <c r="H411" s="70">
        <v>1.08</v>
      </c>
      <c r="I411" s="70">
        <v>1.1000000000000001</v>
      </c>
      <c r="J411" s="70">
        <v>1.03</v>
      </c>
      <c r="K411" s="70">
        <v>0.92</v>
      </c>
      <c r="L411" s="70">
        <v>0.77</v>
      </c>
      <c r="M411" s="70">
        <v>0.61</v>
      </c>
      <c r="N411" s="70">
        <v>0.49</v>
      </c>
      <c r="O411" s="70">
        <v>0.44</v>
      </c>
      <c r="P411" s="71">
        <v>0.77</v>
      </c>
      <c r="Q411" s="64"/>
      <c r="R411" s="64"/>
      <c r="S411" s="64"/>
      <c r="T411" s="64"/>
      <c r="U411" s="64"/>
      <c r="V411" s="64"/>
      <c r="W411" s="64"/>
      <c r="X411" s="64"/>
      <c r="Y411" s="64"/>
      <c r="Z411" s="64"/>
    </row>
    <row r="412" spans="1:26" thickBot="1">
      <c r="A412" s="66" t="str">
        <f t="shared" si="18"/>
        <v>Latitude 1865</v>
      </c>
      <c r="B412" s="86">
        <v>18.649999999999999</v>
      </c>
      <c r="C412" s="70">
        <v>65</v>
      </c>
      <c r="D412" s="70">
        <v>0.41</v>
      </c>
      <c r="E412" s="70">
        <v>0.53</v>
      </c>
      <c r="F412" s="70">
        <v>0.72</v>
      </c>
      <c r="G412" s="70">
        <v>0.91</v>
      </c>
      <c r="H412" s="70">
        <v>1.04</v>
      </c>
      <c r="I412" s="70">
        <v>1.06</v>
      </c>
      <c r="J412" s="70">
        <v>0.99</v>
      </c>
      <c r="K412" s="70">
        <v>0.87</v>
      </c>
      <c r="L412" s="70">
        <v>0.72</v>
      </c>
      <c r="M412" s="70">
        <v>0.55000000000000004</v>
      </c>
      <c r="N412" s="70">
        <v>0.42</v>
      </c>
      <c r="O412" s="70">
        <v>0.36</v>
      </c>
      <c r="P412" s="71">
        <v>0.72</v>
      </c>
      <c r="Q412" s="64"/>
      <c r="R412" s="64"/>
      <c r="S412" s="64"/>
      <c r="T412" s="64"/>
      <c r="U412" s="64"/>
      <c r="V412" s="64"/>
      <c r="W412" s="64"/>
      <c r="X412" s="64"/>
      <c r="Y412" s="64"/>
      <c r="Z412" s="64"/>
    </row>
    <row r="413" spans="1:26" thickBot="1">
      <c r="A413" s="66" t="str">
        <f t="shared" si="18"/>
        <v>Latitude 1870</v>
      </c>
      <c r="B413" s="86">
        <v>18.7</v>
      </c>
      <c r="C413" s="70">
        <v>70</v>
      </c>
      <c r="D413" s="70">
        <v>0.33</v>
      </c>
      <c r="E413" s="70">
        <v>0.46</v>
      </c>
      <c r="F413" s="70">
        <v>0.65</v>
      </c>
      <c r="G413" s="70">
        <v>0.85</v>
      </c>
      <c r="H413" s="70">
        <v>0.99</v>
      </c>
      <c r="I413" s="70">
        <v>1.01</v>
      </c>
      <c r="J413" s="70">
        <v>0.94</v>
      </c>
      <c r="K413" s="70">
        <v>0.82</v>
      </c>
      <c r="L413" s="70">
        <v>0.65</v>
      </c>
      <c r="M413" s="70">
        <v>0.48</v>
      </c>
      <c r="N413" s="70">
        <v>0.34</v>
      </c>
      <c r="O413" s="70">
        <v>0.28999999999999998</v>
      </c>
      <c r="P413" s="71">
        <v>0.65</v>
      </c>
      <c r="Q413" s="64"/>
      <c r="R413" s="64"/>
      <c r="S413" s="64"/>
      <c r="T413" s="64"/>
      <c r="U413" s="64"/>
      <c r="V413" s="64"/>
      <c r="W413" s="64"/>
      <c r="X413" s="64"/>
      <c r="Y413" s="64"/>
      <c r="Z413" s="64"/>
    </row>
    <row r="414" spans="1:26" thickBot="1">
      <c r="A414" s="66" t="str">
        <f t="shared" si="18"/>
        <v>Latitude 1875</v>
      </c>
      <c r="B414" s="86">
        <v>18.75</v>
      </c>
      <c r="C414" s="70">
        <v>75</v>
      </c>
      <c r="D414" s="70">
        <v>0.25</v>
      </c>
      <c r="E414" s="70">
        <v>0.39</v>
      </c>
      <c r="F414" s="70">
        <v>0.57999999999999996</v>
      </c>
      <c r="G414" s="70">
        <v>0.79</v>
      </c>
      <c r="H414" s="70">
        <v>0.94</v>
      </c>
      <c r="I414" s="70">
        <v>0.96</v>
      </c>
      <c r="J414" s="70">
        <v>0.89</v>
      </c>
      <c r="K414" s="70">
        <v>0.76</v>
      </c>
      <c r="L414" s="70">
        <v>0.59</v>
      </c>
      <c r="M414" s="70">
        <v>0.4</v>
      </c>
      <c r="N414" s="70">
        <v>0.26</v>
      </c>
      <c r="O414" s="70">
        <v>0.21</v>
      </c>
      <c r="P414" s="71">
        <v>0.59</v>
      </c>
      <c r="Q414" s="64"/>
      <c r="R414" s="64"/>
      <c r="S414" s="64"/>
      <c r="T414" s="64"/>
      <c r="U414" s="64"/>
      <c r="V414" s="64"/>
      <c r="W414" s="64"/>
      <c r="X414" s="64"/>
      <c r="Y414" s="64"/>
      <c r="Z414" s="64"/>
    </row>
    <row r="415" spans="1:26" thickBot="1">
      <c r="A415" s="66" t="str">
        <f t="shared" si="18"/>
        <v>Latitude 1880</v>
      </c>
      <c r="B415" s="86">
        <v>18.8</v>
      </c>
      <c r="C415" s="70">
        <v>80</v>
      </c>
      <c r="D415" s="70">
        <v>0.17</v>
      </c>
      <c r="E415" s="70">
        <v>0.31</v>
      </c>
      <c r="F415" s="70">
        <v>0.51</v>
      </c>
      <c r="G415" s="70">
        <v>0.72</v>
      </c>
      <c r="H415" s="70">
        <v>0.88</v>
      </c>
      <c r="I415" s="70">
        <v>0.91</v>
      </c>
      <c r="J415" s="70">
        <v>0.83</v>
      </c>
      <c r="K415" s="70">
        <v>0.7</v>
      </c>
      <c r="L415" s="70">
        <v>0.52</v>
      </c>
      <c r="M415" s="70">
        <v>0.33</v>
      </c>
      <c r="N415" s="70">
        <v>0.19</v>
      </c>
      <c r="O415" s="70">
        <v>0.13</v>
      </c>
      <c r="P415" s="71">
        <v>0.52</v>
      </c>
      <c r="Q415" s="64"/>
      <c r="R415" s="64"/>
      <c r="S415" s="64"/>
      <c r="T415" s="64"/>
      <c r="U415" s="64"/>
      <c r="V415" s="64"/>
      <c r="W415" s="64"/>
      <c r="X415" s="64"/>
      <c r="Y415" s="64"/>
      <c r="Z415" s="64"/>
    </row>
    <row r="416" spans="1:26" thickBot="1">
      <c r="A416" s="66" t="str">
        <f t="shared" si="18"/>
        <v>Latitude 1885</v>
      </c>
      <c r="B416" s="86">
        <v>18.850000000000001</v>
      </c>
      <c r="C416" s="70">
        <v>85</v>
      </c>
      <c r="D416" s="70">
        <v>0.09</v>
      </c>
      <c r="E416" s="70">
        <v>0.13</v>
      </c>
      <c r="F416" s="70">
        <v>0.44</v>
      </c>
      <c r="G416" s="70">
        <v>0.65</v>
      </c>
      <c r="H416" s="70">
        <v>0.81</v>
      </c>
      <c r="I416" s="70">
        <v>0.84</v>
      </c>
      <c r="J416" s="70">
        <v>0.77</v>
      </c>
      <c r="K416" s="70">
        <v>0.64</v>
      </c>
      <c r="L416" s="70">
        <v>0.45</v>
      </c>
      <c r="M416" s="70">
        <v>0.25</v>
      </c>
      <c r="N416" s="70">
        <v>0.11</v>
      </c>
      <c r="O416" s="70">
        <v>0.09</v>
      </c>
      <c r="P416" s="71">
        <v>0.44</v>
      </c>
      <c r="Q416" s="64"/>
      <c r="R416" s="64"/>
      <c r="S416" s="64"/>
      <c r="T416" s="64"/>
      <c r="U416" s="64"/>
      <c r="V416" s="64"/>
      <c r="W416" s="64"/>
      <c r="X416" s="64"/>
      <c r="Y416" s="64"/>
      <c r="Z416" s="64"/>
    </row>
    <row r="417" spans="1:26" thickBot="1">
      <c r="A417" s="66" t="str">
        <f t="shared" si="18"/>
        <v>Latitude 1890</v>
      </c>
      <c r="B417" s="86">
        <v>18.899999999999999</v>
      </c>
      <c r="C417" s="70">
        <v>90</v>
      </c>
      <c r="D417" s="70">
        <v>0.08</v>
      </c>
      <c r="E417" s="70">
        <v>0.15</v>
      </c>
      <c r="F417" s="70">
        <v>0.36</v>
      </c>
      <c r="G417" s="70">
        <v>0.57999999999999996</v>
      </c>
      <c r="H417" s="70">
        <v>0.74</v>
      </c>
      <c r="I417" s="70">
        <v>0.78</v>
      </c>
      <c r="J417" s="70">
        <v>0.71</v>
      </c>
      <c r="K417" s="70">
        <v>0.56999999999999995</v>
      </c>
      <c r="L417" s="70">
        <v>0.38</v>
      </c>
      <c r="M417" s="70">
        <v>0.18</v>
      </c>
      <c r="N417" s="70">
        <v>0.09</v>
      </c>
      <c r="O417" s="70">
        <v>0.8</v>
      </c>
      <c r="P417" s="71">
        <v>0.45</v>
      </c>
      <c r="Q417" s="64"/>
      <c r="R417" s="64"/>
      <c r="S417" s="64"/>
      <c r="T417" s="64"/>
      <c r="U417" s="64"/>
      <c r="V417" s="64"/>
      <c r="W417" s="64"/>
      <c r="X417" s="64"/>
      <c r="Y417" s="64"/>
      <c r="Z417" s="64"/>
    </row>
    <row r="418" spans="1:26" thickBot="1">
      <c r="A418" s="66"/>
      <c r="B418" s="88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66"/>
      <c r="Q418" s="64"/>
      <c r="R418" s="64"/>
      <c r="S418" s="64"/>
      <c r="T418" s="64"/>
      <c r="U418" s="64"/>
      <c r="V418" s="64"/>
      <c r="W418" s="64"/>
      <c r="X418" s="64"/>
      <c r="Y418" s="64"/>
      <c r="Z418" s="64"/>
    </row>
    <row r="419" spans="1:26" thickBot="1">
      <c r="A419" s="66"/>
      <c r="B419" s="88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66"/>
      <c r="Q419" s="64"/>
      <c r="R419" s="64"/>
      <c r="S419" s="64"/>
      <c r="T419" s="64"/>
      <c r="U419" s="64"/>
      <c r="V419" s="64"/>
      <c r="W419" s="64"/>
      <c r="X419" s="64"/>
      <c r="Y419" s="64"/>
      <c r="Z419" s="64"/>
    </row>
    <row r="420" spans="1:26" thickBot="1">
      <c r="A420" s="66"/>
      <c r="B420" s="85" t="s">
        <v>5883</v>
      </c>
      <c r="C420" s="75" t="s">
        <v>5853</v>
      </c>
      <c r="D420" s="75" t="s">
        <v>5827</v>
      </c>
      <c r="E420" s="75" t="s">
        <v>5828</v>
      </c>
      <c r="F420" s="75" t="s">
        <v>5829</v>
      </c>
      <c r="G420" s="75" t="s">
        <v>5830</v>
      </c>
      <c r="H420" s="75" t="s">
        <v>5831</v>
      </c>
      <c r="I420" s="75" t="s">
        <v>5832</v>
      </c>
      <c r="J420" s="75" t="s">
        <v>5833</v>
      </c>
      <c r="K420" s="75" t="s">
        <v>5834</v>
      </c>
      <c r="L420" s="75" t="s">
        <v>5835</v>
      </c>
      <c r="M420" s="75" t="s">
        <v>5836</v>
      </c>
      <c r="N420" s="75" t="s">
        <v>5837</v>
      </c>
      <c r="O420" s="75" t="s">
        <v>5838</v>
      </c>
      <c r="P420" s="74" t="s">
        <v>20</v>
      </c>
      <c r="Q420" s="64"/>
      <c r="R420" s="64"/>
      <c r="S420" s="64"/>
      <c r="T420" s="64"/>
      <c r="U420" s="64"/>
      <c r="V420" s="64"/>
      <c r="W420" s="64"/>
      <c r="X420" s="64"/>
      <c r="Y420" s="64"/>
      <c r="Z420" s="64"/>
    </row>
    <row r="421" spans="1:26" thickBot="1">
      <c r="A421" s="66" t="str">
        <f>$B$420&amp;C421</f>
        <v>Latitude 190</v>
      </c>
      <c r="B421" s="86">
        <v>19</v>
      </c>
      <c r="C421" s="70">
        <v>0</v>
      </c>
      <c r="D421" s="70">
        <v>1</v>
      </c>
      <c r="E421" s="70">
        <v>1</v>
      </c>
      <c r="F421" s="70">
        <v>1</v>
      </c>
      <c r="G421" s="70">
        <v>1</v>
      </c>
      <c r="H421" s="70">
        <v>1</v>
      </c>
      <c r="I421" s="70">
        <v>1</v>
      </c>
      <c r="J421" s="70">
        <v>1</v>
      </c>
      <c r="K421" s="70">
        <v>1</v>
      </c>
      <c r="L421" s="70">
        <v>1</v>
      </c>
      <c r="M421" s="70">
        <v>1</v>
      </c>
      <c r="N421" s="70">
        <v>1</v>
      </c>
      <c r="O421" s="70">
        <v>1</v>
      </c>
      <c r="P421" s="71">
        <v>1</v>
      </c>
      <c r="Q421" s="64"/>
      <c r="R421" s="64"/>
      <c r="S421" s="64"/>
      <c r="T421" s="64"/>
      <c r="U421" s="64"/>
      <c r="V421" s="64"/>
      <c r="W421" s="64"/>
      <c r="X421" s="64"/>
      <c r="Y421" s="64"/>
      <c r="Z421" s="64"/>
    </row>
    <row r="422" spans="1:26" thickBot="1">
      <c r="A422" s="66" t="str">
        <f t="shared" ref="A422:A439" si="19">$B$420&amp;C422</f>
        <v>Latitude 195</v>
      </c>
      <c r="B422" s="86">
        <v>19.5</v>
      </c>
      <c r="C422" s="70">
        <v>5</v>
      </c>
      <c r="D422" s="70">
        <v>0.99</v>
      </c>
      <c r="E422" s="70">
        <v>1</v>
      </c>
      <c r="F422" s="70">
        <v>1.02</v>
      </c>
      <c r="G422" s="70">
        <v>1.04</v>
      </c>
      <c r="H422" s="70">
        <v>1.05</v>
      </c>
      <c r="I422" s="70">
        <v>1.05</v>
      </c>
      <c r="J422" s="70">
        <v>1.04</v>
      </c>
      <c r="K422" s="70">
        <v>1.03</v>
      </c>
      <c r="L422" s="70">
        <v>1.02</v>
      </c>
      <c r="M422" s="70">
        <v>1</v>
      </c>
      <c r="N422" s="70">
        <v>0.99</v>
      </c>
      <c r="O422" s="70">
        <v>0.99</v>
      </c>
      <c r="P422" s="71">
        <v>1.02</v>
      </c>
      <c r="Q422" s="64"/>
      <c r="R422" s="64"/>
      <c r="S422" s="64"/>
      <c r="T422" s="64"/>
      <c r="U422" s="64"/>
      <c r="V422" s="64"/>
      <c r="W422" s="64"/>
      <c r="X422" s="64"/>
      <c r="Y422" s="64"/>
      <c r="Z422" s="64"/>
    </row>
    <row r="423" spans="1:26" thickBot="1">
      <c r="A423" s="66" t="str">
        <f t="shared" si="19"/>
        <v>Latitude 1910</v>
      </c>
      <c r="B423" s="86">
        <v>19.100000000000001</v>
      </c>
      <c r="C423" s="70">
        <v>10</v>
      </c>
      <c r="D423" s="70">
        <v>0.98</v>
      </c>
      <c r="E423" s="70">
        <v>1</v>
      </c>
      <c r="F423" s="70">
        <v>1.03</v>
      </c>
      <c r="G423" s="70">
        <v>1.07</v>
      </c>
      <c r="H423" s="70">
        <v>1.0900000000000001</v>
      </c>
      <c r="I423" s="70">
        <v>1.0900000000000001</v>
      </c>
      <c r="J423" s="70">
        <v>1.08</v>
      </c>
      <c r="K423" s="70">
        <v>1.06</v>
      </c>
      <c r="L423" s="70">
        <v>1.03</v>
      </c>
      <c r="M423" s="70">
        <v>1</v>
      </c>
      <c r="N423" s="70">
        <v>0.98</v>
      </c>
      <c r="O423" s="70">
        <v>0.97</v>
      </c>
      <c r="P423" s="71">
        <v>1.03</v>
      </c>
      <c r="Q423" s="64"/>
      <c r="R423" s="64"/>
      <c r="S423" s="64"/>
      <c r="T423" s="64"/>
      <c r="U423" s="64"/>
      <c r="V423" s="64"/>
      <c r="W423" s="64"/>
      <c r="X423" s="64"/>
      <c r="Y423" s="64"/>
      <c r="Z423" s="64"/>
    </row>
    <row r="424" spans="1:26" thickBot="1">
      <c r="A424" s="66" t="str">
        <f t="shared" si="19"/>
        <v>Latitude 1915</v>
      </c>
      <c r="B424" s="86">
        <v>19.149999999999999</v>
      </c>
      <c r="C424" s="70">
        <v>15</v>
      </c>
      <c r="D424" s="70">
        <v>0.95</v>
      </c>
      <c r="E424" s="70">
        <v>0.99</v>
      </c>
      <c r="F424" s="70">
        <v>1.04</v>
      </c>
      <c r="G424" s="70">
        <v>1.0900000000000001</v>
      </c>
      <c r="H424" s="70">
        <v>1.1200000000000001</v>
      </c>
      <c r="I424" s="70">
        <v>1.1299999999999999</v>
      </c>
      <c r="J424" s="70">
        <v>1.1000000000000001</v>
      </c>
      <c r="K424" s="70">
        <v>1.07</v>
      </c>
      <c r="L424" s="70">
        <v>1.03</v>
      </c>
      <c r="M424" s="70">
        <v>0.99</v>
      </c>
      <c r="N424" s="70">
        <v>0.96</v>
      </c>
      <c r="O424" s="70">
        <v>0.94</v>
      </c>
      <c r="P424" s="71">
        <v>1.03</v>
      </c>
      <c r="Q424" s="64"/>
      <c r="R424" s="64"/>
      <c r="S424" s="64"/>
      <c r="T424" s="64"/>
      <c r="U424" s="64"/>
      <c r="V424" s="64"/>
      <c r="W424" s="64"/>
      <c r="X424" s="64"/>
      <c r="Y424" s="64"/>
      <c r="Z424" s="64"/>
    </row>
    <row r="425" spans="1:26" thickBot="1">
      <c r="A425" s="66" t="str">
        <f t="shared" si="19"/>
        <v>Latitude 1920</v>
      </c>
      <c r="B425" s="86">
        <v>19.2</v>
      </c>
      <c r="C425" s="70">
        <v>20</v>
      </c>
      <c r="D425" s="70">
        <v>0.93</v>
      </c>
      <c r="E425" s="70">
        <v>0.97</v>
      </c>
      <c r="F425" s="70">
        <v>1.04</v>
      </c>
      <c r="G425" s="70">
        <v>1.1100000000000001</v>
      </c>
      <c r="H425" s="70">
        <v>1.1499999999999999</v>
      </c>
      <c r="I425" s="70">
        <v>1.1499999999999999</v>
      </c>
      <c r="J425" s="70">
        <v>1.1299999999999999</v>
      </c>
      <c r="K425" s="70">
        <v>1.0900000000000001</v>
      </c>
      <c r="L425" s="70">
        <v>1.03</v>
      </c>
      <c r="M425" s="70">
        <v>0.97</v>
      </c>
      <c r="N425" s="70">
        <v>0.93</v>
      </c>
      <c r="O425" s="70">
        <v>0.91</v>
      </c>
      <c r="P425" s="71">
        <v>1.03</v>
      </c>
      <c r="Q425" s="64"/>
      <c r="R425" s="64"/>
      <c r="S425" s="64"/>
      <c r="T425" s="64"/>
      <c r="U425" s="64"/>
      <c r="V425" s="64"/>
      <c r="W425" s="64"/>
      <c r="X425" s="64"/>
      <c r="Y425" s="64"/>
      <c r="Z425" s="64"/>
    </row>
    <row r="426" spans="1:26" thickBot="1">
      <c r="A426" s="66" t="str">
        <f t="shared" si="19"/>
        <v>Latitude 1925</v>
      </c>
      <c r="B426" s="86">
        <v>19.25</v>
      </c>
      <c r="C426" s="70">
        <v>25</v>
      </c>
      <c r="D426" s="70">
        <v>0.89</v>
      </c>
      <c r="E426" s="70">
        <v>0.95</v>
      </c>
      <c r="F426" s="70">
        <v>1.03</v>
      </c>
      <c r="G426" s="70">
        <v>1.1200000000000001</v>
      </c>
      <c r="H426" s="70">
        <v>1.17</v>
      </c>
      <c r="I426" s="70">
        <v>1.17</v>
      </c>
      <c r="J426" s="70">
        <v>1.1399999999999999</v>
      </c>
      <c r="K426" s="70">
        <v>1.0900000000000001</v>
      </c>
      <c r="L426" s="70">
        <v>1.02</v>
      </c>
      <c r="M426" s="70">
        <v>0.95</v>
      </c>
      <c r="N426" s="70">
        <v>0.89</v>
      </c>
      <c r="O426" s="70">
        <v>0.87</v>
      </c>
      <c r="P426" s="71">
        <v>1.02</v>
      </c>
      <c r="Q426" s="64"/>
      <c r="R426" s="64"/>
      <c r="S426" s="64"/>
      <c r="T426" s="64"/>
      <c r="U426" s="64"/>
      <c r="V426" s="64"/>
      <c r="W426" s="64"/>
      <c r="X426" s="64"/>
      <c r="Y426" s="64"/>
      <c r="Z426" s="64"/>
    </row>
    <row r="427" spans="1:26" thickBot="1">
      <c r="A427" s="66" t="str">
        <f t="shared" si="19"/>
        <v>Latitude 1930</v>
      </c>
      <c r="B427" s="86">
        <v>19.3</v>
      </c>
      <c r="C427" s="70">
        <v>30</v>
      </c>
      <c r="D427" s="70">
        <v>0.85</v>
      </c>
      <c r="E427" s="70">
        <v>0.92</v>
      </c>
      <c r="F427" s="70">
        <v>1.02</v>
      </c>
      <c r="G427" s="70">
        <v>1.1200000000000001</v>
      </c>
      <c r="H427" s="70">
        <v>1.18</v>
      </c>
      <c r="I427" s="70">
        <v>1.19</v>
      </c>
      <c r="J427" s="70">
        <v>1.1499999999999999</v>
      </c>
      <c r="K427" s="70">
        <v>1.0900000000000001</v>
      </c>
      <c r="L427" s="70">
        <v>1.01</v>
      </c>
      <c r="M427" s="70">
        <v>0.92</v>
      </c>
      <c r="N427" s="70">
        <v>0.85</v>
      </c>
      <c r="O427" s="70">
        <v>0.83</v>
      </c>
      <c r="P427" s="71">
        <v>1.01</v>
      </c>
      <c r="Q427" s="64"/>
      <c r="R427" s="64"/>
      <c r="S427" s="64"/>
      <c r="T427" s="64"/>
      <c r="U427" s="64"/>
      <c r="V427" s="64"/>
      <c r="W427" s="64"/>
      <c r="X427" s="64"/>
      <c r="Y427" s="64"/>
      <c r="Z427" s="64"/>
    </row>
    <row r="428" spans="1:26" thickBot="1">
      <c r="A428" s="66" t="str">
        <f t="shared" si="19"/>
        <v>Latitude 1935</v>
      </c>
      <c r="B428" s="86">
        <v>19.350000000000001</v>
      </c>
      <c r="C428" s="70">
        <v>35</v>
      </c>
      <c r="D428" s="70">
        <v>0.8</v>
      </c>
      <c r="E428" s="70">
        <v>0.88</v>
      </c>
      <c r="F428" s="70">
        <v>1</v>
      </c>
      <c r="G428" s="70">
        <v>1.1100000000000001</v>
      </c>
      <c r="H428" s="70">
        <v>1.19</v>
      </c>
      <c r="I428" s="70">
        <v>1.19</v>
      </c>
      <c r="J428" s="70">
        <v>1.1499999999999999</v>
      </c>
      <c r="K428" s="70">
        <v>1.08</v>
      </c>
      <c r="L428" s="70">
        <v>0.99</v>
      </c>
      <c r="M428" s="70">
        <v>0.88</v>
      </c>
      <c r="N428" s="70">
        <v>0.81</v>
      </c>
      <c r="O428" s="70">
        <v>0.78</v>
      </c>
      <c r="P428" s="71">
        <v>0.99</v>
      </c>
      <c r="Q428" s="64"/>
      <c r="R428" s="64"/>
      <c r="S428" s="64"/>
      <c r="T428" s="64"/>
      <c r="U428" s="64"/>
      <c r="V428" s="64"/>
      <c r="W428" s="64"/>
      <c r="X428" s="64"/>
      <c r="Y428" s="64"/>
      <c r="Z428" s="64"/>
    </row>
    <row r="429" spans="1:26" thickBot="1">
      <c r="A429" s="66" t="str">
        <f t="shared" si="19"/>
        <v>Latitude 1940</v>
      </c>
      <c r="B429" s="86">
        <v>19.399999999999999</v>
      </c>
      <c r="C429" s="70">
        <v>40</v>
      </c>
      <c r="D429" s="70">
        <v>0.75</v>
      </c>
      <c r="E429" s="70">
        <v>0.84</v>
      </c>
      <c r="F429" s="70">
        <v>0.97</v>
      </c>
      <c r="G429" s="70">
        <v>1.1000000000000001</v>
      </c>
      <c r="H429" s="70">
        <v>1.19</v>
      </c>
      <c r="I429" s="70">
        <v>1.19</v>
      </c>
      <c r="J429" s="70">
        <v>1.1399999999999999</v>
      </c>
      <c r="K429" s="70">
        <v>1.06</v>
      </c>
      <c r="L429" s="70">
        <v>0.96</v>
      </c>
      <c r="M429" s="70">
        <v>0.84</v>
      </c>
      <c r="N429" s="70">
        <v>0.75</v>
      </c>
      <c r="O429" s="70">
        <v>0.72</v>
      </c>
      <c r="P429" s="71">
        <v>0.96</v>
      </c>
      <c r="Q429" s="64"/>
      <c r="R429" s="64"/>
      <c r="S429" s="64"/>
      <c r="T429" s="64"/>
      <c r="U429" s="64"/>
      <c r="V429" s="64"/>
      <c r="W429" s="64"/>
      <c r="X429" s="64"/>
      <c r="Y429" s="64"/>
      <c r="Z429" s="64"/>
    </row>
    <row r="430" spans="1:26" thickBot="1">
      <c r="A430" s="66" t="str">
        <f t="shared" si="19"/>
        <v>Latitude 1945</v>
      </c>
      <c r="B430" s="86">
        <v>19.45</v>
      </c>
      <c r="C430" s="70">
        <v>45</v>
      </c>
      <c r="D430" s="70">
        <v>0.69</v>
      </c>
      <c r="E430" s="70">
        <v>0.79</v>
      </c>
      <c r="F430" s="70">
        <v>0.93</v>
      </c>
      <c r="G430" s="70">
        <v>1.08</v>
      </c>
      <c r="H430" s="70">
        <v>1.17</v>
      </c>
      <c r="I430" s="70">
        <v>1.18</v>
      </c>
      <c r="J430" s="70">
        <v>1.1299999999999999</v>
      </c>
      <c r="K430" s="70">
        <v>1.04</v>
      </c>
      <c r="L430" s="70">
        <v>0.92</v>
      </c>
      <c r="M430" s="70">
        <v>0.8</v>
      </c>
      <c r="N430" s="70">
        <v>0.7</v>
      </c>
      <c r="O430" s="70">
        <v>0.66</v>
      </c>
      <c r="P430" s="71">
        <v>0.92</v>
      </c>
      <c r="Q430" s="64"/>
      <c r="R430" s="64"/>
      <c r="S430" s="64"/>
      <c r="T430" s="64"/>
      <c r="U430" s="64"/>
      <c r="V430" s="64"/>
      <c r="W430" s="64"/>
      <c r="X430" s="64"/>
      <c r="Y430" s="64"/>
      <c r="Z430" s="64"/>
    </row>
    <row r="431" spans="1:26" thickBot="1">
      <c r="A431" s="66" t="str">
        <f t="shared" si="19"/>
        <v>Latitude 1950</v>
      </c>
      <c r="B431" s="86">
        <v>19.5</v>
      </c>
      <c r="C431" s="70">
        <v>50</v>
      </c>
      <c r="D431" s="70">
        <v>0.63</v>
      </c>
      <c r="E431" s="70">
        <v>0.74</v>
      </c>
      <c r="F431" s="70">
        <v>0.89</v>
      </c>
      <c r="G431" s="70">
        <v>1.05</v>
      </c>
      <c r="H431" s="70">
        <v>1.1599999999999999</v>
      </c>
      <c r="I431" s="70">
        <v>1.17</v>
      </c>
      <c r="J431" s="70">
        <v>1.1100000000000001</v>
      </c>
      <c r="K431" s="70">
        <v>1.01</v>
      </c>
      <c r="L431" s="70">
        <v>0.88</v>
      </c>
      <c r="M431" s="70">
        <v>0.74</v>
      </c>
      <c r="N431" s="70">
        <v>0.64</v>
      </c>
      <c r="O431" s="70">
        <v>0.59</v>
      </c>
      <c r="P431" s="71">
        <v>0.88</v>
      </c>
      <c r="Q431" s="64"/>
      <c r="R431" s="64"/>
      <c r="S431" s="64"/>
      <c r="T431" s="64"/>
      <c r="U431" s="64"/>
      <c r="V431" s="64"/>
      <c r="W431" s="64"/>
      <c r="X431" s="64"/>
      <c r="Y431" s="64"/>
      <c r="Z431" s="64"/>
    </row>
    <row r="432" spans="1:26" thickBot="1">
      <c r="A432" s="66" t="str">
        <f t="shared" si="19"/>
        <v>Latitude 1955</v>
      </c>
      <c r="B432" s="86">
        <v>19.55</v>
      </c>
      <c r="C432" s="70">
        <v>55</v>
      </c>
      <c r="D432" s="70">
        <v>0.56000000000000005</v>
      </c>
      <c r="E432" s="70">
        <v>0.68</v>
      </c>
      <c r="F432" s="70">
        <v>0.84</v>
      </c>
      <c r="G432" s="70">
        <v>1.01</v>
      </c>
      <c r="H432" s="70">
        <v>1.1299999999999999</v>
      </c>
      <c r="I432" s="70">
        <v>1.1399999999999999</v>
      </c>
      <c r="J432" s="70">
        <v>1.08</v>
      </c>
      <c r="K432" s="70">
        <v>0.98</v>
      </c>
      <c r="L432" s="70">
        <v>0.84</v>
      </c>
      <c r="M432" s="70">
        <v>0.69</v>
      </c>
      <c r="N432" s="70">
        <v>0.56999999999999995</v>
      </c>
      <c r="O432" s="70">
        <v>0.52</v>
      </c>
      <c r="P432" s="71">
        <v>0.84</v>
      </c>
      <c r="Q432" s="64"/>
      <c r="R432" s="64"/>
      <c r="S432" s="64"/>
      <c r="T432" s="64"/>
      <c r="U432" s="64"/>
      <c r="V432" s="64"/>
      <c r="W432" s="64"/>
      <c r="X432" s="64"/>
      <c r="Y432" s="64"/>
      <c r="Z432" s="64"/>
    </row>
    <row r="433" spans="1:26" thickBot="1">
      <c r="A433" s="66" t="str">
        <f t="shared" si="19"/>
        <v>Latitude 1960</v>
      </c>
      <c r="B433" s="86">
        <v>19.600000000000001</v>
      </c>
      <c r="C433" s="70">
        <v>60</v>
      </c>
      <c r="D433" s="70">
        <v>0.49</v>
      </c>
      <c r="E433" s="70">
        <v>0.62</v>
      </c>
      <c r="F433" s="70">
        <v>0.79</v>
      </c>
      <c r="G433" s="70">
        <v>0.97</v>
      </c>
      <c r="H433" s="70">
        <v>1.1000000000000001</v>
      </c>
      <c r="I433" s="70">
        <v>1.1100000000000001</v>
      </c>
      <c r="J433" s="70">
        <v>1.05</v>
      </c>
      <c r="K433" s="70">
        <v>0.93</v>
      </c>
      <c r="L433" s="70">
        <v>0.78</v>
      </c>
      <c r="M433" s="70">
        <v>0.62</v>
      </c>
      <c r="N433" s="70">
        <v>0.5</v>
      </c>
      <c r="O433" s="70">
        <v>0.45</v>
      </c>
      <c r="P433" s="71">
        <v>0.78</v>
      </c>
      <c r="Q433" s="64"/>
      <c r="R433" s="64"/>
      <c r="S433" s="64"/>
      <c r="T433" s="64"/>
      <c r="U433" s="64"/>
      <c r="V433" s="64"/>
      <c r="W433" s="64"/>
      <c r="X433" s="64"/>
      <c r="Y433" s="64"/>
      <c r="Z433" s="64"/>
    </row>
    <row r="434" spans="1:26" thickBot="1">
      <c r="A434" s="66" t="str">
        <f t="shared" si="19"/>
        <v>Latitude 1965</v>
      </c>
      <c r="B434" s="86">
        <v>19.649999999999999</v>
      </c>
      <c r="C434" s="70">
        <v>65</v>
      </c>
      <c r="D434" s="70">
        <v>0.42</v>
      </c>
      <c r="E434" s="70">
        <v>0.55000000000000004</v>
      </c>
      <c r="F434" s="70">
        <v>0.73</v>
      </c>
      <c r="G434" s="70">
        <v>0.92</v>
      </c>
      <c r="H434" s="70">
        <v>1.05</v>
      </c>
      <c r="I434" s="70">
        <v>1.07</v>
      </c>
      <c r="J434" s="70">
        <v>1.01</v>
      </c>
      <c r="K434" s="70">
        <v>0.89</v>
      </c>
      <c r="L434" s="70">
        <v>0.73</v>
      </c>
      <c r="M434" s="70">
        <v>0.56000000000000005</v>
      </c>
      <c r="N434" s="70">
        <v>0.43</v>
      </c>
      <c r="O434" s="70">
        <v>0.38</v>
      </c>
      <c r="P434" s="71">
        <v>0.73</v>
      </c>
      <c r="Q434" s="64"/>
      <c r="R434" s="64"/>
      <c r="S434" s="64"/>
      <c r="T434" s="64"/>
      <c r="U434" s="64"/>
      <c r="V434" s="64"/>
      <c r="W434" s="64"/>
      <c r="X434" s="64"/>
      <c r="Y434" s="64"/>
      <c r="Z434" s="64"/>
    </row>
    <row r="435" spans="1:26" thickBot="1">
      <c r="A435" s="66" t="str">
        <f t="shared" si="19"/>
        <v>Latitude 1970</v>
      </c>
      <c r="B435" s="86">
        <v>19.7</v>
      </c>
      <c r="C435" s="70">
        <v>70</v>
      </c>
      <c r="D435" s="70">
        <v>0.34</v>
      </c>
      <c r="E435" s="70">
        <v>0.48</v>
      </c>
      <c r="F435" s="70">
        <v>0.67</v>
      </c>
      <c r="G435" s="70">
        <v>0.87</v>
      </c>
      <c r="H435" s="70">
        <v>1.01</v>
      </c>
      <c r="I435" s="70">
        <v>1.03</v>
      </c>
      <c r="J435" s="70">
        <v>0.96</v>
      </c>
      <c r="K435" s="70">
        <v>0.84</v>
      </c>
      <c r="L435" s="70">
        <v>0.67</v>
      </c>
      <c r="M435" s="70">
        <v>0.49</v>
      </c>
      <c r="N435" s="70">
        <v>0.35</v>
      </c>
      <c r="O435" s="70">
        <v>0.3</v>
      </c>
      <c r="P435" s="71">
        <v>0.67</v>
      </c>
      <c r="Q435" s="64"/>
      <c r="R435" s="64"/>
      <c r="S435" s="64"/>
      <c r="T435" s="64"/>
      <c r="U435" s="64"/>
      <c r="V435" s="64"/>
      <c r="W435" s="64"/>
      <c r="X435" s="64"/>
      <c r="Y435" s="64"/>
      <c r="Z435" s="64"/>
    </row>
    <row r="436" spans="1:26" thickBot="1">
      <c r="A436" s="66" t="str">
        <f t="shared" si="19"/>
        <v>Latitude 1975</v>
      </c>
      <c r="B436" s="86">
        <v>19.75</v>
      </c>
      <c r="C436" s="70">
        <v>75</v>
      </c>
      <c r="D436" s="70">
        <v>0.27</v>
      </c>
      <c r="E436" s="70">
        <v>0.4</v>
      </c>
      <c r="F436" s="70">
        <v>0.6</v>
      </c>
      <c r="G436" s="70">
        <v>0.81</v>
      </c>
      <c r="H436" s="70">
        <v>0.95</v>
      </c>
      <c r="I436" s="70">
        <v>0.98</v>
      </c>
      <c r="J436" s="70">
        <v>0.91</v>
      </c>
      <c r="K436" s="70">
        <v>0.78</v>
      </c>
      <c r="L436" s="70">
        <v>0.6</v>
      </c>
      <c r="M436" s="70">
        <v>0.42</v>
      </c>
      <c r="N436" s="70">
        <v>0.28000000000000003</v>
      </c>
      <c r="O436" s="70">
        <v>0.22</v>
      </c>
      <c r="P436" s="71">
        <v>0.6</v>
      </c>
      <c r="Q436" s="64"/>
      <c r="R436" s="64"/>
      <c r="S436" s="64"/>
      <c r="T436" s="64"/>
      <c r="U436" s="64"/>
      <c r="V436" s="64"/>
      <c r="W436" s="64"/>
      <c r="X436" s="64"/>
      <c r="Y436" s="64"/>
      <c r="Z436" s="64"/>
    </row>
    <row r="437" spans="1:26" thickBot="1">
      <c r="A437" s="66" t="str">
        <f t="shared" si="19"/>
        <v>Latitude 1980</v>
      </c>
      <c r="B437" s="86">
        <v>19.8</v>
      </c>
      <c r="C437" s="70">
        <v>80</v>
      </c>
      <c r="D437" s="70">
        <v>0.19</v>
      </c>
      <c r="E437" s="70">
        <v>0.33</v>
      </c>
      <c r="F437" s="70">
        <v>0.53</v>
      </c>
      <c r="G437" s="70">
        <v>0.74</v>
      </c>
      <c r="H437" s="70">
        <v>0.89</v>
      </c>
      <c r="I437" s="70">
        <v>0.92</v>
      </c>
      <c r="J437" s="70">
        <v>0.85</v>
      </c>
      <c r="K437" s="70">
        <v>0.72</v>
      </c>
      <c r="L437" s="70">
        <v>0.53</v>
      </c>
      <c r="M437" s="70">
        <v>0.34</v>
      </c>
      <c r="N437" s="70">
        <v>0.2</v>
      </c>
      <c r="O437" s="70">
        <v>0.14000000000000001</v>
      </c>
      <c r="P437" s="71">
        <v>0.53</v>
      </c>
      <c r="Q437" s="64"/>
      <c r="R437" s="64"/>
      <c r="S437" s="64"/>
      <c r="T437" s="64"/>
      <c r="U437" s="64"/>
      <c r="V437" s="64"/>
      <c r="W437" s="64"/>
      <c r="X437" s="64"/>
      <c r="Y437" s="64"/>
      <c r="Z437" s="64"/>
    </row>
    <row r="438" spans="1:26" thickBot="1">
      <c r="A438" s="66" t="str">
        <f t="shared" si="19"/>
        <v>Latitude 1985</v>
      </c>
      <c r="B438" s="86">
        <v>19.850000000000001</v>
      </c>
      <c r="C438" s="70">
        <v>85</v>
      </c>
      <c r="D438" s="70">
        <v>0.11</v>
      </c>
      <c r="E438" s="70">
        <v>0.25</v>
      </c>
      <c r="F438" s="70">
        <v>0.45</v>
      </c>
      <c r="G438" s="70">
        <v>0.67</v>
      </c>
      <c r="H438" s="70">
        <v>0.83</v>
      </c>
      <c r="I438" s="70">
        <v>0.86</v>
      </c>
      <c r="J438" s="70">
        <v>0.79</v>
      </c>
      <c r="K438" s="70">
        <v>0.65</v>
      </c>
      <c r="L438" s="70">
        <v>0.46</v>
      </c>
      <c r="M438" s="70">
        <v>0.27</v>
      </c>
      <c r="N438" s="70">
        <v>0.12</v>
      </c>
      <c r="O438" s="70">
        <v>0.09</v>
      </c>
      <c r="P438" s="71">
        <v>0.46</v>
      </c>
      <c r="Q438" s="64"/>
      <c r="R438" s="64"/>
      <c r="S438" s="64"/>
      <c r="T438" s="64"/>
      <c r="U438" s="64"/>
      <c r="V438" s="64"/>
      <c r="W438" s="64"/>
      <c r="X438" s="64"/>
      <c r="Y438" s="64"/>
      <c r="Z438" s="64"/>
    </row>
    <row r="439" spans="1:26" thickBot="1">
      <c r="A439" s="66" t="str">
        <f t="shared" si="19"/>
        <v>Latitude 1990</v>
      </c>
      <c r="B439" s="86">
        <v>19.899999999999999</v>
      </c>
      <c r="C439" s="70">
        <v>90</v>
      </c>
      <c r="D439" s="70">
        <v>0.08</v>
      </c>
      <c r="E439" s="70">
        <v>0.17</v>
      </c>
      <c r="F439" s="70">
        <v>0.37</v>
      </c>
      <c r="G439" s="70">
        <v>0.6</v>
      </c>
      <c r="H439" s="70">
        <v>0.76</v>
      </c>
      <c r="I439" s="70">
        <v>0.79</v>
      </c>
      <c r="J439" s="70">
        <v>0.72</v>
      </c>
      <c r="K439" s="70">
        <v>0.57999999999999996</v>
      </c>
      <c r="L439" s="70">
        <v>0.39</v>
      </c>
      <c r="M439" s="70">
        <v>0.19</v>
      </c>
      <c r="N439" s="70">
        <v>0.09</v>
      </c>
      <c r="O439" s="70">
        <v>0.08</v>
      </c>
      <c r="P439" s="71">
        <v>0.4</v>
      </c>
      <c r="Q439" s="64"/>
      <c r="R439" s="64"/>
      <c r="S439" s="64"/>
      <c r="T439" s="64"/>
      <c r="U439" s="64"/>
      <c r="V439" s="64"/>
      <c r="W439" s="64"/>
      <c r="X439" s="64"/>
      <c r="Y439" s="64"/>
      <c r="Z439" s="64"/>
    </row>
    <row r="440" spans="1:26" thickBot="1">
      <c r="A440" s="66"/>
      <c r="B440" s="88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66"/>
      <c r="Q440" s="64"/>
      <c r="R440" s="64"/>
      <c r="S440" s="64"/>
      <c r="T440" s="64"/>
      <c r="U440" s="64"/>
      <c r="V440" s="64"/>
      <c r="W440" s="64"/>
      <c r="X440" s="64"/>
      <c r="Y440" s="64"/>
      <c r="Z440" s="64"/>
    </row>
    <row r="441" spans="1:26" thickBot="1">
      <c r="A441" s="66"/>
      <c r="B441" s="88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66"/>
      <c r="Q441" s="64"/>
      <c r="R441" s="64"/>
      <c r="S441" s="64"/>
      <c r="T441" s="64"/>
      <c r="U441" s="64"/>
      <c r="V441" s="64"/>
      <c r="W441" s="64"/>
      <c r="X441" s="64"/>
      <c r="Y441" s="64"/>
      <c r="Z441" s="64"/>
    </row>
    <row r="442" spans="1:26" thickBot="1">
      <c r="A442" s="66"/>
      <c r="B442" s="85" t="s">
        <v>5884</v>
      </c>
      <c r="C442" s="75" t="s">
        <v>5853</v>
      </c>
      <c r="D442" s="75" t="s">
        <v>5827</v>
      </c>
      <c r="E442" s="75" t="s">
        <v>5828</v>
      </c>
      <c r="F442" s="75" t="s">
        <v>5829</v>
      </c>
      <c r="G442" s="75" t="s">
        <v>5830</v>
      </c>
      <c r="H442" s="75" t="s">
        <v>5831</v>
      </c>
      <c r="I442" s="75" t="s">
        <v>5832</v>
      </c>
      <c r="J442" s="75" t="s">
        <v>5833</v>
      </c>
      <c r="K442" s="75" t="s">
        <v>5834</v>
      </c>
      <c r="L442" s="75" t="s">
        <v>5835</v>
      </c>
      <c r="M442" s="75" t="s">
        <v>5836</v>
      </c>
      <c r="N442" s="75" t="s">
        <v>5837</v>
      </c>
      <c r="O442" s="75" t="s">
        <v>5838</v>
      </c>
      <c r="P442" s="74" t="s">
        <v>20</v>
      </c>
      <c r="Q442" s="64"/>
      <c r="R442" s="64"/>
      <c r="S442" s="64"/>
      <c r="T442" s="64"/>
      <c r="U442" s="64"/>
      <c r="V442" s="64"/>
      <c r="W442" s="64"/>
      <c r="X442" s="64"/>
      <c r="Y442" s="64"/>
      <c r="Z442" s="64"/>
    </row>
    <row r="443" spans="1:26" thickBot="1">
      <c r="A443" s="66" t="str">
        <f>$B$442&amp;C443</f>
        <v>Latitude 200</v>
      </c>
      <c r="B443" s="86">
        <v>20</v>
      </c>
      <c r="C443" s="70">
        <v>0</v>
      </c>
      <c r="D443" s="70">
        <v>1</v>
      </c>
      <c r="E443" s="70">
        <v>1</v>
      </c>
      <c r="F443" s="70">
        <v>1</v>
      </c>
      <c r="G443" s="70">
        <v>1</v>
      </c>
      <c r="H443" s="70">
        <v>1</v>
      </c>
      <c r="I443" s="70">
        <v>1</v>
      </c>
      <c r="J443" s="70">
        <v>1</v>
      </c>
      <c r="K443" s="70">
        <v>1</v>
      </c>
      <c r="L443" s="70">
        <v>1</v>
      </c>
      <c r="M443" s="70">
        <v>1</v>
      </c>
      <c r="N443" s="70">
        <v>1</v>
      </c>
      <c r="O443" s="70">
        <v>1</v>
      </c>
      <c r="P443" s="71">
        <v>1</v>
      </c>
      <c r="Q443" s="64"/>
      <c r="R443" s="64"/>
      <c r="S443" s="64"/>
      <c r="T443" s="64"/>
      <c r="U443" s="64"/>
      <c r="V443" s="64"/>
      <c r="W443" s="64"/>
      <c r="X443" s="64"/>
      <c r="Y443" s="64"/>
      <c r="Z443" s="64"/>
    </row>
    <row r="444" spans="1:26" thickBot="1">
      <c r="A444" s="66" t="str">
        <f t="shared" ref="A444:A461" si="20">$B$442&amp;C444</f>
        <v>Latitude 205</v>
      </c>
      <c r="B444" s="86">
        <v>20.5</v>
      </c>
      <c r="C444" s="70">
        <v>5</v>
      </c>
      <c r="D444" s="70">
        <v>0.99</v>
      </c>
      <c r="E444" s="70">
        <v>1.01</v>
      </c>
      <c r="F444" s="70">
        <v>1.02</v>
      </c>
      <c r="G444" s="70">
        <v>1.04</v>
      </c>
      <c r="H444" s="70">
        <v>1.05</v>
      </c>
      <c r="I444" s="70">
        <v>1.05</v>
      </c>
      <c r="J444" s="70">
        <v>1.04</v>
      </c>
      <c r="K444" s="70">
        <v>1.03</v>
      </c>
      <c r="L444" s="70">
        <v>1.02</v>
      </c>
      <c r="M444" s="70">
        <v>1</v>
      </c>
      <c r="N444" s="70">
        <v>0.99</v>
      </c>
      <c r="O444" s="70">
        <v>0.99</v>
      </c>
      <c r="P444" s="71">
        <v>1.02</v>
      </c>
      <c r="Q444" s="64"/>
      <c r="R444" s="64"/>
      <c r="S444" s="64"/>
      <c r="T444" s="64"/>
      <c r="U444" s="64"/>
      <c r="V444" s="64"/>
      <c r="W444" s="64"/>
      <c r="X444" s="64"/>
      <c r="Y444" s="64"/>
      <c r="Z444" s="64"/>
    </row>
    <row r="445" spans="1:26" thickBot="1">
      <c r="A445" s="66" t="str">
        <f t="shared" si="20"/>
        <v>Latitude 2010</v>
      </c>
      <c r="B445" s="86">
        <v>20.100000000000001</v>
      </c>
      <c r="C445" s="70">
        <v>10</v>
      </c>
      <c r="D445" s="70">
        <v>0.98</v>
      </c>
      <c r="E445" s="70">
        <v>1</v>
      </c>
      <c r="F445" s="70">
        <v>1.04</v>
      </c>
      <c r="G445" s="70">
        <v>1.07</v>
      </c>
      <c r="H445" s="70">
        <v>1.0900000000000001</v>
      </c>
      <c r="I445" s="70">
        <v>1.0900000000000001</v>
      </c>
      <c r="J445" s="70">
        <v>1.08</v>
      </c>
      <c r="K445" s="70">
        <v>1.06</v>
      </c>
      <c r="L445" s="70">
        <v>1.03</v>
      </c>
      <c r="M445" s="70">
        <v>1</v>
      </c>
      <c r="N445" s="70">
        <v>0.98</v>
      </c>
      <c r="O445" s="70">
        <v>0.97</v>
      </c>
      <c r="P445" s="71">
        <v>1.03</v>
      </c>
      <c r="Q445" s="64"/>
      <c r="R445" s="64"/>
      <c r="S445" s="64"/>
      <c r="T445" s="64"/>
      <c r="U445" s="64"/>
      <c r="V445" s="64"/>
      <c r="W445" s="64"/>
      <c r="X445" s="64"/>
      <c r="Y445" s="64"/>
      <c r="Z445" s="64"/>
    </row>
    <row r="446" spans="1:26" thickBot="1">
      <c r="A446" s="66" t="str">
        <f t="shared" si="20"/>
        <v>Latitude 2015</v>
      </c>
      <c r="B446" s="86">
        <v>20.149999999999999</v>
      </c>
      <c r="C446" s="70">
        <v>15</v>
      </c>
      <c r="D446" s="70">
        <v>0.96</v>
      </c>
      <c r="E446" s="70">
        <v>0.99</v>
      </c>
      <c r="F446" s="70">
        <v>1.04</v>
      </c>
      <c r="G446" s="70">
        <v>1.1000000000000001</v>
      </c>
      <c r="H446" s="70">
        <v>1.1299999999999999</v>
      </c>
      <c r="I446" s="70">
        <v>1.1299999999999999</v>
      </c>
      <c r="J446" s="70">
        <v>1.1100000000000001</v>
      </c>
      <c r="K446" s="70">
        <v>1.08</v>
      </c>
      <c r="L446" s="70">
        <v>1.04</v>
      </c>
      <c r="M446" s="70">
        <v>0.99</v>
      </c>
      <c r="N446" s="70">
        <v>0.96</v>
      </c>
      <c r="O446" s="70">
        <v>0.95</v>
      </c>
      <c r="P446" s="71">
        <v>1.04</v>
      </c>
      <c r="Q446" s="64"/>
      <c r="R446" s="64"/>
      <c r="S446" s="64"/>
      <c r="T446" s="64"/>
      <c r="U446" s="64"/>
      <c r="V446" s="64"/>
      <c r="W446" s="64"/>
      <c r="X446" s="64"/>
      <c r="Y446" s="64"/>
      <c r="Z446" s="64"/>
    </row>
    <row r="447" spans="1:26" thickBot="1">
      <c r="A447" s="66" t="str">
        <f t="shared" si="20"/>
        <v>Latitude 2020</v>
      </c>
      <c r="B447" s="86">
        <v>20.2</v>
      </c>
      <c r="C447" s="70">
        <v>20</v>
      </c>
      <c r="D447" s="70">
        <v>0.93</v>
      </c>
      <c r="E447" s="70">
        <v>0.98</v>
      </c>
      <c r="F447" s="70">
        <v>1.05</v>
      </c>
      <c r="G447" s="70">
        <v>1.1100000000000001</v>
      </c>
      <c r="H447" s="70">
        <v>1.1599999999999999</v>
      </c>
      <c r="I447" s="70">
        <v>1.1599999999999999</v>
      </c>
      <c r="J447" s="70">
        <v>1.1299999999999999</v>
      </c>
      <c r="K447" s="70">
        <v>1.0900000000000001</v>
      </c>
      <c r="L447" s="70">
        <v>1.04</v>
      </c>
      <c r="M447" s="70">
        <v>0.98</v>
      </c>
      <c r="N447" s="70">
        <v>0.93</v>
      </c>
      <c r="O447" s="70">
        <v>0.91</v>
      </c>
      <c r="P447" s="71">
        <v>1.04</v>
      </c>
      <c r="Q447" s="64"/>
      <c r="R447" s="64"/>
      <c r="S447" s="64"/>
      <c r="T447" s="64"/>
      <c r="U447" s="64"/>
      <c r="V447" s="64"/>
      <c r="W447" s="64"/>
      <c r="X447" s="64"/>
      <c r="Y447" s="64"/>
      <c r="Z447" s="64"/>
    </row>
    <row r="448" spans="1:26" thickBot="1">
      <c r="A448" s="66" t="str">
        <f t="shared" si="20"/>
        <v>Latitude 2025</v>
      </c>
      <c r="B448" s="86">
        <v>20.25</v>
      </c>
      <c r="C448" s="70">
        <v>25</v>
      </c>
      <c r="D448" s="70">
        <v>0.9</v>
      </c>
      <c r="E448" s="70">
        <v>0.96</v>
      </c>
      <c r="F448" s="70">
        <v>1.04</v>
      </c>
      <c r="G448" s="70">
        <v>1.1200000000000001</v>
      </c>
      <c r="H448" s="70">
        <v>1.18</v>
      </c>
      <c r="I448" s="70">
        <v>1.18</v>
      </c>
      <c r="J448" s="70">
        <v>1.1499999999999999</v>
      </c>
      <c r="K448" s="70">
        <v>1.1000000000000001</v>
      </c>
      <c r="L448" s="70">
        <v>1.03</v>
      </c>
      <c r="M448" s="70">
        <v>0.96</v>
      </c>
      <c r="N448" s="70">
        <v>0.9</v>
      </c>
      <c r="O448" s="70">
        <v>0.88</v>
      </c>
      <c r="P448" s="71">
        <v>1.03</v>
      </c>
      <c r="Q448" s="64"/>
      <c r="R448" s="64"/>
      <c r="S448" s="64"/>
      <c r="T448" s="64"/>
      <c r="U448" s="64"/>
      <c r="V448" s="64"/>
      <c r="W448" s="64"/>
      <c r="X448" s="64"/>
      <c r="Y448" s="64"/>
      <c r="Z448" s="64"/>
    </row>
    <row r="449" spans="1:26" thickBot="1">
      <c r="A449" s="66" t="str">
        <f t="shared" si="20"/>
        <v>Latitude 2030</v>
      </c>
      <c r="B449" s="86">
        <v>20.3</v>
      </c>
      <c r="C449" s="70">
        <v>30</v>
      </c>
      <c r="D449" s="70">
        <v>0.86</v>
      </c>
      <c r="E449" s="70">
        <v>0.93</v>
      </c>
      <c r="F449" s="70">
        <v>1.03</v>
      </c>
      <c r="G449" s="70">
        <v>1.1299999999999999</v>
      </c>
      <c r="H449" s="70">
        <v>1.19</v>
      </c>
      <c r="I449" s="70">
        <v>1.2</v>
      </c>
      <c r="J449" s="70">
        <v>1.1599999999999999</v>
      </c>
      <c r="K449" s="70">
        <v>1.1000000000000001</v>
      </c>
      <c r="L449" s="70">
        <v>1.01</v>
      </c>
      <c r="M449" s="70">
        <v>0.93</v>
      </c>
      <c r="N449" s="70">
        <v>0.86</v>
      </c>
      <c r="O449" s="70">
        <v>0.83</v>
      </c>
      <c r="P449" s="71">
        <v>1.02</v>
      </c>
      <c r="Q449" s="64"/>
      <c r="R449" s="64"/>
      <c r="S449" s="64"/>
      <c r="T449" s="64"/>
      <c r="U449" s="64"/>
      <c r="V449" s="64"/>
      <c r="W449" s="64"/>
      <c r="X449" s="64"/>
      <c r="Y449" s="64"/>
      <c r="Z449" s="64"/>
    </row>
    <row r="450" spans="1:26" thickBot="1">
      <c r="A450" s="66" t="str">
        <f t="shared" si="20"/>
        <v>Latitude 2035</v>
      </c>
      <c r="B450" s="86">
        <v>20.350000000000001</v>
      </c>
      <c r="C450" s="70">
        <v>35</v>
      </c>
      <c r="D450" s="70">
        <v>0.81</v>
      </c>
      <c r="E450" s="70">
        <v>0.89</v>
      </c>
      <c r="F450" s="70">
        <v>1</v>
      </c>
      <c r="G450" s="70">
        <v>1.1200000000000001</v>
      </c>
      <c r="H450" s="70">
        <v>1.2</v>
      </c>
      <c r="I450" s="70">
        <v>1.2</v>
      </c>
      <c r="J450" s="70">
        <v>1.1599999999999999</v>
      </c>
      <c r="K450" s="70">
        <v>1.0900000000000001</v>
      </c>
      <c r="L450" s="70">
        <v>0.99</v>
      </c>
      <c r="M450" s="70">
        <v>0.89</v>
      </c>
      <c r="N450" s="70">
        <v>0.81</v>
      </c>
      <c r="O450" s="70">
        <v>0.78</v>
      </c>
      <c r="P450" s="71">
        <v>1</v>
      </c>
      <c r="Q450" s="64"/>
      <c r="R450" s="64"/>
      <c r="S450" s="64"/>
      <c r="T450" s="64"/>
      <c r="U450" s="64"/>
      <c r="V450" s="64"/>
      <c r="W450" s="64"/>
      <c r="X450" s="64"/>
      <c r="Y450" s="64"/>
      <c r="Z450" s="64"/>
    </row>
    <row r="451" spans="1:26" thickBot="1">
      <c r="A451" s="66" t="str">
        <f t="shared" si="20"/>
        <v>Latitude 2040</v>
      </c>
      <c r="B451" s="86">
        <v>20.399999999999999</v>
      </c>
      <c r="C451" s="70">
        <v>40</v>
      </c>
      <c r="D451" s="70">
        <v>0.76</v>
      </c>
      <c r="E451" s="70">
        <v>0.85</v>
      </c>
      <c r="F451" s="70">
        <v>0.98</v>
      </c>
      <c r="G451" s="70">
        <v>1.1100000000000001</v>
      </c>
      <c r="H451" s="70">
        <v>1.2</v>
      </c>
      <c r="I451" s="70">
        <v>1.2</v>
      </c>
      <c r="J451" s="70">
        <v>1.1499999999999999</v>
      </c>
      <c r="K451" s="70">
        <v>1.07</v>
      </c>
      <c r="L451" s="70">
        <v>0.97</v>
      </c>
      <c r="M451" s="70">
        <v>0.85</v>
      </c>
      <c r="N451" s="70">
        <v>0.76</v>
      </c>
      <c r="O451" s="70">
        <v>0.73</v>
      </c>
      <c r="P451" s="71">
        <v>0.97</v>
      </c>
      <c r="Q451" s="64"/>
      <c r="R451" s="64"/>
      <c r="S451" s="64"/>
      <c r="T451" s="64"/>
      <c r="U451" s="64"/>
      <c r="V451" s="64"/>
      <c r="W451" s="64"/>
      <c r="X451" s="64"/>
      <c r="Y451" s="64"/>
      <c r="Z451" s="64"/>
    </row>
    <row r="452" spans="1:26" thickBot="1">
      <c r="A452" s="66" t="str">
        <f t="shared" si="20"/>
        <v>Latitude 2045</v>
      </c>
      <c r="B452" s="86">
        <v>20.45</v>
      </c>
      <c r="C452" s="70">
        <v>45</v>
      </c>
      <c r="D452" s="70">
        <v>0.7</v>
      </c>
      <c r="E452" s="70">
        <v>0.8</v>
      </c>
      <c r="F452" s="70">
        <v>0.94</v>
      </c>
      <c r="G452" s="70">
        <v>1.0900000000000001</v>
      </c>
      <c r="H452" s="70">
        <v>1.19</v>
      </c>
      <c r="I452" s="70">
        <v>1.2</v>
      </c>
      <c r="J452" s="70">
        <v>1.1399999999999999</v>
      </c>
      <c r="K452" s="70">
        <v>1.05</v>
      </c>
      <c r="L452" s="70">
        <v>0.93</v>
      </c>
      <c r="M452" s="70">
        <v>0.81</v>
      </c>
      <c r="N452" s="70">
        <v>0.71</v>
      </c>
      <c r="O452" s="70">
        <v>0.67</v>
      </c>
      <c r="P452" s="71">
        <v>0.94</v>
      </c>
      <c r="Q452" s="64"/>
      <c r="R452" s="64"/>
      <c r="S452" s="64"/>
      <c r="T452" s="64"/>
      <c r="U452" s="64"/>
      <c r="V452" s="64"/>
      <c r="W452" s="64"/>
      <c r="X452" s="64"/>
      <c r="Y452" s="64"/>
      <c r="Z452" s="64"/>
    </row>
    <row r="453" spans="1:26" thickBot="1">
      <c r="A453" s="66" t="str">
        <f t="shared" si="20"/>
        <v>Latitude 2050</v>
      </c>
      <c r="B453" s="86">
        <v>20.5</v>
      </c>
      <c r="C453" s="70">
        <v>50</v>
      </c>
      <c r="D453" s="70">
        <v>0.64</v>
      </c>
      <c r="E453" s="70">
        <v>0.75</v>
      </c>
      <c r="F453" s="70">
        <v>0.9</v>
      </c>
      <c r="G453" s="70">
        <v>1.06</v>
      </c>
      <c r="H453" s="70">
        <v>1.17</v>
      </c>
      <c r="I453" s="70">
        <v>1.18</v>
      </c>
      <c r="J453" s="70">
        <v>1.1200000000000001</v>
      </c>
      <c r="K453" s="70">
        <v>1.02</v>
      </c>
      <c r="L453" s="70">
        <v>0.89</v>
      </c>
      <c r="M453" s="70">
        <v>0.75</v>
      </c>
      <c r="N453" s="70">
        <v>0.65</v>
      </c>
      <c r="O453" s="70">
        <v>0.6</v>
      </c>
      <c r="P453" s="71">
        <v>0.89</v>
      </c>
      <c r="Q453" s="64"/>
      <c r="R453" s="64"/>
      <c r="S453" s="64"/>
      <c r="T453" s="64"/>
      <c r="U453" s="64"/>
      <c r="V453" s="64"/>
      <c r="W453" s="64"/>
      <c r="X453" s="64"/>
      <c r="Y453" s="64"/>
      <c r="Z453" s="64"/>
    </row>
    <row r="454" spans="1:26" thickBot="1">
      <c r="A454" s="66" t="str">
        <f t="shared" si="20"/>
        <v>Latitude 2055</v>
      </c>
      <c r="B454" s="86">
        <v>20.55</v>
      </c>
      <c r="C454" s="70">
        <v>55</v>
      </c>
      <c r="D454" s="70">
        <v>0.57999999999999996</v>
      </c>
      <c r="E454" s="70">
        <v>0.69</v>
      </c>
      <c r="F454" s="70">
        <v>0.86</v>
      </c>
      <c r="G454" s="70">
        <v>1.03</v>
      </c>
      <c r="H454" s="70">
        <v>1.1399999999999999</v>
      </c>
      <c r="I454" s="70">
        <v>1.1599999999999999</v>
      </c>
      <c r="J454" s="70">
        <v>1.0900000000000001</v>
      </c>
      <c r="K454" s="70">
        <v>0.99</v>
      </c>
      <c r="L454" s="70">
        <v>0.85</v>
      </c>
      <c r="M454" s="70">
        <v>0.7</v>
      </c>
      <c r="N454" s="70">
        <v>0.57999999999999996</v>
      </c>
      <c r="O454" s="70">
        <v>0.54</v>
      </c>
      <c r="P454" s="71">
        <v>0.85</v>
      </c>
      <c r="Q454" s="64"/>
      <c r="R454" s="64"/>
      <c r="S454" s="64"/>
      <c r="T454" s="64"/>
      <c r="U454" s="64"/>
      <c r="V454" s="64"/>
      <c r="W454" s="64"/>
      <c r="X454" s="64"/>
      <c r="Y454" s="64"/>
      <c r="Z454" s="64"/>
    </row>
    <row r="455" spans="1:26" thickBot="1">
      <c r="A455" s="66" t="str">
        <f t="shared" si="20"/>
        <v>Latitude 2060</v>
      </c>
      <c r="B455" s="86">
        <v>20.6</v>
      </c>
      <c r="C455" s="70">
        <v>60</v>
      </c>
      <c r="D455" s="70">
        <v>0.51</v>
      </c>
      <c r="E455" s="70">
        <v>0.63</v>
      </c>
      <c r="F455" s="70">
        <v>0.8</v>
      </c>
      <c r="G455" s="70">
        <v>0.99</v>
      </c>
      <c r="H455" s="70">
        <v>1.1100000000000001</v>
      </c>
      <c r="I455" s="70">
        <v>1.1299999999999999</v>
      </c>
      <c r="J455" s="70">
        <v>1.06</v>
      </c>
      <c r="K455" s="70">
        <v>0.95</v>
      </c>
      <c r="L455" s="70">
        <v>0.8</v>
      </c>
      <c r="M455" s="70">
        <v>0.64</v>
      </c>
      <c r="N455" s="70">
        <v>0.51</v>
      </c>
      <c r="O455" s="70">
        <v>0.46</v>
      </c>
      <c r="P455" s="71">
        <v>0.8</v>
      </c>
      <c r="Q455" s="64"/>
      <c r="R455" s="64"/>
      <c r="S455" s="64"/>
      <c r="T455" s="64"/>
      <c r="U455" s="64"/>
      <c r="V455" s="64"/>
      <c r="W455" s="64"/>
      <c r="X455" s="64"/>
      <c r="Y455" s="64"/>
      <c r="Z455" s="64"/>
    </row>
    <row r="456" spans="1:26" thickBot="1">
      <c r="A456" s="66" t="str">
        <f t="shared" si="20"/>
        <v>Latitude 2065</v>
      </c>
      <c r="B456" s="86">
        <v>20.65</v>
      </c>
      <c r="C456" s="70">
        <v>65</v>
      </c>
      <c r="D456" s="70">
        <v>0.43</v>
      </c>
      <c r="E456" s="70">
        <v>0.56000000000000005</v>
      </c>
      <c r="F456" s="70">
        <v>0.74</v>
      </c>
      <c r="G456" s="70">
        <v>0.94</v>
      </c>
      <c r="H456" s="70">
        <v>1.07</v>
      </c>
      <c r="I456" s="70">
        <v>1.0900000000000001</v>
      </c>
      <c r="J456" s="70">
        <v>1.02</v>
      </c>
      <c r="K456" s="70">
        <v>0.9</v>
      </c>
      <c r="L456" s="70">
        <v>0.74</v>
      </c>
      <c r="M456" s="70">
        <v>0.56999999999999995</v>
      </c>
      <c r="N456" s="70">
        <v>0.44</v>
      </c>
      <c r="O456" s="70">
        <v>0.39</v>
      </c>
      <c r="P456" s="71">
        <v>0.74</v>
      </c>
      <c r="Q456" s="64"/>
      <c r="R456" s="64"/>
      <c r="S456" s="64"/>
      <c r="T456" s="64"/>
      <c r="U456" s="64"/>
      <c r="V456" s="64"/>
      <c r="W456" s="64"/>
      <c r="X456" s="64"/>
      <c r="Y456" s="64"/>
      <c r="Z456" s="64"/>
    </row>
    <row r="457" spans="1:26" thickBot="1">
      <c r="A457" s="66" t="str">
        <f t="shared" si="20"/>
        <v>Latitude 2070</v>
      </c>
      <c r="B457" s="86">
        <v>20.7</v>
      </c>
      <c r="C457" s="70">
        <v>70</v>
      </c>
      <c r="D457" s="70">
        <v>0.36</v>
      </c>
      <c r="E457" s="70">
        <v>0.49</v>
      </c>
      <c r="F457" s="70">
        <v>0.68</v>
      </c>
      <c r="G457" s="70">
        <v>0.88</v>
      </c>
      <c r="H457" s="70">
        <v>1.03</v>
      </c>
      <c r="I457" s="70">
        <v>1.05</v>
      </c>
      <c r="J457" s="70">
        <v>0.97</v>
      </c>
      <c r="K457" s="70">
        <v>0.85</v>
      </c>
      <c r="L457" s="70">
        <v>0.68</v>
      </c>
      <c r="M457" s="70">
        <v>0.5</v>
      </c>
      <c r="N457" s="70">
        <v>0.37</v>
      </c>
      <c r="O457" s="70">
        <v>0.31</v>
      </c>
      <c r="P457" s="71">
        <v>0.68</v>
      </c>
      <c r="Q457" s="64"/>
      <c r="R457" s="64"/>
      <c r="S457" s="64"/>
      <c r="T457" s="64"/>
      <c r="U457" s="64"/>
      <c r="V457" s="64"/>
      <c r="W457" s="64"/>
      <c r="X457" s="64"/>
      <c r="Y457" s="64"/>
      <c r="Z457" s="64"/>
    </row>
    <row r="458" spans="1:26" thickBot="1">
      <c r="A458" s="66" t="str">
        <f t="shared" si="20"/>
        <v>Latitude 2075</v>
      </c>
      <c r="B458" s="86">
        <v>20.75</v>
      </c>
      <c r="C458" s="70">
        <v>75</v>
      </c>
      <c r="D458" s="70">
        <v>0.28000000000000003</v>
      </c>
      <c r="E458" s="70">
        <v>0.42</v>
      </c>
      <c r="F458" s="70">
        <v>0.61</v>
      </c>
      <c r="G458" s="70">
        <v>0.82</v>
      </c>
      <c r="H458" s="70">
        <v>0.97</v>
      </c>
      <c r="I458" s="70">
        <v>1</v>
      </c>
      <c r="J458" s="70">
        <v>0.92</v>
      </c>
      <c r="K458" s="70">
        <v>0.79</v>
      </c>
      <c r="L458" s="70">
        <v>0.62</v>
      </c>
      <c r="M458" s="70">
        <v>0.43</v>
      </c>
      <c r="N458" s="70">
        <v>0.28999999999999998</v>
      </c>
      <c r="O458" s="70">
        <v>0.23</v>
      </c>
      <c r="P458" s="71">
        <v>0.62</v>
      </c>
      <c r="Q458" s="64"/>
      <c r="R458" s="64"/>
      <c r="S458" s="64"/>
      <c r="T458" s="64"/>
      <c r="U458" s="64"/>
      <c r="V458" s="64"/>
      <c r="W458" s="64"/>
      <c r="X458" s="64"/>
      <c r="Y458" s="64"/>
      <c r="Z458" s="64"/>
    </row>
    <row r="459" spans="1:26" thickBot="1">
      <c r="A459" s="66" t="str">
        <f t="shared" si="20"/>
        <v>Latitude 2080</v>
      </c>
      <c r="B459" s="86">
        <v>20.8</v>
      </c>
      <c r="C459" s="70">
        <v>80</v>
      </c>
      <c r="D459" s="70">
        <v>0.2</v>
      </c>
      <c r="E459" s="70">
        <v>0.34</v>
      </c>
      <c r="F459" s="70">
        <v>0.54</v>
      </c>
      <c r="G459" s="70">
        <v>0.76</v>
      </c>
      <c r="H459" s="70">
        <v>0.91</v>
      </c>
      <c r="I459" s="70">
        <v>0.94</v>
      </c>
      <c r="J459" s="70">
        <v>0.87</v>
      </c>
      <c r="K459" s="70">
        <v>0.73</v>
      </c>
      <c r="L459" s="70">
        <v>0.55000000000000004</v>
      </c>
      <c r="M459" s="70">
        <v>0.36</v>
      </c>
      <c r="N459" s="70">
        <v>0.21</v>
      </c>
      <c r="O459" s="70">
        <v>0.16</v>
      </c>
      <c r="P459" s="71">
        <v>0.55000000000000004</v>
      </c>
      <c r="Q459" s="64"/>
      <c r="R459" s="64"/>
      <c r="S459" s="64"/>
      <c r="T459" s="64"/>
      <c r="U459" s="64"/>
      <c r="V459" s="64"/>
      <c r="W459" s="64"/>
      <c r="X459" s="64"/>
      <c r="Y459" s="64"/>
      <c r="Z459" s="64"/>
    </row>
    <row r="460" spans="1:26" thickBot="1">
      <c r="A460" s="66" t="str">
        <f t="shared" si="20"/>
        <v>Latitude 2085</v>
      </c>
      <c r="B460" s="86">
        <v>20.85</v>
      </c>
      <c r="C460" s="70">
        <v>85</v>
      </c>
      <c r="D460" s="70">
        <v>0.12</v>
      </c>
      <c r="E460" s="70">
        <v>0.26</v>
      </c>
      <c r="F460" s="70">
        <v>0.47</v>
      </c>
      <c r="G460" s="70">
        <v>0.69</v>
      </c>
      <c r="H460" s="70">
        <v>0.85</v>
      </c>
      <c r="I460" s="70">
        <v>0.88</v>
      </c>
      <c r="J460" s="70">
        <v>0.8</v>
      </c>
      <c r="K460" s="70">
        <v>0.67</v>
      </c>
      <c r="L460" s="70">
        <v>0.48</v>
      </c>
      <c r="M460" s="70">
        <v>0.28000000000000003</v>
      </c>
      <c r="N460" s="70">
        <v>0.13</v>
      </c>
      <c r="O460" s="70">
        <v>0.09</v>
      </c>
      <c r="P460" s="71">
        <v>0.48</v>
      </c>
      <c r="Q460" s="64"/>
      <c r="R460" s="64"/>
      <c r="S460" s="64"/>
      <c r="T460" s="64"/>
      <c r="U460" s="64"/>
      <c r="V460" s="64"/>
      <c r="W460" s="64"/>
      <c r="X460" s="64"/>
      <c r="Y460" s="64"/>
      <c r="Z460" s="64"/>
    </row>
    <row r="461" spans="1:26" thickBot="1">
      <c r="A461" s="66" t="str">
        <f t="shared" si="20"/>
        <v>Latitude 2090</v>
      </c>
      <c r="B461" s="86">
        <v>20.9</v>
      </c>
      <c r="C461" s="70">
        <v>90</v>
      </c>
      <c r="D461" s="70">
        <v>0.08</v>
      </c>
      <c r="E461" s="70">
        <v>0.18</v>
      </c>
      <c r="F461" s="70">
        <v>0.39</v>
      </c>
      <c r="G461" s="70">
        <v>0.61</v>
      </c>
      <c r="H461" s="70">
        <v>0.78</v>
      </c>
      <c r="I461" s="70">
        <v>0.81</v>
      </c>
      <c r="J461" s="70">
        <v>0.74</v>
      </c>
      <c r="K461" s="70">
        <v>0.6</v>
      </c>
      <c r="L461" s="70">
        <v>0.4</v>
      </c>
      <c r="M461" s="70">
        <v>0.2</v>
      </c>
      <c r="N461" s="70">
        <v>0.09</v>
      </c>
      <c r="O461" s="70">
        <v>0.08</v>
      </c>
      <c r="P461" s="71">
        <v>0.41</v>
      </c>
      <c r="Q461" s="64"/>
      <c r="R461" s="64"/>
      <c r="S461" s="64"/>
      <c r="T461" s="64"/>
      <c r="U461" s="64"/>
      <c r="V461" s="64"/>
      <c r="W461" s="64"/>
      <c r="X461" s="64"/>
      <c r="Y461" s="64"/>
      <c r="Z461" s="64"/>
    </row>
    <row r="462" spans="1:26" thickBot="1">
      <c r="A462" s="66"/>
      <c r="B462" s="88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66"/>
      <c r="Q462" s="64"/>
      <c r="R462" s="64"/>
      <c r="S462" s="64"/>
      <c r="T462" s="64"/>
      <c r="U462" s="64"/>
      <c r="V462" s="64"/>
      <c r="W462" s="64"/>
      <c r="X462" s="64"/>
      <c r="Y462" s="64"/>
      <c r="Z462" s="64"/>
    </row>
    <row r="463" spans="1:26" thickBot="1">
      <c r="A463" s="66"/>
      <c r="B463" s="88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66"/>
      <c r="Q463" s="64"/>
      <c r="R463" s="64"/>
      <c r="S463" s="64"/>
      <c r="T463" s="64"/>
      <c r="U463" s="64"/>
      <c r="V463" s="64"/>
      <c r="W463" s="64"/>
      <c r="X463" s="64"/>
      <c r="Y463" s="64"/>
      <c r="Z463" s="64"/>
    </row>
    <row r="464" spans="1:26" thickBot="1">
      <c r="A464" s="66"/>
      <c r="B464" s="85" t="s">
        <v>5885</v>
      </c>
      <c r="C464" s="75" t="s">
        <v>5853</v>
      </c>
      <c r="D464" s="75" t="s">
        <v>5827</v>
      </c>
      <c r="E464" s="75" t="s">
        <v>5828</v>
      </c>
      <c r="F464" s="75" t="s">
        <v>5829</v>
      </c>
      <c r="G464" s="75" t="s">
        <v>5830</v>
      </c>
      <c r="H464" s="75" t="s">
        <v>5831</v>
      </c>
      <c r="I464" s="75" t="s">
        <v>5832</v>
      </c>
      <c r="J464" s="75" t="s">
        <v>5833</v>
      </c>
      <c r="K464" s="75" t="s">
        <v>5834</v>
      </c>
      <c r="L464" s="75" t="s">
        <v>5835</v>
      </c>
      <c r="M464" s="75" t="s">
        <v>5836</v>
      </c>
      <c r="N464" s="75" t="s">
        <v>5837</v>
      </c>
      <c r="O464" s="75" t="s">
        <v>5838</v>
      </c>
      <c r="P464" s="74" t="s">
        <v>20</v>
      </c>
      <c r="Q464" s="64"/>
      <c r="R464" s="64"/>
      <c r="S464" s="64"/>
      <c r="T464" s="64"/>
      <c r="U464" s="64"/>
      <c r="V464" s="64"/>
      <c r="W464" s="64"/>
      <c r="X464" s="64"/>
      <c r="Y464" s="64"/>
      <c r="Z464" s="64"/>
    </row>
    <row r="465" spans="1:26" thickBot="1">
      <c r="A465" s="66" t="str">
        <f>$B$464&amp;C465</f>
        <v>Latitude 210</v>
      </c>
      <c r="B465" s="86">
        <v>21</v>
      </c>
      <c r="C465" s="70">
        <v>0</v>
      </c>
      <c r="D465" s="70">
        <v>1</v>
      </c>
      <c r="E465" s="70">
        <v>1</v>
      </c>
      <c r="F465" s="70">
        <v>1</v>
      </c>
      <c r="G465" s="70">
        <v>1</v>
      </c>
      <c r="H465" s="70">
        <v>1</v>
      </c>
      <c r="I465" s="70">
        <v>1</v>
      </c>
      <c r="J465" s="70">
        <v>1</v>
      </c>
      <c r="K465" s="70">
        <v>1</v>
      </c>
      <c r="L465" s="70">
        <v>1</v>
      </c>
      <c r="M465" s="70">
        <v>1</v>
      </c>
      <c r="N465" s="70">
        <v>1</v>
      </c>
      <c r="O465" s="70">
        <v>1</v>
      </c>
      <c r="P465" s="71">
        <v>1</v>
      </c>
      <c r="Q465" s="64"/>
      <c r="R465" s="64"/>
      <c r="S465" s="64"/>
      <c r="T465" s="64"/>
      <c r="U465" s="64"/>
      <c r="V465" s="64"/>
      <c r="W465" s="64"/>
      <c r="X465" s="64"/>
      <c r="Y465" s="64"/>
      <c r="Z465" s="64"/>
    </row>
    <row r="466" spans="1:26" thickBot="1">
      <c r="A466" s="66" t="str">
        <f t="shared" ref="A466:A483" si="21">$B$464&amp;C466</f>
        <v>Latitude 215</v>
      </c>
      <c r="B466" s="86">
        <v>21.5</v>
      </c>
      <c r="C466" s="70">
        <v>5</v>
      </c>
      <c r="D466" s="70">
        <v>0.99</v>
      </c>
      <c r="E466" s="70">
        <v>1.01</v>
      </c>
      <c r="F466" s="70">
        <v>1.02</v>
      </c>
      <c r="G466" s="70">
        <v>1.04</v>
      </c>
      <c r="H466" s="70">
        <v>1.05</v>
      </c>
      <c r="I466" s="70">
        <v>1.05</v>
      </c>
      <c r="J466" s="70">
        <v>1.04</v>
      </c>
      <c r="K466" s="70">
        <v>1.03</v>
      </c>
      <c r="L466" s="70">
        <v>1.02</v>
      </c>
      <c r="M466" s="70">
        <v>1.01</v>
      </c>
      <c r="N466" s="70">
        <v>0.99</v>
      </c>
      <c r="O466" s="70">
        <v>0.99</v>
      </c>
      <c r="P466" s="71">
        <v>1.02</v>
      </c>
      <c r="Q466" s="64"/>
      <c r="R466" s="64"/>
      <c r="S466" s="64"/>
      <c r="T466" s="64"/>
      <c r="U466" s="64"/>
      <c r="V466" s="64"/>
      <c r="W466" s="64"/>
      <c r="X466" s="64"/>
      <c r="Y466" s="64"/>
      <c r="Z466" s="64"/>
    </row>
    <row r="467" spans="1:26" thickBot="1">
      <c r="A467" s="66" t="str">
        <f t="shared" si="21"/>
        <v>Latitude 2110</v>
      </c>
      <c r="B467" s="86">
        <v>21.1</v>
      </c>
      <c r="C467" s="70">
        <v>10</v>
      </c>
      <c r="D467" s="70">
        <v>0.98</v>
      </c>
      <c r="E467" s="70">
        <v>1.01</v>
      </c>
      <c r="F467" s="70">
        <v>1.04</v>
      </c>
      <c r="G467" s="70">
        <v>1.07</v>
      </c>
      <c r="H467" s="70">
        <v>1.1000000000000001</v>
      </c>
      <c r="I467" s="70">
        <v>1.1000000000000001</v>
      </c>
      <c r="J467" s="70">
        <v>1.08</v>
      </c>
      <c r="K467" s="70">
        <v>1.06</v>
      </c>
      <c r="L467" s="70">
        <v>1.03</v>
      </c>
      <c r="M467" s="70">
        <v>1.01</v>
      </c>
      <c r="N467" s="70">
        <v>0.98</v>
      </c>
      <c r="O467" s="70">
        <v>0.97</v>
      </c>
      <c r="P467" s="71">
        <v>1.04</v>
      </c>
      <c r="Q467" s="64"/>
      <c r="R467" s="64"/>
      <c r="S467" s="64"/>
      <c r="T467" s="64"/>
      <c r="U467" s="64"/>
      <c r="V467" s="64"/>
      <c r="W467" s="64"/>
      <c r="X467" s="64"/>
      <c r="Y467" s="64"/>
      <c r="Z467" s="64"/>
    </row>
    <row r="468" spans="1:26" thickBot="1">
      <c r="A468" s="66" t="str">
        <f t="shared" si="21"/>
        <v>Latitude 2115</v>
      </c>
      <c r="B468" s="86">
        <v>21.15</v>
      </c>
      <c r="C468" s="70">
        <v>15</v>
      </c>
      <c r="D468" s="70">
        <v>0.96</v>
      </c>
      <c r="E468" s="70">
        <v>1</v>
      </c>
      <c r="F468" s="70">
        <v>1.05</v>
      </c>
      <c r="G468" s="70">
        <v>1.1000000000000001</v>
      </c>
      <c r="H468" s="70">
        <v>1.1299999999999999</v>
      </c>
      <c r="I468" s="70">
        <v>1.1299999999999999</v>
      </c>
      <c r="J468" s="70">
        <v>1.1100000000000001</v>
      </c>
      <c r="K468" s="70">
        <v>1.08</v>
      </c>
      <c r="L468" s="70">
        <v>1.04</v>
      </c>
      <c r="M468" s="70">
        <v>1</v>
      </c>
      <c r="N468" s="70">
        <v>0.96</v>
      </c>
      <c r="O468" s="70">
        <v>0.95</v>
      </c>
      <c r="P468" s="71">
        <v>1.04</v>
      </c>
      <c r="Q468" s="64"/>
      <c r="R468" s="64"/>
      <c r="S468" s="64"/>
      <c r="T468" s="64"/>
      <c r="U468" s="64"/>
      <c r="V468" s="64"/>
      <c r="W468" s="64"/>
      <c r="X468" s="64"/>
      <c r="Y468" s="64"/>
      <c r="Z468" s="64"/>
    </row>
    <row r="469" spans="1:26" thickBot="1">
      <c r="A469" s="66" t="str">
        <f t="shared" si="21"/>
        <v>Latitude 2120</v>
      </c>
      <c r="B469" s="86">
        <v>21.2</v>
      </c>
      <c r="C469" s="70">
        <v>20</v>
      </c>
      <c r="D469" s="70">
        <v>0.94</v>
      </c>
      <c r="E469" s="70">
        <v>0.98</v>
      </c>
      <c r="F469" s="70">
        <v>1.05</v>
      </c>
      <c r="G469" s="70">
        <v>1.1200000000000001</v>
      </c>
      <c r="H469" s="70">
        <v>1.1599999999999999</v>
      </c>
      <c r="I469" s="70">
        <v>1.1599999999999999</v>
      </c>
      <c r="J469" s="70">
        <v>1.1399999999999999</v>
      </c>
      <c r="K469" s="70">
        <v>1.1000000000000001</v>
      </c>
      <c r="L469" s="70">
        <v>1.04</v>
      </c>
      <c r="M469" s="70">
        <v>0.98</v>
      </c>
      <c r="N469" s="70">
        <v>0.94</v>
      </c>
      <c r="O469" s="70">
        <v>0.92</v>
      </c>
      <c r="P469" s="71">
        <v>1.04</v>
      </c>
      <c r="Q469" s="64"/>
      <c r="R469" s="64"/>
      <c r="S469" s="64"/>
      <c r="T469" s="64"/>
      <c r="U469" s="64"/>
      <c r="V469" s="64"/>
      <c r="W469" s="64"/>
      <c r="X469" s="64"/>
      <c r="Y469" s="64"/>
      <c r="Z469" s="64"/>
    </row>
    <row r="470" spans="1:26" thickBot="1">
      <c r="A470" s="66" t="str">
        <f t="shared" si="21"/>
        <v>Latitude 2125</v>
      </c>
      <c r="B470" s="86">
        <v>21.25</v>
      </c>
      <c r="C470" s="70">
        <v>25</v>
      </c>
      <c r="D470" s="70">
        <v>0.9</v>
      </c>
      <c r="E470" s="70">
        <v>0.96</v>
      </c>
      <c r="F470" s="70">
        <v>1.05</v>
      </c>
      <c r="G470" s="70">
        <v>1.1299999999999999</v>
      </c>
      <c r="H470" s="70">
        <v>1.19</v>
      </c>
      <c r="I470" s="70">
        <v>1.19</v>
      </c>
      <c r="J470" s="70">
        <v>1.1499999999999999</v>
      </c>
      <c r="K470" s="70">
        <v>1.1000000000000001</v>
      </c>
      <c r="L470" s="70">
        <v>1.03</v>
      </c>
      <c r="M470" s="70">
        <v>0.96</v>
      </c>
      <c r="N470" s="70">
        <v>0.91</v>
      </c>
      <c r="O470" s="70">
        <v>0.88</v>
      </c>
      <c r="P470" s="71">
        <v>1.04</v>
      </c>
      <c r="Q470" s="64"/>
      <c r="R470" s="64"/>
      <c r="S470" s="64"/>
      <c r="T470" s="64"/>
      <c r="U470" s="64"/>
      <c r="V470" s="64"/>
      <c r="W470" s="64"/>
      <c r="X470" s="64"/>
      <c r="Y470" s="64"/>
      <c r="Z470" s="64"/>
    </row>
    <row r="471" spans="1:26" thickBot="1">
      <c r="A471" s="66" t="str">
        <f t="shared" si="21"/>
        <v>Latitude 2130</v>
      </c>
      <c r="B471" s="86">
        <v>21.3</v>
      </c>
      <c r="C471" s="70">
        <v>30</v>
      </c>
      <c r="D471" s="70">
        <v>0.86</v>
      </c>
      <c r="E471" s="70">
        <v>0.93</v>
      </c>
      <c r="F471" s="70">
        <v>1.03</v>
      </c>
      <c r="G471" s="70">
        <v>1.1399999999999999</v>
      </c>
      <c r="H471" s="70">
        <v>1.2</v>
      </c>
      <c r="I471" s="70">
        <v>1.2</v>
      </c>
      <c r="J471" s="70">
        <v>1.1599999999999999</v>
      </c>
      <c r="K471" s="70">
        <v>1.1000000000000001</v>
      </c>
      <c r="L471" s="70">
        <v>1.02</v>
      </c>
      <c r="M471" s="70">
        <v>0.93</v>
      </c>
      <c r="N471" s="70">
        <v>0.87</v>
      </c>
      <c r="O471" s="70">
        <v>0.84</v>
      </c>
      <c r="P471" s="71">
        <v>1.02</v>
      </c>
      <c r="Q471" s="64"/>
      <c r="R471" s="64"/>
      <c r="S471" s="64"/>
      <c r="T471" s="64"/>
      <c r="U471" s="64"/>
      <c r="V471" s="64"/>
      <c r="W471" s="64"/>
      <c r="X471" s="64"/>
      <c r="Y471" s="64"/>
      <c r="Z471" s="64"/>
    </row>
    <row r="472" spans="1:26" thickBot="1">
      <c r="A472" s="66" t="str">
        <f t="shared" si="21"/>
        <v>Latitude 2135</v>
      </c>
      <c r="B472" s="86">
        <v>21.35</v>
      </c>
      <c r="C472" s="70">
        <v>35</v>
      </c>
      <c r="D472" s="70">
        <v>0.82</v>
      </c>
      <c r="E472" s="70">
        <v>0.9</v>
      </c>
      <c r="F472" s="70">
        <v>1.01</v>
      </c>
      <c r="G472" s="70">
        <v>1.1299999999999999</v>
      </c>
      <c r="H472" s="70">
        <v>1.21</v>
      </c>
      <c r="I472" s="70">
        <v>1.21</v>
      </c>
      <c r="J472" s="70">
        <v>1.17</v>
      </c>
      <c r="K472" s="70">
        <v>1.1000000000000001</v>
      </c>
      <c r="L472" s="70">
        <v>1</v>
      </c>
      <c r="M472" s="70">
        <v>0.9</v>
      </c>
      <c r="N472" s="70">
        <v>0.82</v>
      </c>
      <c r="O472" s="70">
        <v>0.79</v>
      </c>
      <c r="P472" s="71">
        <v>1.01</v>
      </c>
      <c r="Q472" s="64"/>
      <c r="R472" s="64"/>
      <c r="S472" s="64"/>
      <c r="T472" s="64"/>
      <c r="U472" s="64"/>
      <c r="V472" s="64"/>
      <c r="W472" s="64"/>
      <c r="X472" s="64"/>
      <c r="Y472" s="64"/>
      <c r="Z472" s="64"/>
    </row>
    <row r="473" spans="1:26" thickBot="1">
      <c r="A473" s="66" t="str">
        <f t="shared" si="21"/>
        <v>Latitude 2140</v>
      </c>
      <c r="B473" s="86">
        <v>21.4</v>
      </c>
      <c r="C473" s="70">
        <v>40</v>
      </c>
      <c r="D473" s="70">
        <v>0.77</v>
      </c>
      <c r="E473" s="70">
        <v>0.86</v>
      </c>
      <c r="F473" s="70">
        <v>0.99</v>
      </c>
      <c r="G473" s="70">
        <v>1.1200000000000001</v>
      </c>
      <c r="H473" s="70">
        <v>1.21</v>
      </c>
      <c r="I473" s="70">
        <v>1.21</v>
      </c>
      <c r="J473" s="70">
        <v>1.1599999999999999</v>
      </c>
      <c r="K473" s="70">
        <v>1.08</v>
      </c>
      <c r="L473" s="70">
        <v>0.98</v>
      </c>
      <c r="M473" s="70">
        <v>0.86</v>
      </c>
      <c r="N473" s="70">
        <v>0.77</v>
      </c>
      <c r="O473" s="70">
        <v>0.74</v>
      </c>
      <c r="P473" s="71">
        <v>0.98</v>
      </c>
      <c r="Q473" s="64"/>
      <c r="R473" s="64"/>
      <c r="S473" s="64"/>
      <c r="T473" s="64"/>
      <c r="U473" s="64"/>
      <c r="V473" s="64"/>
      <c r="W473" s="64"/>
      <c r="X473" s="64"/>
      <c r="Y473" s="64"/>
      <c r="Z473" s="64"/>
    </row>
    <row r="474" spans="1:26" thickBot="1">
      <c r="A474" s="66" t="str">
        <f t="shared" si="21"/>
        <v>Latitude 2145</v>
      </c>
      <c r="B474" s="86">
        <v>21.45</v>
      </c>
      <c r="C474" s="70">
        <v>45</v>
      </c>
      <c r="D474" s="70">
        <v>0.71</v>
      </c>
      <c r="E474" s="70">
        <v>0.81</v>
      </c>
      <c r="F474" s="70">
        <v>0.95</v>
      </c>
      <c r="G474" s="70">
        <v>1.1000000000000001</v>
      </c>
      <c r="H474" s="70">
        <v>1.2</v>
      </c>
      <c r="I474" s="70">
        <v>1.21</v>
      </c>
      <c r="J474" s="70">
        <v>1.1499999999999999</v>
      </c>
      <c r="K474" s="70">
        <v>1.06</v>
      </c>
      <c r="L474" s="70">
        <v>0.94</v>
      </c>
      <c r="M474" s="70">
        <v>0.82</v>
      </c>
      <c r="N474" s="70">
        <v>0.72</v>
      </c>
      <c r="O474" s="70">
        <v>0.68</v>
      </c>
      <c r="P474" s="71">
        <v>0.95</v>
      </c>
      <c r="Q474" s="64"/>
      <c r="R474" s="64"/>
      <c r="S474" s="64"/>
      <c r="T474" s="64"/>
      <c r="U474" s="64"/>
      <c r="V474" s="64"/>
      <c r="W474" s="64"/>
      <c r="X474" s="64"/>
      <c r="Y474" s="64"/>
      <c r="Z474" s="64"/>
    </row>
    <row r="475" spans="1:26" thickBot="1">
      <c r="A475" s="66" t="str">
        <f t="shared" si="21"/>
        <v>Latitude 2150</v>
      </c>
      <c r="B475" s="86">
        <v>21.5</v>
      </c>
      <c r="C475" s="70">
        <v>50</v>
      </c>
      <c r="D475" s="70">
        <v>0.65</v>
      </c>
      <c r="E475" s="70">
        <v>0.76</v>
      </c>
      <c r="F475" s="70">
        <v>0.91</v>
      </c>
      <c r="G475" s="70">
        <v>1.08</v>
      </c>
      <c r="H475" s="70">
        <v>1.18</v>
      </c>
      <c r="I475" s="70">
        <v>1.19</v>
      </c>
      <c r="J475" s="70">
        <v>1.1299999999999999</v>
      </c>
      <c r="K475" s="70">
        <v>1.03</v>
      </c>
      <c r="L475" s="70">
        <v>0.9</v>
      </c>
      <c r="M475" s="70">
        <v>0.76</v>
      </c>
      <c r="N475" s="70">
        <v>0.66</v>
      </c>
      <c r="O475" s="70">
        <v>0.62</v>
      </c>
      <c r="P475" s="71">
        <v>0.91</v>
      </c>
      <c r="Q475" s="64"/>
      <c r="R475" s="64"/>
      <c r="S475" s="64"/>
      <c r="T475" s="64"/>
      <c r="U475" s="64"/>
      <c r="V475" s="64"/>
      <c r="W475" s="64"/>
      <c r="X475" s="64"/>
      <c r="Y475" s="64"/>
      <c r="Z475" s="64"/>
    </row>
    <row r="476" spans="1:26" thickBot="1">
      <c r="A476" s="66" t="str">
        <f t="shared" si="21"/>
        <v>Latitude 2155</v>
      </c>
      <c r="B476" s="86">
        <v>21.55</v>
      </c>
      <c r="C476" s="70">
        <v>55</v>
      </c>
      <c r="D476" s="70">
        <v>0.59</v>
      </c>
      <c r="E476" s="70">
        <v>0.7</v>
      </c>
      <c r="F476" s="70">
        <v>0.87</v>
      </c>
      <c r="G476" s="70">
        <v>1.04</v>
      </c>
      <c r="H476" s="70">
        <v>1.1599999999999999</v>
      </c>
      <c r="I476" s="70">
        <v>1.17</v>
      </c>
      <c r="J476" s="70">
        <v>1.1100000000000001</v>
      </c>
      <c r="K476" s="70">
        <v>1</v>
      </c>
      <c r="L476" s="70">
        <v>0.86</v>
      </c>
      <c r="M476" s="70">
        <v>0.71</v>
      </c>
      <c r="N476" s="70">
        <v>0.59</v>
      </c>
      <c r="O476" s="70">
        <v>0.55000000000000004</v>
      </c>
      <c r="P476" s="71">
        <v>0.86</v>
      </c>
      <c r="Q476" s="64"/>
      <c r="R476" s="64"/>
      <c r="S476" s="64"/>
      <c r="T476" s="64"/>
      <c r="U476" s="64"/>
      <c r="V476" s="64"/>
      <c r="W476" s="64"/>
      <c r="X476" s="64"/>
      <c r="Y476" s="64"/>
      <c r="Z476" s="64"/>
    </row>
    <row r="477" spans="1:26" thickBot="1">
      <c r="A477" s="66" t="str">
        <f t="shared" si="21"/>
        <v>Latitude 2160</v>
      </c>
      <c r="B477" s="86">
        <v>21.6</v>
      </c>
      <c r="C477" s="70">
        <v>60</v>
      </c>
      <c r="D477" s="70">
        <v>0.52</v>
      </c>
      <c r="E477" s="70">
        <v>0.64</v>
      </c>
      <c r="F477" s="70">
        <v>0.82</v>
      </c>
      <c r="G477" s="70">
        <v>1</v>
      </c>
      <c r="H477" s="70">
        <v>1.1299999999999999</v>
      </c>
      <c r="I477" s="70">
        <v>1.1399999999999999</v>
      </c>
      <c r="J477" s="70">
        <v>1.07</v>
      </c>
      <c r="K477" s="70">
        <v>0.96</v>
      </c>
      <c r="L477" s="70">
        <v>0.81</v>
      </c>
      <c r="M477" s="70">
        <v>0.65</v>
      </c>
      <c r="N477" s="70">
        <v>0.53</v>
      </c>
      <c r="O477" s="70">
        <v>0.48</v>
      </c>
      <c r="P477" s="71">
        <v>0.81</v>
      </c>
      <c r="Q477" s="64"/>
      <c r="R477" s="64"/>
      <c r="S477" s="64"/>
      <c r="T477" s="64"/>
      <c r="U477" s="64"/>
      <c r="V477" s="64"/>
      <c r="W477" s="64"/>
      <c r="X477" s="64"/>
      <c r="Y477" s="64"/>
      <c r="Z477" s="64"/>
    </row>
    <row r="478" spans="1:26" thickBot="1">
      <c r="A478" s="66" t="str">
        <f t="shared" si="21"/>
        <v>Latitude 2165</v>
      </c>
      <c r="B478" s="86">
        <v>21.65</v>
      </c>
      <c r="C478" s="70">
        <v>65</v>
      </c>
      <c r="D478" s="70">
        <v>0.45</v>
      </c>
      <c r="E478" s="70">
        <v>0.56999999999999995</v>
      </c>
      <c r="F478" s="70">
        <v>0.76</v>
      </c>
      <c r="G478" s="70">
        <v>0.95</v>
      </c>
      <c r="H478" s="70">
        <v>1.0900000000000001</v>
      </c>
      <c r="I478" s="70">
        <v>1.1100000000000001</v>
      </c>
      <c r="J478" s="70">
        <v>1.03</v>
      </c>
      <c r="K478" s="70">
        <v>0.91</v>
      </c>
      <c r="L478" s="70">
        <v>0.75</v>
      </c>
      <c r="M478" s="70">
        <v>0.57999999999999996</v>
      </c>
      <c r="N478" s="70">
        <v>0.45</v>
      </c>
      <c r="O478" s="70">
        <v>0.4</v>
      </c>
      <c r="P478" s="71">
        <v>0.75</v>
      </c>
      <c r="Q478" s="64"/>
      <c r="R478" s="64"/>
      <c r="S478" s="64"/>
      <c r="T478" s="64"/>
      <c r="U478" s="64"/>
      <c r="V478" s="64"/>
      <c r="W478" s="64"/>
      <c r="X478" s="64"/>
      <c r="Y478" s="64"/>
      <c r="Z478" s="64"/>
    </row>
    <row r="479" spans="1:26" thickBot="1">
      <c r="A479" s="66" t="str">
        <f t="shared" si="21"/>
        <v>Latitude 2170</v>
      </c>
      <c r="B479" s="86">
        <v>21.7</v>
      </c>
      <c r="C479" s="70">
        <v>70</v>
      </c>
      <c r="D479" s="70">
        <v>0.37</v>
      </c>
      <c r="E479" s="70">
        <v>0.5</v>
      </c>
      <c r="F479" s="70">
        <v>0.7</v>
      </c>
      <c r="G479" s="70">
        <v>0.9</v>
      </c>
      <c r="H479" s="70">
        <v>1.04</v>
      </c>
      <c r="I479" s="70">
        <v>1.06</v>
      </c>
      <c r="J479" s="70">
        <v>0.99</v>
      </c>
      <c r="K479" s="70">
        <v>0.86</v>
      </c>
      <c r="L479" s="70">
        <v>0.69</v>
      </c>
      <c r="M479" s="70">
        <v>0.52</v>
      </c>
      <c r="N479" s="70">
        <v>0.38</v>
      </c>
      <c r="O479" s="70">
        <v>0.33</v>
      </c>
      <c r="P479" s="71">
        <v>0.7</v>
      </c>
      <c r="Q479" s="64"/>
      <c r="R479" s="64"/>
      <c r="S479" s="64"/>
      <c r="T479" s="64"/>
      <c r="U479" s="64"/>
      <c r="V479" s="64"/>
      <c r="W479" s="64"/>
      <c r="X479" s="64"/>
      <c r="Y479" s="64"/>
      <c r="Z479" s="64"/>
    </row>
    <row r="480" spans="1:26" thickBot="1">
      <c r="A480" s="66" t="str">
        <f t="shared" si="21"/>
        <v>Latitude 2175</v>
      </c>
      <c r="B480" s="86">
        <v>21.75</v>
      </c>
      <c r="C480" s="70">
        <v>75</v>
      </c>
      <c r="D480" s="70">
        <v>0.28999999999999998</v>
      </c>
      <c r="E480" s="70">
        <v>0.43</v>
      </c>
      <c r="F480" s="70">
        <v>0.63</v>
      </c>
      <c r="G480" s="70">
        <v>0.84</v>
      </c>
      <c r="H480" s="70">
        <v>0.99</v>
      </c>
      <c r="I480" s="70">
        <v>1.02</v>
      </c>
      <c r="J480" s="70">
        <v>0.94</v>
      </c>
      <c r="K480" s="70">
        <v>0.81</v>
      </c>
      <c r="L480" s="70">
        <v>0.63</v>
      </c>
      <c r="M480" s="70">
        <v>0.44</v>
      </c>
      <c r="N480" s="70">
        <v>0.3</v>
      </c>
      <c r="O480" s="70">
        <v>0.25</v>
      </c>
      <c r="P480" s="71">
        <v>0.63</v>
      </c>
      <c r="Q480" s="64"/>
      <c r="R480" s="64"/>
      <c r="S480" s="64"/>
      <c r="T480" s="64"/>
      <c r="U480" s="64"/>
      <c r="V480" s="64"/>
      <c r="W480" s="64"/>
      <c r="X480" s="64"/>
      <c r="Y480" s="64"/>
      <c r="Z480" s="64"/>
    </row>
    <row r="481" spans="1:26" thickBot="1">
      <c r="A481" s="66" t="str">
        <f t="shared" si="21"/>
        <v>Latitude 2180</v>
      </c>
      <c r="B481" s="86">
        <v>21.8</v>
      </c>
      <c r="C481" s="70">
        <v>80</v>
      </c>
      <c r="D481" s="70">
        <v>0.22</v>
      </c>
      <c r="E481" s="70">
        <v>0.36</v>
      </c>
      <c r="F481" s="70">
        <v>0.56000000000000005</v>
      </c>
      <c r="G481" s="70">
        <v>0.78</v>
      </c>
      <c r="H481" s="70">
        <v>0.93</v>
      </c>
      <c r="I481" s="70">
        <v>0.96</v>
      </c>
      <c r="J481" s="70">
        <v>0.88</v>
      </c>
      <c r="K481" s="70">
        <v>0.75</v>
      </c>
      <c r="L481" s="70">
        <v>0.56000000000000005</v>
      </c>
      <c r="M481" s="70">
        <v>0.37</v>
      </c>
      <c r="N481" s="70">
        <v>0.23</v>
      </c>
      <c r="O481" s="70">
        <v>0.17</v>
      </c>
      <c r="P481" s="71">
        <v>0.56000000000000005</v>
      </c>
      <c r="Q481" s="64"/>
      <c r="R481" s="64"/>
      <c r="S481" s="64"/>
      <c r="T481" s="64"/>
      <c r="U481" s="64"/>
      <c r="V481" s="64"/>
      <c r="W481" s="64"/>
      <c r="X481" s="64"/>
      <c r="Y481" s="64"/>
      <c r="Z481" s="64"/>
    </row>
    <row r="482" spans="1:26" thickBot="1">
      <c r="A482" s="66" t="str">
        <f t="shared" si="21"/>
        <v>Latitude 2185</v>
      </c>
      <c r="B482" s="86">
        <v>21.85</v>
      </c>
      <c r="C482" s="70">
        <v>85</v>
      </c>
      <c r="D482" s="70">
        <v>0.14000000000000001</v>
      </c>
      <c r="E482" s="70">
        <v>0.28000000000000003</v>
      </c>
      <c r="F482" s="70">
        <v>0.48</v>
      </c>
      <c r="G482" s="70">
        <v>0.71</v>
      </c>
      <c r="H482" s="70">
        <v>0.87</v>
      </c>
      <c r="I482" s="70">
        <v>0.9</v>
      </c>
      <c r="J482" s="70">
        <v>0.82</v>
      </c>
      <c r="K482" s="70">
        <v>0.68</v>
      </c>
      <c r="L482" s="70">
        <v>0.49</v>
      </c>
      <c r="M482" s="70">
        <v>0.3</v>
      </c>
      <c r="N482" s="70">
        <v>0.15</v>
      </c>
      <c r="O482" s="70">
        <v>0.09</v>
      </c>
      <c r="P482" s="71">
        <v>0.49</v>
      </c>
      <c r="Q482" s="64"/>
      <c r="R482" s="64"/>
      <c r="S482" s="64"/>
      <c r="T482" s="64"/>
      <c r="U482" s="64"/>
      <c r="V482" s="64"/>
      <c r="W482" s="64"/>
      <c r="X482" s="64"/>
      <c r="Y482" s="64"/>
      <c r="Z482" s="64"/>
    </row>
    <row r="483" spans="1:26" thickBot="1">
      <c r="A483" s="66" t="str">
        <f t="shared" si="21"/>
        <v>Latitude 2190</v>
      </c>
      <c r="B483" s="86">
        <v>21.9</v>
      </c>
      <c r="C483" s="70">
        <v>90</v>
      </c>
      <c r="D483" s="70">
        <v>0.08</v>
      </c>
      <c r="E483" s="70">
        <v>0.2</v>
      </c>
      <c r="F483" s="70">
        <v>0.41</v>
      </c>
      <c r="G483" s="70">
        <v>0.63</v>
      </c>
      <c r="H483" s="70">
        <v>0.8</v>
      </c>
      <c r="I483" s="70">
        <v>0.83</v>
      </c>
      <c r="J483" s="70">
        <v>0.75</v>
      </c>
      <c r="K483" s="70">
        <v>0.61</v>
      </c>
      <c r="L483" s="70">
        <v>0.42</v>
      </c>
      <c r="M483" s="70">
        <v>0.22</v>
      </c>
      <c r="N483" s="70">
        <v>0.09</v>
      </c>
      <c r="O483" s="70">
        <v>0.08</v>
      </c>
      <c r="P483" s="71">
        <v>0.43</v>
      </c>
      <c r="Q483" s="64"/>
      <c r="R483" s="64"/>
      <c r="S483" s="64"/>
      <c r="T483" s="64"/>
      <c r="U483" s="64"/>
      <c r="V483" s="64"/>
      <c r="W483" s="64"/>
      <c r="X483" s="64"/>
      <c r="Y483" s="64"/>
      <c r="Z483" s="64"/>
    </row>
    <row r="484" spans="1:26" thickBot="1">
      <c r="A484" s="66"/>
      <c r="B484" s="88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66"/>
      <c r="Q484" s="64"/>
      <c r="R484" s="64"/>
      <c r="S484" s="64"/>
      <c r="T484" s="64"/>
      <c r="U484" s="64"/>
      <c r="V484" s="64"/>
      <c r="W484" s="64"/>
      <c r="X484" s="64"/>
      <c r="Y484" s="64"/>
      <c r="Z484" s="64"/>
    </row>
    <row r="485" spans="1:26" thickBot="1">
      <c r="A485" s="66"/>
      <c r="B485" s="88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66"/>
      <c r="Q485" s="64"/>
      <c r="R485" s="64"/>
      <c r="S485" s="64"/>
      <c r="T485" s="64"/>
      <c r="U485" s="64"/>
      <c r="V485" s="64"/>
      <c r="W485" s="64"/>
      <c r="X485" s="64"/>
      <c r="Y485" s="64"/>
      <c r="Z485" s="64"/>
    </row>
    <row r="486" spans="1:26" thickBot="1">
      <c r="A486" s="66"/>
      <c r="B486" s="85" t="s">
        <v>5886</v>
      </c>
      <c r="C486" s="75" t="s">
        <v>5853</v>
      </c>
      <c r="D486" s="75" t="s">
        <v>5827</v>
      </c>
      <c r="E486" s="75" t="s">
        <v>5828</v>
      </c>
      <c r="F486" s="75" t="s">
        <v>5829</v>
      </c>
      <c r="G486" s="75" t="s">
        <v>5830</v>
      </c>
      <c r="H486" s="75" t="s">
        <v>5831</v>
      </c>
      <c r="I486" s="75" t="s">
        <v>5832</v>
      </c>
      <c r="J486" s="75" t="s">
        <v>5833</v>
      </c>
      <c r="K486" s="75" t="s">
        <v>5834</v>
      </c>
      <c r="L486" s="75" t="s">
        <v>5835</v>
      </c>
      <c r="M486" s="75" t="s">
        <v>5836</v>
      </c>
      <c r="N486" s="75" t="s">
        <v>5837</v>
      </c>
      <c r="O486" s="75" t="s">
        <v>5838</v>
      </c>
      <c r="P486" s="74" t="s">
        <v>20</v>
      </c>
      <c r="Q486" s="64"/>
      <c r="R486" s="64"/>
      <c r="S486" s="64"/>
      <c r="T486" s="64"/>
      <c r="U486" s="64"/>
      <c r="V486" s="64"/>
      <c r="W486" s="64"/>
      <c r="X486" s="64"/>
      <c r="Y486" s="64"/>
      <c r="Z486" s="64"/>
    </row>
    <row r="487" spans="1:26" thickBot="1">
      <c r="A487" s="66" t="str">
        <f>$B$486&amp;C487</f>
        <v>Latitude 220</v>
      </c>
      <c r="B487" s="86">
        <v>22</v>
      </c>
      <c r="C487" s="70">
        <v>0</v>
      </c>
      <c r="D487" s="70">
        <v>1</v>
      </c>
      <c r="E487" s="70">
        <v>1</v>
      </c>
      <c r="F487" s="70">
        <v>1</v>
      </c>
      <c r="G487" s="70">
        <v>1</v>
      </c>
      <c r="H487" s="70">
        <v>1</v>
      </c>
      <c r="I487" s="70">
        <v>1</v>
      </c>
      <c r="J487" s="70">
        <v>1</v>
      </c>
      <c r="K487" s="70">
        <v>1</v>
      </c>
      <c r="L487" s="70">
        <v>1</v>
      </c>
      <c r="M487" s="70">
        <v>1</v>
      </c>
      <c r="N487" s="70">
        <v>1</v>
      </c>
      <c r="O487" s="70">
        <v>1</v>
      </c>
      <c r="P487" s="71">
        <v>1</v>
      </c>
      <c r="Q487" s="64"/>
      <c r="R487" s="64"/>
      <c r="S487" s="64"/>
      <c r="T487" s="64"/>
      <c r="U487" s="64"/>
      <c r="V487" s="64"/>
      <c r="W487" s="64"/>
      <c r="X487" s="64"/>
      <c r="Y487" s="64"/>
      <c r="Z487" s="64"/>
    </row>
    <row r="488" spans="1:26" thickBot="1">
      <c r="A488" s="66" t="str">
        <f>$B$486&amp;C488</f>
        <v>Latitude 225</v>
      </c>
      <c r="B488" s="86">
        <v>22.5</v>
      </c>
      <c r="C488" s="70">
        <v>5</v>
      </c>
      <c r="D488" s="70">
        <v>1</v>
      </c>
      <c r="E488" s="70">
        <v>1.01</v>
      </c>
      <c r="F488" s="70">
        <v>1.02</v>
      </c>
      <c r="G488" s="70">
        <v>1.04</v>
      </c>
      <c r="H488" s="70">
        <v>1.05</v>
      </c>
      <c r="I488" s="70">
        <v>1.05</v>
      </c>
      <c r="J488" s="70">
        <v>1.04</v>
      </c>
      <c r="K488" s="70">
        <v>1.03</v>
      </c>
      <c r="L488" s="70">
        <v>1.02</v>
      </c>
      <c r="M488" s="70">
        <v>1.01</v>
      </c>
      <c r="N488" s="70">
        <v>1</v>
      </c>
      <c r="O488" s="70">
        <v>0.99</v>
      </c>
      <c r="P488" s="71">
        <v>1.02</v>
      </c>
      <c r="Q488" s="64"/>
      <c r="R488" s="64"/>
      <c r="S488" s="64"/>
      <c r="T488" s="64"/>
      <c r="U488" s="64"/>
      <c r="V488" s="64"/>
      <c r="W488" s="64"/>
      <c r="X488" s="64"/>
      <c r="Y488" s="64"/>
      <c r="Z488" s="64"/>
    </row>
    <row r="489" spans="1:26" thickBot="1">
      <c r="A489" s="66" t="str">
        <f>$B$486&amp;C489</f>
        <v>Latitude 2210</v>
      </c>
      <c r="B489" s="86">
        <v>22.1</v>
      </c>
      <c r="C489" s="70">
        <v>10</v>
      </c>
      <c r="D489" s="70">
        <v>0.98</v>
      </c>
      <c r="E489" s="70">
        <v>1.01</v>
      </c>
      <c r="F489" s="70">
        <v>1.04</v>
      </c>
      <c r="G489" s="70">
        <v>1.08</v>
      </c>
      <c r="H489" s="70">
        <v>1.1000000000000001</v>
      </c>
      <c r="I489" s="70">
        <v>1.1000000000000001</v>
      </c>
      <c r="J489" s="70">
        <v>1.08</v>
      </c>
      <c r="K489" s="70">
        <v>1.06</v>
      </c>
      <c r="L489" s="70">
        <v>1.04</v>
      </c>
      <c r="M489" s="70">
        <v>1.01</v>
      </c>
      <c r="N489" s="70">
        <v>0.98</v>
      </c>
      <c r="O489" s="70">
        <v>0.98</v>
      </c>
      <c r="P489" s="71">
        <v>1.04</v>
      </c>
      <c r="Q489" s="64"/>
      <c r="R489" s="64"/>
      <c r="S489" s="64"/>
      <c r="T489" s="64"/>
      <c r="U489" s="64"/>
      <c r="V489" s="64"/>
      <c r="W489" s="64"/>
      <c r="X489" s="64"/>
      <c r="Y489" s="64"/>
      <c r="Z489" s="64"/>
    </row>
    <row r="490" spans="1:26" thickBot="1">
      <c r="A490" s="66" t="str">
        <f>$B$486&amp;C490</f>
        <v>Latitude 2215</v>
      </c>
      <c r="B490" s="86">
        <v>22.15</v>
      </c>
      <c r="C490" s="70">
        <v>15</v>
      </c>
      <c r="D490" s="70">
        <v>0.97</v>
      </c>
      <c r="E490" s="70">
        <v>1</v>
      </c>
      <c r="F490" s="70">
        <v>1.05</v>
      </c>
      <c r="G490" s="70">
        <v>1.1100000000000001</v>
      </c>
      <c r="H490" s="70">
        <v>1.1399999999999999</v>
      </c>
      <c r="I490" s="70">
        <v>1.1399999999999999</v>
      </c>
      <c r="J490" s="70">
        <v>1.1200000000000001</v>
      </c>
      <c r="K490" s="70">
        <v>1.0900000000000001</v>
      </c>
      <c r="L490" s="70">
        <v>1.04</v>
      </c>
      <c r="M490" s="70">
        <v>1</v>
      </c>
      <c r="N490" s="70">
        <v>0.97</v>
      </c>
      <c r="O490" s="70">
        <v>0.95</v>
      </c>
      <c r="P490" s="71">
        <v>1.05</v>
      </c>
      <c r="Q490" s="64"/>
      <c r="R490" s="64"/>
      <c r="S490" s="64"/>
      <c r="T490" s="64"/>
      <c r="U490" s="64"/>
      <c r="V490" s="64"/>
      <c r="W490" s="64"/>
      <c r="X490" s="64"/>
      <c r="Y490" s="64"/>
      <c r="Z490" s="64"/>
    </row>
    <row r="491" spans="1:26" thickBot="1">
      <c r="A491" s="66" t="str">
        <f t="shared" ref="A491:A505" si="22">$B$486&amp;C491</f>
        <v>Latitude 2220</v>
      </c>
      <c r="B491" s="86">
        <v>22.2</v>
      </c>
      <c r="C491" s="70">
        <v>20</v>
      </c>
      <c r="D491" s="70">
        <v>0.94</v>
      </c>
      <c r="E491" s="70">
        <v>0.99</v>
      </c>
      <c r="F491" s="70">
        <v>1.06</v>
      </c>
      <c r="G491" s="70">
        <v>1.1299999999999999</v>
      </c>
      <c r="H491" s="70">
        <v>1.17</v>
      </c>
      <c r="I491" s="70">
        <v>1.17</v>
      </c>
      <c r="J491" s="70">
        <v>1.1399999999999999</v>
      </c>
      <c r="K491" s="70">
        <v>1.1000000000000001</v>
      </c>
      <c r="L491" s="70">
        <v>1.05</v>
      </c>
      <c r="M491" s="70">
        <v>0.99</v>
      </c>
      <c r="N491" s="70">
        <v>0.94</v>
      </c>
      <c r="O491" s="70">
        <v>0.92</v>
      </c>
      <c r="P491" s="71">
        <v>1.05</v>
      </c>
      <c r="Q491" s="64"/>
      <c r="R491" s="64"/>
      <c r="S491" s="64"/>
      <c r="T491" s="64"/>
      <c r="U491" s="64"/>
      <c r="V491" s="64"/>
      <c r="W491" s="64"/>
      <c r="X491" s="64"/>
      <c r="Y491" s="64"/>
      <c r="Z491" s="64"/>
    </row>
    <row r="492" spans="1:26" thickBot="1">
      <c r="A492" s="66" t="str">
        <f t="shared" si="22"/>
        <v>Latitude 2225</v>
      </c>
      <c r="B492" s="86">
        <v>22.25</v>
      </c>
      <c r="C492" s="70">
        <v>25</v>
      </c>
      <c r="D492" s="70">
        <v>0.91</v>
      </c>
      <c r="E492" s="70">
        <v>0.97</v>
      </c>
      <c r="F492" s="70">
        <v>1.05</v>
      </c>
      <c r="G492" s="70">
        <v>1.1399999999999999</v>
      </c>
      <c r="H492" s="70">
        <v>1.2</v>
      </c>
      <c r="I492" s="70">
        <v>1.2</v>
      </c>
      <c r="J492" s="70">
        <v>1.1599999999999999</v>
      </c>
      <c r="K492" s="70">
        <v>1.1100000000000001</v>
      </c>
      <c r="L492" s="70">
        <v>1.04</v>
      </c>
      <c r="M492" s="70">
        <v>0.97</v>
      </c>
      <c r="N492" s="70">
        <v>0.91</v>
      </c>
      <c r="O492" s="70">
        <v>0.89</v>
      </c>
      <c r="P492" s="71">
        <v>1.05</v>
      </c>
      <c r="Q492" s="64"/>
      <c r="R492" s="64"/>
      <c r="S492" s="64"/>
      <c r="T492" s="64"/>
      <c r="U492" s="64"/>
      <c r="V492" s="64"/>
      <c r="W492" s="64"/>
      <c r="X492" s="64"/>
      <c r="Y492" s="64"/>
      <c r="Z492" s="64"/>
    </row>
    <row r="493" spans="1:26" thickBot="1">
      <c r="A493" s="66" t="str">
        <f t="shared" si="22"/>
        <v>Latitude 2230</v>
      </c>
      <c r="B493" s="86">
        <v>22.3</v>
      </c>
      <c r="C493" s="70">
        <v>30</v>
      </c>
      <c r="D493" s="70">
        <v>0.87</v>
      </c>
      <c r="E493" s="70">
        <v>0.94</v>
      </c>
      <c r="F493" s="70">
        <v>1.04</v>
      </c>
      <c r="G493" s="70">
        <v>1.1399999999999999</v>
      </c>
      <c r="H493" s="70">
        <v>1.21</v>
      </c>
      <c r="I493" s="70">
        <v>1.21</v>
      </c>
      <c r="J493" s="70">
        <v>1.17</v>
      </c>
      <c r="K493" s="70">
        <v>1.1100000000000001</v>
      </c>
      <c r="L493" s="70">
        <v>1.03</v>
      </c>
      <c r="M493" s="70">
        <v>0.94</v>
      </c>
      <c r="N493" s="70">
        <v>0.87</v>
      </c>
      <c r="O493" s="70">
        <v>0.85</v>
      </c>
      <c r="P493" s="71">
        <v>1.03</v>
      </c>
      <c r="Q493" s="64"/>
      <c r="R493" s="64"/>
      <c r="S493" s="64"/>
      <c r="T493" s="64"/>
      <c r="U493" s="64"/>
      <c r="V493" s="64"/>
      <c r="W493" s="64"/>
      <c r="X493" s="64"/>
      <c r="Y493" s="64"/>
      <c r="Z493" s="64"/>
    </row>
    <row r="494" spans="1:26" thickBot="1">
      <c r="A494" s="66" t="str">
        <f t="shared" si="22"/>
        <v>Latitude 2235</v>
      </c>
      <c r="B494" s="86">
        <v>22.35</v>
      </c>
      <c r="C494" s="70">
        <v>35</v>
      </c>
      <c r="D494" s="70">
        <v>0.83</v>
      </c>
      <c r="E494" s="70">
        <v>0.91</v>
      </c>
      <c r="F494" s="70">
        <v>1.02</v>
      </c>
      <c r="G494" s="70">
        <v>1.1399999999999999</v>
      </c>
      <c r="H494" s="70">
        <v>1.22</v>
      </c>
      <c r="I494" s="70">
        <v>1.22</v>
      </c>
      <c r="J494" s="70">
        <v>1.17</v>
      </c>
      <c r="K494" s="70">
        <v>1.1000000000000001</v>
      </c>
      <c r="L494" s="70">
        <v>1.01</v>
      </c>
      <c r="M494" s="70">
        <v>0.91</v>
      </c>
      <c r="N494" s="70">
        <v>0.83</v>
      </c>
      <c r="O494" s="70">
        <v>0.8</v>
      </c>
      <c r="P494" s="71">
        <v>1.01</v>
      </c>
      <c r="Q494" s="64"/>
      <c r="R494" s="64"/>
      <c r="S494" s="64"/>
      <c r="T494" s="64"/>
      <c r="U494" s="64"/>
      <c r="V494" s="64"/>
      <c r="W494" s="64"/>
      <c r="X494" s="64"/>
      <c r="Y494" s="64"/>
      <c r="Z494" s="64"/>
    </row>
    <row r="495" spans="1:26" thickBot="1">
      <c r="A495" s="66" t="str">
        <f t="shared" si="22"/>
        <v>Latitude 2240</v>
      </c>
      <c r="B495" s="86">
        <v>22.4</v>
      </c>
      <c r="C495" s="70">
        <v>40</v>
      </c>
      <c r="D495" s="70">
        <v>0.78</v>
      </c>
      <c r="E495" s="70">
        <v>0.87</v>
      </c>
      <c r="F495" s="70">
        <v>1</v>
      </c>
      <c r="G495" s="70">
        <v>1.1299999999999999</v>
      </c>
      <c r="H495" s="70">
        <v>1.22</v>
      </c>
      <c r="I495" s="70">
        <v>1.23</v>
      </c>
      <c r="J495" s="70">
        <v>1.17</v>
      </c>
      <c r="K495" s="70">
        <v>1.0900000000000001</v>
      </c>
      <c r="L495" s="70">
        <v>0.98</v>
      </c>
      <c r="M495" s="70">
        <v>0.87</v>
      </c>
      <c r="N495" s="70">
        <v>0.78</v>
      </c>
      <c r="O495" s="70">
        <v>0.75</v>
      </c>
      <c r="P495" s="71">
        <v>0.99</v>
      </c>
      <c r="Q495" s="64"/>
      <c r="R495" s="64"/>
      <c r="S495" s="64"/>
      <c r="T495" s="64"/>
      <c r="U495" s="64"/>
      <c r="V495" s="64"/>
      <c r="W495" s="64"/>
      <c r="X495" s="64"/>
      <c r="Y495" s="64"/>
      <c r="Z495" s="64"/>
    </row>
    <row r="496" spans="1:26" thickBot="1">
      <c r="A496" s="66" t="str">
        <f t="shared" si="22"/>
        <v>Latitude 2245</v>
      </c>
      <c r="B496" s="86">
        <v>22.45</v>
      </c>
      <c r="C496" s="70">
        <v>45</v>
      </c>
      <c r="D496" s="70">
        <v>0.72</v>
      </c>
      <c r="E496" s="70">
        <v>0.82</v>
      </c>
      <c r="F496" s="70">
        <v>0.97</v>
      </c>
      <c r="G496" s="70">
        <v>1.1100000000000001</v>
      </c>
      <c r="H496" s="70">
        <v>1.21</v>
      </c>
      <c r="I496" s="70">
        <v>1.22</v>
      </c>
      <c r="J496" s="70">
        <v>1.1599999999999999</v>
      </c>
      <c r="K496" s="70">
        <v>1.07</v>
      </c>
      <c r="L496" s="70">
        <v>0.95</v>
      </c>
      <c r="M496" s="70">
        <v>0.83</v>
      </c>
      <c r="N496" s="70">
        <v>0.73</v>
      </c>
      <c r="O496" s="70">
        <v>0.69</v>
      </c>
      <c r="P496" s="71">
        <v>0.96</v>
      </c>
      <c r="Q496" s="64"/>
      <c r="R496" s="64"/>
      <c r="S496" s="64"/>
      <c r="T496" s="64"/>
      <c r="U496" s="64"/>
      <c r="V496" s="64"/>
      <c r="W496" s="64"/>
      <c r="X496" s="64"/>
      <c r="Y496" s="64"/>
      <c r="Z496" s="64"/>
    </row>
    <row r="497" spans="1:26" thickBot="1">
      <c r="A497" s="66" t="str">
        <f t="shared" si="22"/>
        <v>Latitude 2250</v>
      </c>
      <c r="B497" s="86">
        <v>22.5</v>
      </c>
      <c r="C497" s="70">
        <v>50</v>
      </c>
      <c r="D497" s="70">
        <v>0.66</v>
      </c>
      <c r="E497" s="70">
        <v>0.77</v>
      </c>
      <c r="F497" s="70">
        <v>0.93</v>
      </c>
      <c r="G497" s="70">
        <v>1.0900000000000001</v>
      </c>
      <c r="H497" s="70">
        <v>1.2</v>
      </c>
      <c r="I497" s="70">
        <v>1.21</v>
      </c>
      <c r="J497" s="70">
        <v>1.1399999999999999</v>
      </c>
      <c r="K497" s="70">
        <v>1.04</v>
      </c>
      <c r="L497" s="70">
        <v>0.91</v>
      </c>
      <c r="M497" s="70">
        <v>0.78</v>
      </c>
      <c r="N497" s="70">
        <v>0.67</v>
      </c>
      <c r="O497" s="70">
        <v>0.63</v>
      </c>
      <c r="P497" s="71">
        <v>0.92</v>
      </c>
      <c r="Q497" s="64"/>
      <c r="R497" s="64"/>
      <c r="S497" s="64"/>
      <c r="T497" s="64"/>
      <c r="U497" s="64"/>
      <c r="V497" s="64"/>
      <c r="W497" s="64"/>
      <c r="X497" s="64"/>
      <c r="Y497" s="64"/>
      <c r="Z497" s="64"/>
    </row>
    <row r="498" spans="1:26" thickBot="1">
      <c r="A498" s="66" t="str">
        <f t="shared" si="22"/>
        <v>Latitude 2255</v>
      </c>
      <c r="B498" s="86">
        <v>22.55</v>
      </c>
      <c r="C498" s="70">
        <v>55</v>
      </c>
      <c r="D498" s="70">
        <v>0.6</v>
      </c>
      <c r="E498" s="70">
        <v>0.72</v>
      </c>
      <c r="F498" s="70">
        <v>0.88</v>
      </c>
      <c r="G498" s="70">
        <v>1.06</v>
      </c>
      <c r="H498" s="70">
        <v>1.18</v>
      </c>
      <c r="I498" s="70">
        <v>1.19</v>
      </c>
      <c r="J498" s="70">
        <v>1.1200000000000001</v>
      </c>
      <c r="K498" s="70">
        <v>1.01</v>
      </c>
      <c r="L498" s="70">
        <v>0.87</v>
      </c>
      <c r="M498" s="70">
        <v>0.72</v>
      </c>
      <c r="N498" s="70">
        <v>0.61</v>
      </c>
      <c r="O498" s="70">
        <v>0.56000000000000005</v>
      </c>
      <c r="P498" s="71">
        <v>0.88</v>
      </c>
      <c r="Q498" s="64"/>
      <c r="R498" s="64"/>
      <c r="S498" s="64"/>
      <c r="T498" s="64"/>
      <c r="U498" s="64"/>
      <c r="V498" s="64"/>
      <c r="W498" s="64"/>
      <c r="X498" s="64"/>
      <c r="Y498" s="64"/>
      <c r="Z498" s="64"/>
    </row>
    <row r="499" spans="1:26" thickBot="1">
      <c r="A499" s="66" t="str">
        <f t="shared" si="22"/>
        <v>Latitude 2260</v>
      </c>
      <c r="B499" s="86">
        <v>22.6</v>
      </c>
      <c r="C499" s="70">
        <v>60</v>
      </c>
      <c r="D499" s="70">
        <v>0.53</v>
      </c>
      <c r="E499" s="70">
        <v>0.65</v>
      </c>
      <c r="F499" s="70">
        <v>0.83</v>
      </c>
      <c r="G499" s="70">
        <v>1.02</v>
      </c>
      <c r="H499" s="70">
        <v>1.1499999999999999</v>
      </c>
      <c r="I499" s="70">
        <v>1.1599999999999999</v>
      </c>
      <c r="J499" s="70">
        <v>1.0900000000000001</v>
      </c>
      <c r="K499" s="70">
        <v>0.97</v>
      </c>
      <c r="L499" s="70">
        <v>0.82</v>
      </c>
      <c r="M499" s="70">
        <v>0.66</v>
      </c>
      <c r="N499" s="70">
        <v>0.54</v>
      </c>
      <c r="O499" s="70">
        <v>0.49</v>
      </c>
      <c r="P499" s="71">
        <v>0.83</v>
      </c>
      <c r="Q499" s="64"/>
      <c r="R499" s="64"/>
      <c r="S499" s="64"/>
      <c r="T499" s="64"/>
      <c r="U499" s="64"/>
      <c r="V499" s="64"/>
      <c r="W499" s="64"/>
      <c r="X499" s="64"/>
      <c r="Y499" s="64"/>
      <c r="Z499" s="64"/>
    </row>
    <row r="500" spans="1:26" thickBot="1">
      <c r="A500" s="66" t="str">
        <f t="shared" si="22"/>
        <v>Latitude 2265</v>
      </c>
      <c r="B500" s="86">
        <v>22.65</v>
      </c>
      <c r="C500" s="76">
        <v>65</v>
      </c>
      <c r="D500" s="76">
        <v>0.46</v>
      </c>
      <c r="E500" s="76">
        <v>0.59</v>
      </c>
      <c r="F500" s="76">
        <v>0.77</v>
      </c>
      <c r="G500" s="76">
        <v>0.97</v>
      </c>
      <c r="H500" s="76">
        <v>1.1100000000000001</v>
      </c>
      <c r="I500" s="76">
        <v>1.1200000000000001</v>
      </c>
      <c r="J500" s="77">
        <v>1085</v>
      </c>
      <c r="K500" s="76">
        <v>0.93</v>
      </c>
      <c r="L500" s="76">
        <v>0.77</v>
      </c>
      <c r="M500" s="76">
        <v>0.6</v>
      </c>
      <c r="N500" s="76">
        <v>0.47</v>
      </c>
      <c r="O500" s="76">
        <v>0.42</v>
      </c>
      <c r="P500" s="71">
        <v>91.1</v>
      </c>
      <c r="Q500" s="64"/>
      <c r="R500" s="64"/>
      <c r="S500" s="64"/>
      <c r="T500" s="64"/>
      <c r="U500" s="64"/>
      <c r="V500" s="64"/>
      <c r="W500" s="64"/>
      <c r="X500" s="64"/>
      <c r="Y500" s="64"/>
      <c r="Z500" s="64"/>
    </row>
    <row r="501" spans="1:26" thickBot="1">
      <c r="A501" s="66" t="str">
        <f t="shared" si="22"/>
        <v>Latitude 2270</v>
      </c>
      <c r="B501" s="86">
        <v>22.7</v>
      </c>
      <c r="C501" s="70">
        <v>70</v>
      </c>
      <c r="D501" s="70">
        <v>0.39</v>
      </c>
      <c r="E501" s="70">
        <v>0.52</v>
      </c>
      <c r="F501" s="70">
        <v>0.71</v>
      </c>
      <c r="G501" s="70">
        <v>0.92</v>
      </c>
      <c r="H501" s="70">
        <v>1.06</v>
      </c>
      <c r="I501" s="70">
        <v>1.08</v>
      </c>
      <c r="J501" s="70">
        <v>1</v>
      </c>
      <c r="K501" s="70">
        <v>0.88</v>
      </c>
      <c r="L501" s="70">
        <v>0.71</v>
      </c>
      <c r="M501" s="70">
        <v>0.53</v>
      </c>
      <c r="N501" s="70">
        <v>0.39</v>
      </c>
      <c r="O501" s="70">
        <v>0.34</v>
      </c>
      <c r="P501" s="71">
        <v>0.71</v>
      </c>
      <c r="Q501" s="64"/>
      <c r="R501" s="64"/>
      <c r="S501" s="64"/>
      <c r="T501" s="64"/>
      <c r="U501" s="64"/>
      <c r="V501" s="64"/>
      <c r="W501" s="64"/>
      <c r="X501" s="64"/>
      <c r="Y501" s="64"/>
      <c r="Z501" s="64"/>
    </row>
    <row r="502" spans="1:26" thickBot="1">
      <c r="A502" s="66" t="str">
        <f t="shared" si="22"/>
        <v>Latitude 2275</v>
      </c>
      <c r="B502" s="86">
        <v>22.75</v>
      </c>
      <c r="C502" s="70">
        <v>75</v>
      </c>
      <c r="D502" s="70">
        <v>0.31</v>
      </c>
      <c r="E502" s="70">
        <v>0.45</v>
      </c>
      <c r="F502" s="70">
        <v>0.65</v>
      </c>
      <c r="G502" s="70">
        <v>0.86</v>
      </c>
      <c r="H502" s="70">
        <v>1.01</v>
      </c>
      <c r="I502" s="70">
        <v>1.03</v>
      </c>
      <c r="J502" s="70">
        <v>0.95</v>
      </c>
      <c r="K502" s="70">
        <v>0.82</v>
      </c>
      <c r="L502" s="70">
        <v>0.64</v>
      </c>
      <c r="M502" s="70">
        <v>0.46</v>
      </c>
      <c r="N502" s="70">
        <v>0.32</v>
      </c>
      <c r="O502" s="70">
        <v>0.26</v>
      </c>
      <c r="P502" s="71">
        <v>0.65</v>
      </c>
      <c r="Q502" s="64"/>
      <c r="R502" s="64"/>
      <c r="S502" s="64"/>
      <c r="T502" s="64"/>
      <c r="U502" s="64"/>
      <c r="V502" s="64"/>
      <c r="W502" s="64"/>
      <c r="X502" s="64"/>
      <c r="Y502" s="64"/>
      <c r="Z502" s="64"/>
    </row>
    <row r="503" spans="1:26" thickBot="1">
      <c r="A503" s="66" t="str">
        <f t="shared" si="22"/>
        <v>Latitude 2280</v>
      </c>
      <c r="B503" s="86">
        <v>22.8</v>
      </c>
      <c r="C503" s="70">
        <v>80</v>
      </c>
      <c r="D503" s="70">
        <v>0.23</v>
      </c>
      <c r="E503" s="70">
        <v>0.37</v>
      </c>
      <c r="F503" s="70">
        <v>0.56999999999999995</v>
      </c>
      <c r="G503" s="70">
        <v>0.79</v>
      </c>
      <c r="H503" s="70">
        <v>0.95</v>
      </c>
      <c r="I503" s="70">
        <v>0.98</v>
      </c>
      <c r="J503" s="70">
        <v>0.9</v>
      </c>
      <c r="K503" s="70">
        <v>0.76</v>
      </c>
      <c r="L503" s="70">
        <v>0.57999999999999996</v>
      </c>
      <c r="M503" s="70">
        <v>0.39</v>
      </c>
      <c r="N503" s="70">
        <v>0.24</v>
      </c>
      <c r="O503" s="70">
        <v>0.18</v>
      </c>
      <c r="P503" s="71">
        <v>0.57999999999999996</v>
      </c>
      <c r="Q503" s="64"/>
      <c r="R503" s="64"/>
      <c r="S503" s="64"/>
      <c r="T503" s="64"/>
      <c r="U503" s="64"/>
      <c r="V503" s="64"/>
      <c r="W503" s="64"/>
      <c r="X503" s="64"/>
      <c r="Y503" s="64"/>
      <c r="Z503" s="64"/>
    </row>
    <row r="504" spans="1:26" thickBot="1">
      <c r="A504" s="66" t="str">
        <f t="shared" si="22"/>
        <v>Latitude 2285</v>
      </c>
      <c r="B504" s="86">
        <v>22.85</v>
      </c>
      <c r="C504" s="70">
        <v>85</v>
      </c>
      <c r="D504" s="70">
        <v>0.15</v>
      </c>
      <c r="E504" s="70">
        <v>0.28999999999999998</v>
      </c>
      <c r="F504" s="70">
        <v>0.5</v>
      </c>
      <c r="G504" s="70">
        <v>0.73</v>
      </c>
      <c r="H504" s="70">
        <v>0.89</v>
      </c>
      <c r="I504" s="70">
        <v>0.92</v>
      </c>
      <c r="J504" s="70">
        <v>0.84</v>
      </c>
      <c r="K504" s="70">
        <v>0.7</v>
      </c>
      <c r="L504" s="70">
        <v>0.51</v>
      </c>
      <c r="M504" s="70">
        <v>0.31</v>
      </c>
      <c r="N504" s="70">
        <v>0.16</v>
      </c>
      <c r="O504" s="70">
        <v>0.1</v>
      </c>
      <c r="P504" s="71">
        <v>0.51</v>
      </c>
      <c r="Q504" s="64"/>
      <c r="R504" s="64"/>
      <c r="S504" s="64"/>
      <c r="T504" s="64"/>
      <c r="U504" s="64"/>
      <c r="V504" s="64"/>
      <c r="W504" s="64"/>
      <c r="X504" s="64"/>
      <c r="Y504" s="64"/>
      <c r="Z504" s="64"/>
    </row>
    <row r="505" spans="1:26" thickBot="1">
      <c r="A505" s="66" t="str">
        <f t="shared" si="22"/>
        <v>Latitude 2290</v>
      </c>
      <c r="B505" s="86">
        <v>22.9</v>
      </c>
      <c r="C505" s="70">
        <v>90</v>
      </c>
      <c r="D505" s="70">
        <v>0.08</v>
      </c>
      <c r="E505" s="70">
        <v>0.21</v>
      </c>
      <c r="F505" s="70">
        <v>0.42</v>
      </c>
      <c r="G505" s="70">
        <v>0.65</v>
      </c>
      <c r="H505" s="70">
        <v>0.82</v>
      </c>
      <c r="I505" s="70">
        <v>0.85</v>
      </c>
      <c r="J505" s="70">
        <v>0.77</v>
      </c>
      <c r="K505" s="70">
        <v>0.63</v>
      </c>
      <c r="L505" s="70">
        <v>0.43</v>
      </c>
      <c r="M505" s="70">
        <v>0.23</v>
      </c>
      <c r="N505" s="70">
        <v>0.09</v>
      </c>
      <c r="O505" s="70">
        <v>0.08</v>
      </c>
      <c r="P505" s="71">
        <v>0.44</v>
      </c>
      <c r="Q505" s="64"/>
      <c r="R505" s="64"/>
      <c r="S505" s="64"/>
      <c r="T505" s="64"/>
      <c r="U505" s="64"/>
      <c r="V505" s="64"/>
      <c r="W505" s="64"/>
      <c r="X505" s="64"/>
      <c r="Y505" s="64"/>
      <c r="Z505" s="64"/>
    </row>
    <row r="506" spans="1:26" thickBot="1">
      <c r="A506" s="66"/>
      <c r="B506" s="88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66"/>
      <c r="Q506" s="64"/>
      <c r="R506" s="64"/>
      <c r="S506" s="64"/>
      <c r="T506" s="64"/>
      <c r="U506" s="64"/>
      <c r="V506" s="64"/>
      <c r="W506" s="64"/>
      <c r="X506" s="64"/>
      <c r="Y506" s="64"/>
      <c r="Z506" s="64"/>
    </row>
    <row r="507" spans="1:26" thickBot="1">
      <c r="A507" s="66"/>
      <c r="B507" s="88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4"/>
      <c r="Q507" s="64"/>
      <c r="R507" s="64"/>
      <c r="S507" s="64"/>
      <c r="T507" s="64"/>
      <c r="U507" s="64"/>
      <c r="V507" s="64"/>
      <c r="W507" s="64"/>
      <c r="X507" s="64"/>
      <c r="Y507" s="64"/>
      <c r="Z507" s="64"/>
    </row>
    <row r="508" spans="1:26" thickBot="1">
      <c r="A508" s="66"/>
      <c r="B508" s="85" t="s">
        <v>5887</v>
      </c>
      <c r="C508" s="75" t="s">
        <v>5853</v>
      </c>
      <c r="D508" s="75" t="s">
        <v>5827</v>
      </c>
      <c r="E508" s="75" t="s">
        <v>5828</v>
      </c>
      <c r="F508" s="75" t="s">
        <v>5829</v>
      </c>
      <c r="G508" s="75" t="s">
        <v>5830</v>
      </c>
      <c r="H508" s="75" t="s">
        <v>5831</v>
      </c>
      <c r="I508" s="75" t="s">
        <v>5832</v>
      </c>
      <c r="J508" s="75" t="s">
        <v>5833</v>
      </c>
      <c r="K508" s="75" t="s">
        <v>5834</v>
      </c>
      <c r="L508" s="75" t="s">
        <v>5835</v>
      </c>
      <c r="M508" s="75" t="s">
        <v>5836</v>
      </c>
      <c r="N508" s="75" t="s">
        <v>5837</v>
      </c>
      <c r="O508" s="69" t="s">
        <v>5838</v>
      </c>
      <c r="P508" s="71" t="s">
        <v>20</v>
      </c>
      <c r="Q508" s="64"/>
      <c r="R508" s="64"/>
      <c r="S508" s="64"/>
      <c r="T508" s="64"/>
      <c r="U508" s="64"/>
      <c r="V508" s="64"/>
      <c r="W508" s="64"/>
      <c r="X508" s="64"/>
      <c r="Y508" s="64"/>
      <c r="Z508" s="64"/>
    </row>
    <row r="509" spans="1:26" thickBot="1">
      <c r="A509" s="66" t="str">
        <f>$B$508&amp;C509</f>
        <v>Latitude 230</v>
      </c>
      <c r="B509" s="86">
        <v>23</v>
      </c>
      <c r="C509" s="70">
        <v>0</v>
      </c>
      <c r="D509" s="70">
        <v>1</v>
      </c>
      <c r="E509" s="70">
        <v>1</v>
      </c>
      <c r="F509" s="70">
        <v>1</v>
      </c>
      <c r="G509" s="70">
        <v>1</v>
      </c>
      <c r="H509" s="70">
        <v>1</v>
      </c>
      <c r="I509" s="70">
        <v>1</v>
      </c>
      <c r="J509" s="70">
        <v>1</v>
      </c>
      <c r="K509" s="70">
        <v>1</v>
      </c>
      <c r="L509" s="70">
        <v>1</v>
      </c>
      <c r="M509" s="70">
        <v>1</v>
      </c>
      <c r="N509" s="70">
        <v>1</v>
      </c>
      <c r="O509" s="70">
        <v>1</v>
      </c>
      <c r="P509" s="71">
        <v>1</v>
      </c>
      <c r="Q509" s="64"/>
      <c r="R509" s="64"/>
      <c r="S509" s="64"/>
      <c r="T509" s="64"/>
      <c r="U509" s="64"/>
      <c r="V509" s="64"/>
      <c r="W509" s="64"/>
      <c r="X509" s="64"/>
      <c r="Y509" s="64"/>
      <c r="Z509" s="64"/>
    </row>
    <row r="510" spans="1:26" thickBot="1">
      <c r="A510" s="66" t="str">
        <f t="shared" ref="A510:A527" si="23">$B$508&amp;C510</f>
        <v>Latitude 235</v>
      </c>
      <c r="B510" s="86">
        <v>23.5</v>
      </c>
      <c r="C510" s="70">
        <v>5</v>
      </c>
      <c r="D510" s="70">
        <v>1</v>
      </c>
      <c r="E510" s="70">
        <v>1.01</v>
      </c>
      <c r="F510" s="70">
        <v>1.03</v>
      </c>
      <c r="G510" s="70">
        <v>1.04</v>
      </c>
      <c r="H510" s="70">
        <v>1.05</v>
      </c>
      <c r="I510" s="70">
        <v>1.05</v>
      </c>
      <c r="J510" s="70">
        <v>1.05</v>
      </c>
      <c r="K510" s="70">
        <v>1.04</v>
      </c>
      <c r="L510" s="70">
        <v>1.02</v>
      </c>
      <c r="M510" s="70">
        <v>1.01</v>
      </c>
      <c r="N510" s="70">
        <v>1</v>
      </c>
      <c r="O510" s="70">
        <v>0.99</v>
      </c>
      <c r="P510" s="71">
        <v>1.02</v>
      </c>
      <c r="Q510" s="64"/>
      <c r="R510" s="64"/>
      <c r="S510" s="64"/>
      <c r="T510" s="64"/>
      <c r="U510" s="64"/>
      <c r="V510" s="64"/>
      <c r="W510" s="64"/>
      <c r="X510" s="64"/>
      <c r="Y510" s="64"/>
      <c r="Z510" s="64"/>
    </row>
    <row r="511" spans="1:26" thickBot="1">
      <c r="A511" s="66" t="str">
        <f t="shared" si="23"/>
        <v>Latitude 2310</v>
      </c>
      <c r="B511" s="86">
        <v>23.1</v>
      </c>
      <c r="C511" s="70">
        <v>10</v>
      </c>
      <c r="D511" s="70">
        <v>0.99</v>
      </c>
      <c r="E511" s="70">
        <v>1.01</v>
      </c>
      <c r="F511" s="70">
        <v>1.05</v>
      </c>
      <c r="G511" s="70">
        <v>1.08</v>
      </c>
      <c r="H511" s="70">
        <v>1.1000000000000001</v>
      </c>
      <c r="I511" s="70">
        <v>1.1000000000000001</v>
      </c>
      <c r="J511" s="70">
        <v>1.0900000000000001</v>
      </c>
      <c r="K511" s="70">
        <v>1.07</v>
      </c>
      <c r="L511" s="70">
        <v>1.04</v>
      </c>
      <c r="M511" s="70">
        <v>1.01</v>
      </c>
      <c r="N511" s="70">
        <v>0.99</v>
      </c>
      <c r="O511" s="70">
        <v>0.98</v>
      </c>
      <c r="P511" s="71">
        <v>1.04</v>
      </c>
      <c r="Q511" s="64"/>
      <c r="R511" s="64"/>
      <c r="S511" s="64"/>
      <c r="T511" s="64"/>
      <c r="U511" s="64"/>
      <c r="V511" s="64"/>
      <c r="W511" s="64"/>
      <c r="X511" s="64"/>
      <c r="Y511" s="64"/>
      <c r="Z511" s="64"/>
    </row>
    <row r="512" spans="1:26" thickBot="1">
      <c r="A512" s="66" t="str">
        <f t="shared" si="23"/>
        <v>Latitude 2315</v>
      </c>
      <c r="B512" s="86">
        <v>23.15</v>
      </c>
      <c r="C512" s="70">
        <v>15</v>
      </c>
      <c r="D512" s="70">
        <v>0.97</v>
      </c>
      <c r="E512" s="70">
        <v>1.01</v>
      </c>
      <c r="F512" s="70">
        <v>1.06</v>
      </c>
      <c r="G512" s="70">
        <v>1.1100000000000001</v>
      </c>
      <c r="H512" s="70">
        <v>1.1399999999999999</v>
      </c>
      <c r="I512" s="70">
        <v>1.1399999999999999</v>
      </c>
      <c r="J512" s="70">
        <v>1.1200000000000001</v>
      </c>
      <c r="K512" s="70">
        <v>1.0900000000000001</v>
      </c>
      <c r="L512" s="70">
        <v>1.05</v>
      </c>
      <c r="M512" s="70">
        <v>1</v>
      </c>
      <c r="N512" s="70">
        <v>0.97</v>
      </c>
      <c r="O512" s="70">
        <v>0.96</v>
      </c>
      <c r="P512" s="71">
        <v>1.05</v>
      </c>
      <c r="Q512" s="64"/>
      <c r="R512" s="64"/>
      <c r="S512" s="64"/>
      <c r="T512" s="64"/>
      <c r="U512" s="64"/>
      <c r="V512" s="64"/>
      <c r="W512" s="64"/>
      <c r="X512" s="64"/>
      <c r="Y512" s="64"/>
      <c r="Z512" s="64"/>
    </row>
    <row r="513" spans="1:26" thickBot="1">
      <c r="A513" s="66" t="str">
        <f t="shared" si="23"/>
        <v>Latitude 2320</v>
      </c>
      <c r="B513" s="86">
        <v>23.2</v>
      </c>
      <c r="C513" s="70">
        <v>20</v>
      </c>
      <c r="D513" s="70">
        <v>0.95</v>
      </c>
      <c r="E513" s="70">
        <v>0.99</v>
      </c>
      <c r="F513" s="70">
        <v>1.06</v>
      </c>
      <c r="G513" s="70">
        <v>1.1299999999999999</v>
      </c>
      <c r="H513" s="70">
        <v>1.18</v>
      </c>
      <c r="I513" s="70">
        <v>1.18</v>
      </c>
      <c r="J513" s="70">
        <v>1.1499999999999999</v>
      </c>
      <c r="K513" s="70">
        <v>1.1100000000000001</v>
      </c>
      <c r="L513" s="70">
        <v>1.05</v>
      </c>
      <c r="M513" s="70">
        <v>0.99</v>
      </c>
      <c r="N513" s="70">
        <v>0.95</v>
      </c>
      <c r="O513" s="70">
        <v>0.93</v>
      </c>
      <c r="P513" s="71">
        <v>1.06</v>
      </c>
      <c r="Q513" s="64"/>
      <c r="R513" s="64"/>
      <c r="S513" s="64"/>
      <c r="T513" s="64"/>
      <c r="U513" s="64"/>
      <c r="V513" s="64"/>
      <c r="W513" s="64"/>
      <c r="X513" s="64"/>
      <c r="Y513" s="64"/>
      <c r="Z513" s="64"/>
    </row>
    <row r="514" spans="1:26" thickBot="1">
      <c r="A514" s="66" t="str">
        <f t="shared" si="23"/>
        <v>Latitude 2325</v>
      </c>
      <c r="B514" s="86">
        <v>23.25</v>
      </c>
      <c r="C514" s="70">
        <v>25</v>
      </c>
      <c r="D514" s="70">
        <v>0.92</v>
      </c>
      <c r="E514" s="70">
        <v>0.98</v>
      </c>
      <c r="F514" s="70">
        <v>1.06</v>
      </c>
      <c r="G514" s="70">
        <v>1.1499999999999999</v>
      </c>
      <c r="H514" s="70">
        <v>1.2</v>
      </c>
      <c r="I514" s="70">
        <v>1.2</v>
      </c>
      <c r="J514" s="70">
        <v>1.17</v>
      </c>
      <c r="K514" s="70">
        <v>1.1100000000000001</v>
      </c>
      <c r="L514" s="70">
        <v>1.05</v>
      </c>
      <c r="M514" s="70">
        <v>0.97</v>
      </c>
      <c r="N514" s="70">
        <v>0.92</v>
      </c>
      <c r="O514" s="70">
        <v>0.9</v>
      </c>
      <c r="P514" s="71">
        <v>1.05</v>
      </c>
      <c r="Q514" s="64"/>
      <c r="R514" s="64"/>
      <c r="S514" s="64"/>
      <c r="T514" s="64"/>
      <c r="U514" s="64"/>
      <c r="V514" s="64"/>
      <c r="W514" s="64"/>
      <c r="X514" s="64"/>
      <c r="Y514" s="64"/>
      <c r="Z514" s="64"/>
    </row>
    <row r="515" spans="1:26" thickBot="1">
      <c r="A515" s="66" t="str">
        <f t="shared" si="23"/>
        <v>Latitude 2330</v>
      </c>
      <c r="B515" s="86">
        <v>23.3</v>
      </c>
      <c r="C515" s="70">
        <v>30</v>
      </c>
      <c r="D515" s="70">
        <v>0.88</v>
      </c>
      <c r="E515" s="70">
        <v>0.95</v>
      </c>
      <c r="F515" s="70">
        <v>1.05</v>
      </c>
      <c r="G515" s="70">
        <v>1.1499999999999999</v>
      </c>
      <c r="H515" s="70">
        <v>1.22</v>
      </c>
      <c r="I515" s="70">
        <v>1.22</v>
      </c>
      <c r="J515" s="70">
        <v>1.18</v>
      </c>
      <c r="K515" s="70">
        <v>1.1200000000000001</v>
      </c>
      <c r="L515" s="70">
        <v>1.04</v>
      </c>
      <c r="M515" s="70">
        <v>0.95</v>
      </c>
      <c r="N515" s="70">
        <v>0.88</v>
      </c>
      <c r="O515" s="70">
        <v>0.86</v>
      </c>
      <c r="P515" s="71">
        <v>1.04</v>
      </c>
      <c r="Q515" s="64"/>
      <c r="R515" s="64"/>
      <c r="S515" s="64"/>
      <c r="T515" s="64"/>
      <c r="U515" s="64"/>
      <c r="V515" s="64"/>
      <c r="W515" s="64"/>
      <c r="X515" s="64"/>
      <c r="Y515" s="64"/>
      <c r="Z515" s="64"/>
    </row>
    <row r="516" spans="1:26" thickBot="1">
      <c r="A516" s="66" t="str">
        <f t="shared" si="23"/>
        <v>Latitude 2335</v>
      </c>
      <c r="B516" s="86">
        <v>23.35</v>
      </c>
      <c r="C516" s="70">
        <v>35</v>
      </c>
      <c r="D516" s="70">
        <v>0.84</v>
      </c>
      <c r="E516" s="70">
        <v>0.92</v>
      </c>
      <c r="F516" s="70">
        <v>1.03</v>
      </c>
      <c r="G516" s="70">
        <v>1.1499999999999999</v>
      </c>
      <c r="H516" s="70">
        <v>1.23</v>
      </c>
      <c r="I516" s="70">
        <v>1.23</v>
      </c>
      <c r="J516" s="70">
        <v>1.18</v>
      </c>
      <c r="K516" s="70">
        <v>1.1100000000000001</v>
      </c>
      <c r="L516" s="70">
        <v>1.02</v>
      </c>
      <c r="M516" s="70">
        <v>0.92</v>
      </c>
      <c r="N516" s="70">
        <v>0.84</v>
      </c>
      <c r="O516" s="70">
        <v>0.81</v>
      </c>
      <c r="P516" s="71">
        <v>1.02</v>
      </c>
      <c r="Q516" s="64"/>
      <c r="R516" s="64"/>
      <c r="S516" s="64"/>
      <c r="T516" s="64"/>
      <c r="U516" s="64"/>
      <c r="V516" s="64"/>
      <c r="W516" s="64"/>
      <c r="X516" s="64"/>
      <c r="Y516" s="64"/>
      <c r="Z516" s="64"/>
    </row>
    <row r="517" spans="1:26" thickBot="1">
      <c r="A517" s="66" t="str">
        <f t="shared" si="23"/>
        <v>Latitude 2340</v>
      </c>
      <c r="B517" s="86">
        <v>23.4</v>
      </c>
      <c r="C517" s="70">
        <v>40</v>
      </c>
      <c r="D517" s="70">
        <v>0.79</v>
      </c>
      <c r="E517" s="70">
        <v>0.88</v>
      </c>
      <c r="F517" s="70">
        <v>1.01</v>
      </c>
      <c r="G517" s="70">
        <v>1.1399999999999999</v>
      </c>
      <c r="H517" s="70">
        <v>1.23</v>
      </c>
      <c r="I517" s="70">
        <v>1.24</v>
      </c>
      <c r="J517" s="70">
        <v>1.18</v>
      </c>
      <c r="K517" s="70">
        <v>1.1000000000000001</v>
      </c>
      <c r="L517" s="70">
        <v>0.99</v>
      </c>
      <c r="M517" s="70">
        <v>0.88</v>
      </c>
      <c r="N517" s="70">
        <v>0.79</v>
      </c>
      <c r="O517" s="70">
        <v>0.76</v>
      </c>
      <c r="P517" s="71">
        <v>1</v>
      </c>
      <c r="Q517" s="64"/>
      <c r="R517" s="64"/>
      <c r="S517" s="64"/>
      <c r="T517" s="64"/>
      <c r="U517" s="64"/>
      <c r="V517" s="64"/>
      <c r="W517" s="64"/>
      <c r="X517" s="64"/>
      <c r="Y517" s="64"/>
      <c r="Z517" s="64"/>
    </row>
    <row r="518" spans="1:26" thickBot="1">
      <c r="A518" s="66" t="str">
        <f t="shared" si="23"/>
        <v>Latitude 2345</v>
      </c>
      <c r="B518" s="86">
        <v>23.45</v>
      </c>
      <c r="C518" s="70">
        <v>45</v>
      </c>
      <c r="D518" s="70">
        <v>0.73</v>
      </c>
      <c r="E518" s="70">
        <v>0.83</v>
      </c>
      <c r="F518" s="70">
        <v>0.98</v>
      </c>
      <c r="G518" s="70">
        <v>1.1299999999999999</v>
      </c>
      <c r="H518" s="70">
        <v>1.23</v>
      </c>
      <c r="I518" s="70">
        <v>1.23</v>
      </c>
      <c r="J518" s="70">
        <v>1.17</v>
      </c>
      <c r="K518" s="70">
        <v>1.08</v>
      </c>
      <c r="L518" s="70">
        <v>0.96</v>
      </c>
      <c r="M518" s="70">
        <v>0.84</v>
      </c>
      <c r="N518" s="70">
        <v>0.74</v>
      </c>
      <c r="O518" s="70">
        <v>0.7</v>
      </c>
      <c r="P518" s="71">
        <v>0.97</v>
      </c>
      <c r="Q518" s="64"/>
      <c r="R518" s="64"/>
      <c r="S518" s="64"/>
      <c r="T518" s="64"/>
      <c r="U518" s="64"/>
      <c r="V518" s="64"/>
      <c r="W518" s="64"/>
      <c r="X518" s="64"/>
      <c r="Y518" s="64"/>
      <c r="Z518" s="64"/>
    </row>
    <row r="519" spans="1:26" thickBot="1">
      <c r="A519" s="66" t="str">
        <f t="shared" si="23"/>
        <v>Latitude 2350</v>
      </c>
      <c r="B519" s="86">
        <v>23.5</v>
      </c>
      <c r="C519" s="70">
        <v>50</v>
      </c>
      <c r="D519" s="70">
        <v>0.68</v>
      </c>
      <c r="E519" s="70">
        <v>0.78</v>
      </c>
      <c r="F519" s="70">
        <v>0.94</v>
      </c>
      <c r="G519" s="70">
        <v>1.1000000000000001</v>
      </c>
      <c r="H519" s="70">
        <v>1.21</v>
      </c>
      <c r="I519" s="70">
        <v>1.22</v>
      </c>
      <c r="J519" s="70">
        <v>1.1599999999999999</v>
      </c>
      <c r="K519" s="70">
        <v>1.06</v>
      </c>
      <c r="L519" s="70">
        <v>0.92</v>
      </c>
      <c r="M519" s="70">
        <v>0.79</v>
      </c>
      <c r="N519" s="70">
        <v>0.68</v>
      </c>
      <c r="O519" s="70">
        <v>0.64</v>
      </c>
      <c r="P519" s="71">
        <v>0.93</v>
      </c>
      <c r="Q519" s="64"/>
      <c r="R519" s="64"/>
      <c r="S519" s="64"/>
      <c r="T519" s="64"/>
      <c r="U519" s="64"/>
      <c r="V519" s="64"/>
      <c r="W519" s="64"/>
      <c r="X519" s="64"/>
      <c r="Y519" s="64"/>
      <c r="Z519" s="64"/>
    </row>
    <row r="520" spans="1:26" thickBot="1">
      <c r="A520" s="66" t="str">
        <f t="shared" si="23"/>
        <v>Latitude 2355</v>
      </c>
      <c r="B520" s="86">
        <v>23.55</v>
      </c>
      <c r="C520" s="70">
        <v>55</v>
      </c>
      <c r="D520" s="70">
        <v>0.61</v>
      </c>
      <c r="E520" s="70">
        <v>0.73</v>
      </c>
      <c r="F520" s="70">
        <v>0.89</v>
      </c>
      <c r="G520" s="70">
        <v>1.07</v>
      </c>
      <c r="H520" s="70">
        <v>1.19</v>
      </c>
      <c r="I520" s="70">
        <v>1.2</v>
      </c>
      <c r="J520" s="70">
        <v>1.1299999999999999</v>
      </c>
      <c r="K520" s="70">
        <v>1.02</v>
      </c>
      <c r="L520" s="70">
        <v>0.88</v>
      </c>
      <c r="M520" s="70">
        <v>0.73</v>
      </c>
      <c r="N520" s="70">
        <v>0.62</v>
      </c>
      <c r="O520" s="70">
        <v>0.56999999999999995</v>
      </c>
      <c r="P520" s="71">
        <v>0.89</v>
      </c>
      <c r="Q520" s="64"/>
      <c r="R520" s="64"/>
      <c r="S520" s="64"/>
      <c r="T520" s="64"/>
      <c r="U520" s="64"/>
      <c r="V520" s="64"/>
      <c r="W520" s="64"/>
      <c r="X520" s="64"/>
      <c r="Y520" s="64"/>
      <c r="Z520" s="64"/>
    </row>
    <row r="521" spans="1:26" thickBot="1">
      <c r="A521" s="66" t="str">
        <f t="shared" si="23"/>
        <v>Latitude 2360</v>
      </c>
      <c r="B521" s="86">
        <v>23.6</v>
      </c>
      <c r="C521" s="70">
        <v>60</v>
      </c>
      <c r="D521" s="70">
        <v>0.54</v>
      </c>
      <c r="E521" s="70">
        <v>0.67</v>
      </c>
      <c r="F521" s="70">
        <v>0.84</v>
      </c>
      <c r="G521" s="70">
        <v>1.03</v>
      </c>
      <c r="H521" s="70">
        <v>1.1599999999999999</v>
      </c>
      <c r="I521" s="70">
        <v>1.18</v>
      </c>
      <c r="J521" s="70">
        <v>1.1000000000000001</v>
      </c>
      <c r="K521" s="70">
        <v>0.99</v>
      </c>
      <c r="L521" s="70">
        <v>0.83</v>
      </c>
      <c r="M521" s="70">
        <v>0.67</v>
      </c>
      <c r="N521" s="70">
        <v>0.55000000000000004</v>
      </c>
      <c r="O521" s="70">
        <v>0.5</v>
      </c>
      <c r="P521" s="71">
        <v>0.84</v>
      </c>
      <c r="Q521" s="64"/>
      <c r="R521" s="64"/>
      <c r="S521" s="64"/>
      <c r="T521" s="64"/>
      <c r="U521" s="64"/>
      <c r="V521" s="64"/>
      <c r="W521" s="64"/>
      <c r="X521" s="64"/>
      <c r="Y521" s="64"/>
      <c r="Z521" s="64"/>
    </row>
    <row r="522" spans="1:26" thickBot="1">
      <c r="A522" s="66" t="str">
        <f t="shared" si="23"/>
        <v>Latitude 2365</v>
      </c>
      <c r="B522" s="86">
        <v>23.65</v>
      </c>
      <c r="C522" s="70">
        <v>65</v>
      </c>
      <c r="D522" s="70">
        <v>0.47</v>
      </c>
      <c r="E522" s="70">
        <v>0.6</v>
      </c>
      <c r="F522" s="70">
        <v>0.79</v>
      </c>
      <c r="G522" s="70">
        <v>0.99</v>
      </c>
      <c r="H522" s="70">
        <v>1.1299999999999999</v>
      </c>
      <c r="I522" s="70">
        <v>1.1399999999999999</v>
      </c>
      <c r="J522" s="70">
        <v>1.06</v>
      </c>
      <c r="K522" s="70">
        <v>0.94</v>
      </c>
      <c r="L522" s="70">
        <v>0.78</v>
      </c>
      <c r="M522" s="70">
        <v>0.61</v>
      </c>
      <c r="N522" s="70">
        <v>0.48</v>
      </c>
      <c r="O522" s="70">
        <v>0.43</v>
      </c>
      <c r="P522" s="71">
        <v>0.79</v>
      </c>
      <c r="Q522" s="64"/>
      <c r="R522" s="64"/>
      <c r="S522" s="64"/>
      <c r="T522" s="64"/>
      <c r="U522" s="64"/>
      <c r="V522" s="64"/>
      <c r="W522" s="64"/>
      <c r="X522" s="64"/>
      <c r="Y522" s="64"/>
      <c r="Z522" s="64"/>
    </row>
    <row r="523" spans="1:26" thickBot="1">
      <c r="A523" s="66" t="str">
        <f t="shared" si="23"/>
        <v>Latitude 2370</v>
      </c>
      <c r="B523" s="86">
        <v>23.7</v>
      </c>
      <c r="C523" s="70">
        <v>70</v>
      </c>
      <c r="D523" s="70">
        <v>0.4</v>
      </c>
      <c r="E523" s="70">
        <v>0.53</v>
      </c>
      <c r="F523" s="70">
        <v>0.73</v>
      </c>
      <c r="G523" s="70">
        <v>0.94</v>
      </c>
      <c r="H523" s="70">
        <v>1.08</v>
      </c>
      <c r="I523" s="70">
        <v>1.1000000000000001</v>
      </c>
      <c r="J523" s="70">
        <v>1.02</v>
      </c>
      <c r="K523" s="70">
        <v>0.89</v>
      </c>
      <c r="L523" s="70">
        <v>0.72</v>
      </c>
      <c r="M523" s="70">
        <v>0.54</v>
      </c>
      <c r="N523" s="70">
        <v>0.41</v>
      </c>
      <c r="O523" s="70">
        <v>0.35</v>
      </c>
      <c r="P523" s="71">
        <v>0.73</v>
      </c>
      <c r="Q523" s="64"/>
      <c r="R523" s="64"/>
      <c r="S523" s="64"/>
      <c r="T523" s="64"/>
      <c r="U523" s="64"/>
      <c r="V523" s="64"/>
      <c r="W523" s="64"/>
      <c r="X523" s="64"/>
      <c r="Y523" s="64"/>
      <c r="Z523" s="64"/>
    </row>
    <row r="524" spans="1:26" thickBot="1">
      <c r="A524" s="66" t="str">
        <f t="shared" si="23"/>
        <v>Latitude 2375</v>
      </c>
      <c r="B524" s="86">
        <v>23.75</v>
      </c>
      <c r="C524" s="70">
        <v>75</v>
      </c>
      <c r="D524" s="70">
        <v>0.32</v>
      </c>
      <c r="E524" s="70">
        <v>0.46</v>
      </c>
      <c r="F524" s="70">
        <v>0.66</v>
      </c>
      <c r="G524" s="70">
        <v>0.88</v>
      </c>
      <c r="H524" s="70">
        <v>1.03</v>
      </c>
      <c r="I524" s="70">
        <v>1.05</v>
      </c>
      <c r="J524" s="70">
        <v>0.97</v>
      </c>
      <c r="K524" s="70">
        <v>0.84</v>
      </c>
      <c r="L524" s="70">
        <v>0.66</v>
      </c>
      <c r="M524" s="70">
        <v>0.47</v>
      </c>
      <c r="N524" s="70">
        <v>0.33</v>
      </c>
      <c r="O524" s="70">
        <v>0.28000000000000003</v>
      </c>
      <c r="P524" s="71">
        <v>0.66</v>
      </c>
      <c r="Q524" s="64"/>
      <c r="R524" s="64"/>
      <c r="S524" s="64"/>
      <c r="T524" s="64"/>
      <c r="U524" s="64"/>
      <c r="V524" s="64"/>
      <c r="W524" s="64"/>
      <c r="X524" s="64"/>
      <c r="Y524" s="64"/>
      <c r="Z524" s="64"/>
    </row>
    <row r="525" spans="1:26" thickBot="1">
      <c r="A525" s="66" t="str">
        <f t="shared" si="23"/>
        <v>Latitude 2380</v>
      </c>
      <c r="B525" s="86">
        <v>23.8</v>
      </c>
      <c r="C525" s="70">
        <v>80</v>
      </c>
      <c r="D525" s="70">
        <v>0.24</v>
      </c>
      <c r="E525" s="70">
        <v>0.39</v>
      </c>
      <c r="F525" s="70">
        <v>0.59</v>
      </c>
      <c r="G525" s="70">
        <v>0.81</v>
      </c>
      <c r="H525" s="70">
        <v>0.97</v>
      </c>
      <c r="I525" s="70">
        <v>1</v>
      </c>
      <c r="J525" s="70">
        <v>0.91</v>
      </c>
      <c r="K525" s="70">
        <v>0.78</v>
      </c>
      <c r="L525" s="70">
        <v>0.59</v>
      </c>
      <c r="M525" s="70">
        <v>0.4</v>
      </c>
      <c r="N525" s="70">
        <v>0.26</v>
      </c>
      <c r="O525" s="70">
        <v>0.2</v>
      </c>
      <c r="P525" s="71">
        <v>0.6</v>
      </c>
      <c r="Q525" s="64"/>
      <c r="R525" s="64"/>
      <c r="S525" s="64"/>
      <c r="T525" s="64"/>
      <c r="U525" s="64"/>
      <c r="V525" s="64"/>
      <c r="W525" s="64"/>
      <c r="X525" s="64"/>
      <c r="Y525" s="64"/>
      <c r="Z525" s="64"/>
    </row>
    <row r="526" spans="1:26" thickBot="1">
      <c r="A526" s="66" t="str">
        <f t="shared" si="23"/>
        <v>Latitude 2385</v>
      </c>
      <c r="B526" s="86">
        <v>23.85</v>
      </c>
      <c r="C526" s="70">
        <v>85</v>
      </c>
      <c r="D526" s="70">
        <v>0.17</v>
      </c>
      <c r="E526" s="70">
        <v>0.31</v>
      </c>
      <c r="F526" s="70">
        <v>0.52</v>
      </c>
      <c r="G526" s="70">
        <v>0.74</v>
      </c>
      <c r="H526" s="70">
        <v>0.91</v>
      </c>
      <c r="I526" s="70">
        <v>0.94</v>
      </c>
      <c r="J526" s="70">
        <v>0.85</v>
      </c>
      <c r="K526" s="70">
        <v>0.71</v>
      </c>
      <c r="L526" s="70">
        <v>0.52</v>
      </c>
      <c r="M526" s="70">
        <v>0.32</v>
      </c>
      <c r="N526" s="70">
        <v>0.18</v>
      </c>
      <c r="O526" s="70">
        <v>0.12</v>
      </c>
      <c r="P526" s="71">
        <v>0.52</v>
      </c>
      <c r="Q526" s="64"/>
      <c r="R526" s="64"/>
      <c r="S526" s="64"/>
      <c r="T526" s="64"/>
      <c r="U526" s="64"/>
      <c r="V526" s="64"/>
      <c r="W526" s="64"/>
      <c r="X526" s="64"/>
      <c r="Y526" s="64"/>
      <c r="Z526" s="64"/>
    </row>
    <row r="527" spans="1:26" thickBot="1">
      <c r="A527" s="66" t="str">
        <f t="shared" si="23"/>
        <v>Latitude 2390</v>
      </c>
      <c r="B527" s="86">
        <v>23.9</v>
      </c>
      <c r="C527" s="70">
        <v>90</v>
      </c>
      <c r="D527" s="70">
        <v>0.08</v>
      </c>
      <c r="E527" s="70">
        <v>0.23</v>
      </c>
      <c r="F527" s="70">
        <v>0.44</v>
      </c>
      <c r="G527" s="70">
        <v>0.67</v>
      </c>
      <c r="H527" s="70">
        <v>0.84</v>
      </c>
      <c r="I527" s="70">
        <v>0.87</v>
      </c>
      <c r="J527" s="70">
        <v>0.79</v>
      </c>
      <c r="K527" s="70">
        <v>0.64</v>
      </c>
      <c r="L527" s="70">
        <v>0.45</v>
      </c>
      <c r="M527" s="70">
        <v>0.25</v>
      </c>
      <c r="N527" s="70">
        <v>0.1</v>
      </c>
      <c r="O527" s="70">
        <v>0.08</v>
      </c>
      <c r="P527" s="71">
        <v>0.45</v>
      </c>
      <c r="Q527" s="64"/>
      <c r="R527" s="64"/>
      <c r="S527" s="64"/>
      <c r="T527" s="64"/>
      <c r="U527" s="64"/>
      <c r="V527" s="64"/>
      <c r="W527" s="64"/>
      <c r="X527" s="64"/>
      <c r="Y527" s="64"/>
      <c r="Z527" s="64"/>
    </row>
    <row r="528" spans="1:26" thickBot="1">
      <c r="A528" s="66"/>
      <c r="B528" s="88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66"/>
      <c r="Q528" s="64"/>
      <c r="R528" s="64"/>
      <c r="S528" s="64"/>
      <c r="T528" s="64"/>
      <c r="U528" s="64"/>
      <c r="V528" s="64"/>
      <c r="W528" s="64"/>
      <c r="X528" s="64"/>
      <c r="Y528" s="64"/>
      <c r="Z528" s="64"/>
    </row>
    <row r="529" spans="1:26" thickBot="1">
      <c r="A529" s="66"/>
      <c r="B529" s="88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66"/>
      <c r="Q529" s="64"/>
      <c r="R529" s="64"/>
      <c r="S529" s="64"/>
      <c r="T529" s="64"/>
      <c r="U529" s="64"/>
      <c r="V529" s="64"/>
      <c r="W529" s="64"/>
      <c r="X529" s="64"/>
      <c r="Y529" s="64"/>
      <c r="Z529" s="64"/>
    </row>
    <row r="530" spans="1:26" thickBot="1">
      <c r="A530" s="66"/>
      <c r="B530" s="85" t="s">
        <v>5888</v>
      </c>
      <c r="C530" s="75" t="s">
        <v>5853</v>
      </c>
      <c r="D530" s="75" t="s">
        <v>5827</v>
      </c>
      <c r="E530" s="75" t="s">
        <v>5828</v>
      </c>
      <c r="F530" s="75" t="s">
        <v>5829</v>
      </c>
      <c r="G530" s="75" t="s">
        <v>5830</v>
      </c>
      <c r="H530" s="75" t="s">
        <v>5831</v>
      </c>
      <c r="I530" s="75" t="s">
        <v>5832</v>
      </c>
      <c r="J530" s="75" t="s">
        <v>5833</v>
      </c>
      <c r="K530" s="75" t="s">
        <v>5834</v>
      </c>
      <c r="L530" s="75" t="s">
        <v>5835</v>
      </c>
      <c r="M530" s="75" t="s">
        <v>5836</v>
      </c>
      <c r="N530" s="75" t="s">
        <v>5837</v>
      </c>
      <c r="O530" s="75" t="s">
        <v>5838</v>
      </c>
      <c r="P530" s="74" t="s">
        <v>20</v>
      </c>
      <c r="Q530" s="64"/>
      <c r="R530" s="64"/>
      <c r="S530" s="64"/>
      <c r="T530" s="64"/>
      <c r="U530" s="64"/>
      <c r="V530" s="64"/>
      <c r="W530" s="64"/>
      <c r="X530" s="64"/>
      <c r="Y530" s="64"/>
      <c r="Z530" s="64"/>
    </row>
    <row r="531" spans="1:26" thickBot="1">
      <c r="A531" s="66" t="str">
        <f>$B$530&amp;C531</f>
        <v>Latitude 240</v>
      </c>
      <c r="B531" s="86">
        <v>24</v>
      </c>
      <c r="C531" s="70">
        <v>0</v>
      </c>
      <c r="D531" s="70">
        <v>1</v>
      </c>
      <c r="E531" s="70">
        <v>1</v>
      </c>
      <c r="F531" s="70">
        <v>1</v>
      </c>
      <c r="G531" s="70">
        <v>1</v>
      </c>
      <c r="H531" s="70">
        <v>1</v>
      </c>
      <c r="I531" s="70">
        <v>1</v>
      </c>
      <c r="J531" s="70">
        <v>1</v>
      </c>
      <c r="K531" s="70">
        <v>1</v>
      </c>
      <c r="L531" s="70">
        <v>1</v>
      </c>
      <c r="M531" s="70">
        <v>1</v>
      </c>
      <c r="N531" s="70">
        <v>1</v>
      </c>
      <c r="O531" s="70">
        <v>1</v>
      </c>
      <c r="P531" s="71">
        <v>1</v>
      </c>
      <c r="Q531" s="64"/>
      <c r="R531" s="64"/>
      <c r="S531" s="64"/>
      <c r="T531" s="64"/>
      <c r="U531" s="64"/>
      <c r="V531" s="64"/>
      <c r="W531" s="64"/>
      <c r="X531" s="64"/>
      <c r="Y531" s="64"/>
      <c r="Z531" s="64"/>
    </row>
    <row r="532" spans="1:26" thickBot="1">
      <c r="A532" s="66" t="str">
        <f t="shared" ref="A532:A549" si="24">$B$530&amp;C532</f>
        <v>Latitude 245</v>
      </c>
      <c r="B532" s="86">
        <v>24.5</v>
      </c>
      <c r="C532" s="70">
        <v>5</v>
      </c>
      <c r="D532" s="70">
        <v>1</v>
      </c>
      <c r="E532" s="70">
        <v>1.01</v>
      </c>
      <c r="F532" s="70">
        <v>1.03</v>
      </c>
      <c r="G532" s="70">
        <v>1.05</v>
      </c>
      <c r="H532" s="70">
        <v>1.06</v>
      </c>
      <c r="I532" s="70">
        <v>1.06</v>
      </c>
      <c r="J532" s="70">
        <v>1.05</v>
      </c>
      <c r="K532" s="70">
        <v>1.04</v>
      </c>
      <c r="L532" s="70">
        <v>1.02</v>
      </c>
      <c r="M532" s="70">
        <v>1.01</v>
      </c>
      <c r="N532" s="70">
        <v>1</v>
      </c>
      <c r="O532" s="70">
        <v>0.99</v>
      </c>
      <c r="P532" s="71">
        <v>1.03</v>
      </c>
      <c r="Q532" s="64"/>
      <c r="R532" s="64"/>
      <c r="S532" s="64"/>
      <c r="T532" s="64"/>
      <c r="U532" s="64"/>
      <c r="V532" s="64"/>
      <c r="W532" s="64"/>
      <c r="X532" s="64"/>
      <c r="Y532" s="64"/>
      <c r="Z532" s="64"/>
    </row>
    <row r="533" spans="1:26" thickBot="1">
      <c r="A533" s="66" t="str">
        <f t="shared" si="24"/>
        <v>Latitude 2410</v>
      </c>
      <c r="B533" s="86">
        <v>24.1</v>
      </c>
      <c r="C533" s="70">
        <v>10</v>
      </c>
      <c r="D533" s="70">
        <v>0.99</v>
      </c>
      <c r="E533" s="70">
        <v>1.01</v>
      </c>
      <c r="F533" s="70">
        <v>1.05</v>
      </c>
      <c r="G533" s="70">
        <v>1.08</v>
      </c>
      <c r="H533" s="70">
        <v>1.1100000000000001</v>
      </c>
      <c r="I533" s="70">
        <v>1.1100000000000001</v>
      </c>
      <c r="J533" s="70">
        <v>1.0900000000000001</v>
      </c>
      <c r="K533" s="70">
        <v>1.07</v>
      </c>
      <c r="L533" s="70">
        <v>1.04</v>
      </c>
      <c r="M533" s="70">
        <v>1.01</v>
      </c>
      <c r="N533" s="70">
        <v>0.99</v>
      </c>
      <c r="O533" s="70">
        <v>0.98</v>
      </c>
      <c r="P533" s="71">
        <v>1.04</v>
      </c>
      <c r="Q533" s="64"/>
      <c r="R533" s="64"/>
      <c r="S533" s="64"/>
      <c r="T533" s="64"/>
      <c r="U533" s="64"/>
      <c r="V533" s="64"/>
      <c r="W533" s="64"/>
      <c r="X533" s="64"/>
      <c r="Y533" s="64"/>
      <c r="Z533" s="64"/>
    </row>
    <row r="534" spans="1:26" thickBot="1">
      <c r="A534" s="66" t="str">
        <f t="shared" si="24"/>
        <v>Latitude 2415</v>
      </c>
      <c r="B534" s="86">
        <v>24.15</v>
      </c>
      <c r="C534" s="70">
        <v>15</v>
      </c>
      <c r="D534" s="70">
        <v>0.97</v>
      </c>
      <c r="E534" s="70">
        <v>1.01</v>
      </c>
      <c r="F534" s="70">
        <v>1.06</v>
      </c>
      <c r="G534" s="70">
        <v>1.1100000000000001</v>
      </c>
      <c r="H534" s="70">
        <v>1.1499999999999999</v>
      </c>
      <c r="I534" s="70">
        <v>1.1499999999999999</v>
      </c>
      <c r="J534" s="70">
        <v>1.1200000000000001</v>
      </c>
      <c r="K534" s="70">
        <v>1.0900000000000001</v>
      </c>
      <c r="L534" s="70">
        <v>1.05</v>
      </c>
      <c r="M534" s="70">
        <v>1.01</v>
      </c>
      <c r="N534" s="70">
        <v>0.97</v>
      </c>
      <c r="O534" s="70">
        <v>0.96</v>
      </c>
      <c r="P534" s="71">
        <v>1.05</v>
      </c>
      <c r="Q534" s="64"/>
      <c r="R534" s="64"/>
      <c r="S534" s="64"/>
      <c r="T534" s="64"/>
      <c r="U534" s="64"/>
      <c r="V534" s="64"/>
      <c r="W534" s="64"/>
      <c r="X534" s="64"/>
      <c r="Y534" s="64"/>
      <c r="Z534" s="64"/>
    </row>
    <row r="535" spans="1:26" thickBot="1">
      <c r="A535" s="66" t="str">
        <f t="shared" si="24"/>
        <v>Latitude 2420</v>
      </c>
      <c r="B535" s="86">
        <v>24.2</v>
      </c>
      <c r="C535" s="70">
        <v>20</v>
      </c>
      <c r="D535" s="70">
        <v>0.95</v>
      </c>
      <c r="E535" s="70">
        <v>1</v>
      </c>
      <c r="F535" s="70">
        <v>1.07</v>
      </c>
      <c r="G535" s="70">
        <v>1.1399999999999999</v>
      </c>
      <c r="H535" s="70">
        <v>1.18</v>
      </c>
      <c r="I535" s="70">
        <v>1.18</v>
      </c>
      <c r="J535" s="70">
        <v>1.1499999999999999</v>
      </c>
      <c r="K535" s="70">
        <v>1.1100000000000001</v>
      </c>
      <c r="L535" s="70">
        <v>1.06</v>
      </c>
      <c r="M535" s="70">
        <v>1</v>
      </c>
      <c r="N535" s="70">
        <v>0.95</v>
      </c>
      <c r="O535" s="70">
        <v>0.93</v>
      </c>
      <c r="P535" s="71">
        <v>1.06</v>
      </c>
      <c r="Q535" s="64"/>
      <c r="R535" s="64"/>
      <c r="S535" s="64"/>
      <c r="T535" s="64"/>
      <c r="U535" s="64"/>
      <c r="V535" s="64"/>
      <c r="W535" s="64"/>
      <c r="X535" s="64"/>
      <c r="Y535" s="64"/>
      <c r="Z535" s="64"/>
    </row>
    <row r="536" spans="1:26" thickBot="1">
      <c r="A536" s="66" t="str">
        <f t="shared" si="24"/>
        <v>Latitude 2425</v>
      </c>
      <c r="B536" s="86">
        <v>24.25</v>
      </c>
      <c r="C536" s="70">
        <v>25</v>
      </c>
      <c r="D536" s="70">
        <v>0.92</v>
      </c>
      <c r="E536" s="70">
        <v>0.98</v>
      </c>
      <c r="F536" s="70">
        <v>1.07</v>
      </c>
      <c r="G536" s="70">
        <v>1.1499999999999999</v>
      </c>
      <c r="H536" s="70">
        <v>1.21</v>
      </c>
      <c r="I536" s="70">
        <v>1.21</v>
      </c>
      <c r="J536" s="70">
        <v>1.17</v>
      </c>
      <c r="K536" s="70">
        <v>1.1200000000000001</v>
      </c>
      <c r="L536" s="70">
        <v>1.05</v>
      </c>
      <c r="M536" s="70">
        <v>0.98</v>
      </c>
      <c r="N536" s="70">
        <v>0.92</v>
      </c>
      <c r="O536" s="70">
        <v>0.9</v>
      </c>
      <c r="P536" s="71">
        <v>1.06</v>
      </c>
      <c r="Q536" s="64"/>
      <c r="R536" s="64"/>
      <c r="S536" s="64"/>
      <c r="T536" s="64"/>
      <c r="U536" s="64"/>
      <c r="V536" s="64"/>
      <c r="W536" s="64"/>
      <c r="X536" s="64"/>
      <c r="Y536" s="64"/>
      <c r="Z536" s="64"/>
    </row>
    <row r="537" spans="1:26" thickBot="1">
      <c r="A537" s="66" t="str">
        <f t="shared" si="24"/>
        <v>Latitude 2430</v>
      </c>
      <c r="B537" s="86">
        <v>24.3</v>
      </c>
      <c r="C537" s="70">
        <v>30</v>
      </c>
      <c r="D537" s="70">
        <v>0.89</v>
      </c>
      <c r="E537" s="70">
        <v>0.96</v>
      </c>
      <c r="F537" s="70">
        <v>1.06</v>
      </c>
      <c r="G537" s="70">
        <v>1.1599999999999999</v>
      </c>
      <c r="H537" s="70">
        <v>1.23</v>
      </c>
      <c r="I537" s="70">
        <v>1.23</v>
      </c>
      <c r="J537" s="70">
        <v>1.19</v>
      </c>
      <c r="K537" s="70">
        <v>1.1200000000000001</v>
      </c>
      <c r="L537" s="70">
        <v>1.04</v>
      </c>
      <c r="M537" s="70">
        <v>0.96</v>
      </c>
      <c r="N537" s="70">
        <v>0.89</v>
      </c>
      <c r="O537" s="70">
        <v>0.86</v>
      </c>
      <c r="P537" s="71">
        <v>1.05</v>
      </c>
      <c r="Q537" s="64"/>
      <c r="R537" s="64"/>
      <c r="S537" s="64"/>
      <c r="T537" s="64"/>
      <c r="U537" s="64"/>
      <c r="V537" s="64"/>
      <c r="W537" s="64"/>
      <c r="X537" s="64"/>
      <c r="Y537" s="64"/>
      <c r="Z537" s="64"/>
    </row>
    <row r="538" spans="1:26" thickBot="1">
      <c r="A538" s="66" t="str">
        <f t="shared" si="24"/>
        <v>Latitude 2435</v>
      </c>
      <c r="B538" s="86">
        <v>24.35</v>
      </c>
      <c r="C538" s="70">
        <v>35</v>
      </c>
      <c r="D538" s="70">
        <v>0.85</v>
      </c>
      <c r="E538" s="70">
        <v>0.93</v>
      </c>
      <c r="F538" s="70">
        <v>1.04</v>
      </c>
      <c r="G538" s="70">
        <v>1.1599999999999999</v>
      </c>
      <c r="H538" s="70">
        <v>1.24</v>
      </c>
      <c r="I538" s="70">
        <v>1.24</v>
      </c>
      <c r="J538" s="70">
        <v>1.19</v>
      </c>
      <c r="K538" s="70">
        <v>1.1200000000000001</v>
      </c>
      <c r="L538" s="70">
        <v>1.03</v>
      </c>
      <c r="M538" s="70">
        <v>0.92</v>
      </c>
      <c r="N538" s="70">
        <v>0.85</v>
      </c>
      <c r="O538" s="70">
        <v>0.82</v>
      </c>
      <c r="P538" s="71">
        <v>1.03</v>
      </c>
      <c r="Q538" s="64"/>
      <c r="R538" s="64"/>
      <c r="S538" s="64"/>
      <c r="T538" s="64"/>
      <c r="U538" s="64"/>
      <c r="V538" s="64"/>
      <c r="W538" s="64"/>
      <c r="X538" s="64"/>
      <c r="Y538" s="64"/>
      <c r="Z538" s="64"/>
    </row>
    <row r="539" spans="1:26" thickBot="1">
      <c r="A539" s="66" t="str">
        <f t="shared" si="24"/>
        <v>Latitude 2440</v>
      </c>
      <c r="B539" s="86">
        <v>24.4</v>
      </c>
      <c r="C539" s="70">
        <v>40</v>
      </c>
      <c r="D539" s="70">
        <v>0.8</v>
      </c>
      <c r="E539" s="70">
        <v>0.89</v>
      </c>
      <c r="F539" s="70">
        <v>1.02</v>
      </c>
      <c r="G539" s="70">
        <v>1.1599999999999999</v>
      </c>
      <c r="H539" s="70">
        <v>1.25</v>
      </c>
      <c r="I539" s="70">
        <v>1.25</v>
      </c>
      <c r="J539" s="70">
        <v>1.19</v>
      </c>
      <c r="K539" s="70">
        <v>1.1100000000000001</v>
      </c>
      <c r="L539" s="70">
        <v>1</v>
      </c>
      <c r="M539" s="70">
        <v>0.89</v>
      </c>
      <c r="N539" s="70">
        <v>0.8</v>
      </c>
      <c r="O539" s="70">
        <v>0.77</v>
      </c>
      <c r="P539" s="71">
        <v>1.01</v>
      </c>
      <c r="Q539" s="64"/>
      <c r="R539" s="64"/>
      <c r="S539" s="64"/>
      <c r="T539" s="64"/>
      <c r="U539" s="64"/>
      <c r="V539" s="64"/>
      <c r="W539" s="64"/>
      <c r="X539" s="64"/>
      <c r="Y539" s="64"/>
      <c r="Z539" s="64"/>
    </row>
    <row r="540" spans="1:26" thickBot="1">
      <c r="A540" s="66" t="str">
        <f t="shared" si="24"/>
        <v>Latitude 2445</v>
      </c>
      <c r="B540" s="86">
        <v>24.45</v>
      </c>
      <c r="C540" s="70">
        <v>45</v>
      </c>
      <c r="D540" s="70">
        <v>0.74</v>
      </c>
      <c r="E540" s="70">
        <v>0.84</v>
      </c>
      <c r="F540" s="70">
        <v>0.99</v>
      </c>
      <c r="G540" s="70">
        <v>1.1399999999999999</v>
      </c>
      <c r="H540" s="70">
        <v>1.24</v>
      </c>
      <c r="I540" s="70">
        <v>1.25</v>
      </c>
      <c r="J540" s="70">
        <v>1.18</v>
      </c>
      <c r="K540" s="70">
        <v>1.0900000000000001</v>
      </c>
      <c r="L540" s="70">
        <v>0.97</v>
      </c>
      <c r="M540" s="70">
        <v>0.84</v>
      </c>
      <c r="N540" s="70">
        <v>0.75</v>
      </c>
      <c r="O540" s="70">
        <v>0.71</v>
      </c>
      <c r="P540" s="71">
        <v>0.98</v>
      </c>
      <c r="Q540" s="64"/>
      <c r="R540" s="64"/>
      <c r="S540" s="64"/>
      <c r="T540" s="64"/>
      <c r="U540" s="64"/>
      <c r="V540" s="64"/>
      <c r="W540" s="64"/>
      <c r="X540" s="64"/>
      <c r="Y540" s="64"/>
      <c r="Z540" s="64"/>
    </row>
    <row r="541" spans="1:26" thickBot="1">
      <c r="A541" s="66" t="str">
        <f t="shared" si="24"/>
        <v>Latitude 2450</v>
      </c>
      <c r="B541" s="86">
        <v>24.5</v>
      </c>
      <c r="C541" s="70">
        <v>50</v>
      </c>
      <c r="D541" s="70">
        <v>0.69</v>
      </c>
      <c r="E541" s="70">
        <v>0.79</v>
      </c>
      <c r="F541" s="70">
        <v>0.95</v>
      </c>
      <c r="G541" s="70">
        <v>1.1200000000000001</v>
      </c>
      <c r="H541" s="70">
        <v>1.23</v>
      </c>
      <c r="I541" s="70">
        <v>1.24</v>
      </c>
      <c r="J541" s="70">
        <v>1.17</v>
      </c>
      <c r="K541" s="70">
        <v>1.07</v>
      </c>
      <c r="L541" s="70">
        <v>0.94</v>
      </c>
      <c r="M541" s="70">
        <v>0.8</v>
      </c>
      <c r="N541" s="70">
        <v>0.69</v>
      </c>
      <c r="O541" s="70">
        <v>0.65</v>
      </c>
      <c r="P541" s="71">
        <v>0.95</v>
      </c>
      <c r="Q541" s="64"/>
      <c r="R541" s="64"/>
      <c r="S541" s="64"/>
      <c r="T541" s="64"/>
      <c r="U541" s="64"/>
      <c r="V541" s="64"/>
      <c r="W541" s="64"/>
      <c r="X541" s="64"/>
      <c r="Y541" s="64"/>
      <c r="Z541" s="64"/>
    </row>
    <row r="542" spans="1:26" thickBot="1">
      <c r="A542" s="66" t="str">
        <f t="shared" si="24"/>
        <v>Latitude 2455</v>
      </c>
      <c r="B542" s="86">
        <v>24.55</v>
      </c>
      <c r="C542" s="70">
        <v>55</v>
      </c>
      <c r="D542" s="70">
        <v>0.62</v>
      </c>
      <c r="E542" s="70">
        <v>0.74</v>
      </c>
      <c r="F542" s="70">
        <v>0.91</v>
      </c>
      <c r="G542" s="70">
        <v>1.0900000000000001</v>
      </c>
      <c r="H542" s="70">
        <v>1.21</v>
      </c>
      <c r="I542" s="70">
        <v>1.22</v>
      </c>
      <c r="J542" s="70">
        <v>1.1499999999999999</v>
      </c>
      <c r="K542" s="70">
        <v>1.04</v>
      </c>
      <c r="L542" s="70">
        <v>0.89</v>
      </c>
      <c r="M542" s="70">
        <v>0.74</v>
      </c>
      <c r="N542" s="70">
        <v>0.63</v>
      </c>
      <c r="O542" s="70">
        <v>0.57999999999999996</v>
      </c>
      <c r="P542" s="71">
        <v>0.9</v>
      </c>
      <c r="Q542" s="64"/>
      <c r="R542" s="64"/>
      <c r="S542" s="64"/>
      <c r="T542" s="64"/>
      <c r="U542" s="64"/>
      <c r="V542" s="64"/>
      <c r="W542" s="64"/>
      <c r="X542" s="64"/>
      <c r="Y542" s="64"/>
      <c r="Z542" s="64"/>
    </row>
    <row r="543" spans="1:26" thickBot="1">
      <c r="A543" s="66" t="str">
        <f t="shared" si="24"/>
        <v>Latitude 2460</v>
      </c>
      <c r="B543" s="86">
        <v>24.6</v>
      </c>
      <c r="C543" s="70">
        <v>60</v>
      </c>
      <c r="D543" s="70">
        <v>0.56000000000000005</v>
      </c>
      <c r="E543" s="70">
        <v>0.68</v>
      </c>
      <c r="F543" s="70">
        <v>0.86</v>
      </c>
      <c r="G543" s="70">
        <v>1.05</v>
      </c>
      <c r="H543" s="70">
        <v>1.18</v>
      </c>
      <c r="I543" s="70">
        <v>1.19</v>
      </c>
      <c r="J543" s="70">
        <v>1.1200000000000001</v>
      </c>
      <c r="K543" s="70">
        <v>1</v>
      </c>
      <c r="L543" s="70">
        <v>0.85</v>
      </c>
      <c r="M543" s="70">
        <v>0.68</v>
      </c>
      <c r="N543" s="70">
        <v>0.56000000000000005</v>
      </c>
      <c r="O543" s="70">
        <v>0.52</v>
      </c>
      <c r="P543" s="71">
        <v>0.85</v>
      </c>
      <c r="Q543" s="64"/>
      <c r="R543" s="64"/>
      <c r="S543" s="64"/>
      <c r="T543" s="64"/>
      <c r="U543" s="64"/>
      <c r="V543" s="64"/>
      <c r="W543" s="64"/>
      <c r="X543" s="64"/>
      <c r="Y543" s="64"/>
      <c r="Z543" s="64"/>
    </row>
    <row r="544" spans="1:26" thickBot="1">
      <c r="A544" s="66" t="str">
        <f t="shared" si="24"/>
        <v>Latitude 2465</v>
      </c>
      <c r="B544" s="86">
        <v>24.65</v>
      </c>
      <c r="C544" s="70">
        <v>65</v>
      </c>
      <c r="D544" s="70">
        <v>0.49</v>
      </c>
      <c r="E544" s="70">
        <v>0.62</v>
      </c>
      <c r="F544" s="70">
        <v>0.8</v>
      </c>
      <c r="G544" s="70">
        <v>1</v>
      </c>
      <c r="H544" s="70">
        <v>1.1399999999999999</v>
      </c>
      <c r="I544" s="70">
        <v>1.1599999999999999</v>
      </c>
      <c r="J544" s="70">
        <v>1.08</v>
      </c>
      <c r="K544" s="70">
        <v>0.96</v>
      </c>
      <c r="L544" s="70">
        <v>0.79</v>
      </c>
      <c r="M544" s="70">
        <v>0.62</v>
      </c>
      <c r="N544" s="70">
        <v>0.49</v>
      </c>
      <c r="O544" s="70">
        <v>0.44</v>
      </c>
      <c r="P544" s="71">
        <v>0.8</v>
      </c>
      <c r="Q544" s="64"/>
      <c r="R544" s="64"/>
      <c r="S544" s="64"/>
      <c r="T544" s="64"/>
      <c r="U544" s="64"/>
      <c r="V544" s="64"/>
      <c r="W544" s="64"/>
      <c r="X544" s="64"/>
      <c r="Y544" s="64"/>
      <c r="Z544" s="64"/>
    </row>
    <row r="545" spans="1:26" thickBot="1">
      <c r="A545" s="66" t="str">
        <f t="shared" si="24"/>
        <v>Latitude 2470</v>
      </c>
      <c r="B545" s="86">
        <v>24.7</v>
      </c>
      <c r="C545" s="70">
        <v>70</v>
      </c>
      <c r="D545" s="70">
        <v>0.41</v>
      </c>
      <c r="E545" s="70">
        <v>0.55000000000000004</v>
      </c>
      <c r="F545" s="70">
        <v>0.74</v>
      </c>
      <c r="G545" s="70">
        <v>0.95</v>
      </c>
      <c r="H545" s="70">
        <v>1.1000000000000001</v>
      </c>
      <c r="I545" s="70">
        <v>1.1200000000000001</v>
      </c>
      <c r="J545" s="70">
        <v>1.04</v>
      </c>
      <c r="K545" s="70">
        <v>0.91</v>
      </c>
      <c r="L545" s="70">
        <v>0.73</v>
      </c>
      <c r="M545" s="70">
        <v>0.56000000000000005</v>
      </c>
      <c r="N545" s="70">
        <v>0.42</v>
      </c>
      <c r="O545" s="70">
        <v>0.37</v>
      </c>
      <c r="P545" s="71">
        <v>0.74</v>
      </c>
      <c r="Q545" s="64"/>
      <c r="R545" s="64"/>
      <c r="S545" s="64"/>
      <c r="T545" s="64"/>
      <c r="U545" s="64"/>
      <c r="V545" s="64"/>
      <c r="W545" s="64"/>
      <c r="X545" s="64"/>
      <c r="Y545" s="64"/>
      <c r="Z545" s="64"/>
    </row>
    <row r="546" spans="1:26" thickBot="1">
      <c r="A546" s="66" t="str">
        <f t="shared" si="24"/>
        <v>Latitude 2475</v>
      </c>
      <c r="B546" s="86">
        <v>24.75</v>
      </c>
      <c r="C546" s="70">
        <v>75</v>
      </c>
      <c r="D546" s="70">
        <v>0.34</v>
      </c>
      <c r="E546" s="70">
        <v>0.48</v>
      </c>
      <c r="F546" s="70">
        <v>0.68</v>
      </c>
      <c r="G546" s="70">
        <v>0.9</v>
      </c>
      <c r="H546" s="70">
        <v>1.05</v>
      </c>
      <c r="I546" s="70">
        <v>1.07</v>
      </c>
      <c r="J546" s="70">
        <v>0.99</v>
      </c>
      <c r="K546" s="70">
        <v>0.85</v>
      </c>
      <c r="L546" s="70">
        <v>0.67</v>
      </c>
      <c r="M546" s="70">
        <v>0.49</v>
      </c>
      <c r="N546" s="70">
        <v>0.35</v>
      </c>
      <c r="O546" s="70">
        <v>0.28999999999999998</v>
      </c>
      <c r="P546" s="71">
        <v>0.68</v>
      </c>
      <c r="Q546" s="64"/>
      <c r="R546" s="64"/>
      <c r="S546" s="64"/>
      <c r="T546" s="64"/>
      <c r="U546" s="64"/>
      <c r="V546" s="64"/>
      <c r="W546" s="64"/>
      <c r="X546" s="64"/>
      <c r="Y546" s="64"/>
      <c r="Z546" s="64"/>
    </row>
    <row r="547" spans="1:26" thickBot="1">
      <c r="A547" s="66" t="str">
        <f t="shared" si="24"/>
        <v>Latitude 2480</v>
      </c>
      <c r="B547" s="86">
        <v>24.8</v>
      </c>
      <c r="C547" s="70">
        <v>80</v>
      </c>
      <c r="D547" s="70">
        <v>0.26</v>
      </c>
      <c r="E547" s="70">
        <v>0.4</v>
      </c>
      <c r="F547" s="70">
        <v>0.61</v>
      </c>
      <c r="G547" s="70">
        <v>0.83</v>
      </c>
      <c r="H547" s="70">
        <v>0.99</v>
      </c>
      <c r="I547" s="70">
        <v>1.02</v>
      </c>
      <c r="J547" s="70">
        <v>0.93</v>
      </c>
      <c r="K547" s="70">
        <v>0.79</v>
      </c>
      <c r="L547" s="70">
        <v>0.6</v>
      </c>
      <c r="M547" s="70">
        <v>0.41</v>
      </c>
      <c r="N547" s="70">
        <v>0.27</v>
      </c>
      <c r="O547" s="70">
        <v>0.21</v>
      </c>
      <c r="P547" s="71">
        <v>0.61</v>
      </c>
      <c r="Q547" s="64"/>
      <c r="R547" s="64"/>
      <c r="S547" s="64"/>
      <c r="T547" s="64"/>
      <c r="U547" s="64"/>
      <c r="V547" s="64"/>
      <c r="W547" s="64"/>
      <c r="X547" s="64"/>
      <c r="Y547" s="64"/>
      <c r="Z547" s="64"/>
    </row>
    <row r="548" spans="1:26" thickBot="1">
      <c r="A548" s="66" t="str">
        <f t="shared" si="24"/>
        <v>Latitude 2485</v>
      </c>
      <c r="B548" s="86">
        <v>24.85</v>
      </c>
      <c r="C548" s="70">
        <v>85</v>
      </c>
      <c r="D548" s="70">
        <v>0.18</v>
      </c>
      <c r="E548" s="70">
        <v>0.32</v>
      </c>
      <c r="F548" s="70">
        <v>0.53</v>
      </c>
      <c r="G548" s="70">
        <v>0.76</v>
      </c>
      <c r="H548" s="70">
        <v>0.93</v>
      </c>
      <c r="I548" s="70">
        <v>0.96</v>
      </c>
      <c r="J548" s="70">
        <v>0.87</v>
      </c>
      <c r="K548" s="70">
        <v>0.73</v>
      </c>
      <c r="L548" s="70">
        <v>0.53</v>
      </c>
      <c r="M548" s="70">
        <v>0.34</v>
      </c>
      <c r="N548" s="70">
        <v>0.19</v>
      </c>
      <c r="O548" s="70">
        <v>0.13</v>
      </c>
      <c r="P548" s="71">
        <v>0.54</v>
      </c>
      <c r="Q548" s="64"/>
      <c r="R548" s="64"/>
      <c r="S548" s="64"/>
      <c r="T548" s="64"/>
      <c r="U548" s="64"/>
      <c r="V548" s="64"/>
      <c r="W548" s="64"/>
      <c r="X548" s="64"/>
      <c r="Y548" s="64"/>
      <c r="Z548" s="64"/>
    </row>
    <row r="549" spans="1:26" thickBot="1">
      <c r="A549" s="66" t="str">
        <f t="shared" si="24"/>
        <v>Latitude 2490</v>
      </c>
      <c r="B549" s="86">
        <v>24.9</v>
      </c>
      <c r="C549" s="70">
        <v>90</v>
      </c>
      <c r="D549" s="70">
        <v>0.1</v>
      </c>
      <c r="E549" s="70">
        <v>0.24</v>
      </c>
      <c r="F549" s="70">
        <v>0.46</v>
      </c>
      <c r="G549" s="70">
        <v>0.69</v>
      </c>
      <c r="H549" s="70">
        <v>0.86</v>
      </c>
      <c r="I549" s="70">
        <v>0.89</v>
      </c>
      <c r="J549" s="70">
        <v>0.81</v>
      </c>
      <c r="K549" s="70">
        <v>0.66</v>
      </c>
      <c r="L549" s="70">
        <v>0.46</v>
      </c>
      <c r="M549" s="70">
        <v>0.26</v>
      </c>
      <c r="N549" s="70">
        <v>0.11</v>
      </c>
      <c r="O549" s="70">
        <v>0.08</v>
      </c>
      <c r="P549" s="71">
        <v>0.47</v>
      </c>
      <c r="Q549" s="64"/>
      <c r="R549" s="64"/>
      <c r="S549" s="64"/>
      <c r="T549" s="64"/>
      <c r="U549" s="64"/>
      <c r="V549" s="64"/>
      <c r="W549" s="64"/>
      <c r="X549" s="64"/>
      <c r="Y549" s="64"/>
      <c r="Z549" s="64"/>
    </row>
    <row r="550" spans="1:26" thickBot="1">
      <c r="A550" s="66"/>
      <c r="B550" s="88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66"/>
      <c r="Q550" s="64"/>
      <c r="R550" s="64"/>
      <c r="S550" s="64"/>
      <c r="T550" s="64"/>
      <c r="U550" s="64"/>
      <c r="V550" s="64"/>
      <c r="W550" s="64"/>
      <c r="X550" s="64"/>
      <c r="Y550" s="64"/>
      <c r="Z550" s="64"/>
    </row>
    <row r="551" spans="1:26" thickBot="1">
      <c r="A551" s="66"/>
      <c r="B551" s="88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66"/>
      <c r="Q551" s="64"/>
      <c r="R551" s="64"/>
      <c r="S551" s="64"/>
      <c r="T551" s="64"/>
      <c r="U551" s="64"/>
      <c r="V551" s="64"/>
      <c r="W551" s="64"/>
      <c r="X551" s="64"/>
      <c r="Y551" s="64"/>
      <c r="Z551" s="64"/>
    </row>
    <row r="552" spans="1:26" thickBot="1">
      <c r="A552" s="66"/>
      <c r="B552" s="85" t="s">
        <v>5889</v>
      </c>
      <c r="C552" s="75" t="s">
        <v>5853</v>
      </c>
      <c r="D552" s="75" t="s">
        <v>5827</v>
      </c>
      <c r="E552" s="75" t="s">
        <v>5828</v>
      </c>
      <c r="F552" s="75" t="s">
        <v>5829</v>
      </c>
      <c r="G552" s="75" t="s">
        <v>5830</v>
      </c>
      <c r="H552" s="75" t="s">
        <v>5831</v>
      </c>
      <c r="I552" s="75" t="s">
        <v>5832</v>
      </c>
      <c r="J552" s="75" t="s">
        <v>5833</v>
      </c>
      <c r="K552" s="75" t="s">
        <v>5834</v>
      </c>
      <c r="L552" s="75" t="s">
        <v>5835</v>
      </c>
      <c r="M552" s="75" t="s">
        <v>5836</v>
      </c>
      <c r="N552" s="75" t="s">
        <v>5837</v>
      </c>
      <c r="O552" s="75" t="s">
        <v>5838</v>
      </c>
      <c r="P552" s="74" t="s">
        <v>20</v>
      </c>
      <c r="Q552" s="64"/>
      <c r="R552" s="64"/>
      <c r="S552" s="64"/>
      <c r="T552" s="64"/>
      <c r="U552" s="64"/>
      <c r="V552" s="64"/>
      <c r="W552" s="64"/>
      <c r="X552" s="64"/>
      <c r="Y552" s="64"/>
      <c r="Z552" s="64"/>
    </row>
    <row r="553" spans="1:26" thickBot="1">
      <c r="A553" s="66" t="str">
        <f>$B$552&amp;C553</f>
        <v>Latitude 250</v>
      </c>
      <c r="B553" s="86">
        <v>25</v>
      </c>
      <c r="C553" s="78">
        <v>0</v>
      </c>
      <c r="D553" s="78">
        <v>1</v>
      </c>
      <c r="E553" s="78">
        <v>1</v>
      </c>
      <c r="F553" s="78">
        <v>1</v>
      </c>
      <c r="G553" s="78">
        <v>1</v>
      </c>
      <c r="H553" s="78">
        <v>1</v>
      </c>
      <c r="I553" s="78">
        <v>1</v>
      </c>
      <c r="J553" s="78">
        <v>1</v>
      </c>
      <c r="K553" s="78">
        <v>1</v>
      </c>
      <c r="L553" s="78">
        <v>1</v>
      </c>
      <c r="M553" s="78">
        <v>1</v>
      </c>
      <c r="N553" s="78">
        <v>1</v>
      </c>
      <c r="O553" s="78">
        <v>1</v>
      </c>
      <c r="P553" s="71">
        <v>1</v>
      </c>
      <c r="Q553" s="64"/>
      <c r="R553" s="64"/>
      <c r="S553" s="64"/>
      <c r="T553" s="64"/>
      <c r="U553" s="64"/>
      <c r="V553" s="64"/>
      <c r="W553" s="64"/>
      <c r="X553" s="64"/>
      <c r="Y553" s="64"/>
      <c r="Z553" s="64"/>
    </row>
    <row r="554" spans="1:26" thickBot="1">
      <c r="A554" s="66" t="str">
        <f t="shared" ref="A554:A571" si="25">$B$552&amp;C554</f>
        <v>Latitude 255</v>
      </c>
      <c r="B554" s="86">
        <v>25.5</v>
      </c>
      <c r="C554" s="78">
        <v>5</v>
      </c>
      <c r="D554" s="78">
        <v>1</v>
      </c>
      <c r="E554" s="78">
        <v>1.01</v>
      </c>
      <c r="F554" s="78">
        <v>1.03</v>
      </c>
      <c r="G554" s="78">
        <v>1.05</v>
      </c>
      <c r="H554" s="78">
        <v>1.06</v>
      </c>
      <c r="I554" s="78">
        <v>1.06</v>
      </c>
      <c r="J554" s="78">
        <v>1.05</v>
      </c>
      <c r="K554" s="78">
        <v>1.04</v>
      </c>
      <c r="L554" s="78">
        <v>1.03</v>
      </c>
      <c r="M554" s="78">
        <v>1.01</v>
      </c>
      <c r="N554" s="78">
        <v>1</v>
      </c>
      <c r="O554" s="78">
        <v>1</v>
      </c>
      <c r="P554" s="71">
        <v>1.03</v>
      </c>
      <c r="Q554" s="64"/>
      <c r="R554" s="64"/>
      <c r="S554" s="64"/>
      <c r="T554" s="64"/>
      <c r="U554" s="64"/>
      <c r="V554" s="64"/>
      <c r="W554" s="64"/>
      <c r="X554" s="64"/>
      <c r="Y554" s="64"/>
      <c r="Z554" s="64"/>
    </row>
    <row r="555" spans="1:26" thickBot="1">
      <c r="A555" s="66" t="str">
        <f t="shared" si="25"/>
        <v>Latitude 2510</v>
      </c>
      <c r="B555" s="86">
        <v>25.1</v>
      </c>
      <c r="C555" s="78">
        <v>10</v>
      </c>
      <c r="D555" s="78">
        <v>0.99</v>
      </c>
      <c r="E555" s="78">
        <v>1.02</v>
      </c>
      <c r="F555" s="78">
        <v>1.05</v>
      </c>
      <c r="G555" s="78">
        <v>1.0900000000000001</v>
      </c>
      <c r="H555" s="78">
        <v>1.1100000000000001</v>
      </c>
      <c r="I555" s="78">
        <v>1.1100000000000001</v>
      </c>
      <c r="J555" s="78">
        <v>1.0900000000000001</v>
      </c>
      <c r="K555" s="78">
        <v>1.07</v>
      </c>
      <c r="L555" s="78">
        <v>1.04</v>
      </c>
      <c r="M555" s="78">
        <v>1.01</v>
      </c>
      <c r="N555" s="78">
        <v>0.99</v>
      </c>
      <c r="O555" s="78">
        <v>0.98</v>
      </c>
      <c r="P555" s="71">
        <v>1.05</v>
      </c>
      <c r="Q555" s="64"/>
      <c r="R555" s="64"/>
      <c r="S555" s="64"/>
      <c r="T555" s="64"/>
      <c r="U555" s="64"/>
      <c r="V555" s="64"/>
      <c r="W555" s="64"/>
      <c r="X555" s="64"/>
      <c r="Y555" s="64"/>
      <c r="Z555" s="64"/>
    </row>
    <row r="556" spans="1:26" thickBot="1">
      <c r="A556" s="66" t="str">
        <f t="shared" si="25"/>
        <v>Latitude 2515</v>
      </c>
      <c r="B556" s="86">
        <v>25.15</v>
      </c>
      <c r="C556" s="78">
        <v>15</v>
      </c>
      <c r="D556" s="78">
        <v>0.98</v>
      </c>
      <c r="E556" s="78">
        <v>1.01</v>
      </c>
      <c r="F556" s="78">
        <v>1.07</v>
      </c>
      <c r="G556" s="78">
        <v>1.1200000000000001</v>
      </c>
      <c r="H556" s="78">
        <v>1.1499999999999999</v>
      </c>
      <c r="I556" s="78">
        <v>1.1499999999999999</v>
      </c>
      <c r="J556" s="78">
        <v>1.1299999999999999</v>
      </c>
      <c r="K556" s="78">
        <v>1.1000000000000001</v>
      </c>
      <c r="L556" s="78">
        <v>1.06</v>
      </c>
      <c r="M556" s="78">
        <v>1.01</v>
      </c>
      <c r="N556" s="78">
        <v>0.98</v>
      </c>
      <c r="O556" s="78">
        <v>0.96</v>
      </c>
      <c r="P556" s="71">
        <v>1.06</v>
      </c>
      <c r="Q556" s="64"/>
      <c r="R556" s="64"/>
      <c r="S556" s="64"/>
      <c r="T556" s="64"/>
      <c r="U556" s="64"/>
      <c r="V556" s="64"/>
      <c r="W556" s="64"/>
      <c r="X556" s="64"/>
      <c r="Y556" s="64"/>
      <c r="Z556" s="64"/>
    </row>
    <row r="557" spans="1:26" thickBot="1">
      <c r="A557" s="66" t="str">
        <f t="shared" si="25"/>
        <v>Latitude 2520</v>
      </c>
      <c r="B557" s="86">
        <v>25.2</v>
      </c>
      <c r="C557" s="78">
        <v>20</v>
      </c>
      <c r="D557" s="78">
        <v>0.96</v>
      </c>
      <c r="E557" s="78">
        <v>1</v>
      </c>
      <c r="F557" s="78">
        <v>1.07</v>
      </c>
      <c r="G557" s="78">
        <v>1.1399999999999999</v>
      </c>
      <c r="H557" s="78">
        <v>1.19</v>
      </c>
      <c r="I557" s="78">
        <v>1.19</v>
      </c>
      <c r="J557" s="78">
        <v>1.1599999999999999</v>
      </c>
      <c r="K557" s="78">
        <v>1.1200000000000001</v>
      </c>
      <c r="L557" s="78">
        <v>1.06</v>
      </c>
      <c r="M557" s="78">
        <v>1</v>
      </c>
      <c r="N557" s="78">
        <v>0.96</v>
      </c>
      <c r="O557" s="78">
        <v>0.94</v>
      </c>
      <c r="P557" s="71">
        <v>1.07</v>
      </c>
      <c r="Q557" s="64"/>
      <c r="R557" s="64"/>
      <c r="S557" s="64"/>
      <c r="T557" s="64"/>
      <c r="U557" s="64"/>
      <c r="V557" s="64"/>
      <c r="W557" s="64"/>
      <c r="X557" s="64"/>
      <c r="Y557" s="64"/>
      <c r="Z557" s="64"/>
    </row>
    <row r="558" spans="1:26" thickBot="1">
      <c r="A558" s="66" t="str">
        <f t="shared" si="25"/>
        <v>Latitude 2525</v>
      </c>
      <c r="B558" s="86">
        <v>25.25</v>
      </c>
      <c r="C558" s="78">
        <v>25</v>
      </c>
      <c r="D558" s="78">
        <v>0.93</v>
      </c>
      <c r="E558" s="78">
        <v>0.99</v>
      </c>
      <c r="F558" s="78">
        <v>1.07</v>
      </c>
      <c r="G558" s="78">
        <v>1.1599999999999999</v>
      </c>
      <c r="H558" s="78">
        <v>1.22</v>
      </c>
      <c r="I558" s="78">
        <v>1.22</v>
      </c>
      <c r="J558" s="78">
        <v>1.18</v>
      </c>
      <c r="K558" s="78">
        <v>1.1299999999999999</v>
      </c>
      <c r="L558" s="78">
        <v>1.06</v>
      </c>
      <c r="M558" s="78">
        <v>0.99</v>
      </c>
      <c r="N558" s="78">
        <v>0.93</v>
      </c>
      <c r="O558" s="78">
        <v>0.91</v>
      </c>
      <c r="P558" s="71">
        <v>1.07</v>
      </c>
      <c r="Q558" s="64"/>
      <c r="R558" s="64"/>
      <c r="S558" s="64"/>
      <c r="T558" s="64"/>
      <c r="U558" s="64"/>
      <c r="V558" s="64"/>
      <c r="W558" s="64"/>
      <c r="X558" s="64"/>
      <c r="Y558" s="64"/>
      <c r="Z558" s="64"/>
    </row>
    <row r="559" spans="1:26" thickBot="1">
      <c r="A559" s="66" t="str">
        <f t="shared" si="25"/>
        <v>Latitude 2530</v>
      </c>
      <c r="B559" s="86">
        <v>25.3</v>
      </c>
      <c r="C559" s="78">
        <v>30</v>
      </c>
      <c r="D559" s="78">
        <v>0.89</v>
      </c>
      <c r="E559" s="78">
        <v>0.96</v>
      </c>
      <c r="F559" s="78">
        <v>1.07</v>
      </c>
      <c r="G559" s="78">
        <v>1.17</v>
      </c>
      <c r="H559" s="78">
        <v>1.24</v>
      </c>
      <c r="I559" s="78">
        <v>1.24</v>
      </c>
      <c r="J559" s="78">
        <v>1.19</v>
      </c>
      <c r="K559" s="78">
        <v>1.1299999999999999</v>
      </c>
      <c r="L559" s="78">
        <v>1.05</v>
      </c>
      <c r="M559" s="78">
        <v>0.96</v>
      </c>
      <c r="N559" s="78">
        <v>0.9</v>
      </c>
      <c r="O559" s="78">
        <v>0.87</v>
      </c>
      <c r="P559" s="71">
        <v>1.06</v>
      </c>
      <c r="Q559" s="64"/>
      <c r="R559" s="64"/>
      <c r="S559" s="64"/>
      <c r="T559" s="64"/>
      <c r="U559" s="64"/>
      <c r="V559" s="64"/>
      <c r="W559" s="64"/>
      <c r="X559" s="64"/>
      <c r="Y559" s="64"/>
      <c r="Z559" s="64"/>
    </row>
    <row r="560" spans="1:26" thickBot="1">
      <c r="A560" s="66" t="str">
        <f t="shared" si="25"/>
        <v>Latitude 2535</v>
      </c>
      <c r="B560" s="86">
        <v>25.35</v>
      </c>
      <c r="C560" s="78">
        <v>35</v>
      </c>
      <c r="D560" s="78">
        <v>0.85</v>
      </c>
      <c r="E560" s="78">
        <v>0.93</v>
      </c>
      <c r="F560" s="78">
        <v>1.05</v>
      </c>
      <c r="G560" s="78">
        <v>1.17</v>
      </c>
      <c r="H560" s="78">
        <v>1.25</v>
      </c>
      <c r="I560" s="78">
        <v>1.26</v>
      </c>
      <c r="J560" s="78">
        <v>1.2</v>
      </c>
      <c r="K560" s="78">
        <v>1.1299999999999999</v>
      </c>
      <c r="L560" s="78">
        <v>1.03</v>
      </c>
      <c r="M560" s="78">
        <v>0.93</v>
      </c>
      <c r="N560" s="78">
        <v>0.86</v>
      </c>
      <c r="O560" s="78">
        <v>0.83</v>
      </c>
      <c r="P560" s="71">
        <v>1.04</v>
      </c>
      <c r="Q560" s="64"/>
      <c r="R560" s="64"/>
      <c r="S560" s="64"/>
      <c r="T560" s="64"/>
      <c r="U560" s="64"/>
      <c r="V560" s="64"/>
      <c r="W560" s="64"/>
      <c r="X560" s="64"/>
      <c r="Y560" s="64"/>
      <c r="Z560" s="64"/>
    </row>
    <row r="561" spans="1:26" thickBot="1">
      <c r="A561" s="66" t="str">
        <f t="shared" si="25"/>
        <v>Latitude 2540</v>
      </c>
      <c r="B561" s="86">
        <v>25.4</v>
      </c>
      <c r="C561" s="78">
        <v>40</v>
      </c>
      <c r="D561" s="78">
        <v>0.81</v>
      </c>
      <c r="E561" s="78">
        <v>0.9</v>
      </c>
      <c r="F561" s="78">
        <v>1.03</v>
      </c>
      <c r="G561" s="78">
        <v>1.17</v>
      </c>
      <c r="H561" s="78">
        <v>1.26</v>
      </c>
      <c r="I561" s="78">
        <v>1.26</v>
      </c>
      <c r="J561" s="78">
        <v>1.2</v>
      </c>
      <c r="K561" s="78">
        <v>1.1200000000000001</v>
      </c>
      <c r="L561" s="78">
        <v>1.01</v>
      </c>
      <c r="M561" s="78">
        <v>0.9</v>
      </c>
      <c r="N561" s="78">
        <v>0.81</v>
      </c>
      <c r="O561" s="78">
        <v>0.78</v>
      </c>
      <c r="P561" s="71">
        <v>1.02</v>
      </c>
      <c r="Q561" s="64"/>
      <c r="R561" s="64"/>
      <c r="S561" s="64"/>
      <c r="T561" s="64"/>
      <c r="U561" s="64"/>
      <c r="V561" s="64"/>
      <c r="W561" s="64"/>
      <c r="X561" s="64"/>
      <c r="Y561" s="64"/>
      <c r="Z561" s="64"/>
    </row>
    <row r="562" spans="1:26" thickBot="1">
      <c r="A562" s="66" t="str">
        <f t="shared" si="25"/>
        <v>Latitude 2545</v>
      </c>
      <c r="B562" s="86">
        <v>25.45</v>
      </c>
      <c r="C562" s="78">
        <v>45</v>
      </c>
      <c r="D562" s="78">
        <v>0.76</v>
      </c>
      <c r="E562" s="78">
        <v>0.86</v>
      </c>
      <c r="F562" s="78">
        <v>1</v>
      </c>
      <c r="G562" s="78">
        <v>1.1499999999999999</v>
      </c>
      <c r="H562" s="78">
        <v>1.26</v>
      </c>
      <c r="I562" s="78">
        <v>1.26</v>
      </c>
      <c r="J562" s="78">
        <v>1.2</v>
      </c>
      <c r="K562" s="78">
        <v>1.1000000000000001</v>
      </c>
      <c r="L562" s="78">
        <v>0.98</v>
      </c>
      <c r="M562" s="78">
        <v>0.85</v>
      </c>
      <c r="N562" s="78">
        <v>0.76</v>
      </c>
      <c r="O562" s="78">
        <v>0.72</v>
      </c>
      <c r="P562" s="71">
        <v>0.99</v>
      </c>
      <c r="Q562" s="64"/>
      <c r="R562" s="64"/>
      <c r="S562" s="64"/>
      <c r="T562" s="64"/>
      <c r="U562" s="64"/>
      <c r="V562" s="64"/>
      <c r="W562" s="64"/>
      <c r="X562" s="64"/>
      <c r="Y562" s="64"/>
      <c r="Z562" s="64"/>
    </row>
    <row r="563" spans="1:26" thickBot="1">
      <c r="A563" s="66" t="str">
        <f t="shared" si="25"/>
        <v>Latitude 2550</v>
      </c>
      <c r="B563" s="86">
        <v>25.5</v>
      </c>
      <c r="C563" s="78">
        <v>50</v>
      </c>
      <c r="D563" s="78">
        <v>0.7</v>
      </c>
      <c r="E563" s="78">
        <v>0.81</v>
      </c>
      <c r="F563" s="78">
        <v>0.96</v>
      </c>
      <c r="G563" s="78">
        <v>1.1299999999999999</v>
      </c>
      <c r="H563" s="78">
        <v>1.25</v>
      </c>
      <c r="I563" s="78">
        <v>1.25</v>
      </c>
      <c r="J563" s="78">
        <v>1.18</v>
      </c>
      <c r="K563" s="78">
        <v>1.08</v>
      </c>
      <c r="L563" s="78">
        <v>0.95</v>
      </c>
      <c r="M563" s="78">
        <v>0.81</v>
      </c>
      <c r="N563" s="78">
        <v>0.7</v>
      </c>
      <c r="O563" s="78">
        <v>0.66</v>
      </c>
      <c r="P563" s="71">
        <v>0.96</v>
      </c>
      <c r="Q563" s="64"/>
      <c r="R563" s="64"/>
      <c r="S563" s="64"/>
      <c r="T563" s="64"/>
      <c r="U563" s="64"/>
      <c r="V563" s="64"/>
      <c r="W563" s="64"/>
      <c r="X563" s="64"/>
      <c r="Y563" s="64"/>
      <c r="Z563" s="64"/>
    </row>
    <row r="564" spans="1:26" thickBot="1">
      <c r="A564" s="66" t="str">
        <f t="shared" si="25"/>
        <v>Latitude 2555</v>
      </c>
      <c r="B564" s="86">
        <v>25.55</v>
      </c>
      <c r="C564" s="78">
        <v>55</v>
      </c>
      <c r="D564" s="78">
        <v>0.64</v>
      </c>
      <c r="E564" s="78">
        <v>0.75</v>
      </c>
      <c r="F564" s="78">
        <v>0.92</v>
      </c>
      <c r="G564" s="78">
        <v>1.1000000000000001</v>
      </c>
      <c r="H564" s="78">
        <v>1.23</v>
      </c>
      <c r="I564" s="78">
        <v>1.23</v>
      </c>
      <c r="J564" s="78">
        <v>1.1599999999999999</v>
      </c>
      <c r="K564" s="78">
        <v>1.05</v>
      </c>
      <c r="L564" s="78">
        <v>0.91</v>
      </c>
      <c r="M564" s="78">
        <v>0.75</v>
      </c>
      <c r="N564" s="78">
        <v>0.64</v>
      </c>
      <c r="O564" s="78">
        <v>0.6</v>
      </c>
      <c r="P564" s="71">
        <v>0.92</v>
      </c>
      <c r="Q564" s="64"/>
      <c r="R564" s="64"/>
      <c r="S564" s="64"/>
      <c r="T564" s="64"/>
      <c r="U564" s="64"/>
      <c r="V564" s="64"/>
      <c r="W564" s="64"/>
      <c r="X564" s="64"/>
      <c r="Y564" s="64"/>
      <c r="Z564" s="64"/>
    </row>
    <row r="565" spans="1:26" thickBot="1">
      <c r="A565" s="66" t="str">
        <f t="shared" si="25"/>
        <v>Latitude 2560</v>
      </c>
      <c r="B565" s="86">
        <v>25.6</v>
      </c>
      <c r="C565" s="78">
        <v>60</v>
      </c>
      <c r="D565" s="78">
        <v>0.56999999999999995</v>
      </c>
      <c r="E565" s="78">
        <v>0.69</v>
      </c>
      <c r="F565" s="78">
        <v>0.87</v>
      </c>
      <c r="G565" s="78">
        <v>1.07</v>
      </c>
      <c r="H565" s="78">
        <v>1.2</v>
      </c>
      <c r="I565" s="78">
        <v>1.21</v>
      </c>
      <c r="J565" s="78">
        <v>1.1299999999999999</v>
      </c>
      <c r="K565" s="78">
        <v>1.01</v>
      </c>
      <c r="L565" s="78">
        <v>0.86</v>
      </c>
      <c r="M565" s="78">
        <v>0.7</v>
      </c>
      <c r="N565" s="78">
        <v>0.57999999999999996</v>
      </c>
      <c r="O565" s="78">
        <v>0.53</v>
      </c>
      <c r="P565" s="71">
        <v>0.87</v>
      </c>
      <c r="Q565" s="64"/>
      <c r="R565" s="64"/>
      <c r="S565" s="64"/>
      <c r="T565" s="64"/>
      <c r="U565" s="64"/>
      <c r="V565" s="64"/>
      <c r="W565" s="64"/>
      <c r="X565" s="64"/>
      <c r="Y565" s="64"/>
      <c r="Z565" s="64"/>
    </row>
    <row r="566" spans="1:26" thickBot="1">
      <c r="A566" s="66" t="str">
        <f t="shared" si="25"/>
        <v>Latitude 2565</v>
      </c>
      <c r="B566" s="86">
        <v>25.65</v>
      </c>
      <c r="C566" s="78">
        <v>65</v>
      </c>
      <c r="D566" s="78">
        <v>0.5</v>
      </c>
      <c r="E566" s="78">
        <v>0.63</v>
      </c>
      <c r="F566" s="78">
        <v>0.82</v>
      </c>
      <c r="G566" s="78">
        <v>1.02</v>
      </c>
      <c r="H566" s="78">
        <v>1.1599999999999999</v>
      </c>
      <c r="I566" s="78">
        <v>1.18</v>
      </c>
      <c r="J566" s="78">
        <v>1.0900000000000001</v>
      </c>
      <c r="K566" s="78">
        <v>0.97</v>
      </c>
      <c r="L566" s="78">
        <v>0.81</v>
      </c>
      <c r="M566" s="78">
        <v>0.63</v>
      </c>
      <c r="N566" s="78">
        <v>0.51</v>
      </c>
      <c r="O566" s="78">
        <v>0.46</v>
      </c>
      <c r="P566" s="71">
        <v>0.82</v>
      </c>
      <c r="Q566" s="64"/>
      <c r="R566" s="64"/>
      <c r="S566" s="64"/>
      <c r="T566" s="64"/>
      <c r="U566" s="64"/>
      <c r="V566" s="64"/>
      <c r="W566" s="64"/>
      <c r="X566" s="64"/>
      <c r="Y566" s="64"/>
      <c r="Z566" s="64"/>
    </row>
    <row r="567" spans="1:26" thickBot="1">
      <c r="A567" s="66" t="str">
        <f t="shared" si="25"/>
        <v>Latitude 2570</v>
      </c>
      <c r="B567" s="86">
        <v>25.7</v>
      </c>
      <c r="C567" s="78">
        <v>70</v>
      </c>
      <c r="D567" s="78">
        <v>0.43</v>
      </c>
      <c r="E567" s="78">
        <v>0.56000000000000005</v>
      </c>
      <c r="F567" s="78">
        <v>0.76</v>
      </c>
      <c r="G567" s="78">
        <v>0.97</v>
      </c>
      <c r="H567" s="78">
        <v>1.1200000000000001</v>
      </c>
      <c r="I567" s="78">
        <v>1.1399999999999999</v>
      </c>
      <c r="J567" s="78">
        <v>1.05</v>
      </c>
      <c r="K567" s="78">
        <v>0.92</v>
      </c>
      <c r="L567" s="78">
        <v>0.75</v>
      </c>
      <c r="M567" s="78">
        <v>0.56999999999999995</v>
      </c>
      <c r="N567" s="78">
        <v>0.43</v>
      </c>
      <c r="O567" s="78">
        <v>0.38</v>
      </c>
      <c r="P567" s="71">
        <v>0.76</v>
      </c>
      <c r="Q567" s="64"/>
      <c r="R567" s="64"/>
      <c r="S567" s="64"/>
      <c r="T567" s="64"/>
      <c r="U567" s="64"/>
      <c r="V567" s="64"/>
      <c r="W567" s="64"/>
      <c r="X567" s="64"/>
      <c r="Y567" s="64"/>
      <c r="Z567" s="64"/>
    </row>
    <row r="568" spans="1:26" thickBot="1">
      <c r="A568" s="66" t="str">
        <f t="shared" si="25"/>
        <v>Latitude 2575</v>
      </c>
      <c r="B568" s="86">
        <v>25.75</v>
      </c>
      <c r="C568" s="78">
        <v>75</v>
      </c>
      <c r="D568" s="78">
        <v>0.35</v>
      </c>
      <c r="E568" s="78">
        <v>0.49</v>
      </c>
      <c r="F568" s="78">
        <v>0.69</v>
      </c>
      <c r="G568" s="78">
        <v>0.91</v>
      </c>
      <c r="H568" s="78">
        <v>1.07</v>
      </c>
      <c r="I568" s="78">
        <v>1.0900000000000001</v>
      </c>
      <c r="J568" s="78">
        <v>1</v>
      </c>
      <c r="K568" s="78">
        <v>0.87</v>
      </c>
      <c r="L568" s="78">
        <v>0.69</v>
      </c>
      <c r="M568" s="78">
        <v>0.5</v>
      </c>
      <c r="N568" s="78">
        <v>0.36</v>
      </c>
      <c r="O568" s="78">
        <v>0.31</v>
      </c>
      <c r="P568" s="71">
        <v>0.69</v>
      </c>
      <c r="Q568" s="64"/>
      <c r="R568" s="64"/>
      <c r="S568" s="64"/>
      <c r="T568" s="64"/>
      <c r="U568" s="64"/>
      <c r="V568" s="64"/>
      <c r="W568" s="64"/>
      <c r="X568" s="64"/>
      <c r="Y568" s="64"/>
      <c r="Z568" s="64"/>
    </row>
    <row r="569" spans="1:26" thickBot="1">
      <c r="A569" s="66" t="str">
        <f t="shared" si="25"/>
        <v>Latitude 2580</v>
      </c>
      <c r="B569" s="86">
        <v>25.8</v>
      </c>
      <c r="C569" s="78">
        <v>80</v>
      </c>
      <c r="D569" s="78">
        <v>0.27</v>
      </c>
      <c r="E569" s="78">
        <v>0.42</v>
      </c>
      <c r="F569" s="78">
        <v>0.62</v>
      </c>
      <c r="G569" s="78">
        <v>0.85</v>
      </c>
      <c r="H569" s="78">
        <v>1.01</v>
      </c>
      <c r="I569" s="78">
        <v>1.04</v>
      </c>
      <c r="J569" s="78">
        <v>0.95</v>
      </c>
      <c r="K569" s="78">
        <v>0.81</v>
      </c>
      <c r="L569" s="78">
        <v>0.62</v>
      </c>
      <c r="M569" s="78">
        <v>0.43</v>
      </c>
      <c r="N569" s="78">
        <v>0.28000000000000003</v>
      </c>
      <c r="O569" s="78">
        <v>0.23</v>
      </c>
      <c r="P569" s="71">
        <v>0.63</v>
      </c>
      <c r="Q569" s="64"/>
      <c r="R569" s="64"/>
      <c r="S569" s="64"/>
      <c r="T569" s="64"/>
      <c r="U569" s="64"/>
      <c r="V569" s="64"/>
      <c r="W569" s="64"/>
      <c r="X569" s="64"/>
      <c r="Y569" s="64"/>
      <c r="Z569" s="64"/>
    </row>
    <row r="570" spans="1:26" thickBot="1">
      <c r="A570" s="66" t="str">
        <f t="shared" si="25"/>
        <v>Latitude 2585</v>
      </c>
      <c r="B570" s="86">
        <v>25.85</v>
      </c>
      <c r="C570" s="78">
        <v>85</v>
      </c>
      <c r="D570" s="78">
        <v>0.19</v>
      </c>
      <c r="E570" s="78">
        <v>0.34</v>
      </c>
      <c r="F570" s="78">
        <v>0.55000000000000004</v>
      </c>
      <c r="G570" s="78">
        <v>0.78</v>
      </c>
      <c r="H570" s="78">
        <v>0.95</v>
      </c>
      <c r="I570" s="78">
        <v>0.98</v>
      </c>
      <c r="J570" s="78">
        <v>0.89</v>
      </c>
      <c r="K570" s="78">
        <v>0.74</v>
      </c>
      <c r="L570" s="78">
        <v>0.55000000000000004</v>
      </c>
      <c r="M570" s="78">
        <v>0.35</v>
      </c>
      <c r="N570" s="78">
        <v>0.21</v>
      </c>
      <c r="O570" s="78">
        <v>0.15</v>
      </c>
      <c r="P570" s="71">
        <v>0.56000000000000005</v>
      </c>
      <c r="Q570" s="64"/>
      <c r="R570" s="64"/>
      <c r="S570" s="64"/>
      <c r="T570" s="64"/>
      <c r="U570" s="64"/>
      <c r="V570" s="64"/>
      <c r="W570" s="64"/>
      <c r="X570" s="64"/>
      <c r="Y570" s="64"/>
      <c r="Z570" s="64"/>
    </row>
    <row r="571" spans="1:26" thickBot="1">
      <c r="A571" s="66" t="str">
        <f t="shared" si="25"/>
        <v>Latitude 2590</v>
      </c>
      <c r="B571" s="86">
        <v>25.9</v>
      </c>
      <c r="C571" s="78">
        <v>90</v>
      </c>
      <c r="D571" s="78">
        <v>0.11</v>
      </c>
      <c r="E571" s="78">
        <v>0.26</v>
      </c>
      <c r="F571" s="78">
        <v>0.47</v>
      </c>
      <c r="G571" s="78">
        <v>0.71</v>
      </c>
      <c r="H571" s="78">
        <v>0.88</v>
      </c>
      <c r="I571" s="78">
        <v>0.91</v>
      </c>
      <c r="J571" s="78">
        <v>0.82</v>
      </c>
      <c r="K571" s="78">
        <v>0.67</v>
      </c>
      <c r="L571" s="78">
        <v>0.48</v>
      </c>
      <c r="M571" s="78">
        <v>0.28000000000000003</v>
      </c>
      <c r="N571" s="78">
        <v>0.13</v>
      </c>
      <c r="O571" s="78">
        <v>0.08</v>
      </c>
      <c r="P571" s="71">
        <v>0.48</v>
      </c>
      <c r="Q571" s="64"/>
      <c r="R571" s="64"/>
      <c r="S571" s="64"/>
      <c r="T571" s="64"/>
      <c r="U571" s="64"/>
      <c r="V571" s="64"/>
      <c r="W571" s="64"/>
      <c r="X571" s="64"/>
      <c r="Y571" s="64"/>
      <c r="Z571" s="64"/>
    </row>
    <row r="572" spans="1:26" thickBot="1">
      <c r="A572" s="66"/>
      <c r="B572" s="88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66"/>
      <c r="Q572" s="64"/>
      <c r="R572" s="64"/>
      <c r="S572" s="64"/>
      <c r="T572" s="64"/>
      <c r="U572" s="64"/>
      <c r="V572" s="64"/>
      <c r="W572" s="64"/>
      <c r="X572" s="64"/>
      <c r="Y572" s="64"/>
      <c r="Z572" s="64"/>
    </row>
    <row r="573" spans="1:26" thickBot="1">
      <c r="A573" s="66"/>
      <c r="B573" s="88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66"/>
      <c r="Q573" s="64"/>
      <c r="R573" s="64"/>
      <c r="S573" s="64"/>
      <c r="T573" s="64"/>
      <c r="U573" s="64"/>
      <c r="V573" s="64"/>
      <c r="W573" s="64"/>
      <c r="X573" s="64"/>
      <c r="Y573" s="64"/>
      <c r="Z573" s="64"/>
    </row>
    <row r="574" spans="1:26" thickBot="1">
      <c r="A574" s="66"/>
      <c r="B574" s="85" t="s">
        <v>5890</v>
      </c>
      <c r="C574" s="75" t="s">
        <v>5853</v>
      </c>
      <c r="D574" s="75" t="s">
        <v>5827</v>
      </c>
      <c r="E574" s="75" t="s">
        <v>5828</v>
      </c>
      <c r="F574" s="75" t="s">
        <v>5829</v>
      </c>
      <c r="G574" s="75" t="s">
        <v>5830</v>
      </c>
      <c r="H574" s="75" t="s">
        <v>5831</v>
      </c>
      <c r="I574" s="75" t="s">
        <v>5832</v>
      </c>
      <c r="J574" s="75" t="s">
        <v>5833</v>
      </c>
      <c r="K574" s="75" t="s">
        <v>5834</v>
      </c>
      <c r="L574" s="75" t="s">
        <v>5835</v>
      </c>
      <c r="M574" s="75" t="s">
        <v>5836</v>
      </c>
      <c r="N574" s="75" t="s">
        <v>5837</v>
      </c>
      <c r="O574" s="75" t="s">
        <v>5838</v>
      </c>
      <c r="P574" s="74" t="s">
        <v>20</v>
      </c>
      <c r="Q574" s="64"/>
      <c r="R574" s="64"/>
      <c r="S574" s="64"/>
      <c r="T574" s="64"/>
      <c r="U574" s="64"/>
      <c r="V574" s="64"/>
      <c r="W574" s="64"/>
      <c r="X574" s="64"/>
      <c r="Y574" s="64"/>
      <c r="Z574" s="64"/>
    </row>
    <row r="575" spans="1:26" thickBot="1">
      <c r="A575" s="66" t="str">
        <f>$B$574&amp;C575</f>
        <v>Latitude 260</v>
      </c>
      <c r="B575" s="86">
        <v>26</v>
      </c>
      <c r="C575" s="78">
        <v>0</v>
      </c>
      <c r="D575" s="78">
        <v>1</v>
      </c>
      <c r="E575" s="78">
        <v>1</v>
      </c>
      <c r="F575" s="78">
        <v>1</v>
      </c>
      <c r="G575" s="78">
        <v>1</v>
      </c>
      <c r="H575" s="78">
        <v>1</v>
      </c>
      <c r="I575" s="78">
        <v>1</v>
      </c>
      <c r="J575" s="78">
        <v>1</v>
      </c>
      <c r="K575" s="78">
        <v>1</v>
      </c>
      <c r="L575" s="78">
        <v>1</v>
      </c>
      <c r="M575" s="78">
        <v>1</v>
      </c>
      <c r="N575" s="78">
        <v>1</v>
      </c>
      <c r="O575" s="78">
        <v>1</v>
      </c>
      <c r="P575" s="71">
        <v>1</v>
      </c>
      <c r="Q575" s="64"/>
      <c r="R575" s="64"/>
      <c r="S575" s="64"/>
      <c r="T575" s="64"/>
      <c r="U575" s="64"/>
      <c r="V575" s="64"/>
      <c r="W575" s="64"/>
      <c r="X575" s="64"/>
      <c r="Y575" s="64"/>
      <c r="Z575" s="64"/>
    </row>
    <row r="576" spans="1:26" thickBot="1">
      <c r="A576" s="66" t="str">
        <f t="shared" ref="A576:A593" si="26">$B$574&amp;C576</f>
        <v>Latitude 265</v>
      </c>
      <c r="B576" s="86">
        <v>26.5</v>
      </c>
      <c r="C576" s="78">
        <v>5</v>
      </c>
      <c r="D576" s="78">
        <v>1</v>
      </c>
      <c r="E576" s="78">
        <v>1.01</v>
      </c>
      <c r="F576" s="78">
        <v>1.03</v>
      </c>
      <c r="G576" s="78">
        <v>1.05</v>
      </c>
      <c r="H576" s="78">
        <v>1.06</v>
      </c>
      <c r="I576" s="78">
        <v>1.06</v>
      </c>
      <c r="J576" s="78">
        <v>1.05</v>
      </c>
      <c r="K576" s="78">
        <v>1.04</v>
      </c>
      <c r="L576" s="78">
        <v>1.03</v>
      </c>
      <c r="M576" s="78">
        <v>1.01</v>
      </c>
      <c r="N576" s="78">
        <v>1</v>
      </c>
      <c r="O576" s="78">
        <v>1</v>
      </c>
      <c r="P576" s="71">
        <v>1.03</v>
      </c>
      <c r="Q576" s="64"/>
      <c r="R576" s="64"/>
      <c r="S576" s="64"/>
      <c r="T576" s="64"/>
      <c r="U576" s="64"/>
      <c r="V576" s="64"/>
      <c r="W576" s="64"/>
      <c r="X576" s="64"/>
      <c r="Y576" s="64"/>
      <c r="Z576" s="64"/>
    </row>
    <row r="577" spans="1:26" thickBot="1">
      <c r="A577" s="66" t="str">
        <f t="shared" si="26"/>
        <v>Latitude 2610</v>
      </c>
      <c r="B577" s="86">
        <v>26.1</v>
      </c>
      <c r="C577" s="78">
        <v>10</v>
      </c>
      <c r="D577" s="78">
        <v>0.99</v>
      </c>
      <c r="E577" s="78">
        <v>1.02</v>
      </c>
      <c r="F577" s="78">
        <v>1.05</v>
      </c>
      <c r="G577" s="78">
        <v>1.0900000000000001</v>
      </c>
      <c r="H577" s="78">
        <v>1.1100000000000001</v>
      </c>
      <c r="I577" s="78">
        <v>1.1100000000000001</v>
      </c>
      <c r="J577" s="78">
        <v>1.0900000000000001</v>
      </c>
      <c r="K577" s="78">
        <v>1.07</v>
      </c>
      <c r="L577" s="78">
        <v>1.05</v>
      </c>
      <c r="M577" s="78">
        <v>1.02</v>
      </c>
      <c r="N577" s="78">
        <v>0.99</v>
      </c>
      <c r="O577" s="78">
        <v>0.99</v>
      </c>
      <c r="P577" s="71">
        <v>1.05</v>
      </c>
      <c r="Q577" s="64"/>
      <c r="R577" s="64"/>
      <c r="S577" s="64"/>
      <c r="T577" s="64"/>
      <c r="U577" s="64"/>
      <c r="V577" s="64"/>
      <c r="W577" s="64"/>
      <c r="X577" s="64"/>
      <c r="Y577" s="64"/>
      <c r="Z577" s="64"/>
    </row>
    <row r="578" spans="1:26" thickBot="1">
      <c r="A578" s="66" t="str">
        <f t="shared" si="26"/>
        <v>Latitude 2615</v>
      </c>
      <c r="B578" s="86">
        <v>26.15</v>
      </c>
      <c r="C578" s="78">
        <v>15</v>
      </c>
      <c r="D578" s="78">
        <v>0.98</v>
      </c>
      <c r="E578" s="78">
        <v>1.02</v>
      </c>
      <c r="F578" s="78">
        <v>1.07</v>
      </c>
      <c r="G578" s="78">
        <v>1.1200000000000001</v>
      </c>
      <c r="H578" s="78">
        <v>1.1599999999999999</v>
      </c>
      <c r="I578" s="78">
        <v>1.1599999999999999</v>
      </c>
      <c r="J578" s="78">
        <v>1.1299999999999999</v>
      </c>
      <c r="K578" s="78">
        <v>1.1000000000000001</v>
      </c>
      <c r="L578" s="78">
        <v>1.06</v>
      </c>
      <c r="M578" s="78">
        <v>1.02</v>
      </c>
      <c r="N578" s="78">
        <v>0.98</v>
      </c>
      <c r="O578" s="78">
        <v>0.97</v>
      </c>
      <c r="P578" s="71">
        <v>1.06</v>
      </c>
      <c r="Q578" s="64"/>
      <c r="R578" s="64"/>
      <c r="S578" s="64"/>
      <c r="T578" s="64"/>
      <c r="U578" s="64"/>
      <c r="V578" s="64"/>
      <c r="W578" s="64"/>
      <c r="X578" s="64"/>
      <c r="Y578" s="64"/>
      <c r="Z578" s="64"/>
    </row>
    <row r="579" spans="1:26" thickBot="1">
      <c r="A579" s="66" t="str">
        <f t="shared" si="26"/>
        <v>Latitude 2620</v>
      </c>
      <c r="B579" s="86">
        <v>26.2</v>
      </c>
      <c r="C579" s="78">
        <v>20</v>
      </c>
      <c r="D579" s="78">
        <v>0.96</v>
      </c>
      <c r="E579" s="78">
        <v>1.01</v>
      </c>
      <c r="F579" s="78">
        <v>1.08</v>
      </c>
      <c r="G579" s="78">
        <v>1.1499999999999999</v>
      </c>
      <c r="H579" s="78">
        <v>1.2</v>
      </c>
      <c r="I579" s="78">
        <v>1.2</v>
      </c>
      <c r="J579" s="78">
        <v>1.1599999999999999</v>
      </c>
      <c r="K579" s="78">
        <v>1.1200000000000001</v>
      </c>
      <c r="L579" s="78">
        <v>1.07</v>
      </c>
      <c r="M579" s="78">
        <v>1.01</v>
      </c>
      <c r="N579" s="78">
        <v>0.96</v>
      </c>
      <c r="O579" s="78">
        <v>0.94</v>
      </c>
      <c r="P579" s="71">
        <v>1.07</v>
      </c>
      <c r="Q579" s="64"/>
      <c r="R579" s="64"/>
      <c r="S579" s="64"/>
      <c r="T579" s="64"/>
      <c r="U579" s="64"/>
      <c r="V579" s="64"/>
      <c r="W579" s="64"/>
      <c r="X579" s="64"/>
      <c r="Y579" s="64"/>
      <c r="Z579" s="64"/>
    </row>
    <row r="580" spans="1:26" thickBot="1">
      <c r="A580" s="66" t="str">
        <f t="shared" si="26"/>
        <v>Latitude 2625</v>
      </c>
      <c r="B580" s="86">
        <v>26.25</v>
      </c>
      <c r="C580" s="78">
        <v>25</v>
      </c>
      <c r="D580" s="78">
        <v>0.93</v>
      </c>
      <c r="E580" s="78">
        <v>0.99</v>
      </c>
      <c r="F580" s="78">
        <v>1.08</v>
      </c>
      <c r="G580" s="78">
        <v>1.17</v>
      </c>
      <c r="H580" s="78">
        <v>1.23</v>
      </c>
      <c r="I580" s="78">
        <v>1.23</v>
      </c>
      <c r="J580" s="78">
        <v>1.19</v>
      </c>
      <c r="K580" s="78">
        <v>1.1299999999999999</v>
      </c>
      <c r="L580" s="78">
        <v>1.06</v>
      </c>
      <c r="M580" s="78">
        <v>0.99</v>
      </c>
      <c r="N580" s="78">
        <v>0.94</v>
      </c>
      <c r="O580" s="78">
        <v>0.91</v>
      </c>
      <c r="P580" s="71">
        <v>1.07</v>
      </c>
      <c r="Q580" s="64"/>
      <c r="R580" s="64"/>
      <c r="S580" s="64"/>
      <c r="T580" s="64"/>
      <c r="U580" s="64"/>
      <c r="V580" s="64"/>
      <c r="W580" s="64"/>
      <c r="X580" s="64"/>
      <c r="Y580" s="64"/>
      <c r="Z580" s="64"/>
    </row>
    <row r="581" spans="1:26" thickBot="1">
      <c r="A581" s="66" t="str">
        <f t="shared" si="26"/>
        <v>Latitude 2630</v>
      </c>
      <c r="B581" s="86">
        <v>26.3</v>
      </c>
      <c r="C581" s="78">
        <v>30</v>
      </c>
      <c r="D581" s="78">
        <v>0.9</v>
      </c>
      <c r="E581" s="78">
        <v>0.97</v>
      </c>
      <c r="F581" s="78">
        <v>1.07</v>
      </c>
      <c r="G581" s="78">
        <v>1.18</v>
      </c>
      <c r="H581" s="78">
        <v>1.25</v>
      </c>
      <c r="I581" s="78">
        <v>1.25</v>
      </c>
      <c r="J581" s="78">
        <v>1.2</v>
      </c>
      <c r="K581" s="78">
        <v>1.1399999999999999</v>
      </c>
      <c r="L581" s="78">
        <v>1.06</v>
      </c>
      <c r="M581" s="78">
        <v>0.97</v>
      </c>
      <c r="N581" s="78">
        <v>0.9</v>
      </c>
      <c r="O581" s="78">
        <v>0.88</v>
      </c>
      <c r="P581" s="71">
        <v>1.06</v>
      </c>
      <c r="Q581" s="64"/>
      <c r="R581" s="64"/>
      <c r="S581" s="64"/>
      <c r="T581" s="64"/>
      <c r="U581" s="64"/>
      <c r="V581" s="64"/>
      <c r="W581" s="64"/>
      <c r="X581" s="64"/>
      <c r="Y581" s="64"/>
      <c r="Z581" s="64"/>
    </row>
    <row r="582" spans="1:26" thickBot="1">
      <c r="A582" s="66" t="str">
        <f t="shared" si="26"/>
        <v>Latitude 2635</v>
      </c>
      <c r="B582" s="86">
        <v>26.35</v>
      </c>
      <c r="C582" s="78">
        <v>35</v>
      </c>
      <c r="D582" s="78">
        <v>0.86</v>
      </c>
      <c r="E582" s="78">
        <v>0.94</v>
      </c>
      <c r="F582" s="78">
        <v>1.06</v>
      </c>
      <c r="G582" s="78">
        <v>1.18</v>
      </c>
      <c r="H582" s="78">
        <v>1.27</v>
      </c>
      <c r="I582" s="78">
        <v>1.27</v>
      </c>
      <c r="J582" s="78">
        <v>1.21</v>
      </c>
      <c r="K582" s="78">
        <v>1.1399999999999999</v>
      </c>
      <c r="L582" s="78">
        <v>1.04</v>
      </c>
      <c r="M582" s="78">
        <v>0.94</v>
      </c>
      <c r="N582" s="78">
        <v>0.86</v>
      </c>
      <c r="O582" s="78">
        <v>0.83</v>
      </c>
      <c r="P582" s="71">
        <v>1.05</v>
      </c>
      <c r="Q582" s="64"/>
      <c r="R582" s="64"/>
      <c r="S582" s="64"/>
      <c r="T582" s="64"/>
      <c r="U582" s="64"/>
      <c r="V582" s="64"/>
      <c r="W582" s="64"/>
      <c r="X582" s="64"/>
      <c r="Y582" s="64"/>
      <c r="Z582" s="64"/>
    </row>
    <row r="583" spans="1:26" thickBot="1">
      <c r="A583" s="66" t="str">
        <f t="shared" si="26"/>
        <v>Latitude 2640</v>
      </c>
      <c r="B583" s="86">
        <v>26.4</v>
      </c>
      <c r="C583" s="78">
        <v>40</v>
      </c>
      <c r="D583" s="78">
        <v>0.82</v>
      </c>
      <c r="E583" s="78">
        <v>0.91</v>
      </c>
      <c r="F583" s="78">
        <v>1.04</v>
      </c>
      <c r="G583" s="78">
        <v>1.18</v>
      </c>
      <c r="H583" s="78">
        <v>1.27</v>
      </c>
      <c r="I583" s="78">
        <v>1.27</v>
      </c>
      <c r="J583" s="78">
        <v>1.21</v>
      </c>
      <c r="K583" s="78">
        <v>1.1299999999999999</v>
      </c>
      <c r="L583" s="78">
        <v>1.02</v>
      </c>
      <c r="M583" s="78">
        <v>0.91</v>
      </c>
      <c r="N583" s="78">
        <v>0.82</v>
      </c>
      <c r="O583" s="78">
        <v>0.79</v>
      </c>
      <c r="P583" s="71">
        <v>1.03</v>
      </c>
      <c r="Q583" s="64"/>
      <c r="R583" s="64"/>
      <c r="S583" s="64"/>
      <c r="T583" s="64"/>
      <c r="U583" s="64"/>
      <c r="V583" s="64"/>
      <c r="W583" s="64"/>
      <c r="X583" s="64"/>
      <c r="Y583" s="64"/>
      <c r="Z583" s="64"/>
    </row>
    <row r="584" spans="1:26" thickBot="1">
      <c r="A584" s="66" t="str">
        <f t="shared" si="26"/>
        <v>Latitude 2645</v>
      </c>
      <c r="B584" s="86">
        <v>26.45</v>
      </c>
      <c r="C584" s="78">
        <v>45</v>
      </c>
      <c r="D584" s="78">
        <v>0.77</v>
      </c>
      <c r="E584" s="78">
        <v>0.87</v>
      </c>
      <c r="F584" s="78">
        <v>1.01</v>
      </c>
      <c r="G584" s="78">
        <v>1.17</v>
      </c>
      <c r="H584" s="78">
        <v>1.27</v>
      </c>
      <c r="I584" s="78">
        <v>1.27</v>
      </c>
      <c r="J584" s="78">
        <v>1.21</v>
      </c>
      <c r="K584" s="78">
        <v>1.1100000000000001</v>
      </c>
      <c r="L584" s="78">
        <v>0.99</v>
      </c>
      <c r="M584" s="78">
        <v>0.86</v>
      </c>
      <c r="N584" s="78">
        <v>0.77</v>
      </c>
      <c r="O584" s="78">
        <v>0.73</v>
      </c>
      <c r="P584" s="71">
        <v>1</v>
      </c>
      <c r="Q584" s="64"/>
      <c r="R584" s="64"/>
      <c r="S584" s="64"/>
      <c r="T584" s="64"/>
      <c r="U584" s="64"/>
      <c r="V584" s="64"/>
      <c r="W584" s="64"/>
      <c r="X584" s="64"/>
      <c r="Y584" s="64"/>
      <c r="Z584" s="64"/>
    </row>
    <row r="585" spans="1:26" thickBot="1">
      <c r="A585" s="66" t="str">
        <f t="shared" si="26"/>
        <v>Latitude 2650</v>
      </c>
      <c r="B585" s="86">
        <v>26.5</v>
      </c>
      <c r="C585" s="78">
        <v>50</v>
      </c>
      <c r="D585" s="78">
        <v>0.71</v>
      </c>
      <c r="E585" s="78">
        <v>0.82</v>
      </c>
      <c r="F585" s="78">
        <v>0.98</v>
      </c>
      <c r="G585" s="78">
        <v>1.1499999999999999</v>
      </c>
      <c r="H585" s="78">
        <v>1.26</v>
      </c>
      <c r="I585" s="78">
        <v>1.27</v>
      </c>
      <c r="J585" s="78">
        <v>1.19</v>
      </c>
      <c r="K585" s="78">
        <v>1.0900000000000001</v>
      </c>
      <c r="L585" s="78">
        <v>0.96</v>
      </c>
      <c r="M585" s="78">
        <v>0.82</v>
      </c>
      <c r="N585" s="78">
        <v>0.71</v>
      </c>
      <c r="O585" s="78">
        <v>0.67</v>
      </c>
      <c r="P585" s="71">
        <v>0.97</v>
      </c>
      <c r="Q585" s="64"/>
      <c r="R585" s="64"/>
      <c r="S585" s="64"/>
      <c r="T585" s="64"/>
      <c r="U585" s="64"/>
      <c r="V585" s="64"/>
      <c r="W585" s="64"/>
      <c r="X585" s="64"/>
      <c r="Y585" s="64"/>
      <c r="Z585" s="64"/>
    </row>
    <row r="586" spans="1:26" thickBot="1">
      <c r="A586" s="66" t="str">
        <f t="shared" si="26"/>
        <v>Latitude 2655</v>
      </c>
      <c r="B586" s="86">
        <v>26.55</v>
      </c>
      <c r="C586" s="78">
        <v>55</v>
      </c>
      <c r="D586" s="78">
        <v>0.65</v>
      </c>
      <c r="E586" s="78">
        <v>0.76</v>
      </c>
      <c r="F586" s="78">
        <v>0.94</v>
      </c>
      <c r="G586" s="78">
        <v>1.1200000000000001</v>
      </c>
      <c r="H586" s="78">
        <v>1.24</v>
      </c>
      <c r="I586" s="78">
        <v>1.25</v>
      </c>
      <c r="J586" s="78">
        <v>1.17</v>
      </c>
      <c r="K586" s="78">
        <v>1.06</v>
      </c>
      <c r="L586" s="78">
        <v>0.92</v>
      </c>
      <c r="M586" s="78">
        <v>0.77</v>
      </c>
      <c r="N586" s="78">
        <v>0.65</v>
      </c>
      <c r="O586" s="78">
        <v>0.61</v>
      </c>
      <c r="P586" s="71">
        <v>0.93</v>
      </c>
      <c r="Q586" s="64"/>
      <c r="R586" s="64"/>
      <c r="S586" s="64"/>
      <c r="T586" s="64"/>
      <c r="U586" s="64"/>
      <c r="V586" s="64"/>
      <c r="W586" s="64"/>
      <c r="X586" s="64"/>
      <c r="Y586" s="64"/>
      <c r="Z586" s="64"/>
    </row>
    <row r="587" spans="1:26" thickBot="1">
      <c r="A587" s="66" t="str">
        <f t="shared" si="26"/>
        <v>Latitude 2660</v>
      </c>
      <c r="B587" s="86">
        <v>26.6</v>
      </c>
      <c r="C587" s="78">
        <v>60</v>
      </c>
      <c r="D587" s="78">
        <v>0.57999999999999996</v>
      </c>
      <c r="E587" s="78">
        <v>0.71</v>
      </c>
      <c r="F587" s="78">
        <v>0.89</v>
      </c>
      <c r="G587" s="78">
        <v>1.08</v>
      </c>
      <c r="H587" s="78">
        <v>1.22</v>
      </c>
      <c r="I587" s="78">
        <v>1.23</v>
      </c>
      <c r="J587" s="78">
        <v>1.1499999999999999</v>
      </c>
      <c r="K587" s="78">
        <v>1.03</v>
      </c>
      <c r="L587" s="78">
        <v>0.87</v>
      </c>
      <c r="M587" s="78">
        <v>0.71</v>
      </c>
      <c r="N587" s="78">
        <v>0.59</v>
      </c>
      <c r="O587" s="78">
        <v>0.54</v>
      </c>
      <c r="P587" s="71">
        <v>0.88</v>
      </c>
      <c r="Q587" s="64"/>
      <c r="R587" s="64"/>
      <c r="S587" s="64"/>
      <c r="T587" s="64"/>
      <c r="U587" s="64"/>
      <c r="V587" s="64"/>
      <c r="W587" s="64"/>
      <c r="X587" s="64"/>
      <c r="Y587" s="64"/>
      <c r="Z587" s="64"/>
    </row>
    <row r="588" spans="1:26" thickBot="1">
      <c r="A588" s="66" t="str">
        <f t="shared" si="26"/>
        <v>Latitude 2665</v>
      </c>
      <c r="B588" s="86">
        <v>26.65</v>
      </c>
      <c r="C588" s="78">
        <v>65</v>
      </c>
      <c r="D588" s="78">
        <v>0.51</v>
      </c>
      <c r="E588" s="78">
        <v>0.64</v>
      </c>
      <c r="F588" s="78">
        <v>0.83</v>
      </c>
      <c r="G588" s="78">
        <v>1.04</v>
      </c>
      <c r="H588" s="78">
        <v>1.18</v>
      </c>
      <c r="I588" s="78">
        <v>1.19</v>
      </c>
      <c r="J588" s="78">
        <v>1.1100000000000001</v>
      </c>
      <c r="K588" s="78">
        <v>0.98</v>
      </c>
      <c r="L588" s="78">
        <v>0.82</v>
      </c>
      <c r="M588" s="78">
        <v>0.65</v>
      </c>
      <c r="N588" s="78">
        <v>0.52</v>
      </c>
      <c r="O588" s="78">
        <v>0.47</v>
      </c>
      <c r="P588" s="71">
        <v>0.83</v>
      </c>
      <c r="Q588" s="64"/>
      <c r="R588" s="64"/>
      <c r="S588" s="64"/>
      <c r="T588" s="64"/>
      <c r="U588" s="64"/>
      <c r="V588" s="64"/>
      <c r="W588" s="64"/>
      <c r="X588" s="64"/>
      <c r="Y588" s="64"/>
      <c r="Z588" s="64"/>
    </row>
    <row r="589" spans="1:26" thickBot="1">
      <c r="A589" s="66" t="str">
        <f t="shared" si="26"/>
        <v>Latitude 2670</v>
      </c>
      <c r="B589" s="86">
        <v>26.7</v>
      </c>
      <c r="C589" s="78">
        <v>70</v>
      </c>
      <c r="D589" s="78">
        <v>0.44</v>
      </c>
      <c r="E589" s="78">
        <v>0.57999999999999996</v>
      </c>
      <c r="F589" s="78">
        <v>0.77</v>
      </c>
      <c r="G589" s="78">
        <v>0.99</v>
      </c>
      <c r="H589" s="78">
        <v>1.1399999999999999</v>
      </c>
      <c r="I589" s="78">
        <v>1.1599999999999999</v>
      </c>
      <c r="J589" s="78">
        <v>1.07</v>
      </c>
      <c r="K589" s="78">
        <v>0.94</v>
      </c>
      <c r="L589" s="78">
        <v>0.76</v>
      </c>
      <c r="M589" s="78">
        <v>0.57999999999999996</v>
      </c>
      <c r="N589" s="78">
        <v>0.45</v>
      </c>
      <c r="O589" s="78">
        <v>0.4</v>
      </c>
      <c r="P589" s="71">
        <v>0.77</v>
      </c>
      <c r="Q589" s="64"/>
      <c r="R589" s="64"/>
      <c r="S589" s="64"/>
      <c r="T589" s="64"/>
      <c r="U589" s="64"/>
      <c r="V589" s="64"/>
      <c r="W589" s="64"/>
      <c r="X589" s="64"/>
      <c r="Y589" s="64"/>
      <c r="Z589" s="64"/>
    </row>
    <row r="590" spans="1:26" thickBot="1">
      <c r="A590" s="66" t="str">
        <f t="shared" si="26"/>
        <v>Latitude 2675</v>
      </c>
      <c r="B590" s="86">
        <v>26.75</v>
      </c>
      <c r="C590" s="78">
        <v>75</v>
      </c>
      <c r="D590" s="78">
        <v>0.37</v>
      </c>
      <c r="E590" s="78">
        <v>0.5</v>
      </c>
      <c r="F590" s="78">
        <v>0.71</v>
      </c>
      <c r="G590" s="78">
        <v>0.93</v>
      </c>
      <c r="H590" s="78">
        <v>1.0900000000000001</v>
      </c>
      <c r="I590" s="78">
        <v>1.1100000000000001</v>
      </c>
      <c r="J590" s="78">
        <v>1.02</v>
      </c>
      <c r="K590" s="78">
        <v>0.88</v>
      </c>
      <c r="L590" s="78">
        <v>0.7</v>
      </c>
      <c r="M590" s="78">
        <v>0.51</v>
      </c>
      <c r="N590" s="78">
        <v>0.37</v>
      </c>
      <c r="O590" s="78">
        <v>0.32</v>
      </c>
      <c r="P590" s="71">
        <v>0.71</v>
      </c>
      <c r="Q590" s="64"/>
      <c r="R590" s="64"/>
      <c r="S590" s="64"/>
      <c r="T590" s="64"/>
      <c r="U590" s="64"/>
      <c r="V590" s="64"/>
      <c r="W590" s="64"/>
      <c r="X590" s="64"/>
      <c r="Y590" s="64"/>
      <c r="Z590" s="64"/>
    </row>
    <row r="591" spans="1:26" thickBot="1">
      <c r="A591" s="66" t="str">
        <f t="shared" si="26"/>
        <v>Latitude 2680</v>
      </c>
      <c r="B591" s="86">
        <v>26.8</v>
      </c>
      <c r="C591" s="78">
        <v>80</v>
      </c>
      <c r="D591" s="78">
        <v>0.28999999999999998</v>
      </c>
      <c r="E591" s="78">
        <v>0.43</v>
      </c>
      <c r="F591" s="78">
        <v>0.64</v>
      </c>
      <c r="G591" s="78">
        <v>0.87</v>
      </c>
      <c r="H591" s="78">
        <v>1.04</v>
      </c>
      <c r="I591" s="78">
        <v>1.06</v>
      </c>
      <c r="J591" s="78">
        <v>0.97</v>
      </c>
      <c r="K591" s="78">
        <v>0.82</v>
      </c>
      <c r="L591" s="78">
        <v>0.63</v>
      </c>
      <c r="M591" s="78">
        <v>0.44</v>
      </c>
      <c r="N591" s="78">
        <v>0.3</v>
      </c>
      <c r="O591" s="78">
        <v>0.24</v>
      </c>
      <c r="P591" s="71">
        <v>0.64</v>
      </c>
      <c r="Q591" s="64"/>
      <c r="R591" s="64"/>
      <c r="S591" s="64"/>
      <c r="T591" s="64"/>
      <c r="U591" s="64"/>
      <c r="V591" s="64"/>
      <c r="W591" s="64"/>
      <c r="X591" s="64"/>
      <c r="Y591" s="64"/>
      <c r="Z591" s="64"/>
    </row>
    <row r="592" spans="1:26" thickBot="1">
      <c r="A592" s="66" t="str">
        <f t="shared" si="26"/>
        <v>Latitude 2685</v>
      </c>
      <c r="B592" s="86">
        <v>26.85</v>
      </c>
      <c r="C592" s="78">
        <v>85</v>
      </c>
      <c r="D592" s="78">
        <v>0.21</v>
      </c>
      <c r="E592" s="78">
        <v>0.35</v>
      </c>
      <c r="F592" s="78">
        <v>0.56999999999999995</v>
      </c>
      <c r="G592" s="78">
        <v>0.8</v>
      </c>
      <c r="H592" s="78">
        <v>0.97</v>
      </c>
      <c r="I592" s="78">
        <v>1</v>
      </c>
      <c r="J592" s="78">
        <v>0.91</v>
      </c>
      <c r="K592" s="78">
        <v>0.76</v>
      </c>
      <c r="L592" s="78">
        <v>0.56000000000000005</v>
      </c>
      <c r="M592" s="78">
        <v>0.37</v>
      </c>
      <c r="N592" s="78">
        <v>0.22</v>
      </c>
      <c r="O592" s="78">
        <v>0.16</v>
      </c>
      <c r="P592" s="71">
        <v>0.56999999999999995</v>
      </c>
      <c r="Q592" s="64"/>
      <c r="R592" s="64"/>
      <c r="S592" s="64"/>
      <c r="T592" s="64"/>
      <c r="U592" s="64"/>
      <c r="V592" s="64"/>
      <c r="W592" s="64"/>
      <c r="X592" s="64"/>
      <c r="Y592" s="64"/>
      <c r="Z592" s="64"/>
    </row>
    <row r="593" spans="1:26" thickBot="1">
      <c r="A593" s="66" t="str">
        <f t="shared" si="26"/>
        <v>Latitude 2690</v>
      </c>
      <c r="B593" s="86">
        <v>26.9</v>
      </c>
      <c r="C593" s="78">
        <v>90</v>
      </c>
      <c r="D593" s="78">
        <v>0.13</v>
      </c>
      <c r="E593" s="78">
        <v>0.27</v>
      </c>
      <c r="F593" s="78">
        <v>0.49</v>
      </c>
      <c r="G593" s="78">
        <v>0.73</v>
      </c>
      <c r="H593" s="78">
        <v>0.9</v>
      </c>
      <c r="I593" s="78">
        <v>0.93</v>
      </c>
      <c r="J593" s="78">
        <v>0.84</v>
      </c>
      <c r="K593" s="78">
        <v>0.69</v>
      </c>
      <c r="L593" s="78">
        <v>0.49</v>
      </c>
      <c r="M593" s="78">
        <v>0.28999999999999998</v>
      </c>
      <c r="N593" s="78">
        <v>0.14000000000000001</v>
      </c>
      <c r="O593" s="78">
        <v>0.08</v>
      </c>
      <c r="P593" s="71">
        <v>0.5</v>
      </c>
      <c r="Q593" s="64"/>
      <c r="R593" s="64"/>
      <c r="S593" s="64"/>
      <c r="T593" s="64"/>
      <c r="U593" s="64"/>
      <c r="V593" s="64"/>
      <c r="W593" s="64"/>
      <c r="X593" s="64"/>
      <c r="Y593" s="64"/>
      <c r="Z593" s="64"/>
    </row>
    <row r="594" spans="1:26" thickBot="1">
      <c r="A594" s="66"/>
      <c r="B594" s="88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66"/>
      <c r="Q594" s="64"/>
      <c r="R594" s="64"/>
      <c r="S594" s="64"/>
      <c r="T594" s="64"/>
      <c r="U594" s="64"/>
      <c r="V594" s="64"/>
      <c r="W594" s="64"/>
      <c r="X594" s="64"/>
      <c r="Y594" s="64"/>
      <c r="Z594" s="64"/>
    </row>
    <row r="595" spans="1:26" thickBot="1">
      <c r="A595" s="66"/>
      <c r="B595" s="88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66"/>
      <c r="Q595" s="64"/>
      <c r="R595" s="64"/>
      <c r="S595" s="64"/>
      <c r="T595" s="64"/>
      <c r="U595" s="64"/>
      <c r="V595" s="64"/>
      <c r="W595" s="64"/>
      <c r="X595" s="64"/>
      <c r="Y595" s="64"/>
      <c r="Z595" s="64"/>
    </row>
    <row r="596" spans="1:26" thickBot="1">
      <c r="A596" s="66"/>
      <c r="B596" s="85" t="s">
        <v>5891</v>
      </c>
      <c r="C596" s="75" t="s">
        <v>5853</v>
      </c>
      <c r="D596" s="75" t="s">
        <v>5827</v>
      </c>
      <c r="E596" s="75" t="s">
        <v>5828</v>
      </c>
      <c r="F596" s="75" t="s">
        <v>5829</v>
      </c>
      <c r="G596" s="75" t="s">
        <v>5830</v>
      </c>
      <c r="H596" s="75" t="s">
        <v>5831</v>
      </c>
      <c r="I596" s="75" t="s">
        <v>5832</v>
      </c>
      <c r="J596" s="75" t="s">
        <v>5833</v>
      </c>
      <c r="K596" s="75" t="s">
        <v>5834</v>
      </c>
      <c r="L596" s="75" t="s">
        <v>5835</v>
      </c>
      <c r="M596" s="75" t="s">
        <v>5836</v>
      </c>
      <c r="N596" s="75" t="s">
        <v>5837</v>
      </c>
      <c r="O596" s="75" t="s">
        <v>5838</v>
      </c>
      <c r="P596" s="74" t="s">
        <v>20</v>
      </c>
      <c r="Q596" s="64"/>
      <c r="R596" s="64"/>
      <c r="S596" s="64"/>
      <c r="T596" s="64"/>
      <c r="U596" s="64"/>
      <c r="V596" s="64"/>
      <c r="W596" s="64"/>
      <c r="X596" s="64"/>
      <c r="Y596" s="64"/>
      <c r="Z596" s="64"/>
    </row>
    <row r="597" spans="1:26" thickBot="1">
      <c r="A597" s="66" t="str">
        <f>$B$596&amp;C597</f>
        <v>Latitude 270</v>
      </c>
      <c r="B597" s="86">
        <v>27</v>
      </c>
      <c r="C597" s="70">
        <v>0</v>
      </c>
      <c r="D597" s="70">
        <v>1</v>
      </c>
      <c r="E597" s="70">
        <v>1</v>
      </c>
      <c r="F597" s="70">
        <v>1</v>
      </c>
      <c r="G597" s="70">
        <v>1</v>
      </c>
      <c r="H597" s="70">
        <v>1</v>
      </c>
      <c r="I597" s="70">
        <v>1</v>
      </c>
      <c r="J597" s="70">
        <v>1</v>
      </c>
      <c r="K597" s="70">
        <v>1</v>
      </c>
      <c r="L597" s="70">
        <v>1</v>
      </c>
      <c r="M597" s="70">
        <v>1</v>
      </c>
      <c r="N597" s="70">
        <v>1</v>
      </c>
      <c r="O597" s="70">
        <v>1</v>
      </c>
      <c r="P597" s="71">
        <v>1</v>
      </c>
      <c r="Q597" s="64"/>
      <c r="R597" s="64"/>
      <c r="S597" s="64"/>
      <c r="T597" s="64"/>
      <c r="U597" s="64"/>
      <c r="V597" s="64"/>
      <c r="W597" s="64"/>
      <c r="X597" s="64"/>
      <c r="Y597" s="64"/>
      <c r="Z597" s="64"/>
    </row>
    <row r="598" spans="1:26" thickBot="1">
      <c r="A598" s="66" t="str">
        <f t="shared" ref="A598:A615" si="27">$B$596&amp;C598</f>
        <v>Latitude 275</v>
      </c>
      <c r="B598" s="86">
        <v>27.5</v>
      </c>
      <c r="C598" s="70">
        <v>5</v>
      </c>
      <c r="D598" s="70">
        <v>1</v>
      </c>
      <c r="E598" s="70">
        <v>1.01</v>
      </c>
      <c r="F598" s="70">
        <v>1.03</v>
      </c>
      <c r="G598" s="70">
        <v>1.05</v>
      </c>
      <c r="H598" s="70">
        <v>1.06</v>
      </c>
      <c r="I598" s="70">
        <v>1.06</v>
      </c>
      <c r="J598" s="70">
        <v>1.05</v>
      </c>
      <c r="K598" s="70">
        <v>1.04</v>
      </c>
      <c r="L598" s="70">
        <v>1.03</v>
      </c>
      <c r="M598" s="70">
        <v>1.01</v>
      </c>
      <c r="N598" s="70">
        <v>1</v>
      </c>
      <c r="O598" s="70">
        <v>1</v>
      </c>
      <c r="P598" s="71">
        <v>1.03</v>
      </c>
      <c r="Q598" s="64"/>
      <c r="R598" s="64"/>
      <c r="S598" s="64"/>
      <c r="T598" s="64"/>
      <c r="U598" s="64"/>
      <c r="V598" s="64"/>
      <c r="W598" s="64"/>
      <c r="X598" s="64"/>
      <c r="Y598" s="64"/>
      <c r="Z598" s="64"/>
    </row>
    <row r="599" spans="1:26" thickBot="1">
      <c r="A599" s="66" t="str">
        <f t="shared" si="27"/>
        <v>Latitude 2710</v>
      </c>
      <c r="B599" s="86">
        <v>27.1</v>
      </c>
      <c r="C599" s="70">
        <v>10</v>
      </c>
      <c r="D599" s="70">
        <v>1</v>
      </c>
      <c r="E599" s="70">
        <v>1.02</v>
      </c>
      <c r="F599" s="70">
        <v>1.06</v>
      </c>
      <c r="G599" s="70">
        <v>1.0900000000000001</v>
      </c>
      <c r="H599" s="70">
        <v>1.1200000000000001</v>
      </c>
      <c r="I599" s="70">
        <v>1.1100000000000001</v>
      </c>
      <c r="J599" s="70">
        <v>1.1000000000000001</v>
      </c>
      <c r="K599" s="70">
        <v>1.08</v>
      </c>
      <c r="L599" s="70">
        <v>1.05</v>
      </c>
      <c r="M599" s="70">
        <v>1.02</v>
      </c>
      <c r="N599" s="70">
        <v>1</v>
      </c>
      <c r="O599" s="70">
        <v>0.99</v>
      </c>
      <c r="P599" s="71">
        <v>1.05</v>
      </c>
      <c r="Q599" s="64"/>
      <c r="R599" s="64"/>
      <c r="S599" s="64"/>
      <c r="T599" s="64"/>
      <c r="U599" s="64"/>
      <c r="V599" s="64"/>
      <c r="W599" s="64"/>
      <c r="X599" s="64"/>
      <c r="Y599" s="64"/>
      <c r="Z599" s="64"/>
    </row>
    <row r="600" spans="1:26" thickBot="1">
      <c r="A600" s="66" t="str">
        <f t="shared" si="27"/>
        <v>Latitude 2715</v>
      </c>
      <c r="B600" s="86">
        <v>27.15</v>
      </c>
      <c r="C600" s="70">
        <v>15</v>
      </c>
      <c r="D600" s="70">
        <v>0.99</v>
      </c>
      <c r="E600" s="70">
        <v>1.02</v>
      </c>
      <c r="F600" s="70">
        <v>1.07</v>
      </c>
      <c r="G600" s="70">
        <v>1.1299999999999999</v>
      </c>
      <c r="H600" s="70">
        <v>1.1599999999999999</v>
      </c>
      <c r="I600" s="70">
        <v>1.1599999999999999</v>
      </c>
      <c r="J600" s="70">
        <v>1.1399999999999999</v>
      </c>
      <c r="K600" s="70">
        <v>1.1000000000000001</v>
      </c>
      <c r="L600" s="70">
        <v>1.06</v>
      </c>
      <c r="M600" s="70">
        <v>1.02</v>
      </c>
      <c r="N600" s="70">
        <v>0.99</v>
      </c>
      <c r="O600" s="70">
        <v>0.97</v>
      </c>
      <c r="P600" s="71">
        <v>1.07</v>
      </c>
      <c r="Q600" s="64"/>
      <c r="R600" s="64"/>
      <c r="S600" s="64"/>
      <c r="T600" s="64"/>
      <c r="U600" s="64"/>
      <c r="V600" s="64"/>
      <c r="W600" s="64"/>
      <c r="X600" s="64"/>
      <c r="Y600" s="64"/>
      <c r="Z600" s="64"/>
    </row>
    <row r="601" spans="1:26" thickBot="1">
      <c r="A601" s="66" t="str">
        <f t="shared" si="27"/>
        <v>Latitude 2720</v>
      </c>
      <c r="B601" s="86">
        <v>27.2</v>
      </c>
      <c r="C601" s="70">
        <v>20</v>
      </c>
      <c r="D601" s="70">
        <v>0.97</v>
      </c>
      <c r="E601" s="70">
        <v>1.01</v>
      </c>
      <c r="F601" s="70">
        <v>1.08</v>
      </c>
      <c r="G601" s="70">
        <v>1.1599999999999999</v>
      </c>
      <c r="H601" s="70">
        <v>1.21</v>
      </c>
      <c r="I601" s="70">
        <v>1.2</v>
      </c>
      <c r="J601" s="70">
        <v>1.17</v>
      </c>
      <c r="K601" s="70">
        <v>1.1299999999999999</v>
      </c>
      <c r="L601" s="70">
        <v>1.07</v>
      </c>
      <c r="M601" s="70">
        <v>1.01</v>
      </c>
      <c r="N601" s="70">
        <v>0.97</v>
      </c>
      <c r="O601" s="70">
        <v>0.95</v>
      </c>
      <c r="P601" s="71">
        <v>1.08</v>
      </c>
      <c r="Q601" s="64"/>
      <c r="R601" s="64"/>
      <c r="S601" s="64"/>
      <c r="T601" s="64"/>
      <c r="U601" s="64"/>
      <c r="V601" s="64"/>
      <c r="W601" s="64"/>
      <c r="X601" s="64"/>
      <c r="Y601" s="64"/>
      <c r="Z601" s="64"/>
    </row>
    <row r="602" spans="1:26" thickBot="1">
      <c r="A602" s="66" t="str">
        <f t="shared" si="27"/>
        <v>Latitude 2725</v>
      </c>
      <c r="B602" s="86">
        <v>27.25</v>
      </c>
      <c r="C602" s="70">
        <v>25</v>
      </c>
      <c r="D602" s="70">
        <v>0.94</v>
      </c>
      <c r="E602" s="70">
        <v>1</v>
      </c>
      <c r="F602" s="70">
        <v>1.0900000000000001</v>
      </c>
      <c r="G602" s="70">
        <v>1.18</v>
      </c>
      <c r="H602" s="70">
        <v>1.24</v>
      </c>
      <c r="I602" s="70">
        <v>1.24</v>
      </c>
      <c r="J602" s="70">
        <v>1.19</v>
      </c>
      <c r="K602" s="70">
        <v>1.1399999999999999</v>
      </c>
      <c r="L602" s="70">
        <v>1.07</v>
      </c>
      <c r="M602" s="70">
        <v>1</v>
      </c>
      <c r="N602" s="70">
        <v>0.94</v>
      </c>
      <c r="O602" s="70">
        <v>0.92</v>
      </c>
      <c r="P602" s="71">
        <v>1.08</v>
      </c>
      <c r="Q602" s="64"/>
      <c r="R602" s="64"/>
      <c r="S602" s="64"/>
      <c r="T602" s="64"/>
      <c r="U602" s="64"/>
      <c r="V602" s="64"/>
      <c r="W602" s="64"/>
      <c r="X602" s="64"/>
      <c r="Y602" s="64"/>
      <c r="Z602" s="64"/>
    </row>
    <row r="603" spans="1:26" thickBot="1">
      <c r="A603" s="66" t="str">
        <f t="shared" si="27"/>
        <v>Latitude 2730</v>
      </c>
      <c r="B603" s="86">
        <v>27.3</v>
      </c>
      <c r="C603" s="70">
        <v>30</v>
      </c>
      <c r="D603" s="70">
        <v>0.91</v>
      </c>
      <c r="E603" s="70">
        <v>0.98</v>
      </c>
      <c r="F603" s="70">
        <v>1.08</v>
      </c>
      <c r="G603" s="70">
        <v>1.19</v>
      </c>
      <c r="H603" s="70">
        <v>1.26</v>
      </c>
      <c r="I603" s="70">
        <v>1.26</v>
      </c>
      <c r="J603" s="70">
        <v>1.21</v>
      </c>
      <c r="K603" s="70">
        <v>1.1499999999999999</v>
      </c>
      <c r="L603" s="70">
        <v>1.06</v>
      </c>
      <c r="M603" s="70">
        <v>0.98</v>
      </c>
      <c r="N603" s="70">
        <v>0.91</v>
      </c>
      <c r="O603" s="70">
        <v>0.88</v>
      </c>
      <c r="P603" s="71">
        <v>1.07</v>
      </c>
      <c r="Q603" s="64"/>
      <c r="R603" s="64"/>
      <c r="S603" s="64"/>
      <c r="T603" s="64"/>
      <c r="U603" s="64"/>
      <c r="V603" s="64"/>
      <c r="W603" s="64"/>
      <c r="X603" s="64"/>
      <c r="Y603" s="64"/>
      <c r="Z603" s="64"/>
    </row>
    <row r="604" spans="1:26" thickBot="1">
      <c r="A604" s="66" t="str">
        <f t="shared" si="27"/>
        <v>Latitude 2735</v>
      </c>
      <c r="B604" s="86">
        <v>27.35</v>
      </c>
      <c r="C604" s="70">
        <v>35</v>
      </c>
      <c r="D604" s="70">
        <v>0.87</v>
      </c>
      <c r="E604" s="70">
        <v>0.95</v>
      </c>
      <c r="F604" s="70">
        <v>1.07</v>
      </c>
      <c r="G604" s="70">
        <v>1.2</v>
      </c>
      <c r="H604" s="70">
        <v>1.28</v>
      </c>
      <c r="I604" s="70">
        <v>1.28</v>
      </c>
      <c r="J604" s="70">
        <v>1.22</v>
      </c>
      <c r="K604" s="70">
        <v>1.1499999999999999</v>
      </c>
      <c r="L604" s="70">
        <v>1.05</v>
      </c>
      <c r="M604" s="70">
        <v>0.95</v>
      </c>
      <c r="N604" s="70">
        <v>0.87</v>
      </c>
      <c r="O604" s="70">
        <v>0.84</v>
      </c>
      <c r="P604" s="71">
        <v>1.06</v>
      </c>
      <c r="Q604" s="64"/>
      <c r="R604" s="64"/>
      <c r="S604" s="64"/>
      <c r="T604" s="64"/>
      <c r="U604" s="64"/>
      <c r="V604" s="64"/>
      <c r="W604" s="64"/>
      <c r="X604" s="64"/>
      <c r="Y604" s="64"/>
      <c r="Z604" s="64"/>
    </row>
    <row r="605" spans="1:26" thickBot="1">
      <c r="A605" s="66" t="str">
        <f t="shared" si="27"/>
        <v>Latitude 2740</v>
      </c>
      <c r="B605" s="86">
        <v>27.4</v>
      </c>
      <c r="C605" s="70">
        <v>40</v>
      </c>
      <c r="D605" s="70">
        <v>0.83</v>
      </c>
      <c r="E605" s="70">
        <v>0.92</v>
      </c>
      <c r="F605" s="70">
        <v>1.05</v>
      </c>
      <c r="G605" s="70">
        <v>1.19</v>
      </c>
      <c r="H605" s="70">
        <v>1.29</v>
      </c>
      <c r="I605" s="70">
        <v>1.29</v>
      </c>
      <c r="J605" s="70">
        <v>1.22</v>
      </c>
      <c r="K605" s="70">
        <v>1.1399999999999999</v>
      </c>
      <c r="L605" s="70">
        <v>1.03</v>
      </c>
      <c r="M605" s="70">
        <v>0.91</v>
      </c>
      <c r="N605" s="70">
        <v>0.83</v>
      </c>
      <c r="O605" s="70">
        <v>0.79</v>
      </c>
      <c r="P605" s="71">
        <v>1.04</v>
      </c>
      <c r="Q605" s="64"/>
      <c r="R605" s="64"/>
      <c r="S605" s="64"/>
      <c r="T605" s="64"/>
      <c r="U605" s="64"/>
      <c r="V605" s="64"/>
      <c r="W605" s="64"/>
      <c r="X605" s="64"/>
      <c r="Y605" s="64"/>
      <c r="Z605" s="64"/>
    </row>
    <row r="606" spans="1:26" thickBot="1">
      <c r="A606" s="66" t="str">
        <f t="shared" si="27"/>
        <v>Latitude 2745</v>
      </c>
      <c r="B606" s="86">
        <v>27.45</v>
      </c>
      <c r="C606" s="70">
        <v>45</v>
      </c>
      <c r="D606" s="70">
        <v>0.78</v>
      </c>
      <c r="E606" s="70">
        <v>0.88</v>
      </c>
      <c r="F606" s="70">
        <v>1.02</v>
      </c>
      <c r="G606" s="70">
        <v>1.18</v>
      </c>
      <c r="H606" s="70">
        <v>1.29</v>
      </c>
      <c r="I606" s="70">
        <v>1.29</v>
      </c>
      <c r="J606" s="70">
        <v>1.22</v>
      </c>
      <c r="K606" s="70">
        <v>1.1200000000000001</v>
      </c>
      <c r="L606" s="70">
        <v>1</v>
      </c>
      <c r="M606" s="70">
        <v>0.87</v>
      </c>
      <c r="N606" s="70">
        <v>0.78</v>
      </c>
      <c r="O606" s="70">
        <v>0.74</v>
      </c>
      <c r="P606" s="71">
        <v>1.01</v>
      </c>
      <c r="Q606" s="64"/>
      <c r="R606" s="64"/>
      <c r="S606" s="64"/>
      <c r="T606" s="64"/>
      <c r="U606" s="64"/>
      <c r="V606" s="64"/>
      <c r="W606" s="64"/>
      <c r="X606" s="64"/>
      <c r="Y606" s="64"/>
      <c r="Z606" s="64"/>
    </row>
    <row r="607" spans="1:26" thickBot="1">
      <c r="A607" s="66" t="str">
        <f t="shared" si="27"/>
        <v>Latitude 2750</v>
      </c>
      <c r="B607" s="86">
        <v>27.5</v>
      </c>
      <c r="C607" s="70">
        <v>50</v>
      </c>
      <c r="D607" s="70">
        <v>0.72</v>
      </c>
      <c r="E607" s="70">
        <v>0.83</v>
      </c>
      <c r="F607" s="70">
        <v>0.99</v>
      </c>
      <c r="G607" s="70">
        <v>1.1599999999999999</v>
      </c>
      <c r="H607" s="70">
        <v>1.28</v>
      </c>
      <c r="I607" s="70">
        <v>1.28</v>
      </c>
      <c r="J607" s="70">
        <v>1.21</v>
      </c>
      <c r="K607" s="70">
        <v>1.1000000000000001</v>
      </c>
      <c r="L607" s="70">
        <v>0.97</v>
      </c>
      <c r="M607" s="70">
        <v>0.83</v>
      </c>
      <c r="N607" s="70">
        <v>0.72</v>
      </c>
      <c r="O607" s="70">
        <v>0.68</v>
      </c>
      <c r="P607" s="71">
        <v>0.98</v>
      </c>
      <c r="Q607" s="64"/>
      <c r="R607" s="64"/>
      <c r="S607" s="64"/>
      <c r="T607" s="64"/>
      <c r="U607" s="64"/>
      <c r="V607" s="64"/>
      <c r="W607" s="64"/>
      <c r="X607" s="64"/>
      <c r="Y607" s="64"/>
      <c r="Z607" s="64"/>
    </row>
    <row r="608" spans="1:26" thickBot="1">
      <c r="A608" s="66" t="str">
        <f t="shared" si="27"/>
        <v>Latitude 2755</v>
      </c>
      <c r="B608" s="86">
        <v>27.55</v>
      </c>
      <c r="C608" s="70">
        <v>55</v>
      </c>
      <c r="D608" s="70">
        <v>0.66</v>
      </c>
      <c r="E608" s="70">
        <v>0.78</v>
      </c>
      <c r="F608" s="70">
        <v>0.95</v>
      </c>
      <c r="G608" s="70">
        <v>1.1299999999999999</v>
      </c>
      <c r="H608" s="70">
        <v>1.26</v>
      </c>
      <c r="I608" s="70">
        <v>1.27</v>
      </c>
      <c r="J608" s="70">
        <v>1.19</v>
      </c>
      <c r="K608" s="70">
        <v>1.07</v>
      </c>
      <c r="L608" s="70">
        <v>0.93</v>
      </c>
      <c r="M608" s="70">
        <v>0.78</v>
      </c>
      <c r="N608" s="70">
        <v>0.66</v>
      </c>
      <c r="O608" s="70">
        <v>0.62</v>
      </c>
      <c r="P608" s="71">
        <v>0.94</v>
      </c>
      <c r="Q608" s="64"/>
      <c r="R608" s="64"/>
      <c r="S608" s="64"/>
      <c r="T608" s="64"/>
      <c r="U608" s="64"/>
      <c r="V608" s="64"/>
      <c r="W608" s="64"/>
      <c r="X608" s="64"/>
      <c r="Y608" s="64"/>
      <c r="Z608" s="64"/>
    </row>
    <row r="609" spans="1:26" thickBot="1">
      <c r="A609" s="66" t="str">
        <f t="shared" si="27"/>
        <v>Latitude 2760</v>
      </c>
      <c r="B609" s="86">
        <v>27.6</v>
      </c>
      <c r="C609" s="70">
        <v>60</v>
      </c>
      <c r="D609" s="70">
        <v>0.6</v>
      </c>
      <c r="E609" s="70">
        <v>0.72</v>
      </c>
      <c r="F609" s="70">
        <v>0.9</v>
      </c>
      <c r="G609" s="70">
        <v>1.1000000000000001</v>
      </c>
      <c r="H609" s="70">
        <v>1.24</v>
      </c>
      <c r="I609" s="70">
        <v>1.24</v>
      </c>
      <c r="J609" s="70">
        <v>0.16</v>
      </c>
      <c r="K609" s="70">
        <v>1.04</v>
      </c>
      <c r="L609" s="70">
        <v>0.88</v>
      </c>
      <c r="M609" s="70">
        <v>0.72</v>
      </c>
      <c r="N609" s="70">
        <v>0.6</v>
      </c>
      <c r="O609" s="70">
        <v>0.55000000000000004</v>
      </c>
      <c r="P609" s="71">
        <v>0.81</v>
      </c>
      <c r="Q609" s="64"/>
      <c r="R609" s="64"/>
      <c r="S609" s="64"/>
      <c r="T609" s="64"/>
      <c r="U609" s="64"/>
      <c r="V609" s="64"/>
      <c r="W609" s="64"/>
      <c r="X609" s="64"/>
      <c r="Y609" s="64"/>
      <c r="Z609" s="64"/>
    </row>
    <row r="610" spans="1:26" thickBot="1">
      <c r="A610" s="66" t="str">
        <f t="shared" si="27"/>
        <v>Latitude 2765</v>
      </c>
      <c r="B610" s="86">
        <v>27.65</v>
      </c>
      <c r="C610" s="70">
        <v>65</v>
      </c>
      <c r="D610" s="70">
        <v>0.53</v>
      </c>
      <c r="E610" s="70">
        <v>0.66</v>
      </c>
      <c r="F610" s="70">
        <v>0.85</v>
      </c>
      <c r="G610" s="70">
        <v>1.06</v>
      </c>
      <c r="H610" s="70">
        <v>1.2</v>
      </c>
      <c r="I610" s="70">
        <v>1.21</v>
      </c>
      <c r="J610" s="70">
        <v>1.1299999999999999</v>
      </c>
      <c r="K610" s="70">
        <v>1</v>
      </c>
      <c r="L610" s="70">
        <v>0.83</v>
      </c>
      <c r="M610" s="70">
        <v>0.66</v>
      </c>
      <c r="N610" s="70">
        <v>0.53</v>
      </c>
      <c r="O610" s="70">
        <v>0.48</v>
      </c>
      <c r="P610" s="71">
        <v>0.85</v>
      </c>
      <c r="Q610" s="64"/>
      <c r="R610" s="64"/>
      <c r="S610" s="64"/>
      <c r="T610" s="64"/>
      <c r="U610" s="64"/>
      <c r="V610" s="64"/>
      <c r="W610" s="64"/>
      <c r="X610" s="64"/>
      <c r="Y610" s="64"/>
      <c r="Z610" s="64"/>
    </row>
    <row r="611" spans="1:26" thickBot="1">
      <c r="A611" s="66" t="str">
        <f t="shared" si="27"/>
        <v>Latitude 2770</v>
      </c>
      <c r="B611" s="86">
        <v>27.7</v>
      </c>
      <c r="C611" s="70">
        <v>70</v>
      </c>
      <c r="D611" s="70">
        <v>0.45</v>
      </c>
      <c r="E611" s="70">
        <v>0.59</v>
      </c>
      <c r="F611" s="70">
        <v>0.79</v>
      </c>
      <c r="G611" s="70">
        <v>1.01</v>
      </c>
      <c r="H611" s="70">
        <v>1.1599999999999999</v>
      </c>
      <c r="I611" s="70">
        <v>1.17</v>
      </c>
      <c r="J611" s="70">
        <v>1.0900000000000001</v>
      </c>
      <c r="K611" s="70">
        <v>0.95</v>
      </c>
      <c r="L611" s="70">
        <v>0.78</v>
      </c>
      <c r="M611" s="70">
        <v>0.6</v>
      </c>
      <c r="N611" s="70">
        <v>0.46</v>
      </c>
      <c r="O611" s="70">
        <v>0.41</v>
      </c>
      <c r="P611" s="71">
        <v>0.79</v>
      </c>
      <c r="Q611" s="64"/>
      <c r="R611" s="64"/>
      <c r="S611" s="64"/>
      <c r="T611" s="64"/>
      <c r="U611" s="64"/>
      <c r="V611" s="64"/>
      <c r="W611" s="64"/>
      <c r="X611" s="64"/>
      <c r="Y611" s="64"/>
      <c r="Z611" s="64"/>
    </row>
    <row r="612" spans="1:26" thickBot="1">
      <c r="A612" s="66" t="str">
        <f t="shared" si="27"/>
        <v>Latitude 2775</v>
      </c>
      <c r="B612" s="86">
        <v>27.75</v>
      </c>
      <c r="C612" s="70">
        <v>75</v>
      </c>
      <c r="D612" s="70">
        <v>0.38</v>
      </c>
      <c r="E612" s="70">
        <v>0.52</v>
      </c>
      <c r="F612" s="70">
        <v>0.73</v>
      </c>
      <c r="G612" s="70">
        <v>0.95</v>
      </c>
      <c r="H612" s="70">
        <v>0.11</v>
      </c>
      <c r="I612" s="70">
        <v>1.1299999999999999</v>
      </c>
      <c r="J612" s="70">
        <v>1.04</v>
      </c>
      <c r="K612" s="70">
        <v>0.9</v>
      </c>
      <c r="L612" s="70">
        <v>0.71</v>
      </c>
      <c r="M612" s="70">
        <v>0.53</v>
      </c>
      <c r="N612" s="70">
        <v>0.39</v>
      </c>
      <c r="O612" s="70">
        <v>0.33</v>
      </c>
      <c r="P612" s="71">
        <v>0.64</v>
      </c>
      <c r="Q612" s="64"/>
      <c r="R612" s="64"/>
      <c r="S612" s="64"/>
      <c r="T612" s="64"/>
      <c r="U612" s="64"/>
      <c r="V612" s="64"/>
      <c r="W612" s="64"/>
      <c r="X612" s="64"/>
      <c r="Y612" s="64"/>
      <c r="Z612" s="64"/>
    </row>
    <row r="613" spans="1:26" thickBot="1">
      <c r="A613" s="66" t="str">
        <f t="shared" si="27"/>
        <v>Latitude 2780</v>
      </c>
      <c r="B613" s="86">
        <v>27.8</v>
      </c>
      <c r="C613" s="70">
        <v>80</v>
      </c>
      <c r="D613" s="70">
        <v>0.3</v>
      </c>
      <c r="E613" s="70">
        <v>0.45</v>
      </c>
      <c r="F613" s="70">
        <v>0.66</v>
      </c>
      <c r="G613" s="70">
        <v>0.89</v>
      </c>
      <c r="H613" s="70">
        <v>1.06</v>
      </c>
      <c r="I613" s="70">
        <v>1.08</v>
      </c>
      <c r="J613" s="70">
        <v>0.98</v>
      </c>
      <c r="K613" s="70">
        <v>0.84</v>
      </c>
      <c r="L613" s="70">
        <v>0.65</v>
      </c>
      <c r="M613" s="70">
        <v>0.45</v>
      </c>
      <c r="N613" s="70">
        <v>0.31</v>
      </c>
      <c r="O613" s="70">
        <v>0.26</v>
      </c>
      <c r="P613" s="71">
        <v>0.66</v>
      </c>
      <c r="Q613" s="64"/>
      <c r="R613" s="64"/>
      <c r="S613" s="64"/>
      <c r="T613" s="64"/>
      <c r="U613" s="64"/>
      <c r="V613" s="64"/>
      <c r="W613" s="64"/>
      <c r="X613" s="64"/>
      <c r="Y613" s="64"/>
      <c r="Z613" s="64"/>
    </row>
    <row r="614" spans="1:26" thickBot="1">
      <c r="A614" s="66" t="str">
        <f t="shared" si="27"/>
        <v>Latitude 2785</v>
      </c>
      <c r="B614" s="86">
        <v>27.85</v>
      </c>
      <c r="C614" s="70">
        <v>85</v>
      </c>
      <c r="D614" s="70">
        <v>0.22</v>
      </c>
      <c r="E614" s="70">
        <v>0.37</v>
      </c>
      <c r="F614" s="70">
        <v>0.57999999999999996</v>
      </c>
      <c r="G614" s="70">
        <v>0.82</v>
      </c>
      <c r="H614" s="70">
        <v>1</v>
      </c>
      <c r="I614" s="70">
        <v>1.02</v>
      </c>
      <c r="J614" s="70">
        <v>0.93</v>
      </c>
      <c r="K614" s="70">
        <v>0.78</v>
      </c>
      <c r="L614" s="70">
        <v>0.57999999999999996</v>
      </c>
      <c r="M614" s="70">
        <v>0.38</v>
      </c>
      <c r="N614" s="70">
        <v>0.23</v>
      </c>
      <c r="O614" s="70">
        <v>0.18</v>
      </c>
      <c r="P614" s="71">
        <v>0.59</v>
      </c>
      <c r="Q614" s="64"/>
      <c r="R614" s="64"/>
      <c r="S614" s="64"/>
      <c r="T614" s="64"/>
      <c r="U614" s="64"/>
      <c r="V614" s="64"/>
      <c r="W614" s="64"/>
      <c r="X614" s="64"/>
      <c r="Y614" s="64"/>
      <c r="Z614" s="64"/>
    </row>
    <row r="615" spans="1:26" thickBot="1">
      <c r="A615" s="66" t="str">
        <f t="shared" si="27"/>
        <v>Latitude 2790</v>
      </c>
      <c r="B615" s="86">
        <v>27.9</v>
      </c>
      <c r="C615" s="70">
        <v>90</v>
      </c>
      <c r="D615" s="70">
        <v>0.14000000000000001</v>
      </c>
      <c r="E615" s="70">
        <v>0.28999999999999998</v>
      </c>
      <c r="F615" s="70">
        <v>0.51</v>
      </c>
      <c r="G615" s="70">
        <v>0.75</v>
      </c>
      <c r="H615" s="70">
        <v>0.93</v>
      </c>
      <c r="I615" s="70">
        <v>0.95</v>
      </c>
      <c r="J615" s="70">
        <v>0.86</v>
      </c>
      <c r="K615" s="70">
        <v>0.71</v>
      </c>
      <c r="L615" s="70">
        <v>0.51</v>
      </c>
      <c r="M615" s="70">
        <v>0.3</v>
      </c>
      <c r="N615" s="70">
        <v>0.15</v>
      </c>
      <c r="O615" s="70">
        <v>0.1</v>
      </c>
      <c r="P615" s="71">
        <v>0.52</v>
      </c>
      <c r="Q615" s="64"/>
      <c r="R615" s="64"/>
      <c r="S615" s="64"/>
      <c r="T615" s="64"/>
      <c r="U615" s="64"/>
      <c r="V615" s="64"/>
      <c r="W615" s="64"/>
      <c r="X615" s="64"/>
      <c r="Y615" s="64"/>
      <c r="Z615" s="64"/>
    </row>
    <row r="616" spans="1:26" thickBot="1">
      <c r="A616" s="66"/>
      <c r="B616" s="88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66"/>
      <c r="Q616" s="64"/>
      <c r="R616" s="64"/>
      <c r="S616" s="64"/>
      <c r="T616" s="64"/>
      <c r="U616" s="64"/>
      <c r="V616" s="64"/>
      <c r="W616" s="64"/>
      <c r="X616" s="64"/>
      <c r="Y616" s="64"/>
      <c r="Z616" s="64"/>
    </row>
    <row r="617" spans="1:26" thickBot="1">
      <c r="A617" s="66"/>
      <c r="B617" s="88"/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66"/>
      <c r="Q617" s="64"/>
      <c r="R617" s="64"/>
      <c r="S617" s="64"/>
      <c r="T617" s="64"/>
      <c r="U617" s="64"/>
      <c r="V617" s="64"/>
      <c r="W617" s="64"/>
      <c r="X617" s="64"/>
      <c r="Y617" s="64"/>
      <c r="Z617" s="64"/>
    </row>
    <row r="618" spans="1:26" thickBot="1">
      <c r="A618" s="66"/>
      <c r="B618" s="88"/>
      <c r="C618" s="73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66"/>
      <c r="Q618" s="64"/>
      <c r="R618" s="64"/>
      <c r="S618" s="64"/>
      <c r="T618" s="64"/>
      <c r="U618" s="64"/>
      <c r="V618" s="64"/>
      <c r="W618" s="64"/>
      <c r="X618" s="64"/>
      <c r="Y618" s="64"/>
      <c r="Z618" s="64"/>
    </row>
    <row r="619" spans="1:26" thickBot="1">
      <c r="A619" s="66"/>
      <c r="B619" s="85" t="s">
        <v>5892</v>
      </c>
      <c r="C619" s="75" t="s">
        <v>5853</v>
      </c>
      <c r="D619" s="75" t="s">
        <v>5827</v>
      </c>
      <c r="E619" s="75" t="s">
        <v>5828</v>
      </c>
      <c r="F619" s="75" t="s">
        <v>5829</v>
      </c>
      <c r="G619" s="75" t="s">
        <v>5830</v>
      </c>
      <c r="H619" s="75" t="s">
        <v>5831</v>
      </c>
      <c r="I619" s="75" t="s">
        <v>5832</v>
      </c>
      <c r="J619" s="75" t="s">
        <v>5833</v>
      </c>
      <c r="K619" s="75" t="s">
        <v>5834</v>
      </c>
      <c r="L619" s="75" t="s">
        <v>5835</v>
      </c>
      <c r="M619" s="75" t="s">
        <v>5836</v>
      </c>
      <c r="N619" s="75" t="s">
        <v>5837</v>
      </c>
      <c r="O619" s="75" t="s">
        <v>5838</v>
      </c>
      <c r="P619" s="74" t="s">
        <v>20</v>
      </c>
      <c r="Q619" s="64"/>
      <c r="R619" s="64"/>
      <c r="S619" s="64"/>
      <c r="T619" s="64"/>
      <c r="U619" s="64"/>
      <c r="V619" s="64"/>
      <c r="W619" s="64"/>
      <c r="X619" s="64"/>
      <c r="Y619" s="64"/>
      <c r="Z619" s="64"/>
    </row>
    <row r="620" spans="1:26" thickBot="1">
      <c r="A620" s="66" t="str">
        <f>$B$619&amp;C620</f>
        <v>Latitude 280</v>
      </c>
      <c r="B620" s="86">
        <v>28</v>
      </c>
      <c r="C620" s="70">
        <v>0</v>
      </c>
      <c r="D620" s="70">
        <v>1</v>
      </c>
      <c r="E620" s="70">
        <v>1</v>
      </c>
      <c r="F620" s="70">
        <v>1</v>
      </c>
      <c r="G620" s="70">
        <v>1</v>
      </c>
      <c r="H620" s="70">
        <v>1</v>
      </c>
      <c r="I620" s="70">
        <v>1</v>
      </c>
      <c r="J620" s="70">
        <v>1</v>
      </c>
      <c r="K620" s="70">
        <v>1</v>
      </c>
      <c r="L620" s="70">
        <v>1</v>
      </c>
      <c r="M620" s="70">
        <v>1</v>
      </c>
      <c r="N620" s="70">
        <v>1</v>
      </c>
      <c r="O620" s="70">
        <v>1</v>
      </c>
      <c r="P620" s="71">
        <v>1</v>
      </c>
      <c r="Q620" s="64"/>
      <c r="R620" s="64"/>
      <c r="S620" s="64"/>
      <c r="T620" s="64"/>
      <c r="U620" s="64"/>
      <c r="V620" s="64"/>
      <c r="W620" s="64"/>
      <c r="X620" s="64"/>
      <c r="Y620" s="64"/>
      <c r="Z620" s="64"/>
    </row>
    <row r="621" spans="1:26" thickBot="1">
      <c r="A621" s="66" t="str">
        <f t="shared" ref="A621:A638" si="28">$B$619&amp;C621</f>
        <v>Latitude 285</v>
      </c>
      <c r="B621" s="86">
        <v>28.5</v>
      </c>
      <c r="C621" s="70">
        <v>5</v>
      </c>
      <c r="D621" s="70">
        <v>1</v>
      </c>
      <c r="E621" s="70">
        <v>1.02</v>
      </c>
      <c r="F621" s="70">
        <v>1.03</v>
      </c>
      <c r="G621" s="70">
        <v>1.05</v>
      </c>
      <c r="H621" s="70">
        <v>1.06</v>
      </c>
      <c r="I621" s="70">
        <v>1.06</v>
      </c>
      <c r="J621" s="70">
        <v>1.05</v>
      </c>
      <c r="K621" s="70">
        <v>1.04</v>
      </c>
      <c r="L621" s="70">
        <v>1.03</v>
      </c>
      <c r="M621" s="70">
        <v>1.01</v>
      </c>
      <c r="N621" s="70">
        <v>1</v>
      </c>
      <c r="O621" s="70">
        <v>1</v>
      </c>
      <c r="P621" s="71">
        <v>1.03</v>
      </c>
      <c r="Q621" s="64"/>
      <c r="R621" s="64"/>
      <c r="S621" s="64"/>
      <c r="T621" s="64"/>
      <c r="U621" s="64"/>
      <c r="V621" s="64"/>
      <c r="W621" s="64"/>
      <c r="X621" s="64"/>
      <c r="Y621" s="64"/>
      <c r="Z621" s="64"/>
    </row>
    <row r="622" spans="1:26" thickBot="1">
      <c r="A622" s="66" t="str">
        <f t="shared" si="28"/>
        <v>Latitude 2810</v>
      </c>
      <c r="B622" s="86">
        <v>28.1</v>
      </c>
      <c r="C622" s="70">
        <v>10</v>
      </c>
      <c r="D622" s="70">
        <v>1</v>
      </c>
      <c r="E622" s="70">
        <v>1.02</v>
      </c>
      <c r="F622" s="70">
        <v>1.06</v>
      </c>
      <c r="G622" s="70">
        <v>1.1000000000000001</v>
      </c>
      <c r="H622" s="70">
        <v>1.1200000000000001</v>
      </c>
      <c r="I622" s="70">
        <v>1.1200000000000001</v>
      </c>
      <c r="J622" s="70">
        <v>1.1000000000000001</v>
      </c>
      <c r="K622" s="70">
        <v>1.08</v>
      </c>
      <c r="L622" s="70">
        <v>1.05</v>
      </c>
      <c r="M622" s="70">
        <v>1.02</v>
      </c>
      <c r="N622" s="70">
        <v>1</v>
      </c>
      <c r="O622" s="70">
        <v>0.99</v>
      </c>
      <c r="P622" s="71">
        <v>1.06</v>
      </c>
      <c r="Q622" s="64"/>
      <c r="R622" s="64"/>
      <c r="S622" s="64"/>
      <c r="T622" s="64"/>
      <c r="U622" s="64"/>
      <c r="V622" s="64"/>
      <c r="W622" s="64"/>
      <c r="X622" s="64"/>
      <c r="Y622" s="64"/>
      <c r="Z622" s="64"/>
    </row>
    <row r="623" spans="1:26" thickBot="1">
      <c r="A623" s="66" t="str">
        <f t="shared" si="28"/>
        <v>Latitude 2815</v>
      </c>
      <c r="B623" s="86">
        <v>28.15</v>
      </c>
      <c r="C623" s="70">
        <v>15</v>
      </c>
      <c r="D623" s="70">
        <v>0.99</v>
      </c>
      <c r="E623" s="70">
        <v>1.03</v>
      </c>
      <c r="F623" s="70">
        <v>1.08</v>
      </c>
      <c r="G623" s="70">
        <v>1.1299999999999999</v>
      </c>
      <c r="H623" s="70">
        <v>1.17</v>
      </c>
      <c r="I623" s="70">
        <v>1.17</v>
      </c>
      <c r="J623" s="70">
        <v>1.1399999999999999</v>
      </c>
      <c r="K623" s="70">
        <v>1.1100000000000001</v>
      </c>
      <c r="L623" s="70">
        <v>1.07</v>
      </c>
      <c r="M623" s="70">
        <v>1.02</v>
      </c>
      <c r="N623" s="70">
        <v>0.99</v>
      </c>
      <c r="O623" s="70">
        <v>0.98</v>
      </c>
      <c r="P623" s="71">
        <v>1.07</v>
      </c>
      <c r="Q623" s="64"/>
      <c r="R623" s="64"/>
      <c r="S623" s="64"/>
      <c r="T623" s="64"/>
      <c r="U623" s="64"/>
      <c r="V623" s="64"/>
      <c r="W623" s="64"/>
      <c r="X623" s="64"/>
      <c r="Y623" s="64"/>
      <c r="Z623" s="64"/>
    </row>
    <row r="624" spans="1:26" thickBot="1">
      <c r="A624" s="66" t="str">
        <f t="shared" si="28"/>
        <v>Latitude 2820</v>
      </c>
      <c r="B624" s="86">
        <v>28.2</v>
      </c>
      <c r="C624" s="70">
        <v>20</v>
      </c>
      <c r="D624" s="70">
        <v>0.97</v>
      </c>
      <c r="E624" s="70">
        <v>1.02</v>
      </c>
      <c r="F624" s="70">
        <v>1.0900000000000001</v>
      </c>
      <c r="G624" s="70">
        <v>1.1599999999999999</v>
      </c>
      <c r="H624" s="70">
        <v>1.21</v>
      </c>
      <c r="I624" s="70">
        <v>1.21</v>
      </c>
      <c r="J624" s="70">
        <v>1.17</v>
      </c>
      <c r="K624" s="70">
        <v>1.1299999999999999</v>
      </c>
      <c r="L624" s="70">
        <v>1.08</v>
      </c>
      <c r="M624" s="70">
        <v>1.02</v>
      </c>
      <c r="N624" s="70">
        <v>0.97</v>
      </c>
      <c r="O624" s="70">
        <v>0.95</v>
      </c>
      <c r="P624" s="71">
        <v>1.08</v>
      </c>
      <c r="Q624" s="64"/>
      <c r="R624" s="64"/>
      <c r="S624" s="64"/>
      <c r="T624" s="64"/>
      <c r="U624" s="64"/>
      <c r="V624" s="64"/>
      <c r="W624" s="64"/>
      <c r="X624" s="64"/>
      <c r="Y624" s="64"/>
      <c r="Z624" s="64"/>
    </row>
    <row r="625" spans="1:26" thickBot="1">
      <c r="A625" s="66" t="str">
        <f t="shared" si="28"/>
        <v>Latitude 2825</v>
      </c>
      <c r="B625" s="86">
        <v>28.25</v>
      </c>
      <c r="C625" s="70">
        <v>25</v>
      </c>
      <c r="D625" s="70">
        <v>0.95</v>
      </c>
      <c r="E625" s="70">
        <v>1.01</v>
      </c>
      <c r="F625" s="70">
        <v>1.0900000000000001</v>
      </c>
      <c r="G625" s="70">
        <v>1.19</v>
      </c>
      <c r="H625" s="70">
        <v>1.25</v>
      </c>
      <c r="I625" s="70">
        <v>1.24</v>
      </c>
      <c r="J625" s="70">
        <v>1.2</v>
      </c>
      <c r="K625" s="70">
        <v>1.1499999999999999</v>
      </c>
      <c r="L625" s="70">
        <v>1.08</v>
      </c>
      <c r="M625" s="70">
        <v>1</v>
      </c>
      <c r="N625" s="70">
        <v>0.95</v>
      </c>
      <c r="O625" s="70">
        <v>0.93</v>
      </c>
      <c r="P625" s="71">
        <v>1.0900000000000001</v>
      </c>
      <c r="Q625" s="64"/>
      <c r="R625" s="64"/>
      <c r="S625" s="64"/>
      <c r="T625" s="64"/>
      <c r="U625" s="64"/>
      <c r="V625" s="64"/>
      <c r="W625" s="64"/>
      <c r="X625" s="64"/>
      <c r="Y625" s="64"/>
      <c r="Z625" s="64"/>
    </row>
    <row r="626" spans="1:26" thickBot="1">
      <c r="A626" s="66" t="str">
        <f t="shared" si="28"/>
        <v>Latitude 2830</v>
      </c>
      <c r="B626" s="86">
        <v>28.3</v>
      </c>
      <c r="C626" s="70">
        <v>30</v>
      </c>
      <c r="D626" s="70">
        <v>0.92</v>
      </c>
      <c r="E626" s="70">
        <v>0.99</v>
      </c>
      <c r="F626" s="70">
        <v>1.0900000000000001</v>
      </c>
      <c r="G626" s="70">
        <v>1.2</v>
      </c>
      <c r="H626" s="70">
        <v>1.27</v>
      </c>
      <c r="I626" s="70">
        <v>1.27</v>
      </c>
      <c r="J626" s="70">
        <v>1.22</v>
      </c>
      <c r="K626" s="70">
        <v>1.1499999999999999</v>
      </c>
      <c r="L626" s="70">
        <v>1.07</v>
      </c>
      <c r="M626" s="70">
        <v>0.98</v>
      </c>
      <c r="N626" s="70">
        <v>0.92</v>
      </c>
      <c r="O626" s="70">
        <v>0.89</v>
      </c>
      <c r="P626" s="71">
        <v>1.08</v>
      </c>
      <c r="Q626" s="64"/>
      <c r="R626" s="64"/>
      <c r="S626" s="64"/>
      <c r="T626" s="64"/>
      <c r="U626" s="64"/>
      <c r="V626" s="64"/>
      <c r="W626" s="64"/>
      <c r="X626" s="64"/>
      <c r="Y626" s="64"/>
      <c r="Z626" s="64"/>
    </row>
    <row r="627" spans="1:26" thickBot="1">
      <c r="A627" s="66" t="str">
        <f t="shared" si="28"/>
        <v>Latitude 2835</v>
      </c>
      <c r="B627" s="86">
        <v>28.35</v>
      </c>
      <c r="C627" s="70">
        <v>35</v>
      </c>
      <c r="D627" s="70">
        <v>0.88</v>
      </c>
      <c r="E627" s="70">
        <v>0.96</v>
      </c>
      <c r="F627" s="70">
        <v>1.08</v>
      </c>
      <c r="G627" s="70">
        <v>1.21</v>
      </c>
      <c r="H627" s="70">
        <v>1.29</v>
      </c>
      <c r="I627" s="70">
        <v>1.29</v>
      </c>
      <c r="J627" s="70">
        <v>1.23</v>
      </c>
      <c r="K627" s="70">
        <v>1.1599999999999999</v>
      </c>
      <c r="L627" s="70">
        <v>1.06</v>
      </c>
      <c r="M627" s="70">
        <v>0.96</v>
      </c>
      <c r="N627" s="70">
        <v>0.88</v>
      </c>
      <c r="O627" s="70">
        <v>0.85</v>
      </c>
      <c r="P627" s="71">
        <v>1.07</v>
      </c>
      <c r="Q627" s="64"/>
      <c r="R627" s="64"/>
      <c r="S627" s="64"/>
      <c r="T627" s="64"/>
      <c r="U627" s="64"/>
      <c r="V627" s="64"/>
      <c r="W627" s="64"/>
      <c r="X627" s="64"/>
      <c r="Y627" s="64"/>
      <c r="Z627" s="64"/>
    </row>
    <row r="628" spans="1:26" thickBot="1">
      <c r="A628" s="66" t="str">
        <f t="shared" si="28"/>
        <v>Latitude 2840</v>
      </c>
      <c r="B628" s="86">
        <v>28.4</v>
      </c>
      <c r="C628" s="70">
        <v>40</v>
      </c>
      <c r="D628" s="70">
        <v>0.84</v>
      </c>
      <c r="E628" s="70">
        <v>0.93</v>
      </c>
      <c r="F628" s="70">
        <v>1.06</v>
      </c>
      <c r="G628" s="70">
        <v>1.21</v>
      </c>
      <c r="H628" s="70">
        <v>1.3</v>
      </c>
      <c r="I628" s="70">
        <v>1.3</v>
      </c>
      <c r="J628" s="70">
        <v>1.24</v>
      </c>
      <c r="K628" s="70">
        <v>1.1499999999999999</v>
      </c>
      <c r="L628" s="70">
        <v>1.04</v>
      </c>
      <c r="M628" s="70">
        <v>0.92</v>
      </c>
      <c r="N628" s="70">
        <v>0.84</v>
      </c>
      <c r="O628" s="70">
        <v>0.8</v>
      </c>
      <c r="P628" s="71">
        <v>1.05</v>
      </c>
      <c r="Q628" s="64"/>
      <c r="R628" s="64"/>
      <c r="S628" s="64"/>
      <c r="T628" s="64"/>
      <c r="U628" s="64"/>
      <c r="V628" s="64"/>
      <c r="W628" s="64"/>
      <c r="X628" s="64"/>
      <c r="Y628" s="64"/>
      <c r="Z628" s="64"/>
    </row>
    <row r="629" spans="1:26" thickBot="1">
      <c r="A629" s="66" t="str">
        <f t="shared" si="28"/>
        <v>Latitude 2845</v>
      </c>
      <c r="B629" s="86">
        <v>28.45</v>
      </c>
      <c r="C629" s="70">
        <v>45</v>
      </c>
      <c r="D629" s="70">
        <v>0.79</v>
      </c>
      <c r="E629" s="70">
        <v>0.89</v>
      </c>
      <c r="F629" s="70">
        <v>1.04</v>
      </c>
      <c r="G629" s="70">
        <v>1.2</v>
      </c>
      <c r="H629" s="70">
        <v>1.3</v>
      </c>
      <c r="I629" s="70">
        <v>1.3</v>
      </c>
      <c r="J629" s="70">
        <v>1.23</v>
      </c>
      <c r="K629" s="70">
        <v>1.1399999999999999</v>
      </c>
      <c r="L629" s="70">
        <v>1.01</v>
      </c>
      <c r="M629" s="70">
        <v>0.89</v>
      </c>
      <c r="N629" s="70">
        <v>0.79</v>
      </c>
      <c r="O629" s="70">
        <v>0.75</v>
      </c>
      <c r="P629" s="71">
        <v>1.03</v>
      </c>
      <c r="Q629" s="64"/>
      <c r="R629" s="64"/>
      <c r="S629" s="64"/>
      <c r="T629" s="64"/>
      <c r="U629" s="64"/>
      <c r="V629" s="64"/>
      <c r="W629" s="64"/>
      <c r="X629" s="64"/>
      <c r="Y629" s="64"/>
      <c r="Z629" s="64"/>
    </row>
    <row r="630" spans="1:26" thickBot="1">
      <c r="A630" s="66" t="str">
        <f t="shared" si="28"/>
        <v>Latitude 2850</v>
      </c>
      <c r="B630" s="86">
        <v>28.5</v>
      </c>
      <c r="C630" s="70">
        <v>50</v>
      </c>
      <c r="D630" s="70">
        <v>0.73</v>
      </c>
      <c r="E630" s="70">
        <v>0.84</v>
      </c>
      <c r="F630" s="70">
        <v>1</v>
      </c>
      <c r="G630" s="70">
        <v>1.18</v>
      </c>
      <c r="H630" s="70">
        <v>1.3</v>
      </c>
      <c r="I630" s="70">
        <v>1.3</v>
      </c>
      <c r="J630" s="70">
        <v>1.22</v>
      </c>
      <c r="K630" s="70">
        <v>1.1200000000000001</v>
      </c>
      <c r="L630" s="70">
        <v>0.98</v>
      </c>
      <c r="M630" s="70">
        <v>0.84</v>
      </c>
      <c r="N630" s="70">
        <v>0.73</v>
      </c>
      <c r="O630" s="70">
        <v>0.69</v>
      </c>
      <c r="P630" s="71">
        <v>0.99</v>
      </c>
      <c r="Q630" s="64"/>
      <c r="R630" s="64"/>
      <c r="S630" s="64"/>
      <c r="T630" s="64"/>
      <c r="U630" s="64"/>
      <c r="V630" s="64"/>
      <c r="W630" s="64"/>
      <c r="X630" s="64"/>
      <c r="Y630" s="64"/>
      <c r="Z630" s="64"/>
    </row>
    <row r="631" spans="1:26" thickBot="1">
      <c r="A631" s="66" t="str">
        <f t="shared" si="28"/>
        <v>Latitude 2855</v>
      </c>
      <c r="B631" s="86">
        <v>28.55</v>
      </c>
      <c r="C631" s="70">
        <v>55</v>
      </c>
      <c r="D631" s="70">
        <v>0.67</v>
      </c>
      <c r="E631" s="70">
        <v>0.79</v>
      </c>
      <c r="F631" s="70">
        <v>0.96</v>
      </c>
      <c r="G631" s="70">
        <v>1.1499999999999999</v>
      </c>
      <c r="H631" s="70">
        <v>1.28</v>
      </c>
      <c r="I631" s="70">
        <v>1.28</v>
      </c>
      <c r="J631" s="70">
        <v>1.2</v>
      </c>
      <c r="K631" s="70">
        <v>1.0900000000000001</v>
      </c>
      <c r="L631" s="70">
        <v>0.94</v>
      </c>
      <c r="M631" s="70">
        <v>0.79</v>
      </c>
      <c r="N631" s="70">
        <v>0.68</v>
      </c>
      <c r="O631" s="70">
        <v>0.63</v>
      </c>
      <c r="P631" s="71">
        <v>0.96</v>
      </c>
      <c r="Q631" s="64"/>
      <c r="R631" s="64"/>
      <c r="S631" s="64"/>
      <c r="T631" s="64"/>
      <c r="U631" s="64"/>
      <c r="V631" s="64"/>
      <c r="W631" s="64"/>
      <c r="X631" s="64"/>
      <c r="Y631" s="64"/>
      <c r="Z631" s="64"/>
    </row>
    <row r="632" spans="1:26" thickBot="1">
      <c r="A632" s="66" t="str">
        <f t="shared" si="28"/>
        <v>Latitude 2860</v>
      </c>
      <c r="B632" s="86">
        <v>28.6</v>
      </c>
      <c r="C632" s="70">
        <v>60</v>
      </c>
      <c r="D632" s="70">
        <v>0.61</v>
      </c>
      <c r="E632" s="70">
        <v>0.73</v>
      </c>
      <c r="F632" s="70">
        <v>0.92</v>
      </c>
      <c r="G632" s="70">
        <v>1.1200000000000001</v>
      </c>
      <c r="H632" s="70">
        <v>1.26</v>
      </c>
      <c r="I632" s="70">
        <v>1.26</v>
      </c>
      <c r="J632" s="70">
        <v>1.18</v>
      </c>
      <c r="K632" s="70">
        <v>1.05</v>
      </c>
      <c r="L632" s="70">
        <v>0.9</v>
      </c>
      <c r="M632" s="70">
        <v>0.73</v>
      </c>
      <c r="N632" s="70">
        <v>0.61</v>
      </c>
      <c r="O632" s="70">
        <v>0.56999999999999995</v>
      </c>
      <c r="P632" s="71">
        <v>0.91</v>
      </c>
      <c r="Q632" s="64"/>
      <c r="R632" s="64"/>
      <c r="S632" s="64"/>
      <c r="T632" s="64"/>
      <c r="U632" s="64"/>
      <c r="V632" s="64"/>
      <c r="W632" s="64"/>
      <c r="X632" s="64"/>
      <c r="Y632" s="64"/>
      <c r="Z632" s="64"/>
    </row>
    <row r="633" spans="1:26" thickBot="1">
      <c r="A633" s="66" t="str">
        <f t="shared" si="28"/>
        <v>Latitude 2865</v>
      </c>
      <c r="B633" s="86">
        <v>28.65</v>
      </c>
      <c r="C633" s="70">
        <v>65</v>
      </c>
      <c r="D633" s="70">
        <v>0.54</v>
      </c>
      <c r="E633" s="70">
        <v>0.67</v>
      </c>
      <c r="F633" s="70">
        <v>0.86</v>
      </c>
      <c r="G633" s="70">
        <v>1.08</v>
      </c>
      <c r="H633" s="70">
        <v>1.22</v>
      </c>
      <c r="I633" s="70">
        <v>1.23</v>
      </c>
      <c r="J633" s="70">
        <v>1.1399999999999999</v>
      </c>
      <c r="K633" s="70">
        <v>1.01</v>
      </c>
      <c r="L633" s="70">
        <v>0.85</v>
      </c>
      <c r="M633" s="70">
        <v>0.67</v>
      </c>
      <c r="N633" s="70">
        <v>0.55000000000000004</v>
      </c>
      <c r="O633" s="70">
        <v>0.5</v>
      </c>
      <c r="P633" s="71">
        <v>0.86</v>
      </c>
      <c r="Q633" s="64"/>
      <c r="R633" s="64"/>
      <c r="S633" s="64"/>
      <c r="T633" s="64"/>
      <c r="U633" s="64"/>
      <c r="V633" s="64"/>
      <c r="W633" s="64"/>
      <c r="X633" s="64"/>
      <c r="Y633" s="64"/>
      <c r="Z633" s="64"/>
    </row>
    <row r="634" spans="1:26" thickBot="1">
      <c r="A634" s="66" t="str">
        <f t="shared" si="28"/>
        <v>Latitude 2870</v>
      </c>
      <c r="B634" s="86">
        <v>28.7</v>
      </c>
      <c r="C634" s="70">
        <v>70</v>
      </c>
      <c r="D634" s="70">
        <v>0.47</v>
      </c>
      <c r="E634" s="70">
        <v>0.6</v>
      </c>
      <c r="F634" s="70">
        <v>0.81</v>
      </c>
      <c r="G634" s="70">
        <v>1.03</v>
      </c>
      <c r="H634" s="70">
        <v>1.18</v>
      </c>
      <c r="I634" s="70">
        <v>1.19</v>
      </c>
      <c r="J634" s="70">
        <v>1.1000000000000001</v>
      </c>
      <c r="K634" s="70">
        <v>0.97</v>
      </c>
      <c r="L634" s="70">
        <v>0.79</v>
      </c>
      <c r="M634" s="70">
        <v>0.61</v>
      </c>
      <c r="N634" s="70">
        <v>0.48</v>
      </c>
      <c r="O634" s="70">
        <v>0.42</v>
      </c>
      <c r="P634" s="71">
        <v>0.8</v>
      </c>
      <c r="Q634" s="64"/>
      <c r="R634" s="64"/>
      <c r="S634" s="64"/>
      <c r="T634" s="64"/>
      <c r="U634" s="64"/>
      <c r="V634" s="64"/>
      <c r="W634" s="64"/>
      <c r="X634" s="64"/>
      <c r="Y634" s="64"/>
      <c r="Z634" s="64"/>
    </row>
    <row r="635" spans="1:26" thickBot="1">
      <c r="A635" s="66" t="str">
        <f t="shared" si="28"/>
        <v>Latitude 2875</v>
      </c>
      <c r="B635" s="86">
        <v>28.75</v>
      </c>
      <c r="C635" s="70">
        <v>75</v>
      </c>
      <c r="D635" s="70">
        <v>0.39</v>
      </c>
      <c r="E635" s="70">
        <v>0.53</v>
      </c>
      <c r="F635" s="70">
        <v>0.74</v>
      </c>
      <c r="G635" s="70">
        <v>0.97</v>
      </c>
      <c r="H635" s="70">
        <v>1.1399999999999999</v>
      </c>
      <c r="I635" s="70">
        <v>1.1499999999999999</v>
      </c>
      <c r="J635" s="70">
        <v>1.06</v>
      </c>
      <c r="K635" s="70">
        <v>0.91</v>
      </c>
      <c r="L635" s="70">
        <v>0.73</v>
      </c>
      <c r="M635" s="70">
        <v>0.54</v>
      </c>
      <c r="N635" s="70">
        <v>0.4</v>
      </c>
      <c r="O635" s="70">
        <v>0.35</v>
      </c>
      <c r="P635" s="71">
        <v>0.74</v>
      </c>
      <c r="Q635" s="64"/>
      <c r="R635" s="64"/>
      <c r="S635" s="64"/>
      <c r="T635" s="64"/>
      <c r="U635" s="64"/>
      <c r="V635" s="64"/>
      <c r="W635" s="64"/>
      <c r="X635" s="64"/>
      <c r="Y635" s="64"/>
      <c r="Z635" s="64"/>
    </row>
    <row r="636" spans="1:26" thickBot="1">
      <c r="A636" s="66" t="str">
        <f t="shared" si="28"/>
        <v>Latitude 2880</v>
      </c>
      <c r="B636" s="86">
        <v>28.8</v>
      </c>
      <c r="C636" s="70">
        <v>80</v>
      </c>
      <c r="D636" s="70">
        <v>0.32</v>
      </c>
      <c r="E636" s="70">
        <v>0.46</v>
      </c>
      <c r="F636" s="70">
        <v>0.67</v>
      </c>
      <c r="G636" s="70">
        <v>0.91</v>
      </c>
      <c r="H636" s="70">
        <v>1.08</v>
      </c>
      <c r="I636" s="70">
        <v>1.1000000000000001</v>
      </c>
      <c r="J636" s="70">
        <v>1</v>
      </c>
      <c r="K636" s="70">
        <v>0.86</v>
      </c>
      <c r="L636" s="70">
        <v>0.66</v>
      </c>
      <c r="M636" s="70">
        <v>0.47</v>
      </c>
      <c r="N636" s="70">
        <v>0.33</v>
      </c>
      <c r="O636" s="70">
        <v>0.27</v>
      </c>
      <c r="P636" s="71">
        <v>0.68</v>
      </c>
      <c r="Q636" s="64"/>
      <c r="R636" s="64"/>
      <c r="S636" s="64"/>
      <c r="T636" s="64"/>
      <c r="U636" s="64"/>
      <c r="V636" s="64"/>
      <c r="W636" s="64"/>
      <c r="X636" s="64"/>
      <c r="Y636" s="64"/>
      <c r="Z636" s="64"/>
    </row>
    <row r="637" spans="1:26" thickBot="1">
      <c r="A637" s="66" t="str">
        <f t="shared" si="28"/>
        <v>Latitude 2885</v>
      </c>
      <c r="B637" s="86">
        <v>28.85</v>
      </c>
      <c r="C637" s="70">
        <v>85</v>
      </c>
      <c r="D637" s="70">
        <v>0.24</v>
      </c>
      <c r="E637" s="70">
        <v>0.38</v>
      </c>
      <c r="F637" s="70">
        <v>0.6</v>
      </c>
      <c r="G637" s="70">
        <v>0.84</v>
      </c>
      <c r="H637" s="70">
        <v>1.02</v>
      </c>
      <c r="I637" s="70">
        <v>1.04</v>
      </c>
      <c r="J637" s="70">
        <v>0.94</v>
      </c>
      <c r="K637" s="70">
        <v>0.79</v>
      </c>
      <c r="L637" s="70">
        <v>0.59</v>
      </c>
      <c r="M637" s="70">
        <v>0.39</v>
      </c>
      <c r="N637" s="70">
        <v>0.25</v>
      </c>
      <c r="O637" s="70">
        <v>0.19</v>
      </c>
      <c r="P637" s="71">
        <v>0.61</v>
      </c>
      <c r="Q637" s="64"/>
      <c r="R637" s="64"/>
      <c r="S637" s="64"/>
      <c r="T637" s="64"/>
      <c r="U637" s="64"/>
      <c r="V637" s="64"/>
      <c r="W637" s="64"/>
      <c r="X637" s="64"/>
      <c r="Y637" s="64"/>
      <c r="Z637" s="64"/>
    </row>
    <row r="638" spans="1:26" thickBot="1">
      <c r="A638" s="66" t="str">
        <f t="shared" si="28"/>
        <v>Latitude 2890</v>
      </c>
      <c r="B638" s="86">
        <v>28.9</v>
      </c>
      <c r="C638" s="70">
        <v>90</v>
      </c>
      <c r="D638" s="70">
        <v>0.16</v>
      </c>
      <c r="E638" s="70">
        <v>0.31</v>
      </c>
      <c r="F638" s="70">
        <v>0.53</v>
      </c>
      <c r="G638" s="70">
        <v>0.77</v>
      </c>
      <c r="H638" s="70">
        <v>0.95</v>
      </c>
      <c r="I638" s="70">
        <v>0.98</v>
      </c>
      <c r="J638" s="70">
        <v>0.88</v>
      </c>
      <c r="K638" s="70">
        <v>0.72</v>
      </c>
      <c r="L638" s="70">
        <v>0.52</v>
      </c>
      <c r="M638" s="70">
        <v>0.32</v>
      </c>
      <c r="N638" s="70">
        <v>0.17</v>
      </c>
      <c r="O638" s="70">
        <v>0.11</v>
      </c>
      <c r="P638" s="71">
        <v>0.54</v>
      </c>
      <c r="Q638" s="64"/>
      <c r="R638" s="64"/>
      <c r="S638" s="64"/>
      <c r="T638" s="64"/>
      <c r="U638" s="64"/>
      <c r="V638" s="64"/>
      <c r="W638" s="64"/>
      <c r="X638" s="64"/>
      <c r="Y638" s="64"/>
      <c r="Z638" s="64"/>
    </row>
    <row r="639" spans="1:26" thickBot="1">
      <c r="A639" s="66"/>
      <c r="B639" s="88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66"/>
      <c r="Q639" s="64"/>
      <c r="R639" s="64"/>
      <c r="S639" s="64"/>
      <c r="T639" s="64"/>
      <c r="U639" s="64"/>
      <c r="V639" s="64"/>
      <c r="W639" s="64"/>
      <c r="X639" s="64"/>
      <c r="Y639" s="64"/>
      <c r="Z639" s="64"/>
    </row>
    <row r="640" spans="1:26" thickBot="1">
      <c r="A640" s="66"/>
      <c r="B640" s="88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66"/>
      <c r="Q640" s="64"/>
      <c r="R640" s="64"/>
      <c r="S640" s="64"/>
      <c r="T640" s="64"/>
      <c r="U640" s="64"/>
      <c r="V640" s="64"/>
      <c r="W640" s="64"/>
      <c r="X640" s="64"/>
      <c r="Y640" s="64"/>
      <c r="Z640" s="64"/>
    </row>
    <row r="641" spans="1:26" thickBot="1">
      <c r="A641" s="66"/>
      <c r="B641" s="85" t="s">
        <v>5893</v>
      </c>
      <c r="C641" s="75" t="s">
        <v>5853</v>
      </c>
      <c r="D641" s="75" t="s">
        <v>5827</v>
      </c>
      <c r="E641" s="75" t="s">
        <v>5828</v>
      </c>
      <c r="F641" s="75" t="s">
        <v>5829</v>
      </c>
      <c r="G641" s="75" t="s">
        <v>5830</v>
      </c>
      <c r="H641" s="75" t="s">
        <v>5831</v>
      </c>
      <c r="I641" s="75" t="s">
        <v>5832</v>
      </c>
      <c r="J641" s="75" t="s">
        <v>5833</v>
      </c>
      <c r="K641" s="75" t="s">
        <v>5834</v>
      </c>
      <c r="L641" s="75" t="s">
        <v>5835</v>
      </c>
      <c r="M641" s="75" t="s">
        <v>5836</v>
      </c>
      <c r="N641" s="75" t="s">
        <v>5837</v>
      </c>
      <c r="O641" s="75" t="s">
        <v>5838</v>
      </c>
      <c r="P641" s="74" t="s">
        <v>20</v>
      </c>
      <c r="Q641" s="64"/>
      <c r="R641" s="64"/>
      <c r="S641" s="64"/>
      <c r="T641" s="64"/>
      <c r="U641" s="64"/>
      <c r="V641" s="64"/>
      <c r="W641" s="64"/>
      <c r="X641" s="64"/>
      <c r="Y641" s="64"/>
      <c r="Z641" s="64"/>
    </row>
    <row r="642" spans="1:26" thickBot="1">
      <c r="A642" s="66" t="str">
        <f>$B$641&amp;C642</f>
        <v>Latitude 290</v>
      </c>
      <c r="B642" s="86">
        <v>29</v>
      </c>
      <c r="C642" s="80">
        <v>0</v>
      </c>
      <c r="D642" s="69">
        <v>1</v>
      </c>
      <c r="E642" s="69">
        <v>1</v>
      </c>
      <c r="F642" s="69">
        <v>1</v>
      </c>
      <c r="G642" s="69">
        <v>1</v>
      </c>
      <c r="H642" s="69">
        <v>1</v>
      </c>
      <c r="I642" s="69">
        <v>1</v>
      </c>
      <c r="J642" s="69">
        <v>1</v>
      </c>
      <c r="K642" s="69">
        <v>1</v>
      </c>
      <c r="L642" s="69">
        <v>1</v>
      </c>
      <c r="M642" s="69">
        <v>1</v>
      </c>
      <c r="N642" s="69">
        <v>1</v>
      </c>
      <c r="O642" s="69">
        <v>1</v>
      </c>
      <c r="P642" s="71">
        <v>1</v>
      </c>
      <c r="Q642" s="64"/>
      <c r="R642" s="64"/>
      <c r="S642" s="64"/>
      <c r="T642" s="64"/>
      <c r="U642" s="64"/>
      <c r="V642" s="64"/>
      <c r="W642" s="64"/>
      <c r="X642" s="64"/>
      <c r="Y642" s="64"/>
      <c r="Z642" s="64"/>
    </row>
    <row r="643" spans="1:26" thickBot="1">
      <c r="A643" s="66" t="str">
        <f t="shared" ref="A643:A660" si="29">$B$641&amp;C643</f>
        <v>Latitude 295</v>
      </c>
      <c r="B643" s="86">
        <v>29.5</v>
      </c>
      <c r="C643" s="80">
        <v>5</v>
      </c>
      <c r="D643" s="69">
        <v>1</v>
      </c>
      <c r="E643" s="69">
        <v>1.02</v>
      </c>
      <c r="F643" s="69">
        <v>12.03</v>
      </c>
      <c r="G643" s="69">
        <v>1.05</v>
      </c>
      <c r="H643" s="69">
        <v>1.07</v>
      </c>
      <c r="I643" s="69">
        <v>1.06</v>
      </c>
      <c r="J643" s="69">
        <v>1.05</v>
      </c>
      <c r="K643" s="69">
        <v>1.04</v>
      </c>
      <c r="L643" s="69">
        <v>1.03</v>
      </c>
      <c r="M643" s="69">
        <v>1.02</v>
      </c>
      <c r="N643" s="69">
        <v>1</v>
      </c>
      <c r="O643" s="69">
        <v>1</v>
      </c>
      <c r="P643" s="71">
        <v>1.95</v>
      </c>
      <c r="Q643" s="64"/>
      <c r="R643" s="64"/>
      <c r="S643" s="64"/>
      <c r="T643" s="64"/>
      <c r="U643" s="64"/>
      <c r="V643" s="64"/>
      <c r="W643" s="64"/>
      <c r="X643" s="64"/>
      <c r="Y643" s="64"/>
      <c r="Z643" s="64"/>
    </row>
    <row r="644" spans="1:26" thickBot="1">
      <c r="A644" s="66" t="str">
        <f t="shared" si="29"/>
        <v>Latitude 2910</v>
      </c>
      <c r="B644" s="86">
        <v>29.1</v>
      </c>
      <c r="C644" s="80">
        <v>10</v>
      </c>
      <c r="D644" s="69">
        <v>1</v>
      </c>
      <c r="E644" s="69">
        <v>1.03</v>
      </c>
      <c r="F644" s="69">
        <v>1.06</v>
      </c>
      <c r="G644" s="69">
        <v>1.1000000000000001</v>
      </c>
      <c r="H644" s="69">
        <v>1.1200000000000001</v>
      </c>
      <c r="I644" s="69">
        <v>1.1200000000000001</v>
      </c>
      <c r="J644" s="69">
        <v>1.1000000000000001</v>
      </c>
      <c r="K644" s="69">
        <v>1.08</v>
      </c>
      <c r="L644" s="69">
        <v>1.05</v>
      </c>
      <c r="M644" s="69">
        <v>1.02</v>
      </c>
      <c r="N644" s="69">
        <v>1</v>
      </c>
      <c r="O644" s="69">
        <v>0.99</v>
      </c>
      <c r="P644" s="71">
        <v>1.06</v>
      </c>
      <c r="Q644" s="64"/>
      <c r="R644" s="64"/>
      <c r="S644" s="64"/>
      <c r="T644" s="64"/>
      <c r="U644" s="64"/>
      <c r="V644" s="64"/>
      <c r="W644" s="64"/>
      <c r="X644" s="64"/>
      <c r="Y644" s="64"/>
      <c r="Z644" s="64"/>
    </row>
    <row r="645" spans="1:26" thickBot="1">
      <c r="A645" s="66" t="str">
        <f t="shared" si="29"/>
        <v>Latitude 2915</v>
      </c>
      <c r="B645" s="86">
        <v>29.15</v>
      </c>
      <c r="C645" s="80">
        <v>15</v>
      </c>
      <c r="D645" s="69">
        <v>0.99</v>
      </c>
      <c r="E645" s="69">
        <v>1.03</v>
      </c>
      <c r="F645" s="69">
        <v>1.08</v>
      </c>
      <c r="G645" s="69">
        <v>1.1399999999999999</v>
      </c>
      <c r="H645" s="69">
        <v>1.18</v>
      </c>
      <c r="I645" s="69">
        <v>1.17</v>
      </c>
      <c r="J645" s="69">
        <v>1.1499999999999999</v>
      </c>
      <c r="K645" s="69">
        <v>1.1100000000000001</v>
      </c>
      <c r="L645" s="69">
        <v>1.07</v>
      </c>
      <c r="M645" s="69">
        <v>1.03</v>
      </c>
      <c r="N645" s="69">
        <v>0.99</v>
      </c>
      <c r="O645" s="69">
        <v>0.98</v>
      </c>
      <c r="P645" s="71">
        <v>1.08</v>
      </c>
      <c r="Q645" s="64"/>
      <c r="R645" s="64"/>
      <c r="S645" s="64"/>
      <c r="T645" s="64"/>
      <c r="U645" s="64"/>
      <c r="V645" s="64"/>
      <c r="W645" s="64"/>
      <c r="X645" s="64"/>
      <c r="Y645" s="64"/>
      <c r="Z645" s="64"/>
    </row>
    <row r="646" spans="1:26" thickBot="1">
      <c r="A646" s="66" t="str">
        <f t="shared" si="29"/>
        <v>Latitude 2920</v>
      </c>
      <c r="B646" s="86">
        <v>29.2</v>
      </c>
      <c r="C646" s="80">
        <v>20</v>
      </c>
      <c r="D646" s="69">
        <v>0.98</v>
      </c>
      <c r="E646" s="69">
        <v>1.03</v>
      </c>
      <c r="F646" s="69">
        <v>1.1000000000000001</v>
      </c>
      <c r="G646" s="69">
        <v>1.17</v>
      </c>
      <c r="H646" s="69">
        <v>1.22</v>
      </c>
      <c r="I646" s="69">
        <v>1.22</v>
      </c>
      <c r="J646" s="69">
        <v>1.18</v>
      </c>
      <c r="K646" s="69">
        <v>1.1399999999999999</v>
      </c>
      <c r="L646" s="69">
        <v>1.08</v>
      </c>
      <c r="M646" s="69">
        <v>1.02</v>
      </c>
      <c r="N646" s="69">
        <v>0.98</v>
      </c>
      <c r="O646" s="69">
        <v>0.96</v>
      </c>
      <c r="P646" s="71">
        <v>1.0900000000000001</v>
      </c>
      <c r="Q646" s="64"/>
      <c r="R646" s="64"/>
      <c r="S646" s="64"/>
      <c r="T646" s="64"/>
      <c r="U646" s="64"/>
      <c r="V646" s="64"/>
      <c r="W646" s="64"/>
      <c r="X646" s="64"/>
      <c r="Y646" s="64"/>
      <c r="Z646" s="64"/>
    </row>
    <row r="647" spans="1:26" thickBot="1">
      <c r="A647" s="66" t="str">
        <f t="shared" si="29"/>
        <v>Latitude 2925</v>
      </c>
      <c r="B647" s="86">
        <v>29.25</v>
      </c>
      <c r="C647" s="80">
        <v>25</v>
      </c>
      <c r="D647" s="69">
        <v>0.95</v>
      </c>
      <c r="E647" s="69">
        <v>1.01</v>
      </c>
      <c r="F647" s="69">
        <v>1.1000000000000001</v>
      </c>
      <c r="G647" s="69">
        <v>1.2</v>
      </c>
      <c r="H647" s="69">
        <v>1.26</v>
      </c>
      <c r="I647" s="69">
        <v>1.25</v>
      </c>
      <c r="J647" s="69">
        <v>1.21</v>
      </c>
      <c r="K647" s="69">
        <v>1.1499999999999999</v>
      </c>
      <c r="L647" s="69">
        <v>1.08</v>
      </c>
      <c r="M647" s="69">
        <v>1.01</v>
      </c>
      <c r="N647" s="69">
        <v>0.95</v>
      </c>
      <c r="O647" s="69">
        <v>0.93</v>
      </c>
      <c r="P647" s="71">
        <v>1.0900000000000001</v>
      </c>
      <c r="Q647" s="64"/>
      <c r="R647" s="64"/>
      <c r="S647" s="64"/>
      <c r="T647" s="64"/>
      <c r="U647" s="64"/>
      <c r="V647" s="64"/>
      <c r="W647" s="64"/>
      <c r="X647" s="64"/>
      <c r="Y647" s="64"/>
      <c r="Z647" s="64"/>
    </row>
    <row r="648" spans="1:26" thickBot="1">
      <c r="A648" s="66" t="str">
        <f t="shared" si="29"/>
        <v>Latitude 2930</v>
      </c>
      <c r="B648" s="86">
        <v>29.3</v>
      </c>
      <c r="C648" s="80">
        <v>30</v>
      </c>
      <c r="D648" s="69">
        <v>0.92</v>
      </c>
      <c r="E648" s="69">
        <v>1</v>
      </c>
      <c r="F648" s="69">
        <v>1.1000000000000001</v>
      </c>
      <c r="G648" s="69">
        <v>1.21</v>
      </c>
      <c r="H648" s="69">
        <v>1.28</v>
      </c>
      <c r="I648" s="69">
        <v>1.28</v>
      </c>
      <c r="J648" s="69">
        <v>1.23</v>
      </c>
      <c r="K648" s="81">
        <v>1.1599999999999999</v>
      </c>
      <c r="L648" s="69">
        <v>1.08</v>
      </c>
      <c r="M648" s="69">
        <v>0.99</v>
      </c>
      <c r="N648" s="69">
        <v>0.92</v>
      </c>
      <c r="O648" s="69">
        <v>0.9</v>
      </c>
      <c r="P648" s="71">
        <v>1.0900000000000001</v>
      </c>
      <c r="Q648" s="64"/>
      <c r="R648" s="64"/>
      <c r="S648" s="64"/>
      <c r="T648" s="64"/>
      <c r="U648" s="64"/>
      <c r="V648" s="64"/>
      <c r="W648" s="64"/>
      <c r="X648" s="64"/>
      <c r="Y648" s="64"/>
      <c r="Z648" s="64"/>
    </row>
    <row r="649" spans="1:26" thickBot="1">
      <c r="A649" s="66" t="str">
        <f t="shared" si="29"/>
        <v>Latitude 2935</v>
      </c>
      <c r="B649" s="86">
        <v>29.35</v>
      </c>
      <c r="C649" s="80">
        <v>35</v>
      </c>
      <c r="D649" s="69">
        <v>0.89</v>
      </c>
      <c r="E649" s="69">
        <v>0.97</v>
      </c>
      <c r="F649" s="69">
        <v>1.0900000000000001</v>
      </c>
      <c r="G649" s="69">
        <v>1.22</v>
      </c>
      <c r="H649" s="69">
        <v>1.3</v>
      </c>
      <c r="I649" s="69">
        <v>1.3</v>
      </c>
      <c r="J649" s="69">
        <v>1.24</v>
      </c>
      <c r="K649" s="69">
        <v>1.17</v>
      </c>
      <c r="L649" s="69">
        <v>1.07</v>
      </c>
      <c r="M649" s="69">
        <v>0.97</v>
      </c>
      <c r="N649" s="69">
        <v>0.89</v>
      </c>
      <c r="O649" s="69">
        <v>0.86</v>
      </c>
      <c r="P649" s="71">
        <v>1.08</v>
      </c>
      <c r="Q649" s="64"/>
      <c r="R649" s="64"/>
      <c r="S649" s="64"/>
      <c r="T649" s="64"/>
      <c r="U649" s="64"/>
      <c r="V649" s="64"/>
      <c r="W649" s="64"/>
      <c r="X649" s="64"/>
      <c r="Y649" s="64"/>
      <c r="Z649" s="64"/>
    </row>
    <row r="650" spans="1:26" thickBot="1">
      <c r="A650" s="66" t="str">
        <f t="shared" si="29"/>
        <v>Latitude 2940</v>
      </c>
      <c r="B650" s="86">
        <v>29.4</v>
      </c>
      <c r="C650" s="80">
        <v>40</v>
      </c>
      <c r="D650" s="69">
        <v>0.85</v>
      </c>
      <c r="E650" s="69">
        <v>0.94</v>
      </c>
      <c r="F650" s="69">
        <v>1.07</v>
      </c>
      <c r="G650" s="69">
        <v>1.22</v>
      </c>
      <c r="H650" s="69">
        <v>1.32</v>
      </c>
      <c r="I650" s="69">
        <v>1.31</v>
      </c>
      <c r="J650" s="69">
        <v>1.25</v>
      </c>
      <c r="K650" s="69">
        <v>1.1599999999999999</v>
      </c>
      <c r="L650" s="69">
        <v>1.05</v>
      </c>
      <c r="M650" s="69">
        <v>0.93</v>
      </c>
      <c r="N650" s="69">
        <v>0.85</v>
      </c>
      <c r="O650" s="69">
        <v>0.81</v>
      </c>
      <c r="P650" s="71">
        <v>1.06</v>
      </c>
      <c r="Q650" s="64"/>
      <c r="R650" s="64"/>
      <c r="S650" s="64"/>
      <c r="T650" s="64"/>
      <c r="U650" s="64"/>
      <c r="V650" s="64"/>
      <c r="W650" s="64"/>
      <c r="X650" s="64"/>
      <c r="Y650" s="64"/>
      <c r="Z650" s="64"/>
    </row>
    <row r="651" spans="1:26" thickBot="1">
      <c r="A651" s="66" t="str">
        <f t="shared" si="29"/>
        <v>Latitude 2945</v>
      </c>
      <c r="B651" s="86">
        <v>29.45</v>
      </c>
      <c r="C651" s="80">
        <v>45</v>
      </c>
      <c r="D651" s="69">
        <v>0.8</v>
      </c>
      <c r="E651" s="69">
        <v>0.9</v>
      </c>
      <c r="F651" s="69">
        <v>1.05</v>
      </c>
      <c r="G651" s="69">
        <v>1.21</v>
      </c>
      <c r="H651" s="69">
        <v>1.32</v>
      </c>
      <c r="I651" s="69">
        <v>1.32</v>
      </c>
      <c r="J651" s="69">
        <v>1.24</v>
      </c>
      <c r="K651" s="69">
        <v>1.1499999999999999</v>
      </c>
      <c r="L651" s="69">
        <v>1.02</v>
      </c>
      <c r="M651" s="69">
        <v>0.9</v>
      </c>
      <c r="N651" s="69">
        <v>0.8</v>
      </c>
      <c r="O651" s="69">
        <v>0.76</v>
      </c>
      <c r="P651" s="71">
        <v>1.04</v>
      </c>
      <c r="Q651" s="64"/>
      <c r="R651" s="64"/>
      <c r="S651" s="64"/>
      <c r="T651" s="64"/>
      <c r="U651" s="64"/>
      <c r="V651" s="64"/>
      <c r="W651" s="64"/>
      <c r="X651" s="64"/>
      <c r="Y651" s="64"/>
      <c r="Z651" s="64"/>
    </row>
    <row r="652" spans="1:26" thickBot="1">
      <c r="A652" s="66" t="str">
        <f t="shared" si="29"/>
        <v>Latitude 2950</v>
      </c>
      <c r="B652" s="86">
        <v>29.5</v>
      </c>
      <c r="C652" s="80">
        <v>50</v>
      </c>
      <c r="D652" s="69">
        <v>0.74</v>
      </c>
      <c r="E652" s="69">
        <v>0.85</v>
      </c>
      <c r="F652" s="69">
        <v>1.02</v>
      </c>
      <c r="G652" s="69">
        <v>119</v>
      </c>
      <c r="H652" s="69">
        <v>1.31</v>
      </c>
      <c r="I652" s="69">
        <v>1.31</v>
      </c>
      <c r="J652" s="69">
        <v>1.23</v>
      </c>
      <c r="K652" s="69">
        <v>1.1299999999999999</v>
      </c>
      <c r="L652" s="69">
        <v>0.99</v>
      </c>
      <c r="M652" s="69">
        <v>0.85</v>
      </c>
      <c r="N652" s="69">
        <v>0.75</v>
      </c>
      <c r="O652" s="69">
        <v>0.71</v>
      </c>
      <c r="P652" s="71">
        <v>10.82</v>
      </c>
      <c r="Q652" s="64"/>
      <c r="R652" s="64"/>
      <c r="S652" s="64"/>
      <c r="T652" s="64"/>
      <c r="U652" s="64"/>
      <c r="V652" s="64"/>
      <c r="W652" s="64"/>
      <c r="X652" s="64"/>
      <c r="Y652" s="64"/>
      <c r="Z652" s="64"/>
    </row>
    <row r="653" spans="1:26" thickBot="1">
      <c r="A653" s="66" t="str">
        <f t="shared" si="29"/>
        <v>Latitude 2955</v>
      </c>
      <c r="B653" s="86">
        <v>29.55</v>
      </c>
      <c r="C653" s="80">
        <v>55</v>
      </c>
      <c r="D653" s="69">
        <v>0.68</v>
      </c>
      <c r="E653" s="69">
        <v>0.8</v>
      </c>
      <c r="F653" s="69">
        <v>0.98</v>
      </c>
      <c r="G653" s="69">
        <v>1.17</v>
      </c>
      <c r="H653" s="69">
        <v>1.3</v>
      </c>
      <c r="I653" s="69">
        <v>1.3</v>
      </c>
      <c r="J653" s="69">
        <v>1.22</v>
      </c>
      <c r="K653" s="69">
        <v>1.1000000000000001</v>
      </c>
      <c r="L653" s="69">
        <v>0.95</v>
      </c>
      <c r="M653" s="69">
        <v>0.8</v>
      </c>
      <c r="N653" s="69">
        <v>0.69</v>
      </c>
      <c r="O653" s="69">
        <v>0.64</v>
      </c>
      <c r="P653" s="71">
        <v>0.97</v>
      </c>
      <c r="Q653" s="64"/>
      <c r="R653" s="64"/>
      <c r="S653" s="64"/>
      <c r="T653" s="64"/>
      <c r="U653" s="64"/>
      <c r="V653" s="64"/>
      <c r="W653" s="64"/>
      <c r="X653" s="64"/>
      <c r="Y653" s="64"/>
      <c r="Z653" s="64"/>
    </row>
    <row r="654" spans="1:26" thickBot="1">
      <c r="A654" s="66" t="str">
        <f t="shared" si="29"/>
        <v>Latitude 2960</v>
      </c>
      <c r="B654" s="86">
        <v>29.6</v>
      </c>
      <c r="C654" s="80">
        <v>60</v>
      </c>
      <c r="D654" s="69">
        <v>0.62</v>
      </c>
      <c r="E654" s="69">
        <v>0.75</v>
      </c>
      <c r="F654" s="69">
        <v>0.93</v>
      </c>
      <c r="G654" s="69">
        <v>1.1399999999999999</v>
      </c>
      <c r="H654" s="69">
        <v>1.28</v>
      </c>
      <c r="I654" s="69">
        <v>1.28</v>
      </c>
      <c r="J654" s="69">
        <v>1.19</v>
      </c>
      <c r="K654" s="69">
        <v>1.07</v>
      </c>
      <c r="L654" s="69">
        <v>0.91</v>
      </c>
      <c r="M654" s="69">
        <v>0.75</v>
      </c>
      <c r="N654" s="69">
        <v>0.63</v>
      </c>
      <c r="O654" s="69">
        <v>0.57999999999999996</v>
      </c>
      <c r="P654" s="71">
        <v>0.93</v>
      </c>
      <c r="Q654" s="64"/>
      <c r="R654" s="64"/>
      <c r="S654" s="64"/>
      <c r="T654" s="64"/>
      <c r="U654" s="64"/>
      <c r="V654" s="64"/>
      <c r="W654" s="64"/>
      <c r="X654" s="64"/>
      <c r="Y654" s="64"/>
      <c r="Z654" s="64"/>
    </row>
    <row r="655" spans="1:26" thickBot="1">
      <c r="A655" s="66" t="str">
        <f t="shared" si="29"/>
        <v>Latitude 2965</v>
      </c>
      <c r="B655" s="86">
        <v>29.65</v>
      </c>
      <c r="C655" s="80">
        <v>65</v>
      </c>
      <c r="D655" s="69">
        <v>0.55000000000000004</v>
      </c>
      <c r="E655" s="69">
        <v>0.69</v>
      </c>
      <c r="F655" s="69">
        <v>0.88</v>
      </c>
      <c r="G655" s="69">
        <v>1.1000000000000001</v>
      </c>
      <c r="H655" s="69">
        <v>1.24</v>
      </c>
      <c r="I655" s="69">
        <v>1.25</v>
      </c>
      <c r="J655" s="69">
        <v>1.1599999999999999</v>
      </c>
      <c r="K655" s="69">
        <v>1.03</v>
      </c>
      <c r="L655" s="69">
        <v>0.86</v>
      </c>
      <c r="M655" s="69">
        <v>0.69</v>
      </c>
      <c r="N655" s="69">
        <v>0.56000000000000005</v>
      </c>
      <c r="O655" s="69">
        <v>0.51</v>
      </c>
      <c r="P655" s="71">
        <v>0.88</v>
      </c>
      <c r="Q655" s="64"/>
      <c r="R655" s="64"/>
      <c r="S655" s="64"/>
      <c r="T655" s="64"/>
      <c r="U655" s="64"/>
      <c r="V655" s="64"/>
      <c r="W655" s="64"/>
      <c r="X655" s="64"/>
      <c r="Y655" s="64"/>
      <c r="Z655" s="64"/>
    </row>
    <row r="656" spans="1:26" thickBot="1">
      <c r="A656" s="66" t="str">
        <f t="shared" si="29"/>
        <v>Latitude 2970</v>
      </c>
      <c r="B656" s="86">
        <v>29.7</v>
      </c>
      <c r="C656" s="80">
        <v>70</v>
      </c>
      <c r="D656" s="69">
        <v>0.48</v>
      </c>
      <c r="E656" s="69">
        <v>0.62</v>
      </c>
      <c r="F656" s="69">
        <v>0.82</v>
      </c>
      <c r="G656" s="69">
        <v>1.05</v>
      </c>
      <c r="H656" s="69">
        <v>1.2</v>
      </c>
      <c r="I656" s="69">
        <v>1.22</v>
      </c>
      <c r="J656" s="69">
        <v>1.1200000000000001</v>
      </c>
      <c r="K656" s="69">
        <v>0.98</v>
      </c>
      <c r="L656" s="69">
        <v>0.8</v>
      </c>
      <c r="M656" s="69">
        <v>0.62</v>
      </c>
      <c r="N656" s="69">
        <v>0.49</v>
      </c>
      <c r="O656" s="69">
        <v>0.44</v>
      </c>
      <c r="P656" s="71">
        <v>0.82</v>
      </c>
      <c r="Q656" s="64"/>
      <c r="R656" s="64"/>
      <c r="S656" s="64"/>
      <c r="T656" s="64"/>
      <c r="U656" s="64"/>
      <c r="V656" s="64"/>
      <c r="W656" s="64"/>
      <c r="X656" s="64"/>
      <c r="Y656" s="64"/>
      <c r="Z656" s="64"/>
    </row>
    <row r="657" spans="1:26" thickBot="1">
      <c r="A657" s="66" t="str">
        <f t="shared" si="29"/>
        <v>Latitude 2975</v>
      </c>
      <c r="B657" s="86">
        <v>29.75</v>
      </c>
      <c r="C657" s="80">
        <v>75</v>
      </c>
      <c r="D657" s="69">
        <v>0.41</v>
      </c>
      <c r="E657" s="69">
        <v>0.55000000000000004</v>
      </c>
      <c r="F657" s="69">
        <v>0.76</v>
      </c>
      <c r="G657" s="69">
        <v>0.99</v>
      </c>
      <c r="H657" s="69">
        <v>1.1599999999999999</v>
      </c>
      <c r="I657" s="69">
        <v>1.17</v>
      </c>
      <c r="J657" s="69">
        <v>1.07</v>
      </c>
      <c r="K657" s="69">
        <v>0.93</v>
      </c>
      <c r="L657" s="69">
        <v>0.74</v>
      </c>
      <c r="M657" s="69">
        <v>0.55000000000000004</v>
      </c>
      <c r="N657" s="69">
        <v>0.42</v>
      </c>
      <c r="O657" s="69">
        <v>0.36</v>
      </c>
      <c r="P657" s="71">
        <v>0.76</v>
      </c>
      <c r="Q657" s="64"/>
      <c r="R657" s="64"/>
      <c r="S657" s="64"/>
      <c r="T657" s="64"/>
      <c r="U657" s="64"/>
      <c r="V657" s="64"/>
      <c r="W657" s="64"/>
      <c r="X657" s="64"/>
      <c r="Y657" s="64"/>
      <c r="Z657" s="64"/>
    </row>
    <row r="658" spans="1:26" thickBot="1">
      <c r="A658" s="66" t="str">
        <f t="shared" si="29"/>
        <v>Latitude 2980</v>
      </c>
      <c r="B658" s="86">
        <v>29.8</v>
      </c>
      <c r="C658" s="80">
        <v>80</v>
      </c>
      <c r="D658" s="69">
        <v>0.33</v>
      </c>
      <c r="E658" s="69">
        <v>0.48</v>
      </c>
      <c r="F658" s="69">
        <v>0.69</v>
      </c>
      <c r="G658" s="69">
        <v>0.93</v>
      </c>
      <c r="H658" s="69">
        <v>1.1000000000000001</v>
      </c>
      <c r="I658" s="69">
        <v>1.1200000000000001</v>
      </c>
      <c r="J658" s="69">
        <v>1.02</v>
      </c>
      <c r="K658" s="69">
        <v>0.87</v>
      </c>
      <c r="L658" s="69">
        <v>0.68</v>
      </c>
      <c r="M658" s="69">
        <v>0.48</v>
      </c>
      <c r="N658" s="69">
        <v>0.34</v>
      </c>
      <c r="O658" s="69">
        <v>0.28000000000000003</v>
      </c>
      <c r="P658" s="71">
        <v>0.69</v>
      </c>
      <c r="Q658" s="64"/>
      <c r="R658" s="64"/>
      <c r="S658" s="64"/>
      <c r="T658" s="64"/>
      <c r="U658" s="64"/>
      <c r="V658" s="64"/>
      <c r="W658" s="64"/>
      <c r="X658" s="64"/>
      <c r="Y658" s="64"/>
      <c r="Z658" s="64"/>
    </row>
    <row r="659" spans="1:26" thickBot="1">
      <c r="A659" s="66" t="str">
        <f t="shared" si="29"/>
        <v>Latitude 2985</v>
      </c>
      <c r="B659" s="86">
        <v>29.85</v>
      </c>
      <c r="C659" s="80">
        <v>85</v>
      </c>
      <c r="D659" s="69">
        <v>0.25</v>
      </c>
      <c r="E659" s="69">
        <v>0.4</v>
      </c>
      <c r="F659" s="69">
        <v>0.62</v>
      </c>
      <c r="G659" s="69">
        <v>0.87</v>
      </c>
      <c r="H659" s="69">
        <v>1.04</v>
      </c>
      <c r="I659" s="69">
        <v>1.06</v>
      </c>
      <c r="J659" s="69">
        <v>0.96</v>
      </c>
      <c r="K659" s="69">
        <v>0.81</v>
      </c>
      <c r="L659" s="69">
        <v>0.61</v>
      </c>
      <c r="M659" s="69">
        <v>0.41</v>
      </c>
      <c r="N659" s="69">
        <v>0.26</v>
      </c>
      <c r="O659" s="69">
        <v>0.21</v>
      </c>
      <c r="P659" s="71">
        <v>0.63</v>
      </c>
      <c r="Q659" s="64"/>
      <c r="R659" s="64"/>
      <c r="S659" s="64"/>
      <c r="T659" s="64"/>
      <c r="U659" s="64"/>
      <c r="V659" s="64"/>
      <c r="W659" s="64"/>
      <c r="X659" s="64"/>
      <c r="Y659" s="64"/>
      <c r="Z659" s="64"/>
    </row>
    <row r="660" spans="1:26" thickBot="1">
      <c r="A660" s="66" t="str">
        <f t="shared" si="29"/>
        <v>Latitude 2990</v>
      </c>
      <c r="B660" s="86">
        <v>29.9</v>
      </c>
      <c r="C660" s="69">
        <v>90</v>
      </c>
      <c r="D660" s="69">
        <v>0.17</v>
      </c>
      <c r="E660" s="69">
        <v>0.32</v>
      </c>
      <c r="F660" s="69">
        <v>0.54</v>
      </c>
      <c r="G660" s="69">
        <v>0.79</v>
      </c>
      <c r="H660" s="69">
        <v>0.97</v>
      </c>
      <c r="I660" s="69">
        <v>1</v>
      </c>
      <c r="J660" s="69">
        <v>0.9</v>
      </c>
      <c r="K660" s="69">
        <v>0.74</v>
      </c>
      <c r="L660" s="69">
        <v>0.54</v>
      </c>
      <c r="M660" s="69">
        <v>0.33</v>
      </c>
      <c r="N660" s="69">
        <v>0.18</v>
      </c>
      <c r="O660" s="69">
        <v>0.13</v>
      </c>
      <c r="P660" s="71">
        <v>0.55000000000000004</v>
      </c>
      <c r="Q660" s="64"/>
      <c r="R660" s="64"/>
      <c r="S660" s="64"/>
      <c r="T660" s="64"/>
      <c r="U660" s="64"/>
      <c r="V660" s="64"/>
      <c r="W660" s="64"/>
      <c r="X660" s="64"/>
      <c r="Y660" s="64"/>
      <c r="Z660" s="64"/>
    </row>
    <row r="661" spans="1:26" thickBot="1">
      <c r="A661" s="66"/>
      <c r="B661" s="88"/>
      <c r="C661" s="73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66"/>
      <c r="Q661" s="64"/>
      <c r="R661" s="64"/>
      <c r="S661" s="64"/>
      <c r="T661" s="64"/>
      <c r="U661" s="64"/>
      <c r="V661" s="64"/>
      <c r="W661" s="64"/>
      <c r="X661" s="64"/>
      <c r="Y661" s="64"/>
      <c r="Z661" s="64"/>
    </row>
    <row r="662" spans="1:26" thickBot="1">
      <c r="A662" s="66"/>
      <c r="B662" s="88"/>
      <c r="C662" s="73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66"/>
      <c r="Q662" s="64"/>
      <c r="R662" s="64"/>
      <c r="S662" s="64"/>
      <c r="T662" s="64"/>
      <c r="U662" s="64"/>
      <c r="V662" s="64"/>
      <c r="W662" s="64"/>
      <c r="X662" s="64"/>
      <c r="Y662" s="64"/>
      <c r="Z662" s="64"/>
    </row>
    <row r="663" spans="1:26" thickBot="1">
      <c r="A663" s="66"/>
      <c r="B663" s="85" t="s">
        <v>5894</v>
      </c>
      <c r="C663" s="75" t="s">
        <v>5853</v>
      </c>
      <c r="D663" s="75" t="s">
        <v>5827</v>
      </c>
      <c r="E663" s="75" t="s">
        <v>5828</v>
      </c>
      <c r="F663" s="75" t="s">
        <v>5829</v>
      </c>
      <c r="G663" s="75" t="s">
        <v>5830</v>
      </c>
      <c r="H663" s="75" t="s">
        <v>5831</v>
      </c>
      <c r="I663" s="75" t="s">
        <v>5832</v>
      </c>
      <c r="J663" s="75" t="s">
        <v>5833</v>
      </c>
      <c r="K663" s="75" t="s">
        <v>5834</v>
      </c>
      <c r="L663" s="75" t="s">
        <v>5835</v>
      </c>
      <c r="M663" s="75" t="s">
        <v>5836</v>
      </c>
      <c r="N663" s="75" t="s">
        <v>5837</v>
      </c>
      <c r="O663" s="75" t="s">
        <v>5838</v>
      </c>
      <c r="P663" s="74" t="s">
        <v>20</v>
      </c>
      <c r="Q663" s="64"/>
      <c r="R663" s="64"/>
      <c r="S663" s="64"/>
      <c r="T663" s="64"/>
      <c r="U663" s="64"/>
      <c r="V663" s="64"/>
      <c r="W663" s="64"/>
      <c r="X663" s="64"/>
      <c r="Y663" s="64"/>
      <c r="Z663" s="64"/>
    </row>
    <row r="664" spans="1:26" thickBot="1">
      <c r="A664" s="66" t="str">
        <f>$B$663&amp;C664</f>
        <v>Latitude 300</v>
      </c>
      <c r="B664" s="86">
        <v>30</v>
      </c>
      <c r="C664" s="80">
        <v>0</v>
      </c>
      <c r="D664" s="69">
        <v>1</v>
      </c>
      <c r="E664" s="69">
        <v>1</v>
      </c>
      <c r="F664" s="69">
        <v>1</v>
      </c>
      <c r="G664" s="69">
        <v>1</v>
      </c>
      <c r="H664" s="69">
        <v>1</v>
      </c>
      <c r="I664" s="69">
        <v>1</v>
      </c>
      <c r="J664" s="69">
        <v>1</v>
      </c>
      <c r="K664" s="69">
        <v>1</v>
      </c>
      <c r="L664" s="69">
        <v>1</v>
      </c>
      <c r="M664" s="69">
        <v>1</v>
      </c>
      <c r="N664" s="69">
        <v>1</v>
      </c>
      <c r="O664" s="69">
        <v>1</v>
      </c>
      <c r="P664" s="71">
        <v>1</v>
      </c>
      <c r="Q664" s="64"/>
      <c r="R664" s="64"/>
      <c r="S664" s="64"/>
      <c r="T664" s="64"/>
      <c r="U664" s="64"/>
      <c r="V664" s="64"/>
      <c r="W664" s="64"/>
      <c r="X664" s="64"/>
      <c r="Y664" s="64"/>
      <c r="Z664" s="64"/>
    </row>
    <row r="665" spans="1:26" thickBot="1">
      <c r="A665" s="66" t="str">
        <f t="shared" ref="A665:A682" si="30">$B$663&amp;C665</f>
        <v>Latitude 305</v>
      </c>
      <c r="B665" s="86">
        <v>30.5</v>
      </c>
      <c r="C665" s="80">
        <v>5</v>
      </c>
      <c r="D665" s="69">
        <v>1.01</v>
      </c>
      <c r="E665" s="69">
        <v>1.02</v>
      </c>
      <c r="F665" s="69">
        <v>1.04</v>
      </c>
      <c r="G665" s="69">
        <v>1.06</v>
      </c>
      <c r="H665" s="69">
        <v>1.07</v>
      </c>
      <c r="I665" s="69">
        <v>1.07</v>
      </c>
      <c r="J665" s="69">
        <v>1.06</v>
      </c>
      <c r="K665" s="69">
        <v>1.05</v>
      </c>
      <c r="L665" s="69">
        <v>1.03</v>
      </c>
      <c r="M665" s="69">
        <v>1.02</v>
      </c>
      <c r="N665" s="69">
        <v>1.01</v>
      </c>
      <c r="O665" s="69">
        <v>1</v>
      </c>
      <c r="P665" s="71">
        <v>1.04</v>
      </c>
      <c r="Q665" s="64"/>
      <c r="R665" s="64"/>
      <c r="S665" s="64"/>
      <c r="T665" s="64"/>
      <c r="U665" s="64"/>
      <c r="V665" s="64"/>
      <c r="W665" s="64"/>
      <c r="X665" s="64"/>
      <c r="Y665" s="64"/>
      <c r="Z665" s="64"/>
    </row>
    <row r="666" spans="1:26" thickBot="1">
      <c r="A666" s="66" t="str">
        <f t="shared" si="30"/>
        <v>Latitude 3010</v>
      </c>
      <c r="B666" s="86">
        <v>30.1</v>
      </c>
      <c r="C666" s="80">
        <v>10</v>
      </c>
      <c r="D666" s="69">
        <v>1</v>
      </c>
      <c r="E666" s="69">
        <v>1.03</v>
      </c>
      <c r="F666" s="69">
        <v>1.07</v>
      </c>
      <c r="G666" s="69">
        <v>1.1000000000000001</v>
      </c>
      <c r="H666" s="69">
        <v>1.1299999999999999</v>
      </c>
      <c r="I666" s="69">
        <v>1.1200000000000001</v>
      </c>
      <c r="J666" s="69">
        <v>1.1100000000000001</v>
      </c>
      <c r="K666" s="69">
        <v>1.08</v>
      </c>
      <c r="L666" s="69">
        <v>1.06</v>
      </c>
      <c r="M666" s="69">
        <v>1.03</v>
      </c>
      <c r="N666" s="69">
        <v>1</v>
      </c>
      <c r="O666" s="69">
        <v>1</v>
      </c>
      <c r="P666" s="71">
        <v>1.06</v>
      </c>
      <c r="Q666" s="64"/>
      <c r="R666" s="64"/>
      <c r="S666" s="64"/>
      <c r="T666" s="64"/>
      <c r="U666" s="64"/>
      <c r="V666" s="64"/>
      <c r="W666" s="64"/>
      <c r="X666" s="64"/>
      <c r="Y666" s="64"/>
      <c r="Z666" s="64"/>
    </row>
    <row r="667" spans="1:26" thickBot="1">
      <c r="A667" s="66" t="str">
        <f t="shared" si="30"/>
        <v>Latitude 3015</v>
      </c>
      <c r="B667" s="86">
        <v>30.15</v>
      </c>
      <c r="C667" s="80">
        <v>15</v>
      </c>
      <c r="D667" s="69">
        <v>1</v>
      </c>
      <c r="E667" s="69">
        <v>1.03</v>
      </c>
      <c r="F667" s="69">
        <v>1.0900000000000001</v>
      </c>
      <c r="G667" s="69">
        <v>1.1499999999999999</v>
      </c>
      <c r="H667" s="69">
        <v>1.18</v>
      </c>
      <c r="I667" s="69">
        <v>1.18</v>
      </c>
      <c r="J667" s="69">
        <v>1.1499999999999999</v>
      </c>
      <c r="K667" s="69">
        <v>1.1200000000000001</v>
      </c>
      <c r="L667" s="69">
        <v>1.07</v>
      </c>
      <c r="M667" s="69">
        <v>1.03</v>
      </c>
      <c r="N667" s="69">
        <v>1</v>
      </c>
      <c r="O667" s="69">
        <v>0.98</v>
      </c>
      <c r="P667" s="71">
        <v>1.08</v>
      </c>
      <c r="Q667" s="64"/>
      <c r="R667" s="64"/>
      <c r="S667" s="64"/>
      <c r="T667" s="64"/>
      <c r="U667" s="64"/>
      <c r="V667" s="64"/>
      <c r="W667" s="64"/>
      <c r="X667" s="64"/>
      <c r="Y667" s="64"/>
      <c r="Z667" s="64"/>
    </row>
    <row r="668" spans="1:26" thickBot="1">
      <c r="A668" s="66" t="str">
        <f t="shared" si="30"/>
        <v>Latitude 3020</v>
      </c>
      <c r="B668" s="86">
        <v>30.2</v>
      </c>
      <c r="C668" s="80">
        <v>20</v>
      </c>
      <c r="D668" s="69">
        <v>0.98</v>
      </c>
      <c r="E668" s="69">
        <v>1.03</v>
      </c>
      <c r="F668" s="69">
        <v>1.1000000000000001</v>
      </c>
      <c r="G668" s="69">
        <v>1.18</v>
      </c>
      <c r="H668" s="69">
        <v>1.23</v>
      </c>
      <c r="I668" s="69">
        <v>1.22</v>
      </c>
      <c r="J668" s="69">
        <v>1.19</v>
      </c>
      <c r="K668" s="69">
        <v>1.1399999999999999</v>
      </c>
      <c r="L668" s="69">
        <v>1.0900000000000001</v>
      </c>
      <c r="M668" s="69">
        <v>1.03</v>
      </c>
      <c r="N668" s="69">
        <v>0.98</v>
      </c>
      <c r="O668" s="69">
        <v>0.96</v>
      </c>
      <c r="P668" s="71">
        <v>1.0900000000000001</v>
      </c>
      <c r="Q668" s="64"/>
      <c r="R668" s="64"/>
      <c r="S668" s="64"/>
      <c r="T668" s="64"/>
      <c r="U668" s="64"/>
      <c r="V668" s="64"/>
      <c r="W668" s="64"/>
      <c r="X668" s="64"/>
      <c r="Y668" s="64"/>
      <c r="Z668" s="64"/>
    </row>
    <row r="669" spans="1:26" thickBot="1">
      <c r="A669" s="66" t="str">
        <f t="shared" si="30"/>
        <v>Latitude 3025</v>
      </c>
      <c r="B669" s="86">
        <v>30.25</v>
      </c>
      <c r="C669" s="80">
        <v>25</v>
      </c>
      <c r="D669" s="69">
        <v>0.96</v>
      </c>
      <c r="E669" s="69">
        <v>1.02</v>
      </c>
      <c r="F669" s="69">
        <v>1.1100000000000001</v>
      </c>
      <c r="G669" s="69">
        <v>1.2</v>
      </c>
      <c r="H669" s="69">
        <v>1.27</v>
      </c>
      <c r="I669" s="69">
        <v>1.26</v>
      </c>
      <c r="J669" s="69">
        <v>1.22</v>
      </c>
      <c r="K669" s="69">
        <v>1.1599999999999999</v>
      </c>
      <c r="L669" s="69">
        <v>1.0900000000000001</v>
      </c>
      <c r="M669" s="69">
        <v>1.02</v>
      </c>
      <c r="N669" s="69">
        <v>0.96</v>
      </c>
      <c r="O669" s="69">
        <v>0.94</v>
      </c>
      <c r="P669" s="71">
        <v>1.1000000000000001</v>
      </c>
      <c r="Q669" s="64"/>
      <c r="R669" s="64"/>
      <c r="S669" s="64"/>
      <c r="T669" s="64"/>
      <c r="U669" s="64"/>
      <c r="V669" s="64"/>
      <c r="W669" s="64"/>
      <c r="X669" s="64"/>
      <c r="Y669" s="64"/>
      <c r="Z669" s="64"/>
    </row>
    <row r="670" spans="1:26" thickBot="1">
      <c r="A670" s="66" t="str">
        <f t="shared" si="30"/>
        <v>Latitude 3030</v>
      </c>
      <c r="B670" s="86">
        <v>30.3</v>
      </c>
      <c r="C670" s="80">
        <v>30</v>
      </c>
      <c r="D670" s="69">
        <v>0.93</v>
      </c>
      <c r="E670" s="69">
        <v>1</v>
      </c>
      <c r="F670" s="69">
        <v>1.1100000000000001</v>
      </c>
      <c r="G670" s="69">
        <v>1.22</v>
      </c>
      <c r="H670" s="69">
        <v>1.3</v>
      </c>
      <c r="I670" s="69">
        <v>1.29</v>
      </c>
      <c r="J670" s="69">
        <v>1.24</v>
      </c>
      <c r="K670" s="81">
        <v>1.17</v>
      </c>
      <c r="L670" s="69">
        <v>1.0900000000000001</v>
      </c>
      <c r="M670" s="69">
        <v>1</v>
      </c>
      <c r="N670" s="69">
        <v>0.93</v>
      </c>
      <c r="O670" s="69">
        <v>0.91</v>
      </c>
      <c r="P670" s="71">
        <v>1.1000000000000001</v>
      </c>
      <c r="Q670" s="64"/>
      <c r="R670" s="64"/>
      <c r="S670" s="64"/>
      <c r="T670" s="64"/>
      <c r="U670" s="64"/>
      <c r="V670" s="64"/>
      <c r="W670" s="64"/>
      <c r="X670" s="64"/>
      <c r="Y670" s="64"/>
      <c r="Z670" s="64"/>
    </row>
    <row r="671" spans="1:26" thickBot="1">
      <c r="A671" s="66" t="str">
        <f t="shared" si="30"/>
        <v>Latitude 3035</v>
      </c>
      <c r="B671" s="86">
        <v>30.35</v>
      </c>
      <c r="C671" s="80">
        <v>35</v>
      </c>
      <c r="D671" s="69">
        <v>0.9</v>
      </c>
      <c r="E671" s="69">
        <v>0.98</v>
      </c>
      <c r="F671" s="69">
        <v>1.1000000000000001</v>
      </c>
      <c r="G671" s="69">
        <v>1.23</v>
      </c>
      <c r="H671" s="69">
        <v>1.32</v>
      </c>
      <c r="I671" s="69">
        <v>1.31</v>
      </c>
      <c r="J671" s="69">
        <v>1.25</v>
      </c>
      <c r="K671" s="69">
        <v>1.17</v>
      </c>
      <c r="L671" s="69">
        <v>1.08</v>
      </c>
      <c r="M671" s="69">
        <v>0.97</v>
      </c>
      <c r="N671" s="69">
        <v>0.9</v>
      </c>
      <c r="O671" s="69">
        <v>0.87</v>
      </c>
      <c r="P671" s="71">
        <v>1.0900000000000001</v>
      </c>
      <c r="Q671" s="64"/>
      <c r="R671" s="64"/>
      <c r="S671" s="64"/>
      <c r="T671" s="64"/>
      <c r="U671" s="64"/>
      <c r="V671" s="64"/>
      <c r="W671" s="64"/>
      <c r="X671" s="64"/>
      <c r="Y671" s="64"/>
      <c r="Z671" s="64"/>
    </row>
    <row r="672" spans="1:26" thickBot="1">
      <c r="A672" s="66" t="str">
        <f t="shared" si="30"/>
        <v>Latitude 3040</v>
      </c>
      <c r="B672" s="86">
        <v>30.4</v>
      </c>
      <c r="C672" s="80">
        <v>40</v>
      </c>
      <c r="D672" s="69">
        <v>0.85</v>
      </c>
      <c r="E672" s="69">
        <v>0.95</v>
      </c>
      <c r="F672" s="69">
        <v>1.08</v>
      </c>
      <c r="G672" s="69">
        <v>1.23</v>
      </c>
      <c r="H672" s="69">
        <v>1.33</v>
      </c>
      <c r="I672" s="69">
        <v>1.33</v>
      </c>
      <c r="J672" s="69">
        <v>1.26</v>
      </c>
      <c r="K672" s="69">
        <v>1.17</v>
      </c>
      <c r="L672" s="69">
        <v>1.06</v>
      </c>
      <c r="M672" s="69">
        <v>0.94</v>
      </c>
      <c r="N672" s="69">
        <v>0.86</v>
      </c>
      <c r="O672" s="69">
        <v>0.82</v>
      </c>
      <c r="P672" s="71">
        <v>1.07</v>
      </c>
      <c r="Q672" s="64"/>
      <c r="R672" s="64"/>
      <c r="S672" s="64"/>
      <c r="T672" s="64"/>
      <c r="U672" s="64"/>
      <c r="V672" s="64"/>
      <c r="W672" s="64"/>
      <c r="X672" s="64"/>
      <c r="Y672" s="64"/>
      <c r="Z672" s="64"/>
    </row>
    <row r="673" spans="1:26" thickBot="1">
      <c r="A673" s="66" t="str">
        <f t="shared" si="30"/>
        <v>Latitude 3045</v>
      </c>
      <c r="B673" s="86">
        <v>30.45</v>
      </c>
      <c r="C673" s="80">
        <v>45</v>
      </c>
      <c r="D673" s="69">
        <v>0.81</v>
      </c>
      <c r="E673" s="69">
        <v>0.91</v>
      </c>
      <c r="F673" s="69">
        <v>1.06</v>
      </c>
      <c r="G673" s="69">
        <v>1.22</v>
      </c>
      <c r="H673" s="69">
        <v>1.33</v>
      </c>
      <c r="I673" s="69">
        <v>1.33</v>
      </c>
      <c r="J673" s="69">
        <v>1.26</v>
      </c>
      <c r="K673" s="69">
        <v>1.1599999999999999</v>
      </c>
      <c r="L673" s="69">
        <v>1.04</v>
      </c>
      <c r="M673" s="69">
        <v>0.91</v>
      </c>
      <c r="N673" s="69">
        <v>0.81</v>
      </c>
      <c r="O673" s="69">
        <v>0.77</v>
      </c>
      <c r="P673" s="71">
        <v>1.05</v>
      </c>
      <c r="Q673" s="64"/>
      <c r="R673" s="64"/>
      <c r="S673" s="64"/>
      <c r="T673" s="64"/>
      <c r="U673" s="64"/>
      <c r="V673" s="64"/>
      <c r="W673" s="64"/>
      <c r="X673" s="64"/>
      <c r="Y673" s="64"/>
      <c r="Z673" s="64"/>
    </row>
    <row r="674" spans="1:26" thickBot="1">
      <c r="A674" s="66" t="str">
        <f t="shared" si="30"/>
        <v>Latitude 3050</v>
      </c>
      <c r="B674" s="86">
        <v>30.5</v>
      </c>
      <c r="C674" s="80">
        <v>50</v>
      </c>
      <c r="D674" s="69">
        <v>0.75</v>
      </c>
      <c r="E674" s="69">
        <v>0.87</v>
      </c>
      <c r="F674" s="69">
        <v>1.03</v>
      </c>
      <c r="G674" s="69">
        <v>1.21</v>
      </c>
      <c r="H674" s="69">
        <v>1.33</v>
      </c>
      <c r="I674" s="69">
        <v>1.33</v>
      </c>
      <c r="J674" s="69">
        <v>1.25</v>
      </c>
      <c r="K674" s="69">
        <v>1.1399999999999999</v>
      </c>
      <c r="L674" s="69">
        <v>1</v>
      </c>
      <c r="M674" s="69">
        <v>0.86</v>
      </c>
      <c r="N674" s="69">
        <v>0.76</v>
      </c>
      <c r="O674" s="69">
        <v>0.72</v>
      </c>
      <c r="P674" s="71">
        <v>1.02</v>
      </c>
      <c r="Q674" s="64"/>
      <c r="R674" s="64"/>
      <c r="S674" s="64"/>
      <c r="T674" s="64"/>
      <c r="U674" s="64"/>
      <c r="V674" s="64"/>
      <c r="W674" s="64"/>
      <c r="X674" s="64"/>
      <c r="Y674" s="64"/>
      <c r="Z674" s="64"/>
    </row>
    <row r="675" spans="1:26" thickBot="1">
      <c r="A675" s="66" t="str">
        <f t="shared" si="30"/>
        <v>Latitude 3055</v>
      </c>
      <c r="B675" s="86">
        <v>30.55</v>
      </c>
      <c r="C675" s="80">
        <v>55</v>
      </c>
      <c r="D675" s="69">
        <v>0.7</v>
      </c>
      <c r="E675" s="69">
        <v>0.82</v>
      </c>
      <c r="F675" s="69">
        <v>0.99</v>
      </c>
      <c r="G675" s="69">
        <v>1.19</v>
      </c>
      <c r="H675" s="69">
        <v>1.32</v>
      </c>
      <c r="I675" s="69">
        <v>1.32</v>
      </c>
      <c r="J675" s="69">
        <v>1.23</v>
      </c>
      <c r="K675" s="69">
        <v>1.1200000000000001</v>
      </c>
      <c r="L675" s="69">
        <v>0.97</v>
      </c>
      <c r="M675" s="69">
        <v>0.81</v>
      </c>
      <c r="N675" s="69">
        <v>0.7</v>
      </c>
      <c r="O675" s="69">
        <v>0.66</v>
      </c>
      <c r="P675" s="71">
        <v>0.99</v>
      </c>
      <c r="Q675" s="64"/>
      <c r="R675" s="64"/>
      <c r="S675" s="64"/>
      <c r="T675" s="64"/>
      <c r="U675" s="64"/>
      <c r="V675" s="64"/>
      <c r="W675" s="64"/>
      <c r="X675" s="64"/>
      <c r="Y675" s="64"/>
      <c r="Z675" s="64"/>
    </row>
    <row r="676" spans="1:26" thickBot="1">
      <c r="A676" s="66" t="str">
        <f t="shared" si="30"/>
        <v>Latitude 3060</v>
      </c>
      <c r="B676" s="86">
        <v>30.6</v>
      </c>
      <c r="C676" s="80">
        <v>60</v>
      </c>
      <c r="D676" s="69">
        <v>0.63</v>
      </c>
      <c r="E676" s="69">
        <v>0.76</v>
      </c>
      <c r="F676" s="69">
        <v>0.95</v>
      </c>
      <c r="G676" s="69">
        <v>1.1499999999999999</v>
      </c>
      <c r="H676" s="69">
        <v>1.3</v>
      </c>
      <c r="I676" s="69">
        <v>1.3</v>
      </c>
      <c r="J676" s="69">
        <v>1.21</v>
      </c>
      <c r="K676" s="69">
        <v>1.08</v>
      </c>
      <c r="L676" s="69">
        <v>0.92</v>
      </c>
      <c r="M676" s="69">
        <v>0.76</v>
      </c>
      <c r="N676" s="69">
        <v>0.64</v>
      </c>
      <c r="O676" s="69">
        <v>0.59</v>
      </c>
      <c r="P676" s="71">
        <v>0.94</v>
      </c>
      <c r="Q676" s="64"/>
      <c r="R676" s="64"/>
      <c r="S676" s="64"/>
      <c r="T676" s="64"/>
      <c r="U676" s="64"/>
      <c r="V676" s="64"/>
      <c r="W676" s="64"/>
      <c r="X676" s="64"/>
      <c r="Y676" s="64"/>
      <c r="Z676" s="64"/>
    </row>
    <row r="677" spans="1:26" thickBot="1">
      <c r="A677" s="66" t="str">
        <f t="shared" si="30"/>
        <v>Latitude 3065</v>
      </c>
      <c r="B677" s="86">
        <v>30.65</v>
      </c>
      <c r="C677" s="80">
        <v>65</v>
      </c>
      <c r="D677" s="69">
        <v>0.56999999999999995</v>
      </c>
      <c r="E677" s="69">
        <v>0.7</v>
      </c>
      <c r="F677" s="69">
        <v>0.9</v>
      </c>
      <c r="G677" s="69">
        <v>1.1100000000000001</v>
      </c>
      <c r="H677" s="69">
        <v>1.27</v>
      </c>
      <c r="I677" s="69">
        <v>1.27</v>
      </c>
      <c r="J677" s="69">
        <v>1.18</v>
      </c>
      <c r="K677" s="69">
        <v>1.04</v>
      </c>
      <c r="L677" s="69">
        <v>0.87</v>
      </c>
      <c r="M677" s="69">
        <v>0.7</v>
      </c>
      <c r="N677" s="69">
        <v>0.56999999999999995</v>
      </c>
      <c r="O677" s="69">
        <v>0.52</v>
      </c>
      <c r="P677" s="71">
        <v>0.89</v>
      </c>
      <c r="Q677" s="64"/>
      <c r="R677" s="64"/>
      <c r="S677" s="64"/>
      <c r="T677" s="64"/>
      <c r="U677" s="64"/>
      <c r="V677" s="64"/>
      <c r="W677" s="64"/>
      <c r="X677" s="64"/>
      <c r="Y677" s="64"/>
      <c r="Z677" s="64"/>
    </row>
    <row r="678" spans="1:26" thickBot="1">
      <c r="A678" s="66" t="str">
        <f t="shared" si="30"/>
        <v>Latitude 3070</v>
      </c>
      <c r="B678" s="86">
        <v>30.7</v>
      </c>
      <c r="C678" s="80">
        <v>70</v>
      </c>
      <c r="D678" s="69">
        <v>0.5</v>
      </c>
      <c r="E678" s="69">
        <v>0.63</v>
      </c>
      <c r="F678" s="69">
        <v>0.84</v>
      </c>
      <c r="G678" s="69">
        <v>1.07</v>
      </c>
      <c r="H678" s="69">
        <v>1.23</v>
      </c>
      <c r="I678" s="69">
        <v>1.24</v>
      </c>
      <c r="J678" s="69">
        <v>1.1399999999999999</v>
      </c>
      <c r="K678" s="69">
        <v>1</v>
      </c>
      <c r="L678" s="69">
        <v>0.82</v>
      </c>
      <c r="M678" s="69">
        <v>0.64</v>
      </c>
      <c r="N678" s="69">
        <v>0.5</v>
      </c>
      <c r="O678" s="69">
        <v>0.45</v>
      </c>
      <c r="P678" s="71">
        <v>0.84</v>
      </c>
      <c r="Q678" s="64"/>
      <c r="R678" s="64"/>
      <c r="S678" s="64"/>
      <c r="T678" s="64"/>
      <c r="U678" s="64"/>
      <c r="V678" s="64"/>
      <c r="W678" s="64"/>
      <c r="X678" s="64"/>
      <c r="Y678" s="64"/>
      <c r="Z678" s="64"/>
    </row>
    <row r="679" spans="1:26" thickBot="1">
      <c r="A679" s="66" t="str">
        <f t="shared" si="30"/>
        <v>Latitude 3075</v>
      </c>
      <c r="B679" s="86">
        <v>30.75</v>
      </c>
      <c r="C679" s="80">
        <v>75</v>
      </c>
      <c r="D679" s="69">
        <v>0.42</v>
      </c>
      <c r="E679" s="69">
        <v>0.56000000000000005</v>
      </c>
      <c r="F679" s="69">
        <v>0.78</v>
      </c>
      <c r="G679" s="69">
        <v>1.01</v>
      </c>
      <c r="H679" s="69">
        <v>1.18</v>
      </c>
      <c r="I679" s="69">
        <v>1.19</v>
      </c>
      <c r="J679" s="69">
        <v>1.0900000000000001</v>
      </c>
      <c r="K679" s="69">
        <v>0.95</v>
      </c>
      <c r="L679" s="69">
        <v>0.76</v>
      </c>
      <c r="M679" s="69">
        <v>0.56999999999999995</v>
      </c>
      <c r="N679" s="69">
        <v>0.43</v>
      </c>
      <c r="O679" s="69">
        <v>0.38</v>
      </c>
      <c r="P679" s="71">
        <v>0.78</v>
      </c>
      <c r="Q679" s="64"/>
      <c r="R679" s="64"/>
      <c r="S679" s="64"/>
      <c r="T679" s="64"/>
      <c r="U679" s="64"/>
      <c r="V679" s="64"/>
      <c r="W679" s="64"/>
      <c r="X679" s="64"/>
      <c r="Y679" s="64"/>
      <c r="Z679" s="64"/>
    </row>
    <row r="680" spans="1:26" thickBot="1">
      <c r="A680" s="66" t="str">
        <f t="shared" si="30"/>
        <v>Latitude 3080</v>
      </c>
      <c r="B680" s="86">
        <v>30.8</v>
      </c>
      <c r="C680" s="80">
        <v>80</v>
      </c>
      <c r="D680" s="69">
        <v>0.35</v>
      </c>
      <c r="E680" s="69">
        <v>0.49</v>
      </c>
      <c r="F680" s="69">
        <v>0.71</v>
      </c>
      <c r="G680" s="69">
        <v>0.95</v>
      </c>
      <c r="H680" s="69">
        <v>1.1299999999999999</v>
      </c>
      <c r="I680" s="69">
        <v>1.1399999999999999</v>
      </c>
      <c r="J680" s="69">
        <v>1.04</v>
      </c>
      <c r="K680" s="69">
        <v>0.89</v>
      </c>
      <c r="L680" s="69">
        <v>0.69</v>
      </c>
      <c r="M680" s="69">
        <v>0.5</v>
      </c>
      <c r="N680" s="69">
        <v>0.35</v>
      </c>
      <c r="O680" s="69">
        <v>0.3</v>
      </c>
      <c r="P680" s="71">
        <v>0.71</v>
      </c>
      <c r="Q680" s="64"/>
      <c r="R680" s="64"/>
      <c r="S680" s="64"/>
      <c r="T680" s="64"/>
      <c r="U680" s="64"/>
      <c r="V680" s="64"/>
      <c r="W680" s="64"/>
      <c r="X680" s="64"/>
      <c r="Y680" s="64"/>
      <c r="Z680" s="64"/>
    </row>
    <row r="681" spans="1:26" thickBot="1">
      <c r="A681" s="66" t="str">
        <f t="shared" si="30"/>
        <v>Latitude 3085</v>
      </c>
      <c r="B681" s="86">
        <v>30.85</v>
      </c>
      <c r="C681" s="80">
        <v>85</v>
      </c>
      <c r="D681" s="69">
        <v>0.27</v>
      </c>
      <c r="E681" s="69">
        <v>0.42</v>
      </c>
      <c r="F681" s="69">
        <v>0.64</v>
      </c>
      <c r="G681" s="69">
        <v>0.89</v>
      </c>
      <c r="H681" s="69">
        <v>1.07</v>
      </c>
      <c r="I681" s="69">
        <v>1.0900000000000001</v>
      </c>
      <c r="J681" s="69">
        <v>0.98</v>
      </c>
      <c r="K681" s="69">
        <v>0.83</v>
      </c>
      <c r="L681" s="69">
        <v>0.63</v>
      </c>
      <c r="M681" s="69">
        <v>0.42</v>
      </c>
      <c r="N681" s="69">
        <v>0.28000000000000003</v>
      </c>
      <c r="O681" s="69">
        <v>0.22</v>
      </c>
      <c r="P681" s="71">
        <v>0.65</v>
      </c>
      <c r="Q681" s="64"/>
      <c r="R681" s="64"/>
      <c r="S681" s="64"/>
      <c r="T681" s="64"/>
      <c r="U681" s="64"/>
      <c r="V681" s="64"/>
      <c r="W681" s="64"/>
      <c r="X681" s="64"/>
      <c r="Y681" s="64"/>
      <c r="Z681" s="64"/>
    </row>
    <row r="682" spans="1:26" thickBot="1">
      <c r="A682" s="66" t="str">
        <f t="shared" si="30"/>
        <v>Latitude 3090</v>
      </c>
      <c r="B682" s="86">
        <v>30.9</v>
      </c>
      <c r="C682" s="69">
        <v>90</v>
      </c>
      <c r="D682" s="69">
        <v>0.19</v>
      </c>
      <c r="E682" s="69">
        <v>0.34</v>
      </c>
      <c r="F682" s="69">
        <v>0.56000000000000005</v>
      </c>
      <c r="G682" s="69">
        <v>0.81</v>
      </c>
      <c r="H682" s="69">
        <v>1</v>
      </c>
      <c r="I682" s="69">
        <v>1.02</v>
      </c>
      <c r="J682" s="69">
        <v>0.92</v>
      </c>
      <c r="K682" s="69">
        <v>0.76</v>
      </c>
      <c r="L682" s="69">
        <v>0.55000000000000004</v>
      </c>
      <c r="M682" s="69">
        <v>0.35</v>
      </c>
      <c r="N682" s="69">
        <v>0.2</v>
      </c>
      <c r="O682" s="69">
        <v>0.14000000000000001</v>
      </c>
      <c r="P682" s="71">
        <v>0.56999999999999995</v>
      </c>
      <c r="Q682" s="64"/>
      <c r="R682" s="64"/>
      <c r="S682" s="64"/>
      <c r="T682" s="64"/>
      <c r="U682" s="64"/>
      <c r="V682" s="64"/>
      <c r="W682" s="64"/>
      <c r="X682" s="64"/>
      <c r="Y682" s="64"/>
      <c r="Z682" s="64"/>
    </row>
    <row r="683" spans="1:26" thickBot="1">
      <c r="A683" s="66"/>
      <c r="B683" s="88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66"/>
      <c r="Q683" s="64"/>
      <c r="R683" s="64"/>
      <c r="S683" s="64"/>
      <c r="T683" s="64"/>
      <c r="U683" s="64"/>
      <c r="V683" s="64"/>
      <c r="W683" s="64"/>
      <c r="X683" s="64"/>
      <c r="Y683" s="64"/>
      <c r="Z683" s="64"/>
    </row>
    <row r="684" spans="1:26" thickBot="1">
      <c r="A684" s="66"/>
      <c r="B684" s="88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66"/>
      <c r="Q684" s="64"/>
      <c r="R684" s="64"/>
      <c r="S684" s="64"/>
      <c r="T684" s="64"/>
      <c r="U684" s="64"/>
      <c r="V684" s="64"/>
      <c r="W684" s="64"/>
      <c r="X684" s="64"/>
      <c r="Y684" s="64"/>
      <c r="Z684" s="64"/>
    </row>
    <row r="685" spans="1:26" thickBot="1">
      <c r="A685" s="66"/>
      <c r="B685" s="85" t="s">
        <v>5896</v>
      </c>
      <c r="C685" s="75" t="s">
        <v>5853</v>
      </c>
      <c r="D685" s="75" t="s">
        <v>5827</v>
      </c>
      <c r="E685" s="75" t="s">
        <v>5828</v>
      </c>
      <c r="F685" s="75" t="s">
        <v>5829</v>
      </c>
      <c r="G685" s="75" t="s">
        <v>5830</v>
      </c>
      <c r="H685" s="75" t="s">
        <v>5831</v>
      </c>
      <c r="I685" s="75" t="s">
        <v>5832</v>
      </c>
      <c r="J685" s="75" t="s">
        <v>5833</v>
      </c>
      <c r="K685" s="75" t="s">
        <v>5834</v>
      </c>
      <c r="L685" s="75" t="s">
        <v>5835</v>
      </c>
      <c r="M685" s="75" t="s">
        <v>5836</v>
      </c>
      <c r="N685" s="75" t="s">
        <v>5837</v>
      </c>
      <c r="O685" s="75" t="s">
        <v>5838</v>
      </c>
      <c r="P685" s="74" t="s">
        <v>20</v>
      </c>
      <c r="Q685" s="64"/>
      <c r="R685" s="64"/>
      <c r="S685" s="64"/>
      <c r="T685" s="64"/>
      <c r="U685" s="64"/>
      <c r="V685" s="64"/>
      <c r="W685" s="64"/>
      <c r="X685" s="64"/>
      <c r="Y685" s="64"/>
      <c r="Z685" s="64"/>
    </row>
    <row r="686" spans="1:26" thickBot="1">
      <c r="A686" s="66" t="str">
        <f>$B$685&amp;C686</f>
        <v>Latitude 310</v>
      </c>
      <c r="B686" s="86">
        <v>31</v>
      </c>
      <c r="C686" s="80">
        <v>0</v>
      </c>
      <c r="D686" s="69">
        <v>1</v>
      </c>
      <c r="E686" s="69">
        <v>1</v>
      </c>
      <c r="F686" s="69">
        <v>1</v>
      </c>
      <c r="G686" s="69">
        <v>1</v>
      </c>
      <c r="H686" s="69">
        <v>1</v>
      </c>
      <c r="I686" s="69">
        <v>1</v>
      </c>
      <c r="J686" s="69">
        <v>1</v>
      </c>
      <c r="K686" s="69">
        <v>1</v>
      </c>
      <c r="L686" s="69">
        <v>1</v>
      </c>
      <c r="M686" s="69">
        <v>1</v>
      </c>
      <c r="N686" s="69">
        <v>1</v>
      </c>
      <c r="O686" s="69">
        <v>1</v>
      </c>
      <c r="P686" s="71">
        <v>1</v>
      </c>
      <c r="Q686" s="64"/>
      <c r="R686" s="64"/>
      <c r="S686" s="64"/>
      <c r="T686" s="64"/>
      <c r="U686" s="64"/>
      <c r="V686" s="64"/>
      <c r="W686" s="64"/>
      <c r="X686" s="64"/>
      <c r="Y686" s="64"/>
      <c r="Z686" s="64"/>
    </row>
    <row r="687" spans="1:26" thickBot="1">
      <c r="A687" s="66" t="str">
        <f t="shared" ref="A687:A704" si="31">$B$685&amp;C687</f>
        <v>Latitude 315</v>
      </c>
      <c r="B687" s="86">
        <v>31.5</v>
      </c>
      <c r="C687" s="80">
        <v>5</v>
      </c>
      <c r="D687" s="69">
        <v>1.01</v>
      </c>
      <c r="E687" s="69">
        <v>1.02</v>
      </c>
      <c r="F687" s="69">
        <v>1.04</v>
      </c>
      <c r="G687" s="69">
        <v>1.06</v>
      </c>
      <c r="H687" s="69">
        <v>1.07</v>
      </c>
      <c r="I687" s="69">
        <v>1.07</v>
      </c>
      <c r="J687" s="69">
        <v>1.06</v>
      </c>
      <c r="K687" s="69">
        <v>1.05</v>
      </c>
      <c r="L687" s="69">
        <v>1.03</v>
      </c>
      <c r="M687" s="69">
        <v>1.02</v>
      </c>
      <c r="N687" s="69">
        <v>1.01</v>
      </c>
      <c r="O687" s="69">
        <v>1</v>
      </c>
      <c r="P687" s="71">
        <v>1.04</v>
      </c>
      <c r="Q687" s="64"/>
      <c r="R687" s="64"/>
      <c r="S687" s="64"/>
      <c r="T687" s="64"/>
      <c r="U687" s="64"/>
      <c r="V687" s="64"/>
      <c r="W687" s="64"/>
      <c r="X687" s="64"/>
      <c r="Y687" s="64"/>
      <c r="Z687" s="64"/>
    </row>
    <row r="688" spans="1:26" thickBot="1">
      <c r="A688" s="66" t="str">
        <f t="shared" si="31"/>
        <v>Latitude 3110</v>
      </c>
      <c r="B688" s="86">
        <v>31.1</v>
      </c>
      <c r="C688" s="80">
        <v>10</v>
      </c>
      <c r="D688" s="69">
        <v>1.01</v>
      </c>
      <c r="E688" s="69">
        <v>1.03</v>
      </c>
      <c r="F688" s="69">
        <v>1.07</v>
      </c>
      <c r="G688" s="69">
        <v>1.1100000000000001</v>
      </c>
      <c r="H688" s="69">
        <v>1.1299999999999999</v>
      </c>
      <c r="I688" s="69">
        <v>1.1299999999999999</v>
      </c>
      <c r="J688" s="69">
        <v>1.1100000000000001</v>
      </c>
      <c r="K688" s="69">
        <v>1.0900000000000001</v>
      </c>
      <c r="L688" s="69">
        <v>1.06</v>
      </c>
      <c r="M688" s="69">
        <v>1.03</v>
      </c>
      <c r="N688" s="69">
        <v>1.01</v>
      </c>
      <c r="O688" s="69">
        <v>1</v>
      </c>
      <c r="P688" s="71">
        <v>1.07</v>
      </c>
      <c r="Q688" s="64"/>
      <c r="R688" s="64"/>
      <c r="S688" s="64"/>
      <c r="T688" s="64"/>
      <c r="U688" s="64"/>
      <c r="V688" s="64"/>
      <c r="W688" s="64"/>
      <c r="X688" s="64"/>
      <c r="Y688" s="64"/>
      <c r="Z688" s="64"/>
    </row>
    <row r="689" spans="1:26" thickBot="1">
      <c r="A689" s="66" t="str">
        <f t="shared" si="31"/>
        <v>Latitude 3115</v>
      </c>
      <c r="B689" s="86">
        <v>31.15</v>
      </c>
      <c r="C689" s="80">
        <v>15</v>
      </c>
      <c r="D689" s="69">
        <v>1</v>
      </c>
      <c r="E689" s="69">
        <v>1.04</v>
      </c>
      <c r="F689" s="69">
        <v>1.0900000000000001</v>
      </c>
      <c r="G689" s="69">
        <v>1.1499999999999999</v>
      </c>
      <c r="H689" s="69">
        <v>1.19</v>
      </c>
      <c r="I689" s="69">
        <v>1.18</v>
      </c>
      <c r="J689" s="69">
        <v>1.1499999999999999</v>
      </c>
      <c r="K689" s="69">
        <v>1.1200000000000001</v>
      </c>
      <c r="L689" s="69">
        <v>1.08</v>
      </c>
      <c r="M689" s="69">
        <v>1.03</v>
      </c>
      <c r="N689" s="69">
        <v>1</v>
      </c>
      <c r="O689" s="69">
        <v>0.99</v>
      </c>
      <c r="P689" s="71">
        <v>1.0900000000000001</v>
      </c>
      <c r="Q689" s="64"/>
      <c r="R689" s="64"/>
      <c r="S689" s="64"/>
      <c r="T689" s="64"/>
      <c r="U689" s="64"/>
      <c r="V689" s="64"/>
      <c r="W689" s="64"/>
      <c r="X689" s="64"/>
      <c r="Y689" s="64"/>
      <c r="Z689" s="64"/>
    </row>
    <row r="690" spans="1:26" thickBot="1">
      <c r="A690" s="66" t="str">
        <f t="shared" si="31"/>
        <v>Latitude 3120</v>
      </c>
      <c r="B690" s="86">
        <v>31.2</v>
      </c>
      <c r="C690" s="80">
        <v>20</v>
      </c>
      <c r="D690" s="69">
        <v>0.99</v>
      </c>
      <c r="E690" s="69">
        <v>1.04</v>
      </c>
      <c r="F690" s="69">
        <v>1.1100000000000001</v>
      </c>
      <c r="G690" s="69">
        <v>1.19</v>
      </c>
      <c r="H690" s="69">
        <v>1.24</v>
      </c>
      <c r="I690" s="69">
        <v>1.23</v>
      </c>
      <c r="J690" s="69">
        <v>1.19</v>
      </c>
      <c r="K690" s="69">
        <v>1.1499999999999999</v>
      </c>
      <c r="L690" s="69">
        <v>1.0900000000000001</v>
      </c>
      <c r="M690" s="69">
        <v>1.03</v>
      </c>
      <c r="N690" s="69">
        <v>0.99</v>
      </c>
      <c r="O690" s="69">
        <v>0.97</v>
      </c>
      <c r="P690" s="71">
        <v>1.1000000000000001</v>
      </c>
      <c r="Q690" s="64"/>
      <c r="R690" s="64"/>
      <c r="S690" s="64"/>
      <c r="T690" s="64"/>
      <c r="U690" s="64"/>
      <c r="V690" s="64"/>
      <c r="W690" s="64"/>
      <c r="X690" s="64"/>
      <c r="Y690" s="64"/>
      <c r="Z690" s="64"/>
    </row>
    <row r="691" spans="1:26" thickBot="1">
      <c r="A691" s="66" t="str">
        <f t="shared" si="31"/>
        <v>Latitude 3125</v>
      </c>
      <c r="B691" s="86">
        <v>31.25</v>
      </c>
      <c r="C691" s="80">
        <v>25</v>
      </c>
      <c r="D691" s="69">
        <v>0.97</v>
      </c>
      <c r="E691" s="69">
        <v>1.03</v>
      </c>
      <c r="F691" s="69">
        <v>1.1200000000000001</v>
      </c>
      <c r="G691" s="69">
        <v>1.21</v>
      </c>
      <c r="H691" s="69">
        <v>1.28</v>
      </c>
      <c r="I691" s="69">
        <v>1.27</v>
      </c>
      <c r="J691" s="69">
        <v>1.22</v>
      </c>
      <c r="K691" s="69">
        <v>1.17</v>
      </c>
      <c r="L691" s="69">
        <v>1.1000000000000001</v>
      </c>
      <c r="M691" s="69">
        <v>1.02</v>
      </c>
      <c r="N691" s="69">
        <v>0.97</v>
      </c>
      <c r="O691" s="69">
        <v>0.94</v>
      </c>
      <c r="P691" s="71">
        <v>1.1100000000000001</v>
      </c>
      <c r="Q691" s="64"/>
      <c r="R691" s="64"/>
      <c r="S691" s="64"/>
      <c r="T691" s="64"/>
      <c r="U691" s="64"/>
      <c r="V691" s="64"/>
      <c r="W691" s="64"/>
      <c r="X691" s="64"/>
      <c r="Y691" s="64"/>
      <c r="Z691" s="64"/>
    </row>
    <row r="692" spans="1:26" thickBot="1">
      <c r="A692" s="66" t="str">
        <f t="shared" si="31"/>
        <v>Latitude 3130</v>
      </c>
      <c r="B692" s="86">
        <v>31.3</v>
      </c>
      <c r="C692" s="80">
        <v>30</v>
      </c>
      <c r="D692" s="69">
        <v>0.94</v>
      </c>
      <c r="E692" s="69">
        <v>1.01</v>
      </c>
      <c r="F692" s="69">
        <v>1.1200000000000001</v>
      </c>
      <c r="G692" s="69">
        <v>1.23</v>
      </c>
      <c r="H692" s="69">
        <v>1.31</v>
      </c>
      <c r="I692" s="69">
        <v>1.3</v>
      </c>
      <c r="J692" s="69">
        <v>1.25</v>
      </c>
      <c r="K692" s="81">
        <v>1.18</v>
      </c>
      <c r="L692" s="69">
        <v>1.0900000000000001</v>
      </c>
      <c r="M692" s="69">
        <v>1.01</v>
      </c>
      <c r="N692" s="69">
        <v>0.94</v>
      </c>
      <c r="O692" s="69">
        <v>0.91</v>
      </c>
      <c r="P692" s="71">
        <v>1.1100000000000001</v>
      </c>
      <c r="Q692" s="64"/>
      <c r="R692" s="64"/>
      <c r="S692" s="64"/>
      <c r="T692" s="64"/>
      <c r="U692" s="64"/>
      <c r="V692" s="64"/>
      <c r="W692" s="64"/>
      <c r="X692" s="64"/>
      <c r="Y692" s="64"/>
      <c r="Z692" s="64"/>
    </row>
    <row r="693" spans="1:26" thickBot="1">
      <c r="A693" s="66" t="str">
        <f t="shared" si="31"/>
        <v>Latitude 3135</v>
      </c>
      <c r="B693" s="86">
        <v>31.35</v>
      </c>
      <c r="C693" s="80">
        <v>35</v>
      </c>
      <c r="D693" s="69">
        <v>0.9</v>
      </c>
      <c r="E693" s="69">
        <v>0.99</v>
      </c>
      <c r="F693" s="69">
        <v>1.1100000000000001</v>
      </c>
      <c r="G693" s="69">
        <v>1.24</v>
      </c>
      <c r="H693" s="69">
        <v>1.33</v>
      </c>
      <c r="I693" s="69">
        <v>1.33</v>
      </c>
      <c r="J693" s="69">
        <v>1.26</v>
      </c>
      <c r="K693" s="69">
        <v>1.18</v>
      </c>
      <c r="L693" s="69">
        <v>1.0900000000000001</v>
      </c>
      <c r="M693" s="69">
        <v>0.98</v>
      </c>
      <c r="N693" s="69">
        <v>0.9</v>
      </c>
      <c r="O693" s="69">
        <v>0.88</v>
      </c>
      <c r="P693" s="71">
        <v>1.1000000000000001</v>
      </c>
      <c r="Q693" s="64"/>
      <c r="R693" s="64"/>
      <c r="S693" s="64"/>
      <c r="T693" s="64"/>
      <c r="U693" s="64"/>
      <c r="V693" s="64"/>
      <c r="W693" s="64"/>
      <c r="X693" s="64"/>
      <c r="Y693" s="64"/>
      <c r="Z693" s="64"/>
    </row>
    <row r="694" spans="1:26" thickBot="1">
      <c r="A694" s="66" t="str">
        <f t="shared" si="31"/>
        <v>Latitude 3140</v>
      </c>
      <c r="B694" s="86">
        <v>31.4</v>
      </c>
      <c r="C694" s="80">
        <v>40</v>
      </c>
      <c r="D694" s="69">
        <v>0.86</v>
      </c>
      <c r="E694" s="69">
        <v>0.96</v>
      </c>
      <c r="F694" s="69">
        <v>1.1000000000000001</v>
      </c>
      <c r="G694" s="69">
        <v>1.25</v>
      </c>
      <c r="H694" s="69">
        <v>1.35</v>
      </c>
      <c r="I694" s="69">
        <v>1.34</v>
      </c>
      <c r="J694" s="69">
        <v>1.27</v>
      </c>
      <c r="K694" s="69">
        <v>1.18</v>
      </c>
      <c r="L694" s="69">
        <v>1.07</v>
      </c>
      <c r="M694" s="69">
        <v>0.95</v>
      </c>
      <c r="N694" s="69">
        <v>0.86</v>
      </c>
      <c r="O694" s="69">
        <v>0.83</v>
      </c>
      <c r="P694" s="71">
        <v>1.0900000000000001</v>
      </c>
      <c r="Q694" s="64"/>
      <c r="R694" s="64"/>
      <c r="S694" s="64"/>
      <c r="T694" s="64"/>
      <c r="U694" s="64"/>
      <c r="V694" s="64"/>
      <c r="W694" s="64"/>
      <c r="X694" s="64"/>
      <c r="Y694" s="64"/>
      <c r="Z694" s="64"/>
    </row>
    <row r="695" spans="1:26" thickBot="1">
      <c r="A695" s="66" t="str">
        <f t="shared" si="31"/>
        <v>Latitude 3145</v>
      </c>
      <c r="B695" s="86">
        <v>31.45</v>
      </c>
      <c r="C695" s="80">
        <v>45</v>
      </c>
      <c r="D695" s="69">
        <v>0.82</v>
      </c>
      <c r="E695" s="69">
        <v>0.92</v>
      </c>
      <c r="F695" s="69">
        <v>1.07</v>
      </c>
      <c r="G695" s="69">
        <v>1.24</v>
      </c>
      <c r="H695" s="69">
        <v>1.35</v>
      </c>
      <c r="I695" s="69">
        <v>1.35</v>
      </c>
      <c r="J695" s="69">
        <v>1.27</v>
      </c>
      <c r="K695" s="69">
        <v>1.17</v>
      </c>
      <c r="L695" s="69">
        <v>1.05</v>
      </c>
      <c r="M695" s="69">
        <v>0.92</v>
      </c>
      <c r="N695" s="69">
        <v>0.82</v>
      </c>
      <c r="O695" s="69">
        <v>0.78</v>
      </c>
      <c r="P695" s="71">
        <v>1.06</v>
      </c>
      <c r="Q695" s="64"/>
      <c r="R695" s="64"/>
      <c r="S695" s="64"/>
      <c r="T695" s="64"/>
      <c r="U695" s="64"/>
      <c r="V695" s="64"/>
      <c r="W695" s="64"/>
      <c r="X695" s="64"/>
      <c r="Y695" s="64"/>
      <c r="Z695" s="64"/>
    </row>
    <row r="696" spans="1:26" thickBot="1">
      <c r="A696" s="66" t="str">
        <f t="shared" si="31"/>
        <v>Latitude 3150</v>
      </c>
      <c r="B696" s="86">
        <v>31.5</v>
      </c>
      <c r="C696" s="80">
        <v>50</v>
      </c>
      <c r="D696" s="69">
        <v>0.77</v>
      </c>
      <c r="E696" s="69">
        <v>0.88</v>
      </c>
      <c r="F696" s="69">
        <v>1.04</v>
      </c>
      <c r="G696" s="69">
        <v>1.23</v>
      </c>
      <c r="H696" s="69">
        <v>1.35</v>
      </c>
      <c r="I696" s="69">
        <v>1.35</v>
      </c>
      <c r="J696" s="69">
        <v>1.26</v>
      </c>
      <c r="K696" s="69">
        <v>1.1499999999999999</v>
      </c>
      <c r="L696" s="69">
        <v>1.02</v>
      </c>
      <c r="M696" s="69">
        <v>0.87</v>
      </c>
      <c r="N696" s="69">
        <v>0.77</v>
      </c>
      <c r="O696" s="69">
        <v>0.73</v>
      </c>
      <c r="P696" s="71">
        <v>1.04</v>
      </c>
      <c r="Q696" s="64"/>
      <c r="R696" s="64"/>
      <c r="S696" s="64"/>
      <c r="T696" s="64"/>
      <c r="U696" s="64"/>
      <c r="V696" s="64"/>
      <c r="W696" s="64"/>
      <c r="X696" s="64"/>
      <c r="Y696" s="64"/>
      <c r="Z696" s="64"/>
    </row>
    <row r="697" spans="1:26" thickBot="1">
      <c r="A697" s="66" t="str">
        <f t="shared" si="31"/>
        <v>Latitude 3155</v>
      </c>
      <c r="B697" s="86">
        <v>31.55</v>
      </c>
      <c r="C697" s="80">
        <v>55</v>
      </c>
      <c r="D697" s="69">
        <v>0.71</v>
      </c>
      <c r="E697" s="69">
        <v>0.83</v>
      </c>
      <c r="F697" s="69">
        <v>1.01</v>
      </c>
      <c r="G697" s="69">
        <v>12</v>
      </c>
      <c r="H697" s="69">
        <v>1.34</v>
      </c>
      <c r="I697" s="69">
        <v>1.34</v>
      </c>
      <c r="J697" s="69">
        <v>1.25</v>
      </c>
      <c r="K697" s="69">
        <v>1.1299999999999999</v>
      </c>
      <c r="L697" s="69">
        <v>0.98</v>
      </c>
      <c r="M697" s="69">
        <v>0.83</v>
      </c>
      <c r="N697" s="69">
        <v>0.71</v>
      </c>
      <c r="O697" s="69">
        <v>0.67</v>
      </c>
      <c r="P697" s="71">
        <v>1.9</v>
      </c>
      <c r="Q697" s="64"/>
      <c r="R697" s="64"/>
      <c r="S697" s="64"/>
      <c r="T697" s="64"/>
      <c r="U697" s="64"/>
      <c r="V697" s="64"/>
      <c r="W697" s="64"/>
      <c r="X697" s="64"/>
      <c r="Y697" s="64"/>
      <c r="Z697" s="64"/>
    </row>
    <row r="698" spans="1:26" thickBot="1">
      <c r="A698" s="66" t="str">
        <f t="shared" si="31"/>
        <v>Latitude 3160</v>
      </c>
      <c r="B698" s="86">
        <v>31.6</v>
      </c>
      <c r="C698" s="80">
        <v>60</v>
      </c>
      <c r="D698" s="69">
        <v>0.65</v>
      </c>
      <c r="E698" s="69">
        <v>0.77</v>
      </c>
      <c r="F698" s="69">
        <v>0.96</v>
      </c>
      <c r="G698" s="69">
        <v>1.17</v>
      </c>
      <c r="H698" s="69">
        <v>1.32</v>
      </c>
      <c r="I698" s="69">
        <v>1.32</v>
      </c>
      <c r="J698" s="69">
        <v>1.22</v>
      </c>
      <c r="K698" s="69">
        <v>1.1000000000000001</v>
      </c>
      <c r="L698" s="69">
        <v>0.94</v>
      </c>
      <c r="M698" s="69">
        <v>0.77</v>
      </c>
      <c r="N698" s="69">
        <v>0.65</v>
      </c>
      <c r="O698" s="69">
        <v>0.6</v>
      </c>
      <c r="P698" s="71">
        <v>0.96</v>
      </c>
      <c r="Q698" s="64"/>
      <c r="R698" s="64"/>
      <c r="S698" s="64"/>
      <c r="T698" s="64"/>
      <c r="U698" s="64"/>
      <c r="V698" s="64"/>
      <c r="W698" s="64"/>
      <c r="X698" s="64"/>
      <c r="Y698" s="64"/>
      <c r="Z698" s="64"/>
    </row>
    <row r="699" spans="1:26" thickBot="1">
      <c r="A699" s="66" t="str">
        <f t="shared" si="31"/>
        <v>Latitude 3165</v>
      </c>
      <c r="B699" s="86">
        <v>31.65</v>
      </c>
      <c r="C699" s="80">
        <v>65</v>
      </c>
      <c r="D699" s="69">
        <v>0.57999999999999996</v>
      </c>
      <c r="E699" s="69">
        <v>0.71</v>
      </c>
      <c r="F699" s="69">
        <v>0.91</v>
      </c>
      <c r="G699" s="69">
        <v>1.1299999999999999</v>
      </c>
      <c r="H699" s="69">
        <v>1.29</v>
      </c>
      <c r="I699" s="69">
        <v>1.29</v>
      </c>
      <c r="J699" s="69">
        <v>1.19</v>
      </c>
      <c r="K699" s="69">
        <v>1.06</v>
      </c>
      <c r="L699" s="69">
        <v>0.89</v>
      </c>
      <c r="M699" s="69">
        <v>0.71</v>
      </c>
      <c r="N699" s="69">
        <v>0.59</v>
      </c>
      <c r="O699" s="69">
        <v>0.54</v>
      </c>
      <c r="P699" s="71">
        <v>0.91</v>
      </c>
      <c r="Q699" s="64"/>
      <c r="R699" s="64"/>
      <c r="S699" s="64"/>
      <c r="T699" s="64"/>
      <c r="U699" s="64"/>
      <c r="V699" s="64"/>
      <c r="W699" s="64"/>
      <c r="X699" s="64"/>
      <c r="Y699" s="64"/>
      <c r="Z699" s="64"/>
    </row>
    <row r="700" spans="1:26" thickBot="1">
      <c r="A700" s="66" t="str">
        <f t="shared" si="31"/>
        <v>Latitude 3170</v>
      </c>
      <c r="B700" s="86">
        <v>31.7</v>
      </c>
      <c r="C700" s="80">
        <v>70</v>
      </c>
      <c r="D700" s="69">
        <v>0.51</v>
      </c>
      <c r="E700" s="69">
        <v>0.65</v>
      </c>
      <c r="F700" s="69">
        <v>0.86</v>
      </c>
      <c r="G700" s="69">
        <v>1.0900000000000001</v>
      </c>
      <c r="H700" s="69">
        <v>1.25</v>
      </c>
      <c r="I700" s="69">
        <v>1.26</v>
      </c>
      <c r="J700" s="69">
        <v>1.1599999999999999</v>
      </c>
      <c r="K700" s="69">
        <v>1.01</v>
      </c>
      <c r="L700" s="69">
        <v>0.83</v>
      </c>
      <c r="M700" s="69">
        <v>0.65</v>
      </c>
      <c r="N700" s="69">
        <v>0.52</v>
      </c>
      <c r="O700" s="69">
        <v>0.46</v>
      </c>
      <c r="P700" s="71">
        <v>0.85</v>
      </c>
      <c r="Q700" s="64"/>
      <c r="R700" s="64"/>
      <c r="S700" s="64"/>
      <c r="T700" s="64"/>
      <c r="U700" s="64"/>
      <c r="V700" s="64"/>
      <c r="W700" s="64"/>
      <c r="X700" s="64"/>
      <c r="Y700" s="64"/>
      <c r="Z700" s="64"/>
    </row>
    <row r="701" spans="1:26" thickBot="1">
      <c r="A701" s="66" t="str">
        <f t="shared" si="31"/>
        <v>Latitude 3175</v>
      </c>
      <c r="B701" s="86">
        <v>31.75</v>
      </c>
      <c r="C701" s="80">
        <v>75</v>
      </c>
      <c r="D701" s="69">
        <v>0.44</v>
      </c>
      <c r="E701" s="69">
        <v>0.57999999999999996</v>
      </c>
      <c r="F701" s="69">
        <v>0.79</v>
      </c>
      <c r="G701" s="69">
        <v>1.04</v>
      </c>
      <c r="H701" s="69">
        <v>1.2</v>
      </c>
      <c r="I701" s="69">
        <v>1.21</v>
      </c>
      <c r="J701" s="69">
        <v>1.1100000000000001</v>
      </c>
      <c r="K701" s="69">
        <v>0.96</v>
      </c>
      <c r="L701" s="69">
        <v>0.77</v>
      </c>
      <c r="M701" s="69">
        <v>0.57999999999999996</v>
      </c>
      <c r="N701" s="69">
        <v>0.44</v>
      </c>
      <c r="O701" s="69">
        <v>0.39</v>
      </c>
      <c r="P701" s="71">
        <v>0.79</v>
      </c>
      <c r="Q701" s="64"/>
      <c r="R701" s="64"/>
      <c r="S701" s="64"/>
      <c r="T701" s="64"/>
      <c r="U701" s="64"/>
      <c r="V701" s="64"/>
      <c r="W701" s="64"/>
      <c r="X701" s="64"/>
      <c r="Y701" s="64"/>
      <c r="Z701" s="64"/>
    </row>
    <row r="702" spans="1:26" thickBot="1">
      <c r="A702" s="66" t="str">
        <f t="shared" si="31"/>
        <v>Latitude 3180</v>
      </c>
      <c r="B702" s="86">
        <v>31.8</v>
      </c>
      <c r="C702" s="80">
        <v>80</v>
      </c>
      <c r="D702" s="69">
        <v>0.36</v>
      </c>
      <c r="E702" s="69">
        <v>0.51</v>
      </c>
      <c r="F702" s="69">
        <v>0.73</v>
      </c>
      <c r="G702" s="69">
        <v>0.98</v>
      </c>
      <c r="H702" s="69">
        <v>1.1499999999999999</v>
      </c>
      <c r="I702" s="69">
        <v>1.17</v>
      </c>
      <c r="J702" s="69">
        <v>1.06</v>
      </c>
      <c r="K702" s="69">
        <v>0.91</v>
      </c>
      <c r="L702" s="69">
        <v>0.71</v>
      </c>
      <c r="M702" s="69">
        <v>0.51</v>
      </c>
      <c r="N702" s="69">
        <v>0.37</v>
      </c>
      <c r="O702" s="69">
        <v>0.31</v>
      </c>
      <c r="P702" s="71">
        <v>0.73</v>
      </c>
      <c r="Q702" s="64"/>
      <c r="R702" s="64"/>
      <c r="S702" s="64"/>
      <c r="T702" s="64"/>
      <c r="U702" s="64"/>
      <c r="V702" s="64"/>
      <c r="W702" s="64"/>
      <c r="X702" s="64"/>
      <c r="Y702" s="64"/>
      <c r="Z702" s="64"/>
    </row>
    <row r="703" spans="1:26" thickBot="1">
      <c r="A703" s="66" t="str">
        <f t="shared" si="31"/>
        <v>Latitude 3185</v>
      </c>
      <c r="B703" s="86">
        <v>31.85</v>
      </c>
      <c r="C703" s="80">
        <v>85</v>
      </c>
      <c r="D703" s="69">
        <v>0.28000000000000003</v>
      </c>
      <c r="E703" s="69">
        <v>0.43</v>
      </c>
      <c r="F703" s="69">
        <v>0.66</v>
      </c>
      <c r="G703" s="69">
        <v>0.91</v>
      </c>
      <c r="H703" s="69">
        <v>1.0900000000000001</v>
      </c>
      <c r="I703" s="69">
        <v>1.1100000000000001</v>
      </c>
      <c r="J703" s="69">
        <v>1</v>
      </c>
      <c r="K703" s="69">
        <v>0.84</v>
      </c>
      <c r="L703" s="69">
        <v>0.64</v>
      </c>
      <c r="M703" s="69">
        <v>0.44</v>
      </c>
      <c r="N703" s="69">
        <v>0.28999999999999998</v>
      </c>
      <c r="O703" s="69">
        <v>0.23</v>
      </c>
      <c r="P703" s="71">
        <v>0.66</v>
      </c>
      <c r="Q703" s="64"/>
      <c r="R703" s="64"/>
      <c r="S703" s="64"/>
      <c r="T703" s="64"/>
      <c r="U703" s="64"/>
      <c r="V703" s="64"/>
      <c r="W703" s="64"/>
      <c r="X703" s="64"/>
      <c r="Y703" s="64"/>
      <c r="Z703" s="64"/>
    </row>
    <row r="704" spans="1:26" thickBot="1">
      <c r="A704" s="66" t="str">
        <f t="shared" si="31"/>
        <v>Latitude 3190</v>
      </c>
      <c r="B704" s="86">
        <v>31.9</v>
      </c>
      <c r="C704" s="69">
        <v>90</v>
      </c>
      <c r="D704" s="69">
        <v>0.2</v>
      </c>
      <c r="E704" s="69">
        <v>0.35</v>
      </c>
      <c r="F704" s="69">
        <v>0.57999999999999996</v>
      </c>
      <c r="G704" s="69">
        <v>0.84</v>
      </c>
      <c r="H704" s="69">
        <v>1.02</v>
      </c>
      <c r="I704" s="69">
        <v>1.05</v>
      </c>
      <c r="J704" s="69">
        <v>0.94</v>
      </c>
      <c r="K704" s="69">
        <v>0.78</v>
      </c>
      <c r="L704" s="69">
        <v>0.56999999999999995</v>
      </c>
      <c r="M704" s="69">
        <v>0.36</v>
      </c>
      <c r="N704" s="69">
        <v>0.21</v>
      </c>
      <c r="O704" s="69">
        <v>0.16</v>
      </c>
      <c r="P704" s="71">
        <v>0.59</v>
      </c>
      <c r="Q704" s="64"/>
      <c r="R704" s="64"/>
      <c r="S704" s="64"/>
      <c r="T704" s="64"/>
      <c r="U704" s="64"/>
      <c r="V704" s="64"/>
      <c r="W704" s="64"/>
      <c r="X704" s="64"/>
      <c r="Y704" s="64"/>
      <c r="Z704" s="64"/>
    </row>
    <row r="705" spans="1:26" thickBot="1">
      <c r="A705" s="66"/>
      <c r="B705" s="88"/>
      <c r="C705" s="73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66"/>
      <c r="Q705" s="64"/>
      <c r="R705" s="64"/>
      <c r="S705" s="64"/>
      <c r="T705" s="64"/>
      <c r="U705" s="64"/>
      <c r="V705" s="64"/>
      <c r="W705" s="64"/>
      <c r="X705" s="64"/>
      <c r="Y705" s="64"/>
      <c r="Z705" s="64"/>
    </row>
    <row r="706" spans="1:26" thickBot="1">
      <c r="A706" s="66"/>
      <c r="B706" s="88"/>
      <c r="C706" s="73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66"/>
      <c r="Q706" s="64"/>
      <c r="R706" s="64"/>
      <c r="S706" s="64"/>
      <c r="T706" s="64"/>
      <c r="U706" s="64"/>
      <c r="V706" s="64"/>
      <c r="W706" s="64"/>
      <c r="X706" s="64"/>
      <c r="Y706" s="64"/>
      <c r="Z706" s="64"/>
    </row>
    <row r="707" spans="1:26" thickBot="1">
      <c r="A707" s="66"/>
      <c r="B707" s="85" t="s">
        <v>5897</v>
      </c>
      <c r="C707" s="75" t="s">
        <v>5853</v>
      </c>
      <c r="D707" s="75" t="s">
        <v>5827</v>
      </c>
      <c r="E707" s="75" t="s">
        <v>5828</v>
      </c>
      <c r="F707" s="75" t="s">
        <v>5829</v>
      </c>
      <c r="G707" s="75" t="s">
        <v>5830</v>
      </c>
      <c r="H707" s="75" t="s">
        <v>5831</v>
      </c>
      <c r="I707" s="75" t="s">
        <v>5832</v>
      </c>
      <c r="J707" s="75" t="s">
        <v>5833</v>
      </c>
      <c r="K707" s="75" t="s">
        <v>5834</v>
      </c>
      <c r="L707" s="75" t="s">
        <v>5835</v>
      </c>
      <c r="M707" s="75" t="s">
        <v>5836</v>
      </c>
      <c r="N707" s="75" t="s">
        <v>5837</v>
      </c>
      <c r="O707" s="75" t="s">
        <v>5838</v>
      </c>
      <c r="P707" s="74" t="s">
        <v>20</v>
      </c>
      <c r="Q707" s="64"/>
      <c r="R707" s="64"/>
      <c r="S707" s="64"/>
      <c r="T707" s="64"/>
      <c r="U707" s="64"/>
      <c r="V707" s="64"/>
      <c r="W707" s="64"/>
      <c r="X707" s="64"/>
      <c r="Y707" s="64"/>
      <c r="Z707" s="64"/>
    </row>
    <row r="708" spans="1:26" thickBot="1">
      <c r="A708" s="66" t="str">
        <f>$B$707&amp;C708</f>
        <v>Latitude 320</v>
      </c>
      <c r="B708" s="86">
        <v>32</v>
      </c>
      <c r="C708" s="80">
        <v>0</v>
      </c>
      <c r="D708" s="69">
        <v>1</v>
      </c>
      <c r="E708" s="69">
        <v>1</v>
      </c>
      <c r="F708" s="69">
        <v>1</v>
      </c>
      <c r="G708" s="69">
        <v>1</v>
      </c>
      <c r="H708" s="69">
        <v>1</v>
      </c>
      <c r="I708" s="69">
        <v>1</v>
      </c>
      <c r="J708" s="69">
        <v>1</v>
      </c>
      <c r="K708" s="69">
        <v>1</v>
      </c>
      <c r="L708" s="69">
        <v>1</v>
      </c>
      <c r="M708" s="69">
        <v>1</v>
      </c>
      <c r="N708" s="69">
        <v>1</v>
      </c>
      <c r="O708" s="69">
        <v>1</v>
      </c>
      <c r="P708" s="71">
        <v>1</v>
      </c>
      <c r="Q708" s="64"/>
      <c r="R708" s="64"/>
      <c r="S708" s="64"/>
      <c r="T708" s="64"/>
      <c r="U708" s="64"/>
      <c r="V708" s="64"/>
      <c r="W708" s="64"/>
      <c r="X708" s="64"/>
      <c r="Y708" s="64"/>
      <c r="Z708" s="64"/>
    </row>
    <row r="709" spans="1:26" thickBot="1">
      <c r="A709" s="66" t="str">
        <f t="shared" ref="A709:A726" si="32">$B$707&amp;C709</f>
        <v>Latitude 325</v>
      </c>
      <c r="B709" s="86">
        <v>32.5</v>
      </c>
      <c r="C709" s="80">
        <v>5</v>
      </c>
      <c r="D709" s="69">
        <v>1.01</v>
      </c>
      <c r="E709" s="69">
        <v>1.02</v>
      </c>
      <c r="F709" s="69">
        <v>1.04</v>
      </c>
      <c r="G709" s="69">
        <v>1.06</v>
      </c>
      <c r="H709" s="69">
        <v>1.07</v>
      </c>
      <c r="I709" s="69">
        <v>1.07</v>
      </c>
      <c r="J709" s="69">
        <v>1.06</v>
      </c>
      <c r="K709" s="69">
        <v>1.05</v>
      </c>
      <c r="L709" s="69">
        <v>1.03</v>
      </c>
      <c r="M709" s="69">
        <v>1.02</v>
      </c>
      <c r="N709" s="69">
        <v>1.01</v>
      </c>
      <c r="O709" s="69">
        <v>1</v>
      </c>
      <c r="P709" s="71">
        <v>1.04</v>
      </c>
      <c r="Q709" s="64"/>
      <c r="R709" s="64"/>
      <c r="S709" s="64"/>
      <c r="T709" s="64"/>
      <c r="U709" s="64"/>
      <c r="V709" s="64"/>
      <c r="W709" s="64"/>
      <c r="X709" s="64"/>
      <c r="Y709" s="64"/>
      <c r="Z709" s="64"/>
    </row>
    <row r="710" spans="1:26" thickBot="1">
      <c r="A710" s="66" t="str">
        <f t="shared" si="32"/>
        <v>Latitude 3210</v>
      </c>
      <c r="B710" s="86">
        <v>32.1</v>
      </c>
      <c r="C710" s="80">
        <v>10</v>
      </c>
      <c r="D710" s="69">
        <v>1.01</v>
      </c>
      <c r="E710" s="69">
        <v>1.04</v>
      </c>
      <c r="F710" s="69">
        <v>1.07</v>
      </c>
      <c r="G710" s="69">
        <v>1.1100000000000001</v>
      </c>
      <c r="H710" s="69">
        <v>1.1399999999999999</v>
      </c>
      <c r="I710" s="69">
        <v>1.1299999999999999</v>
      </c>
      <c r="J710" s="69">
        <v>1.1100000000000001</v>
      </c>
      <c r="K710" s="69">
        <v>1.0900000000000001</v>
      </c>
      <c r="L710" s="69">
        <v>1.06</v>
      </c>
      <c r="M710" s="69">
        <v>1.03</v>
      </c>
      <c r="N710" s="69">
        <v>1.01</v>
      </c>
      <c r="O710" s="69">
        <v>1</v>
      </c>
      <c r="P710" s="71">
        <v>1.07</v>
      </c>
      <c r="Q710" s="64"/>
      <c r="R710" s="64"/>
      <c r="S710" s="64"/>
      <c r="T710" s="64"/>
      <c r="U710" s="64"/>
      <c r="V710" s="64"/>
      <c r="W710" s="64"/>
      <c r="X710" s="64"/>
      <c r="Y710" s="64"/>
      <c r="Z710" s="64"/>
    </row>
    <row r="711" spans="1:26" thickBot="1">
      <c r="A711" s="66" t="str">
        <f t="shared" si="32"/>
        <v>Latitude 3215</v>
      </c>
      <c r="B711" s="86">
        <v>32.15</v>
      </c>
      <c r="C711" s="80">
        <v>15</v>
      </c>
      <c r="D711" s="69">
        <v>1</v>
      </c>
      <c r="E711" s="69">
        <v>1.04</v>
      </c>
      <c r="F711" s="69">
        <v>1.1000000000000001</v>
      </c>
      <c r="G711" s="69">
        <v>1.1599999999999999</v>
      </c>
      <c r="H711" s="69">
        <v>1.19</v>
      </c>
      <c r="I711" s="69">
        <v>1.19</v>
      </c>
      <c r="J711" s="69">
        <v>1.1599999999999999</v>
      </c>
      <c r="K711" s="69">
        <v>1.1200000000000001</v>
      </c>
      <c r="L711" s="69">
        <v>1.08</v>
      </c>
      <c r="M711" s="69">
        <v>1.04</v>
      </c>
      <c r="N711" s="69">
        <v>1</v>
      </c>
      <c r="O711" s="69">
        <v>0.99</v>
      </c>
      <c r="P711" s="71">
        <v>1.0900000000000001</v>
      </c>
      <c r="Q711" s="64"/>
      <c r="R711" s="64"/>
      <c r="S711" s="64"/>
      <c r="T711" s="64"/>
      <c r="U711" s="64"/>
      <c r="V711" s="64"/>
      <c r="W711" s="64"/>
      <c r="X711" s="64"/>
      <c r="Y711" s="64"/>
      <c r="Z711" s="64"/>
    </row>
    <row r="712" spans="1:26" thickBot="1">
      <c r="A712" s="66" t="str">
        <f t="shared" si="32"/>
        <v>Latitude 3220</v>
      </c>
      <c r="B712" s="86">
        <v>32.200000000000003</v>
      </c>
      <c r="C712" s="80">
        <v>20</v>
      </c>
      <c r="D712" s="69">
        <v>0.99</v>
      </c>
      <c r="E712" s="69">
        <v>1.04</v>
      </c>
      <c r="F712" s="69">
        <v>1.1100000000000001</v>
      </c>
      <c r="G712" s="69">
        <v>1.19</v>
      </c>
      <c r="H712" s="69">
        <v>1.24</v>
      </c>
      <c r="I712" s="69">
        <v>1.24</v>
      </c>
      <c r="J712" s="69">
        <v>1.2</v>
      </c>
      <c r="K712" s="69">
        <v>1.1499999999999999</v>
      </c>
      <c r="L712" s="69">
        <v>1.1000000000000001</v>
      </c>
      <c r="M712" s="69">
        <v>1.04</v>
      </c>
      <c r="N712" s="69">
        <v>0.99</v>
      </c>
      <c r="O712" s="69">
        <v>0.97</v>
      </c>
      <c r="P712" s="71">
        <v>1.1100000000000001</v>
      </c>
      <c r="Q712" s="64"/>
      <c r="R712" s="64"/>
      <c r="S712" s="64"/>
      <c r="T712" s="64"/>
      <c r="U712" s="64"/>
      <c r="V712" s="64"/>
      <c r="W712" s="64"/>
      <c r="X712" s="64"/>
      <c r="Y712" s="64"/>
      <c r="Z712" s="64"/>
    </row>
    <row r="713" spans="1:26" thickBot="1">
      <c r="A713" s="66" t="str">
        <f t="shared" si="32"/>
        <v>Latitude 3225</v>
      </c>
      <c r="B713" s="86">
        <v>32.25</v>
      </c>
      <c r="C713" s="80">
        <v>25</v>
      </c>
      <c r="D713" s="69">
        <v>0.97</v>
      </c>
      <c r="E713" s="69">
        <v>1.03</v>
      </c>
      <c r="F713" s="69">
        <v>1.1200000000000001</v>
      </c>
      <c r="G713" s="69">
        <v>1.22</v>
      </c>
      <c r="H713" s="69">
        <v>1.29</v>
      </c>
      <c r="I713" s="69">
        <v>1.28</v>
      </c>
      <c r="J713" s="69">
        <v>1.3</v>
      </c>
      <c r="K713" s="69">
        <v>1.17</v>
      </c>
      <c r="L713" s="69">
        <v>1.1000000000000001</v>
      </c>
      <c r="M713" s="69">
        <v>1.03</v>
      </c>
      <c r="N713" s="69">
        <v>0.97</v>
      </c>
      <c r="O713" s="69">
        <v>0.95</v>
      </c>
      <c r="P713" s="71">
        <v>1.1200000000000001</v>
      </c>
      <c r="Q713" s="64"/>
      <c r="R713" s="64"/>
      <c r="S713" s="64"/>
      <c r="T713" s="64"/>
      <c r="U713" s="64"/>
      <c r="V713" s="64"/>
      <c r="W713" s="64"/>
      <c r="X713" s="64"/>
      <c r="Y713" s="64"/>
      <c r="Z713" s="64"/>
    </row>
    <row r="714" spans="1:26" thickBot="1">
      <c r="A714" s="66" t="str">
        <f t="shared" si="32"/>
        <v>Latitude 3230</v>
      </c>
      <c r="B714" s="86">
        <v>32.299999999999997</v>
      </c>
      <c r="C714" s="80">
        <v>30</v>
      </c>
      <c r="D714" s="69">
        <v>0.95</v>
      </c>
      <c r="E714" s="69">
        <v>1.02</v>
      </c>
      <c r="F714" s="69">
        <v>1.1299999999999999</v>
      </c>
      <c r="G714" s="69">
        <v>1.24</v>
      </c>
      <c r="H714" s="69">
        <v>1.32</v>
      </c>
      <c r="I714" s="69">
        <v>1.31</v>
      </c>
      <c r="J714" s="69">
        <v>1.26</v>
      </c>
      <c r="K714" s="81">
        <v>1.19</v>
      </c>
      <c r="L714" s="69">
        <v>1.1000000000000001</v>
      </c>
      <c r="M714" s="69">
        <v>1.01</v>
      </c>
      <c r="N714" s="69">
        <v>0.95</v>
      </c>
      <c r="O714" s="69">
        <v>0.92</v>
      </c>
      <c r="P714" s="71">
        <v>1.1200000000000001</v>
      </c>
      <c r="Q714" s="64"/>
      <c r="R714" s="64"/>
      <c r="S714" s="64"/>
      <c r="T714" s="64"/>
      <c r="U714" s="64"/>
      <c r="V714" s="64"/>
      <c r="W714" s="64"/>
      <c r="X714" s="64"/>
      <c r="Y714" s="64"/>
      <c r="Z714" s="64"/>
    </row>
    <row r="715" spans="1:26" thickBot="1">
      <c r="A715" s="66" t="str">
        <f t="shared" si="32"/>
        <v>Latitude 3235</v>
      </c>
      <c r="B715" s="86">
        <v>32.35</v>
      </c>
      <c r="C715" s="80">
        <v>35</v>
      </c>
      <c r="D715" s="69">
        <v>0.91</v>
      </c>
      <c r="E715" s="69">
        <v>1</v>
      </c>
      <c r="F715" s="69">
        <v>1.1200000000000001</v>
      </c>
      <c r="G715" s="69">
        <v>1.26</v>
      </c>
      <c r="H715" s="69">
        <v>1.34</v>
      </c>
      <c r="I715" s="69">
        <v>1.34</v>
      </c>
      <c r="J715" s="69">
        <v>1.27</v>
      </c>
      <c r="K715" s="69">
        <v>1.19</v>
      </c>
      <c r="L715" s="69">
        <v>1.0900000000000001</v>
      </c>
      <c r="M715" s="69">
        <v>0.99</v>
      </c>
      <c r="N715" s="69">
        <v>0.91</v>
      </c>
      <c r="O715" s="69">
        <v>0.88</v>
      </c>
      <c r="P715" s="71">
        <v>1.1100000000000001</v>
      </c>
      <c r="Q715" s="64"/>
      <c r="R715" s="64"/>
      <c r="S715" s="64"/>
      <c r="T715" s="64"/>
      <c r="U715" s="64"/>
      <c r="V715" s="64"/>
      <c r="W715" s="64"/>
      <c r="X715" s="64"/>
      <c r="Y715" s="64"/>
      <c r="Z715" s="64"/>
    </row>
    <row r="716" spans="1:26" thickBot="1">
      <c r="A716" s="66" t="str">
        <f t="shared" si="32"/>
        <v>Latitude 3240</v>
      </c>
      <c r="B716" s="86">
        <v>32.4</v>
      </c>
      <c r="C716" s="80">
        <v>40</v>
      </c>
      <c r="D716" s="69">
        <v>0.87</v>
      </c>
      <c r="E716" s="69">
        <v>0.97</v>
      </c>
      <c r="F716" s="69">
        <v>1.1100000000000001</v>
      </c>
      <c r="G716" s="69">
        <v>1.26</v>
      </c>
      <c r="H716" s="69">
        <v>1.36</v>
      </c>
      <c r="I716" s="69">
        <v>1.35</v>
      </c>
      <c r="J716" s="69">
        <v>1.28</v>
      </c>
      <c r="K716" s="69">
        <v>1.19</v>
      </c>
      <c r="L716" s="69">
        <v>1.08</v>
      </c>
      <c r="M716" s="69">
        <v>0.96</v>
      </c>
      <c r="N716" s="69">
        <v>0.87</v>
      </c>
      <c r="O716" s="69">
        <v>0.84</v>
      </c>
      <c r="P716" s="71">
        <v>1.1000000000000001</v>
      </c>
      <c r="Q716" s="64"/>
      <c r="R716" s="64"/>
      <c r="S716" s="64"/>
      <c r="T716" s="64"/>
      <c r="U716" s="64"/>
      <c r="V716" s="64"/>
      <c r="W716" s="64"/>
      <c r="X716" s="64"/>
      <c r="Y716" s="64"/>
      <c r="Z716" s="64"/>
    </row>
    <row r="717" spans="1:26" thickBot="1">
      <c r="A717" s="66" t="str">
        <f t="shared" si="32"/>
        <v>Latitude 3245</v>
      </c>
      <c r="B717" s="86">
        <v>32.450000000000003</v>
      </c>
      <c r="C717" s="80">
        <v>45</v>
      </c>
      <c r="D717" s="69">
        <v>0.83</v>
      </c>
      <c r="E717" s="69">
        <v>0.93</v>
      </c>
      <c r="F717" s="69">
        <v>1.0900000000000001</v>
      </c>
      <c r="G717" s="69">
        <v>1.26</v>
      </c>
      <c r="H717" s="69">
        <v>1.37</v>
      </c>
      <c r="I717" s="69">
        <v>1.36</v>
      </c>
      <c r="J717" s="69">
        <v>1.28</v>
      </c>
      <c r="K717" s="69">
        <v>1.18</v>
      </c>
      <c r="L717" s="69">
        <v>1.06</v>
      </c>
      <c r="M717" s="69">
        <v>0.93</v>
      </c>
      <c r="N717" s="69">
        <v>0.83</v>
      </c>
      <c r="O717" s="69">
        <v>0.79</v>
      </c>
      <c r="P717" s="71">
        <v>1.08</v>
      </c>
      <c r="Q717" s="64"/>
      <c r="R717" s="64"/>
      <c r="S717" s="64"/>
      <c r="T717" s="64"/>
      <c r="U717" s="64"/>
      <c r="V717" s="64"/>
      <c r="W717" s="64"/>
      <c r="X717" s="64"/>
      <c r="Y717" s="64"/>
      <c r="Z717" s="64"/>
    </row>
    <row r="718" spans="1:26" thickBot="1">
      <c r="A718" s="66" t="str">
        <f t="shared" si="32"/>
        <v>Latitude 3250</v>
      </c>
      <c r="B718" s="86">
        <v>32.5</v>
      </c>
      <c r="C718" s="80">
        <v>50</v>
      </c>
      <c r="D718" s="69">
        <v>0.78</v>
      </c>
      <c r="E718" s="69">
        <v>0.89</v>
      </c>
      <c r="F718" s="69">
        <v>1.06</v>
      </c>
      <c r="G718" s="69">
        <v>1.24</v>
      </c>
      <c r="H718" s="69">
        <v>1.37</v>
      </c>
      <c r="I718" s="69">
        <v>1.36</v>
      </c>
      <c r="J718" s="69">
        <v>1.28</v>
      </c>
      <c r="K718" s="69">
        <v>1.17</v>
      </c>
      <c r="L718" s="69">
        <v>1.03</v>
      </c>
      <c r="M718" s="69">
        <v>0.88</v>
      </c>
      <c r="N718" s="69">
        <v>0.78</v>
      </c>
      <c r="O718" s="69">
        <v>0.74</v>
      </c>
      <c r="P718" s="71">
        <v>1.05</v>
      </c>
      <c r="Q718" s="64"/>
      <c r="R718" s="64"/>
      <c r="S718" s="64"/>
      <c r="T718" s="64"/>
      <c r="U718" s="64"/>
      <c r="V718" s="64"/>
      <c r="W718" s="64"/>
      <c r="X718" s="64"/>
      <c r="Y718" s="64"/>
      <c r="Z718" s="64"/>
    </row>
    <row r="719" spans="1:26" thickBot="1">
      <c r="A719" s="66" t="str">
        <f t="shared" si="32"/>
        <v>Latitude 3255</v>
      </c>
      <c r="B719" s="86">
        <v>32.549999999999997</v>
      </c>
      <c r="C719" s="80">
        <v>55</v>
      </c>
      <c r="D719" s="69">
        <v>0.72</v>
      </c>
      <c r="E719" s="69">
        <v>0.84</v>
      </c>
      <c r="F719" s="69">
        <v>1.02</v>
      </c>
      <c r="G719" s="69">
        <v>1.22</v>
      </c>
      <c r="H719" s="69">
        <v>1.36</v>
      </c>
      <c r="I719" s="69">
        <v>1.35</v>
      </c>
      <c r="J719" s="69">
        <v>1.26</v>
      </c>
      <c r="K719" s="69">
        <v>1.1399999999999999</v>
      </c>
      <c r="L719" s="69">
        <v>0.99</v>
      </c>
      <c r="M719" s="69">
        <v>0.84</v>
      </c>
      <c r="N719" s="69">
        <v>0.72</v>
      </c>
      <c r="O719" s="69">
        <v>0.68</v>
      </c>
      <c r="P719" s="71">
        <v>1.01</v>
      </c>
      <c r="Q719" s="64"/>
      <c r="R719" s="64"/>
      <c r="S719" s="64"/>
      <c r="T719" s="64"/>
      <c r="U719" s="64"/>
      <c r="V719" s="64"/>
      <c r="W719" s="64"/>
      <c r="X719" s="64"/>
      <c r="Y719" s="64"/>
      <c r="Z719" s="64"/>
    </row>
    <row r="720" spans="1:26" thickBot="1">
      <c r="A720" s="66" t="str">
        <f t="shared" si="32"/>
        <v>Latitude 3260</v>
      </c>
      <c r="B720" s="86">
        <v>32.6</v>
      </c>
      <c r="C720" s="80">
        <v>60</v>
      </c>
      <c r="D720" s="69">
        <v>0.66</v>
      </c>
      <c r="E720" s="69">
        <v>0.79</v>
      </c>
      <c r="F720" s="69">
        <v>0.98</v>
      </c>
      <c r="G720" s="69">
        <v>1.19</v>
      </c>
      <c r="H720" s="69">
        <v>1.34</v>
      </c>
      <c r="I720" s="69">
        <v>1.34</v>
      </c>
      <c r="J720" s="69">
        <v>1.24</v>
      </c>
      <c r="K720" s="69">
        <v>1.1100000000000001</v>
      </c>
      <c r="L720" s="69">
        <v>0.95</v>
      </c>
      <c r="M720" s="69">
        <v>0.78</v>
      </c>
      <c r="N720" s="69">
        <v>0.66</v>
      </c>
      <c r="O720" s="69">
        <v>0.62</v>
      </c>
      <c r="P720" s="71">
        <v>0.97</v>
      </c>
      <c r="Q720" s="64"/>
      <c r="R720" s="64"/>
      <c r="S720" s="64"/>
      <c r="T720" s="64"/>
      <c r="U720" s="64"/>
      <c r="V720" s="64"/>
      <c r="W720" s="64"/>
      <c r="X720" s="64"/>
      <c r="Y720" s="64"/>
      <c r="Z720" s="64"/>
    </row>
    <row r="721" spans="1:26" thickBot="1">
      <c r="A721" s="66" t="str">
        <f t="shared" si="32"/>
        <v>Latitude 3265</v>
      </c>
      <c r="B721" s="86">
        <v>32.65</v>
      </c>
      <c r="C721" s="80">
        <v>65</v>
      </c>
      <c r="D721" s="69">
        <v>0.59</v>
      </c>
      <c r="E721" s="69">
        <v>0.73</v>
      </c>
      <c r="F721" s="69">
        <v>0.93</v>
      </c>
      <c r="G721" s="69">
        <v>1.1499999999999999</v>
      </c>
      <c r="H721" s="69">
        <v>1.31</v>
      </c>
      <c r="I721" s="69">
        <v>1.31</v>
      </c>
      <c r="J721" s="69">
        <v>1.21</v>
      </c>
      <c r="K721" s="69">
        <v>1.07</v>
      </c>
      <c r="L721" s="69">
        <v>0.9</v>
      </c>
      <c r="M721" s="69">
        <v>0.73</v>
      </c>
      <c r="N721" s="69">
        <v>0.6</v>
      </c>
      <c r="O721" s="69">
        <v>0.55000000000000004</v>
      </c>
      <c r="P721" s="71">
        <v>0.92</v>
      </c>
      <c r="Q721" s="64"/>
      <c r="R721" s="64"/>
      <c r="S721" s="64"/>
      <c r="T721" s="64"/>
      <c r="U721" s="64"/>
      <c r="V721" s="64"/>
      <c r="W721" s="64"/>
      <c r="X721" s="64"/>
      <c r="Y721" s="64"/>
      <c r="Z721" s="64"/>
    </row>
    <row r="722" spans="1:26" thickBot="1">
      <c r="A722" s="66" t="str">
        <f t="shared" si="32"/>
        <v>Latitude 3270</v>
      </c>
      <c r="B722" s="86">
        <v>32.700000000000003</v>
      </c>
      <c r="C722" s="80">
        <v>70</v>
      </c>
      <c r="D722" s="69">
        <v>0.53</v>
      </c>
      <c r="E722" s="69">
        <v>0.66</v>
      </c>
      <c r="F722" s="69">
        <v>0.87</v>
      </c>
      <c r="G722" s="69">
        <v>1.1100000000000001</v>
      </c>
      <c r="H722" s="69">
        <v>1.27</v>
      </c>
      <c r="I722" s="69">
        <v>1.28</v>
      </c>
      <c r="J722" s="69">
        <v>1.17</v>
      </c>
      <c r="K722" s="69">
        <v>1.03</v>
      </c>
      <c r="L722" s="69">
        <v>0.85</v>
      </c>
      <c r="M722" s="69">
        <v>0.66</v>
      </c>
      <c r="N722" s="69">
        <v>0.53</v>
      </c>
      <c r="O722" s="69">
        <v>0.48</v>
      </c>
      <c r="P722" s="71">
        <v>0.87</v>
      </c>
      <c r="Q722" s="64"/>
      <c r="R722" s="64"/>
      <c r="S722" s="64"/>
      <c r="T722" s="64"/>
      <c r="U722" s="64"/>
      <c r="V722" s="64"/>
      <c r="W722" s="64"/>
      <c r="X722" s="64"/>
      <c r="Y722" s="64"/>
      <c r="Z722" s="64"/>
    </row>
    <row r="723" spans="1:26" thickBot="1">
      <c r="A723" s="66" t="str">
        <f t="shared" si="32"/>
        <v>Latitude 3275</v>
      </c>
      <c r="B723" s="86">
        <v>32.75</v>
      </c>
      <c r="C723" s="80">
        <v>75</v>
      </c>
      <c r="D723" s="69">
        <v>0.45</v>
      </c>
      <c r="E723" s="69">
        <v>0.6</v>
      </c>
      <c r="F723" s="69" t="s">
        <v>5851</v>
      </c>
      <c r="G723" s="69">
        <v>1.06</v>
      </c>
      <c r="H723" s="69">
        <v>1.23</v>
      </c>
      <c r="I723" s="69">
        <v>1.24</v>
      </c>
      <c r="J723" s="69">
        <v>1.1299999999999999</v>
      </c>
      <c r="K723" s="69">
        <v>0.98</v>
      </c>
      <c r="L723" s="69">
        <v>0.79</v>
      </c>
      <c r="M723" s="69">
        <v>0.6</v>
      </c>
      <c r="N723" s="69">
        <v>0.46</v>
      </c>
      <c r="O723" s="69">
        <v>0.4</v>
      </c>
      <c r="P723" s="71">
        <v>0.75</v>
      </c>
      <c r="Q723" s="64"/>
      <c r="R723" s="64"/>
      <c r="S723" s="64"/>
      <c r="T723" s="64"/>
      <c r="U723" s="64"/>
      <c r="V723" s="64"/>
      <c r="W723" s="64"/>
      <c r="X723" s="64"/>
      <c r="Y723" s="64"/>
      <c r="Z723" s="64"/>
    </row>
    <row r="724" spans="1:26" thickBot="1">
      <c r="A724" s="66" t="str">
        <f t="shared" si="32"/>
        <v>Latitude 3280</v>
      </c>
      <c r="B724" s="86">
        <v>32.799999999999997</v>
      </c>
      <c r="C724" s="80">
        <v>80</v>
      </c>
      <c r="D724" s="69">
        <v>0.38</v>
      </c>
      <c r="E724" s="69">
        <v>0.52</v>
      </c>
      <c r="F724" s="69">
        <v>0.75</v>
      </c>
      <c r="G724" s="69">
        <v>1</v>
      </c>
      <c r="H724" s="69">
        <v>1.18</v>
      </c>
      <c r="I724" s="69">
        <v>1.19</v>
      </c>
      <c r="J724" s="69">
        <v>1.08</v>
      </c>
      <c r="K724" s="69">
        <v>0.92</v>
      </c>
      <c r="L724" s="69">
        <v>0.73</v>
      </c>
      <c r="M724" s="69">
        <v>0.53</v>
      </c>
      <c r="N724" s="69">
        <v>0.38</v>
      </c>
      <c r="O724" s="69">
        <v>0.33</v>
      </c>
      <c r="P724" s="71">
        <v>0.75</v>
      </c>
      <c r="Q724" s="64"/>
      <c r="R724" s="64"/>
      <c r="S724" s="64"/>
      <c r="T724" s="64"/>
      <c r="U724" s="64"/>
      <c r="V724" s="64"/>
      <c r="W724" s="64"/>
      <c r="X724" s="64"/>
      <c r="Y724" s="64"/>
      <c r="Z724" s="64"/>
    </row>
    <row r="725" spans="1:26" thickBot="1">
      <c r="A725" s="66" t="str">
        <f t="shared" si="32"/>
        <v>Latitude 3285</v>
      </c>
      <c r="B725" s="86">
        <v>32.85</v>
      </c>
      <c r="C725" s="80">
        <v>85</v>
      </c>
      <c r="D725" s="69">
        <v>0.3</v>
      </c>
      <c r="E725" s="69">
        <v>0.45</v>
      </c>
      <c r="F725" s="69">
        <v>0.67</v>
      </c>
      <c r="G725" s="69">
        <v>0.93</v>
      </c>
      <c r="H725" s="69">
        <v>1.1200000000000001</v>
      </c>
      <c r="I725" s="69">
        <v>1.1299999999999999</v>
      </c>
      <c r="J725" s="69">
        <v>1.02</v>
      </c>
      <c r="K725" s="69">
        <v>0.86</v>
      </c>
      <c r="L725" s="69">
        <v>0.66</v>
      </c>
      <c r="M725" s="69">
        <v>0.45</v>
      </c>
      <c r="N725" s="69">
        <v>0.31</v>
      </c>
      <c r="O725" s="69">
        <v>0.25</v>
      </c>
      <c r="P725" s="71">
        <v>0.68</v>
      </c>
      <c r="Q725" s="64"/>
      <c r="R725" s="64"/>
      <c r="S725" s="64"/>
      <c r="T725" s="64"/>
      <c r="U725" s="64"/>
      <c r="V725" s="64"/>
      <c r="W725" s="64"/>
      <c r="X725" s="64"/>
      <c r="Y725" s="64"/>
      <c r="Z725" s="64"/>
    </row>
    <row r="726" spans="1:26" thickBot="1">
      <c r="A726" s="66" t="str">
        <f t="shared" si="32"/>
        <v>Latitude 3290</v>
      </c>
      <c r="B726" s="86">
        <v>32.9</v>
      </c>
      <c r="C726" s="69">
        <v>90</v>
      </c>
      <c r="D726" s="69">
        <v>0.22</v>
      </c>
      <c r="E726" s="69">
        <v>0.37</v>
      </c>
      <c r="F726" s="69">
        <v>0.6</v>
      </c>
      <c r="G726" s="69">
        <v>0.86</v>
      </c>
      <c r="H726" s="69">
        <v>1.05</v>
      </c>
      <c r="I726" s="69">
        <v>1.07</v>
      </c>
      <c r="J726" s="69">
        <v>0.96</v>
      </c>
      <c r="K726" s="69">
        <v>0.79</v>
      </c>
      <c r="L726" s="69">
        <v>0.59</v>
      </c>
      <c r="M726" s="69">
        <v>0.38</v>
      </c>
      <c r="N726" s="69">
        <v>0.23</v>
      </c>
      <c r="O726" s="69">
        <v>0.17</v>
      </c>
      <c r="P726" s="71">
        <v>0.61</v>
      </c>
      <c r="Q726" s="64"/>
      <c r="R726" s="64"/>
      <c r="S726" s="64"/>
      <c r="T726" s="64"/>
      <c r="U726" s="64"/>
      <c r="V726" s="64"/>
      <c r="W726" s="64"/>
      <c r="X726" s="64"/>
      <c r="Y726" s="64"/>
      <c r="Z726" s="64"/>
    </row>
    <row r="727" spans="1:26" thickBot="1">
      <c r="A727" s="66"/>
      <c r="B727" s="88"/>
      <c r="C727" s="73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66"/>
      <c r="Q727" s="64"/>
      <c r="R727" s="64"/>
      <c r="S727" s="64"/>
      <c r="T727" s="64"/>
      <c r="U727" s="64"/>
      <c r="V727" s="64"/>
      <c r="W727" s="64"/>
      <c r="X727" s="64"/>
      <c r="Y727" s="64"/>
      <c r="Z727" s="64"/>
    </row>
    <row r="728" spans="1:26" thickBot="1">
      <c r="A728" s="66"/>
      <c r="B728" s="88"/>
      <c r="C728" s="73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66"/>
      <c r="Q728" s="64"/>
      <c r="R728" s="64"/>
      <c r="S728" s="64"/>
      <c r="T728" s="64"/>
      <c r="U728" s="64"/>
      <c r="V728" s="64"/>
      <c r="W728" s="64"/>
      <c r="X728" s="64"/>
      <c r="Y728" s="64"/>
      <c r="Z728" s="64"/>
    </row>
    <row r="729" spans="1:26" thickBot="1">
      <c r="A729" s="66"/>
      <c r="B729" s="85" t="s">
        <v>5898</v>
      </c>
      <c r="C729" s="75" t="s">
        <v>5853</v>
      </c>
      <c r="D729" s="75" t="s">
        <v>5827</v>
      </c>
      <c r="E729" s="75" t="s">
        <v>5828</v>
      </c>
      <c r="F729" s="75" t="s">
        <v>5829</v>
      </c>
      <c r="G729" s="75" t="s">
        <v>5830</v>
      </c>
      <c r="H729" s="75" t="s">
        <v>5831</v>
      </c>
      <c r="I729" s="75" t="s">
        <v>5832</v>
      </c>
      <c r="J729" s="75" t="s">
        <v>5833</v>
      </c>
      <c r="K729" s="75" t="s">
        <v>5834</v>
      </c>
      <c r="L729" s="75" t="s">
        <v>5835</v>
      </c>
      <c r="M729" s="75" t="s">
        <v>5836</v>
      </c>
      <c r="N729" s="75" t="s">
        <v>5837</v>
      </c>
      <c r="O729" s="75" t="s">
        <v>5838</v>
      </c>
      <c r="P729" s="74" t="s">
        <v>20</v>
      </c>
      <c r="Q729" s="64"/>
      <c r="R729" s="64"/>
      <c r="S729" s="64"/>
      <c r="T729" s="64"/>
      <c r="U729" s="64"/>
      <c r="V729" s="64"/>
      <c r="W729" s="64"/>
      <c r="X729" s="64"/>
      <c r="Y729" s="64"/>
      <c r="Z729" s="64"/>
    </row>
    <row r="730" spans="1:26" thickBot="1">
      <c r="A730" s="66" t="str">
        <f>$B$729&amp;C730</f>
        <v>Latitude 330</v>
      </c>
      <c r="B730" s="86">
        <v>33</v>
      </c>
      <c r="C730" s="80">
        <v>0</v>
      </c>
      <c r="D730" s="69">
        <v>1</v>
      </c>
      <c r="E730" s="69">
        <v>1</v>
      </c>
      <c r="F730" s="69">
        <v>1</v>
      </c>
      <c r="G730" s="69">
        <v>1</v>
      </c>
      <c r="H730" s="69">
        <v>1</v>
      </c>
      <c r="I730" s="69">
        <v>1</v>
      </c>
      <c r="J730" s="69">
        <v>1</v>
      </c>
      <c r="K730" s="69">
        <v>1</v>
      </c>
      <c r="L730" s="69">
        <v>1</v>
      </c>
      <c r="M730" s="69">
        <v>1</v>
      </c>
      <c r="N730" s="69">
        <v>1</v>
      </c>
      <c r="O730" s="69">
        <v>1</v>
      </c>
      <c r="P730" s="71">
        <v>1</v>
      </c>
      <c r="Q730" s="64"/>
      <c r="R730" s="64"/>
      <c r="S730" s="64"/>
      <c r="T730" s="64"/>
      <c r="U730" s="64"/>
      <c r="V730" s="64"/>
      <c r="W730" s="64"/>
      <c r="X730" s="64"/>
      <c r="Y730" s="64"/>
      <c r="Z730" s="64"/>
    </row>
    <row r="731" spans="1:26" thickBot="1">
      <c r="A731" s="66" t="str">
        <f t="shared" ref="A731:A748" si="33">$B$729&amp;C731</f>
        <v>Latitude 335</v>
      </c>
      <c r="B731" s="86">
        <v>33.5</v>
      </c>
      <c r="C731" s="80">
        <v>5</v>
      </c>
      <c r="D731" s="69">
        <v>1.01</v>
      </c>
      <c r="E731" s="69">
        <v>1.02</v>
      </c>
      <c r="F731" s="69">
        <v>1.04</v>
      </c>
      <c r="G731" s="69">
        <v>1.06</v>
      </c>
      <c r="H731" s="69">
        <v>1.07</v>
      </c>
      <c r="I731" s="69">
        <v>1.07</v>
      </c>
      <c r="J731" s="69">
        <v>1.06</v>
      </c>
      <c r="K731" s="69">
        <v>1.05</v>
      </c>
      <c r="L731" s="69">
        <v>1.04</v>
      </c>
      <c r="M731" s="69">
        <v>1.02</v>
      </c>
      <c r="N731" s="69">
        <v>1.01</v>
      </c>
      <c r="O731" s="69">
        <v>1.01</v>
      </c>
      <c r="P731" s="71">
        <v>1.04</v>
      </c>
      <c r="Q731" s="64"/>
      <c r="R731" s="64"/>
      <c r="S731" s="64"/>
      <c r="T731" s="64"/>
      <c r="U731" s="64"/>
      <c r="V731" s="64"/>
      <c r="W731" s="64"/>
      <c r="X731" s="64"/>
      <c r="Y731" s="64"/>
      <c r="Z731" s="64"/>
    </row>
    <row r="732" spans="1:26" thickBot="1">
      <c r="A732" s="66" t="str">
        <f t="shared" si="33"/>
        <v>Latitude 3310</v>
      </c>
      <c r="B732" s="86">
        <v>33.1</v>
      </c>
      <c r="C732" s="80">
        <v>10</v>
      </c>
      <c r="D732" s="69">
        <v>1.01</v>
      </c>
      <c r="E732" s="69">
        <v>1.04</v>
      </c>
      <c r="F732" s="69">
        <v>1.07</v>
      </c>
      <c r="G732" s="69">
        <v>1.1200000000000001</v>
      </c>
      <c r="H732" s="69">
        <v>1.1399999999999999</v>
      </c>
      <c r="I732" s="69">
        <v>1.1399999999999999</v>
      </c>
      <c r="J732" s="69">
        <v>1.1200000000000001</v>
      </c>
      <c r="K732" s="69">
        <v>1.0900000000000001</v>
      </c>
      <c r="L732" s="69">
        <v>1.06</v>
      </c>
      <c r="M732" s="69">
        <v>1.03</v>
      </c>
      <c r="N732" s="69">
        <v>1.01</v>
      </c>
      <c r="O732" s="69">
        <v>1</v>
      </c>
      <c r="P732" s="71">
        <v>1.07</v>
      </c>
      <c r="Q732" s="64"/>
      <c r="R732" s="64"/>
      <c r="S732" s="64"/>
      <c r="T732" s="64"/>
      <c r="U732" s="64"/>
      <c r="V732" s="64"/>
      <c r="W732" s="64"/>
      <c r="X732" s="64"/>
      <c r="Y732" s="64"/>
      <c r="Z732" s="64"/>
    </row>
    <row r="733" spans="1:26" thickBot="1">
      <c r="A733" s="66" t="str">
        <f t="shared" si="33"/>
        <v>Latitude 3315</v>
      </c>
      <c r="B733" s="86">
        <v>33.15</v>
      </c>
      <c r="C733" s="80">
        <v>15</v>
      </c>
      <c r="D733" s="69">
        <v>1.01</v>
      </c>
      <c r="E733" s="69">
        <v>1.05</v>
      </c>
      <c r="F733" s="69">
        <v>1.1000000000000001</v>
      </c>
      <c r="G733" s="69">
        <v>1.1599999999999999</v>
      </c>
      <c r="H733" s="69">
        <v>1.2</v>
      </c>
      <c r="I733" s="69">
        <v>1.19</v>
      </c>
      <c r="J733" s="69">
        <v>1.1599999999999999</v>
      </c>
      <c r="K733" s="69">
        <v>1.1299999999999999</v>
      </c>
      <c r="L733" s="69">
        <v>1.0900000000000001</v>
      </c>
      <c r="M733" s="69">
        <v>1.04</v>
      </c>
      <c r="N733" s="69">
        <v>1.01</v>
      </c>
      <c r="O733" s="69">
        <v>1</v>
      </c>
      <c r="P733" s="71">
        <v>1.1000000000000001</v>
      </c>
      <c r="Q733" s="64"/>
      <c r="R733" s="64"/>
      <c r="S733" s="64"/>
      <c r="T733" s="64"/>
      <c r="U733" s="64"/>
      <c r="V733" s="64"/>
      <c r="W733" s="64"/>
      <c r="X733" s="64"/>
      <c r="Y733" s="64"/>
      <c r="Z733" s="64"/>
    </row>
    <row r="734" spans="1:26" thickBot="1">
      <c r="A734" s="66" t="str">
        <f t="shared" si="33"/>
        <v>Latitude 3320</v>
      </c>
      <c r="B734" s="86">
        <v>33.200000000000003</v>
      </c>
      <c r="C734" s="80">
        <v>20</v>
      </c>
      <c r="D734" s="69">
        <v>1</v>
      </c>
      <c r="E734" s="69">
        <v>1.05</v>
      </c>
      <c r="F734" s="69">
        <v>1.1200000000000001</v>
      </c>
      <c r="G734" s="69">
        <v>1.2</v>
      </c>
      <c r="H734" s="69">
        <v>1.25</v>
      </c>
      <c r="I734" s="69">
        <v>1.24</v>
      </c>
      <c r="J734" s="69">
        <v>1.2</v>
      </c>
      <c r="K734" s="69">
        <v>1.1599999999999999</v>
      </c>
      <c r="L734" s="69">
        <v>1.1000000000000001</v>
      </c>
      <c r="M734" s="69">
        <v>1.04</v>
      </c>
      <c r="N734" s="69">
        <v>1</v>
      </c>
      <c r="O734" s="69">
        <v>0.98</v>
      </c>
      <c r="P734" s="71">
        <v>1.1100000000000001</v>
      </c>
      <c r="Q734" s="64"/>
      <c r="R734" s="64"/>
      <c r="S734" s="64"/>
      <c r="T734" s="64"/>
      <c r="U734" s="64"/>
      <c r="V734" s="64"/>
      <c r="W734" s="64"/>
      <c r="X734" s="64"/>
      <c r="Y734" s="64"/>
      <c r="Z734" s="64"/>
    </row>
    <row r="735" spans="1:26" thickBot="1">
      <c r="A735" s="66" t="str">
        <f t="shared" si="33"/>
        <v>Latitude 3325</v>
      </c>
      <c r="B735" s="86">
        <v>33.25</v>
      </c>
      <c r="C735" s="80">
        <v>25</v>
      </c>
      <c r="D735" s="69">
        <v>0.98</v>
      </c>
      <c r="E735" s="69">
        <v>1.04</v>
      </c>
      <c r="F735" s="69">
        <v>1.1299999999999999</v>
      </c>
      <c r="G735" s="69">
        <v>1.23</v>
      </c>
      <c r="H735" s="69">
        <v>1.3</v>
      </c>
      <c r="I735" s="69">
        <v>1.29</v>
      </c>
      <c r="J735" s="69">
        <v>1.24</v>
      </c>
      <c r="K735" s="69">
        <v>1.18</v>
      </c>
      <c r="L735" s="69">
        <v>1.1100000000000001</v>
      </c>
      <c r="M735" s="69">
        <v>1.03</v>
      </c>
      <c r="N735" s="69">
        <v>0.98</v>
      </c>
      <c r="O735" s="69">
        <v>0.96</v>
      </c>
      <c r="P735" s="71">
        <v>1.1200000000000001</v>
      </c>
      <c r="Q735" s="64"/>
      <c r="R735" s="64"/>
      <c r="S735" s="64"/>
      <c r="T735" s="64"/>
      <c r="U735" s="64"/>
      <c r="V735" s="64"/>
      <c r="W735" s="64"/>
      <c r="X735" s="64"/>
      <c r="Y735" s="64"/>
      <c r="Z735" s="64"/>
    </row>
    <row r="736" spans="1:26" thickBot="1">
      <c r="A736" s="66" t="str">
        <f t="shared" si="33"/>
        <v>Latitude 3330</v>
      </c>
      <c r="B736" s="86">
        <v>33.299999999999997</v>
      </c>
      <c r="C736" s="80">
        <v>30</v>
      </c>
      <c r="D736" s="69">
        <v>0.95</v>
      </c>
      <c r="E736" s="69">
        <v>1.03</v>
      </c>
      <c r="F736" s="69">
        <v>1.1399999999999999</v>
      </c>
      <c r="G736" s="69">
        <v>1.25</v>
      </c>
      <c r="H736" s="69">
        <v>1.33</v>
      </c>
      <c r="I736" s="69">
        <v>1.32</v>
      </c>
      <c r="J736" s="69">
        <v>1.26</v>
      </c>
      <c r="K736" s="81">
        <v>1.2</v>
      </c>
      <c r="L736" s="69">
        <v>1.1100000000000001</v>
      </c>
      <c r="M736" s="69">
        <v>1.02</v>
      </c>
      <c r="N736" s="69">
        <v>0.95</v>
      </c>
      <c r="O736" s="69">
        <v>0.93</v>
      </c>
      <c r="P736" s="71">
        <v>1.1200000000000001</v>
      </c>
      <c r="Q736" s="64"/>
      <c r="R736" s="64"/>
      <c r="S736" s="64"/>
      <c r="T736" s="64"/>
      <c r="U736" s="64"/>
      <c r="V736" s="64"/>
      <c r="W736" s="64"/>
      <c r="X736" s="64"/>
      <c r="Y736" s="64"/>
      <c r="Z736" s="64"/>
    </row>
    <row r="737" spans="1:26" thickBot="1">
      <c r="A737" s="66" t="str">
        <f t="shared" si="33"/>
        <v>Latitude 3335</v>
      </c>
      <c r="B737" s="86">
        <v>33.35</v>
      </c>
      <c r="C737" s="80">
        <v>35</v>
      </c>
      <c r="D737" s="69">
        <v>0.92</v>
      </c>
      <c r="E737" s="69">
        <v>1.01</v>
      </c>
      <c r="F737" s="69">
        <v>1.1299999999999999</v>
      </c>
      <c r="G737" s="69">
        <v>1.27</v>
      </c>
      <c r="H737" s="69">
        <v>1.36</v>
      </c>
      <c r="I737" s="69">
        <v>1.35</v>
      </c>
      <c r="J737" s="69">
        <v>1.28</v>
      </c>
      <c r="K737" s="69">
        <v>1.2</v>
      </c>
      <c r="L737" s="69">
        <v>1.1000000000000001</v>
      </c>
      <c r="M737" s="69">
        <v>1</v>
      </c>
      <c r="N737" s="69">
        <v>0.92</v>
      </c>
      <c r="O737" s="69">
        <v>0.89</v>
      </c>
      <c r="P737" s="71">
        <v>1.1200000000000001</v>
      </c>
      <c r="Q737" s="64"/>
      <c r="R737" s="64"/>
      <c r="S737" s="64"/>
      <c r="T737" s="64"/>
      <c r="U737" s="64"/>
      <c r="V737" s="64"/>
      <c r="W737" s="64"/>
      <c r="X737" s="64"/>
      <c r="Y737" s="64"/>
      <c r="Z737" s="64"/>
    </row>
    <row r="738" spans="1:26" thickBot="1">
      <c r="A738" s="66" t="str">
        <f t="shared" si="33"/>
        <v>Latitude 3340</v>
      </c>
      <c r="B738" s="86">
        <v>33.4</v>
      </c>
      <c r="C738" s="80">
        <v>40</v>
      </c>
      <c r="D738" s="69">
        <v>0.88</v>
      </c>
      <c r="E738" s="69">
        <v>0.98</v>
      </c>
      <c r="F738" s="69">
        <v>1.1200000000000001</v>
      </c>
      <c r="G738" s="69">
        <v>1.27</v>
      </c>
      <c r="H738" s="69">
        <v>1.38</v>
      </c>
      <c r="I738" s="69">
        <v>1.37</v>
      </c>
      <c r="J738" s="69">
        <v>1.29</v>
      </c>
      <c r="K738" s="69">
        <v>1.2</v>
      </c>
      <c r="L738" s="69">
        <v>1.0900000000000001</v>
      </c>
      <c r="M738" s="69">
        <v>0.97</v>
      </c>
      <c r="N738" s="69">
        <v>0.88</v>
      </c>
      <c r="O738" s="69">
        <v>0.85</v>
      </c>
      <c r="P738" s="71">
        <v>1.1100000000000001</v>
      </c>
      <c r="Q738" s="64"/>
      <c r="R738" s="64"/>
      <c r="S738" s="64"/>
      <c r="T738" s="64"/>
      <c r="U738" s="64"/>
      <c r="V738" s="64"/>
      <c r="W738" s="64"/>
      <c r="X738" s="64"/>
      <c r="Y738" s="64"/>
      <c r="Z738" s="64"/>
    </row>
    <row r="739" spans="1:26" thickBot="1">
      <c r="A739" s="66" t="str">
        <f t="shared" si="33"/>
        <v>Latitude 3345</v>
      </c>
      <c r="B739" s="86">
        <v>33.450000000000003</v>
      </c>
      <c r="C739" s="80">
        <v>45</v>
      </c>
      <c r="D739" s="69">
        <v>0.84</v>
      </c>
      <c r="E739" s="69">
        <v>0.94</v>
      </c>
      <c r="F739" s="69">
        <v>1.1000000000000001</v>
      </c>
      <c r="G739" s="69">
        <v>1.27</v>
      </c>
      <c r="H739" s="69">
        <v>1.39</v>
      </c>
      <c r="I739" s="69">
        <v>1.38</v>
      </c>
      <c r="J739" s="69">
        <v>1.3</v>
      </c>
      <c r="K739" s="69">
        <v>1.2</v>
      </c>
      <c r="L739" s="69">
        <v>1.07</v>
      </c>
      <c r="M739" s="69">
        <v>0.94</v>
      </c>
      <c r="N739" s="69">
        <v>0.84</v>
      </c>
      <c r="O739" s="69">
        <v>0.8</v>
      </c>
      <c r="P739" s="71">
        <v>1.0900000000000001</v>
      </c>
      <c r="Q739" s="64"/>
      <c r="R739" s="64"/>
      <c r="S739" s="64"/>
      <c r="T739" s="64"/>
      <c r="U739" s="64"/>
      <c r="V739" s="64"/>
      <c r="W739" s="64"/>
      <c r="X739" s="64"/>
      <c r="Y739" s="64"/>
      <c r="Z739" s="64"/>
    </row>
    <row r="740" spans="1:26" thickBot="1">
      <c r="A740" s="66" t="str">
        <f t="shared" si="33"/>
        <v>Latitude 3350</v>
      </c>
      <c r="B740" s="86">
        <v>33.5</v>
      </c>
      <c r="C740" s="80">
        <v>50</v>
      </c>
      <c r="D740" s="69">
        <v>0.79</v>
      </c>
      <c r="E740" s="69">
        <v>0.9</v>
      </c>
      <c r="F740" s="69">
        <v>1.07</v>
      </c>
      <c r="G740" s="69">
        <v>1.26</v>
      </c>
      <c r="H740" s="69">
        <v>1.39</v>
      </c>
      <c r="I740" s="69">
        <v>1.38</v>
      </c>
      <c r="J740" s="69">
        <v>1.29</v>
      </c>
      <c r="K740" s="69">
        <v>1.18</v>
      </c>
      <c r="L740" s="69">
        <v>1.04</v>
      </c>
      <c r="M740" s="69">
        <v>0.9</v>
      </c>
      <c r="N740" s="69">
        <v>0.79</v>
      </c>
      <c r="O740" s="69">
        <v>0.75</v>
      </c>
      <c r="P740" s="71">
        <v>1.06</v>
      </c>
      <c r="Q740" s="64"/>
      <c r="R740" s="64"/>
      <c r="S740" s="64"/>
      <c r="T740" s="64"/>
      <c r="U740" s="64"/>
      <c r="V740" s="64"/>
      <c r="W740" s="64"/>
      <c r="X740" s="64"/>
      <c r="Y740" s="64"/>
      <c r="Z740" s="64"/>
    </row>
    <row r="741" spans="1:26" thickBot="1">
      <c r="A741" s="66" t="str">
        <f t="shared" si="33"/>
        <v>Latitude 3355</v>
      </c>
      <c r="B741" s="86">
        <v>33.549999999999997</v>
      </c>
      <c r="C741" s="80">
        <v>55</v>
      </c>
      <c r="D741" s="69">
        <v>0.73</v>
      </c>
      <c r="E741" s="69">
        <v>0.85</v>
      </c>
      <c r="F741" s="69">
        <v>1.04</v>
      </c>
      <c r="G741" s="69">
        <v>1.24</v>
      </c>
      <c r="H741" s="69">
        <v>1.38</v>
      </c>
      <c r="I741" s="69">
        <v>1.37</v>
      </c>
      <c r="J741" s="69">
        <v>1.28</v>
      </c>
      <c r="K741" s="69">
        <v>1.1599999999999999</v>
      </c>
      <c r="L741" s="69">
        <v>1.01</v>
      </c>
      <c r="M741" s="69">
        <v>0.85</v>
      </c>
      <c r="N741" s="69">
        <v>0.74</v>
      </c>
      <c r="O741" s="69">
        <v>0.69</v>
      </c>
      <c r="P741" s="71">
        <v>1.03</v>
      </c>
      <c r="Q741" s="64"/>
      <c r="R741" s="64"/>
      <c r="S741" s="64"/>
      <c r="T741" s="64"/>
      <c r="U741" s="64"/>
      <c r="V741" s="64"/>
      <c r="W741" s="64"/>
      <c r="X741" s="64"/>
      <c r="Y741" s="64"/>
      <c r="Z741" s="64"/>
    </row>
    <row r="742" spans="1:26" thickBot="1">
      <c r="A742" s="66" t="str">
        <f t="shared" si="33"/>
        <v>Latitude 3360</v>
      </c>
      <c r="B742" s="86">
        <v>33.6</v>
      </c>
      <c r="C742" s="80">
        <v>60</v>
      </c>
      <c r="D742" s="69">
        <v>0.67</v>
      </c>
      <c r="E742" s="69">
        <v>0.8</v>
      </c>
      <c r="F742" s="69">
        <v>1</v>
      </c>
      <c r="G742" s="69">
        <v>1.21</v>
      </c>
      <c r="H742" s="69">
        <v>1.36</v>
      </c>
      <c r="I742" s="69">
        <v>1.36</v>
      </c>
      <c r="J742" s="69">
        <v>1.26</v>
      </c>
      <c r="K742" s="69">
        <v>1.1299999999999999</v>
      </c>
      <c r="L742" s="69">
        <v>0.96</v>
      </c>
      <c r="M742" s="69">
        <v>0.8</v>
      </c>
      <c r="N742" s="69">
        <v>0.68</v>
      </c>
      <c r="O742" s="69">
        <v>0.63</v>
      </c>
      <c r="P742" s="71">
        <v>0.99</v>
      </c>
      <c r="Q742" s="64"/>
      <c r="R742" s="64"/>
      <c r="S742" s="64"/>
      <c r="T742" s="64"/>
      <c r="U742" s="64"/>
      <c r="V742" s="64"/>
      <c r="W742" s="64"/>
      <c r="X742" s="64"/>
      <c r="Y742" s="64"/>
      <c r="Z742" s="64"/>
    </row>
    <row r="743" spans="1:26" thickBot="1">
      <c r="A743" s="66" t="str">
        <f t="shared" si="33"/>
        <v>Latitude 3365</v>
      </c>
      <c r="B743" s="86">
        <v>33.65</v>
      </c>
      <c r="C743" s="80">
        <v>65</v>
      </c>
      <c r="D743" s="69">
        <v>0.61</v>
      </c>
      <c r="E743" s="69">
        <v>0.74</v>
      </c>
      <c r="F743" s="69">
        <v>0.95</v>
      </c>
      <c r="G743" s="69">
        <v>1.18</v>
      </c>
      <c r="H743" s="69">
        <v>1.33</v>
      </c>
      <c r="I743" s="69">
        <v>1.33</v>
      </c>
      <c r="J743" s="69">
        <v>1.23</v>
      </c>
      <c r="K743" s="69">
        <v>1.0900000000000001</v>
      </c>
      <c r="L743" s="69">
        <v>0.92</v>
      </c>
      <c r="M743" s="69">
        <v>0.74</v>
      </c>
      <c r="N743" s="69">
        <v>0.61</v>
      </c>
      <c r="O743" s="69">
        <v>0.56000000000000005</v>
      </c>
      <c r="P743" s="71">
        <v>0.94</v>
      </c>
      <c r="Q743" s="64"/>
      <c r="R743" s="64"/>
      <c r="S743" s="64"/>
      <c r="T743" s="64"/>
      <c r="U743" s="64"/>
      <c r="V743" s="64"/>
      <c r="W743" s="64"/>
      <c r="X743" s="64"/>
      <c r="Y743" s="64"/>
      <c r="Z743" s="64"/>
    </row>
    <row r="744" spans="1:26" thickBot="1">
      <c r="A744" s="66" t="str">
        <f t="shared" si="33"/>
        <v>Latitude 3370</v>
      </c>
      <c r="B744" s="86">
        <v>33.700000000000003</v>
      </c>
      <c r="C744" s="80">
        <v>70</v>
      </c>
      <c r="D744" s="69">
        <v>0.54</v>
      </c>
      <c r="E744" s="69">
        <v>0.68</v>
      </c>
      <c r="F744" s="69">
        <v>0.89</v>
      </c>
      <c r="G744" s="69">
        <v>1.1299999999999999</v>
      </c>
      <c r="H744" s="69">
        <v>1.3</v>
      </c>
      <c r="I744" s="69">
        <v>1.3</v>
      </c>
      <c r="J744" s="69">
        <v>1.19</v>
      </c>
      <c r="K744" s="69">
        <v>1.05</v>
      </c>
      <c r="L744" s="69">
        <v>0.86</v>
      </c>
      <c r="M744" s="69">
        <v>0.68</v>
      </c>
      <c r="N744" s="69">
        <v>0.54</v>
      </c>
      <c r="O744" s="69">
        <v>0.49</v>
      </c>
      <c r="P744" s="71">
        <v>0.89</v>
      </c>
      <c r="Q744" s="64"/>
      <c r="R744" s="64"/>
      <c r="S744" s="64"/>
      <c r="T744" s="64"/>
      <c r="U744" s="64"/>
      <c r="V744" s="64"/>
      <c r="W744" s="64"/>
      <c r="X744" s="64"/>
      <c r="Y744" s="64"/>
      <c r="Z744" s="64"/>
    </row>
    <row r="745" spans="1:26" thickBot="1">
      <c r="A745" s="66" t="str">
        <f t="shared" si="33"/>
        <v>Latitude 3375</v>
      </c>
      <c r="B745" s="86">
        <v>33.75</v>
      </c>
      <c r="C745" s="80">
        <v>75</v>
      </c>
      <c r="D745" s="69">
        <v>0.47</v>
      </c>
      <c r="E745" s="69">
        <v>0.61</v>
      </c>
      <c r="F745" s="69">
        <v>0.83</v>
      </c>
      <c r="G745" s="69">
        <v>1.08</v>
      </c>
      <c r="H745" s="69">
        <v>1.25</v>
      </c>
      <c r="I745" s="69">
        <v>1.26</v>
      </c>
      <c r="J745" s="69">
        <v>1.1499999999999999</v>
      </c>
      <c r="K745" s="69">
        <v>1</v>
      </c>
      <c r="L745" s="69">
        <v>0.81</v>
      </c>
      <c r="M745" s="69">
        <v>0.61</v>
      </c>
      <c r="N745" s="69">
        <v>0.47</v>
      </c>
      <c r="O745" s="69">
        <v>0.42</v>
      </c>
      <c r="P745" s="71">
        <v>0.83</v>
      </c>
      <c r="Q745" s="64"/>
      <c r="R745" s="64"/>
      <c r="S745" s="64"/>
      <c r="T745" s="64"/>
      <c r="U745" s="64"/>
      <c r="V745" s="64"/>
      <c r="W745" s="64"/>
      <c r="X745" s="64"/>
      <c r="Y745" s="64"/>
      <c r="Z745" s="64"/>
    </row>
    <row r="746" spans="1:26" thickBot="1">
      <c r="A746" s="66" t="str">
        <f t="shared" si="33"/>
        <v>Latitude 3380</v>
      </c>
      <c r="B746" s="86">
        <v>33.799999999999997</v>
      </c>
      <c r="C746" s="80">
        <v>80</v>
      </c>
      <c r="D746" s="69">
        <v>0.39</v>
      </c>
      <c r="E746" s="69">
        <v>0.54</v>
      </c>
      <c r="F746" s="69">
        <v>0.76</v>
      </c>
      <c r="G746" s="82">
        <v>1032</v>
      </c>
      <c r="H746" s="69">
        <v>1.2</v>
      </c>
      <c r="I746" s="69">
        <v>1.21</v>
      </c>
      <c r="J746" s="69">
        <v>1.1000000000000001</v>
      </c>
      <c r="K746" s="69">
        <v>0.94</v>
      </c>
      <c r="L746" s="69">
        <v>0.74</v>
      </c>
      <c r="M746" s="69">
        <v>0.54</v>
      </c>
      <c r="N746" s="69">
        <v>0.4</v>
      </c>
      <c r="O746" s="69">
        <v>0.34</v>
      </c>
      <c r="P746" s="71">
        <v>86.68</v>
      </c>
      <c r="Q746" s="64"/>
      <c r="R746" s="64"/>
      <c r="S746" s="64"/>
      <c r="T746" s="64"/>
      <c r="U746" s="64"/>
      <c r="V746" s="64"/>
      <c r="W746" s="64"/>
      <c r="X746" s="64"/>
      <c r="Y746" s="64"/>
      <c r="Z746" s="64"/>
    </row>
    <row r="747" spans="1:26" thickBot="1">
      <c r="A747" s="66" t="str">
        <f t="shared" si="33"/>
        <v>Latitude 3385</v>
      </c>
      <c r="B747" s="86">
        <v>33.85</v>
      </c>
      <c r="C747" s="80">
        <v>85</v>
      </c>
      <c r="D747" s="69">
        <v>0.31</v>
      </c>
      <c r="E747" s="69">
        <v>0.46</v>
      </c>
      <c r="F747" s="69">
        <v>0.69</v>
      </c>
      <c r="G747" s="69">
        <v>0.95</v>
      </c>
      <c r="H747" s="69">
        <v>1.1399999999999999</v>
      </c>
      <c r="I747" s="69">
        <v>1.1599999999999999</v>
      </c>
      <c r="J747" s="69">
        <v>1.04</v>
      </c>
      <c r="K747" s="69">
        <v>0.88</v>
      </c>
      <c r="L747" s="69">
        <v>0.67</v>
      </c>
      <c r="M747" s="69">
        <v>0.47</v>
      </c>
      <c r="N747" s="69">
        <v>0.32</v>
      </c>
      <c r="O747" s="69">
        <v>0.26</v>
      </c>
      <c r="P747" s="71">
        <v>0.7</v>
      </c>
      <c r="Q747" s="64"/>
      <c r="R747" s="64"/>
      <c r="S747" s="64"/>
      <c r="T747" s="64"/>
      <c r="U747" s="64"/>
      <c r="V747" s="64"/>
      <c r="W747" s="64"/>
      <c r="X747" s="64"/>
      <c r="Y747" s="64"/>
      <c r="Z747" s="64"/>
    </row>
    <row r="748" spans="1:26" thickBot="1">
      <c r="A748" s="66" t="str">
        <f t="shared" si="33"/>
        <v>Latitude 3390</v>
      </c>
      <c r="B748" s="86">
        <v>33.9</v>
      </c>
      <c r="C748" s="69">
        <v>90</v>
      </c>
      <c r="D748" s="69">
        <v>0.23</v>
      </c>
      <c r="E748" s="69">
        <v>0.39</v>
      </c>
      <c r="F748" s="69">
        <v>0.62</v>
      </c>
      <c r="G748" s="69">
        <v>0.88</v>
      </c>
      <c r="H748" s="69">
        <v>1.08</v>
      </c>
      <c r="I748" s="69">
        <v>1.0900000000000001</v>
      </c>
      <c r="J748" s="69">
        <v>0.98</v>
      </c>
      <c r="K748" s="69">
        <v>0.81</v>
      </c>
      <c r="L748" s="69">
        <v>0.6</v>
      </c>
      <c r="M748" s="69">
        <v>0.39</v>
      </c>
      <c r="N748" s="69">
        <v>0.24</v>
      </c>
      <c r="O748" s="69">
        <v>0.18</v>
      </c>
      <c r="P748" s="71">
        <v>0.62</v>
      </c>
      <c r="Q748" s="64"/>
      <c r="R748" s="64"/>
      <c r="S748" s="64"/>
      <c r="T748" s="64"/>
      <c r="U748" s="64"/>
      <c r="V748" s="64"/>
      <c r="W748" s="64"/>
      <c r="X748" s="64"/>
      <c r="Y748" s="64"/>
      <c r="Z748" s="64"/>
    </row>
    <row r="749" spans="1:26" thickBot="1">
      <c r="A749" s="66"/>
      <c r="B749" s="88"/>
      <c r="C749" s="73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66"/>
      <c r="Q749" s="64"/>
      <c r="R749" s="64"/>
      <c r="S749" s="64"/>
      <c r="T749" s="64"/>
      <c r="U749" s="64"/>
      <c r="V749" s="64"/>
      <c r="W749" s="64"/>
      <c r="X749" s="64"/>
      <c r="Y749" s="64"/>
      <c r="Z749" s="64"/>
    </row>
    <row r="750" spans="1:26" thickBot="1">
      <c r="A750" s="66"/>
      <c r="B750" s="88"/>
      <c r="C750" s="73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66"/>
      <c r="Q750" s="64"/>
      <c r="R750" s="64"/>
      <c r="S750" s="64"/>
      <c r="T750" s="64"/>
      <c r="U750" s="64"/>
      <c r="V750" s="64"/>
      <c r="W750" s="64"/>
      <c r="X750" s="64"/>
      <c r="Y750" s="64"/>
      <c r="Z750" s="64"/>
    </row>
    <row r="751" spans="1:26" thickBot="1">
      <c r="A751" s="66"/>
      <c r="B751" s="85" t="s">
        <v>5899</v>
      </c>
      <c r="C751" s="75" t="s">
        <v>5853</v>
      </c>
      <c r="D751" s="75" t="s">
        <v>5827</v>
      </c>
      <c r="E751" s="75" t="s">
        <v>5828</v>
      </c>
      <c r="F751" s="75" t="s">
        <v>5829</v>
      </c>
      <c r="G751" s="75" t="s">
        <v>5830</v>
      </c>
      <c r="H751" s="75" t="s">
        <v>5831</v>
      </c>
      <c r="I751" s="75" t="s">
        <v>5832</v>
      </c>
      <c r="J751" s="75" t="s">
        <v>5833</v>
      </c>
      <c r="K751" s="75" t="s">
        <v>5834</v>
      </c>
      <c r="L751" s="75" t="s">
        <v>5835</v>
      </c>
      <c r="M751" s="75" t="s">
        <v>5836</v>
      </c>
      <c r="N751" s="75" t="s">
        <v>5837</v>
      </c>
      <c r="O751" s="75" t="s">
        <v>5838</v>
      </c>
      <c r="P751" s="74" t="s">
        <v>20</v>
      </c>
      <c r="Q751" s="64"/>
      <c r="R751" s="64"/>
      <c r="S751" s="64"/>
      <c r="T751" s="64"/>
      <c r="U751" s="64"/>
      <c r="V751" s="64"/>
      <c r="W751" s="64"/>
      <c r="X751" s="64"/>
      <c r="Y751" s="64"/>
      <c r="Z751" s="64"/>
    </row>
    <row r="752" spans="1:26" thickBot="1">
      <c r="A752" s="66" t="str">
        <f>$B$751&amp;C752</f>
        <v>Latitude 340</v>
      </c>
      <c r="B752" s="86">
        <v>34</v>
      </c>
      <c r="C752" s="80">
        <v>0</v>
      </c>
      <c r="D752" s="69">
        <v>1</v>
      </c>
      <c r="E752" s="69">
        <v>1</v>
      </c>
      <c r="F752" s="69">
        <v>1</v>
      </c>
      <c r="G752" s="69">
        <v>1</v>
      </c>
      <c r="H752" s="69">
        <v>1</v>
      </c>
      <c r="I752" s="69">
        <v>1</v>
      </c>
      <c r="J752" s="69">
        <v>1</v>
      </c>
      <c r="K752" s="69">
        <v>1</v>
      </c>
      <c r="L752" s="69">
        <v>1</v>
      </c>
      <c r="M752" s="69">
        <v>1</v>
      </c>
      <c r="N752" s="69">
        <v>1</v>
      </c>
      <c r="O752" s="69">
        <v>1</v>
      </c>
      <c r="P752" s="71">
        <v>1</v>
      </c>
      <c r="Q752" s="64"/>
      <c r="R752" s="64"/>
      <c r="S752" s="64"/>
      <c r="T752" s="64"/>
      <c r="U752" s="64"/>
      <c r="V752" s="64"/>
      <c r="W752" s="64"/>
      <c r="X752" s="64"/>
      <c r="Y752" s="64"/>
      <c r="Z752" s="64"/>
    </row>
    <row r="753" spans="1:26" thickBot="1">
      <c r="A753" s="66" t="str">
        <f t="shared" ref="A753:A770" si="34">$B$751&amp;C753</f>
        <v>Latitude 345</v>
      </c>
      <c r="B753" s="86">
        <v>34.5</v>
      </c>
      <c r="C753" s="80">
        <v>5</v>
      </c>
      <c r="D753" s="69">
        <v>1.01</v>
      </c>
      <c r="E753" s="69">
        <v>1.02</v>
      </c>
      <c r="F753" s="69">
        <v>1.04</v>
      </c>
      <c r="G753" s="69">
        <v>1.06</v>
      </c>
      <c r="H753" s="69">
        <v>1.07</v>
      </c>
      <c r="I753" s="69">
        <v>1.07</v>
      </c>
      <c r="J753" s="69">
        <v>1.06</v>
      </c>
      <c r="K753" s="69">
        <v>1.05</v>
      </c>
      <c r="L753" s="69">
        <v>1.03</v>
      </c>
      <c r="M753" s="69">
        <v>1.02</v>
      </c>
      <c r="N753" s="69">
        <v>1.01</v>
      </c>
      <c r="O753" s="69">
        <v>1</v>
      </c>
      <c r="P753" s="71">
        <v>1.04</v>
      </c>
      <c r="Q753" s="64"/>
      <c r="R753" s="64"/>
      <c r="S753" s="64"/>
      <c r="T753" s="64"/>
      <c r="U753" s="64"/>
      <c r="V753" s="64"/>
      <c r="W753" s="64"/>
      <c r="X753" s="64"/>
      <c r="Y753" s="64"/>
      <c r="Z753" s="64"/>
    </row>
    <row r="754" spans="1:26" thickBot="1">
      <c r="A754" s="66" t="str">
        <f t="shared" si="34"/>
        <v>Latitude 3410</v>
      </c>
      <c r="B754" s="86">
        <v>34.1</v>
      </c>
      <c r="C754" s="80">
        <v>10</v>
      </c>
      <c r="D754" s="69">
        <v>1.01</v>
      </c>
      <c r="E754" s="69">
        <v>1.04</v>
      </c>
      <c r="F754" s="69">
        <v>1.07</v>
      </c>
      <c r="G754" s="69">
        <v>1.1100000000000001</v>
      </c>
      <c r="H754" s="69">
        <v>1.1399999999999999</v>
      </c>
      <c r="I754" s="69">
        <v>1.1299999999999999</v>
      </c>
      <c r="J754" s="69">
        <v>1.1100000000000001</v>
      </c>
      <c r="K754" s="69">
        <v>1.0900000000000001</v>
      </c>
      <c r="L754" s="69">
        <v>1.06</v>
      </c>
      <c r="M754" s="69">
        <v>1.03</v>
      </c>
      <c r="N754" s="69">
        <v>1.01</v>
      </c>
      <c r="O754" s="69">
        <v>1</v>
      </c>
      <c r="P754" s="71">
        <v>1.07</v>
      </c>
      <c r="Q754" s="64"/>
      <c r="R754" s="64"/>
      <c r="S754" s="64"/>
      <c r="T754" s="64"/>
      <c r="U754" s="64"/>
      <c r="V754" s="64"/>
      <c r="W754" s="64"/>
      <c r="X754" s="64"/>
      <c r="Y754" s="64"/>
      <c r="Z754" s="64"/>
    </row>
    <row r="755" spans="1:26" thickBot="1">
      <c r="A755" s="66" t="str">
        <f t="shared" si="34"/>
        <v>Latitude 3415</v>
      </c>
      <c r="B755" s="86">
        <v>34.15</v>
      </c>
      <c r="C755" s="80">
        <v>15</v>
      </c>
      <c r="D755" s="69">
        <v>1</v>
      </c>
      <c r="E755" s="69">
        <v>1.04</v>
      </c>
      <c r="F755" s="69">
        <v>1.1000000000000001</v>
      </c>
      <c r="G755" s="69">
        <v>1.1599999999999999</v>
      </c>
      <c r="H755" s="69">
        <v>1.19</v>
      </c>
      <c r="I755" s="69">
        <v>1.19</v>
      </c>
      <c r="J755" s="69">
        <v>1.1599999999999999</v>
      </c>
      <c r="K755" s="69">
        <v>1.1200000000000001</v>
      </c>
      <c r="L755" s="69">
        <v>1.08</v>
      </c>
      <c r="M755" s="69">
        <v>1.04</v>
      </c>
      <c r="N755" s="69">
        <v>1</v>
      </c>
      <c r="O755" s="69">
        <v>0.99</v>
      </c>
      <c r="P755" s="71">
        <v>1.0900000000000001</v>
      </c>
      <c r="Q755" s="64"/>
      <c r="R755" s="64"/>
      <c r="S755" s="64"/>
      <c r="T755" s="64"/>
      <c r="U755" s="64"/>
      <c r="V755" s="64"/>
      <c r="W755" s="64"/>
      <c r="X755" s="64"/>
      <c r="Y755" s="64"/>
      <c r="Z755" s="64"/>
    </row>
    <row r="756" spans="1:26" thickBot="1">
      <c r="A756" s="66" t="str">
        <f t="shared" si="34"/>
        <v>Latitude 3420</v>
      </c>
      <c r="B756" s="86">
        <v>34.200000000000003</v>
      </c>
      <c r="C756" s="80">
        <v>20</v>
      </c>
      <c r="D756" s="69">
        <v>0.99</v>
      </c>
      <c r="E756" s="69">
        <v>1.04</v>
      </c>
      <c r="F756" s="69">
        <v>1.1100000000000001</v>
      </c>
      <c r="G756" s="69">
        <v>1.19</v>
      </c>
      <c r="H756" s="69">
        <v>1.24</v>
      </c>
      <c r="I756" s="69">
        <v>1.24</v>
      </c>
      <c r="J756" s="69">
        <v>1.2</v>
      </c>
      <c r="K756" s="69">
        <v>1.1499999999999999</v>
      </c>
      <c r="L756" s="69">
        <v>1.1000000000000001</v>
      </c>
      <c r="M756" s="69">
        <v>1.04</v>
      </c>
      <c r="N756" s="69">
        <v>0.99</v>
      </c>
      <c r="O756" s="69">
        <v>0.97</v>
      </c>
      <c r="P756" s="71">
        <v>1.1100000000000001</v>
      </c>
      <c r="Q756" s="64"/>
      <c r="R756" s="64"/>
      <c r="S756" s="64"/>
      <c r="T756" s="64"/>
      <c r="U756" s="64"/>
      <c r="V756" s="64"/>
      <c r="W756" s="64"/>
      <c r="X756" s="64"/>
      <c r="Y756" s="64"/>
      <c r="Z756" s="64"/>
    </row>
    <row r="757" spans="1:26" thickBot="1">
      <c r="A757" s="66" t="str">
        <f t="shared" si="34"/>
        <v>Latitude 3425</v>
      </c>
      <c r="B757" s="86">
        <v>34.25</v>
      </c>
      <c r="C757" s="80">
        <v>25</v>
      </c>
      <c r="D757" s="69">
        <v>0.97</v>
      </c>
      <c r="E757" s="69">
        <v>1.03</v>
      </c>
      <c r="F757" s="69">
        <v>1.1200000000000001</v>
      </c>
      <c r="G757" s="69">
        <v>1.22</v>
      </c>
      <c r="H757" s="69">
        <v>1.29</v>
      </c>
      <c r="I757" s="69">
        <v>1.28</v>
      </c>
      <c r="J757" s="69">
        <v>1.3</v>
      </c>
      <c r="K757" s="69">
        <v>1.17</v>
      </c>
      <c r="L757" s="69">
        <v>1.1000000000000001</v>
      </c>
      <c r="M757" s="69">
        <v>1.03</v>
      </c>
      <c r="N757" s="69">
        <v>0.97</v>
      </c>
      <c r="O757" s="69">
        <v>0.95</v>
      </c>
      <c r="P757" s="71">
        <v>1.1200000000000001</v>
      </c>
      <c r="Q757" s="64"/>
      <c r="R757" s="64"/>
      <c r="S757" s="64"/>
      <c r="T757" s="64"/>
      <c r="U757" s="64"/>
      <c r="V757" s="64"/>
      <c r="W757" s="64"/>
      <c r="X757" s="64"/>
      <c r="Y757" s="64"/>
      <c r="Z757" s="64"/>
    </row>
    <row r="758" spans="1:26" thickBot="1">
      <c r="A758" s="66" t="str">
        <f t="shared" si="34"/>
        <v>Latitude 3430</v>
      </c>
      <c r="B758" s="86">
        <v>34.299999999999997</v>
      </c>
      <c r="C758" s="80">
        <v>30</v>
      </c>
      <c r="D758" s="69">
        <v>0.95</v>
      </c>
      <c r="E758" s="69">
        <v>1.02</v>
      </c>
      <c r="F758" s="69">
        <v>1.1299999999999999</v>
      </c>
      <c r="G758" s="69">
        <v>1.24</v>
      </c>
      <c r="H758" s="69">
        <v>1.32</v>
      </c>
      <c r="I758" s="69">
        <v>1.31</v>
      </c>
      <c r="J758" s="69">
        <v>1.26</v>
      </c>
      <c r="K758" s="81">
        <v>1.19</v>
      </c>
      <c r="L758" s="69">
        <v>1.1000000000000001</v>
      </c>
      <c r="M758" s="69">
        <v>1.01</v>
      </c>
      <c r="N758" s="69">
        <v>0.95</v>
      </c>
      <c r="O758" s="69">
        <v>0.92</v>
      </c>
      <c r="P758" s="71">
        <v>1.1200000000000001</v>
      </c>
      <c r="Q758" s="64"/>
      <c r="R758" s="64"/>
      <c r="S758" s="64"/>
      <c r="T758" s="64"/>
      <c r="U758" s="64"/>
      <c r="V758" s="64"/>
      <c r="W758" s="64"/>
      <c r="X758" s="64"/>
      <c r="Y758" s="64"/>
      <c r="Z758" s="64"/>
    </row>
    <row r="759" spans="1:26" thickBot="1">
      <c r="A759" s="66" t="str">
        <f t="shared" si="34"/>
        <v>Latitude 3435</v>
      </c>
      <c r="B759" s="86">
        <v>34.35</v>
      </c>
      <c r="C759" s="80">
        <v>35</v>
      </c>
      <c r="D759" s="69">
        <v>0.91</v>
      </c>
      <c r="E759" s="69">
        <v>1</v>
      </c>
      <c r="F759" s="69">
        <v>1.1200000000000001</v>
      </c>
      <c r="G759" s="69">
        <v>1.26</v>
      </c>
      <c r="H759" s="69">
        <v>1.34</v>
      </c>
      <c r="I759" s="69">
        <v>1.34</v>
      </c>
      <c r="J759" s="69">
        <v>1.27</v>
      </c>
      <c r="K759" s="69">
        <v>1.19</v>
      </c>
      <c r="L759" s="69">
        <v>1.0900000000000001</v>
      </c>
      <c r="M759" s="69">
        <v>0.99</v>
      </c>
      <c r="N759" s="69">
        <v>0.91</v>
      </c>
      <c r="O759" s="69">
        <v>0.88</v>
      </c>
      <c r="P759" s="71">
        <v>1.1100000000000001</v>
      </c>
      <c r="Q759" s="64"/>
      <c r="R759" s="64"/>
      <c r="S759" s="64"/>
      <c r="T759" s="64"/>
      <c r="U759" s="64"/>
      <c r="V759" s="64"/>
      <c r="W759" s="64"/>
      <c r="X759" s="64"/>
      <c r="Y759" s="64"/>
      <c r="Z759" s="64"/>
    </row>
    <row r="760" spans="1:26" thickBot="1">
      <c r="A760" s="66" t="str">
        <f t="shared" si="34"/>
        <v>Latitude 3440</v>
      </c>
      <c r="B760" s="86">
        <v>34.4</v>
      </c>
      <c r="C760" s="80">
        <v>40</v>
      </c>
      <c r="D760" s="69">
        <v>0.87</v>
      </c>
      <c r="E760" s="69">
        <v>0.97</v>
      </c>
      <c r="F760" s="69">
        <v>1.1100000000000001</v>
      </c>
      <c r="G760" s="69">
        <v>1.26</v>
      </c>
      <c r="H760" s="69">
        <v>1.36</v>
      </c>
      <c r="I760" s="69">
        <v>1.35</v>
      </c>
      <c r="J760" s="69">
        <v>1.28</v>
      </c>
      <c r="K760" s="69">
        <v>1.19</v>
      </c>
      <c r="L760" s="69">
        <v>1.08</v>
      </c>
      <c r="M760" s="69">
        <v>0.96</v>
      </c>
      <c r="N760" s="69">
        <v>0.87</v>
      </c>
      <c r="O760" s="69">
        <v>0.84</v>
      </c>
      <c r="P760" s="71">
        <v>1.1000000000000001</v>
      </c>
      <c r="Q760" s="64"/>
      <c r="R760" s="64"/>
      <c r="S760" s="64"/>
      <c r="T760" s="64"/>
      <c r="U760" s="64"/>
      <c r="V760" s="64"/>
      <c r="W760" s="64"/>
      <c r="X760" s="64"/>
      <c r="Y760" s="64"/>
      <c r="Z760" s="64"/>
    </row>
    <row r="761" spans="1:26" thickBot="1">
      <c r="A761" s="66" t="str">
        <f t="shared" si="34"/>
        <v>Latitude 3445</v>
      </c>
      <c r="B761" s="86">
        <v>34.450000000000003</v>
      </c>
      <c r="C761" s="80">
        <v>45</v>
      </c>
      <c r="D761" s="69">
        <v>0.83</v>
      </c>
      <c r="E761" s="69">
        <v>0.93</v>
      </c>
      <c r="F761" s="69">
        <v>1.0900000000000001</v>
      </c>
      <c r="G761" s="69">
        <v>1.26</v>
      </c>
      <c r="H761" s="69">
        <v>1.37</v>
      </c>
      <c r="I761" s="69">
        <v>1.36</v>
      </c>
      <c r="J761" s="69">
        <v>1.28</v>
      </c>
      <c r="K761" s="69">
        <v>1.18</v>
      </c>
      <c r="L761" s="69">
        <v>1.06</v>
      </c>
      <c r="M761" s="69">
        <v>0.93</v>
      </c>
      <c r="N761" s="69">
        <v>0.83</v>
      </c>
      <c r="O761" s="69">
        <v>0.79</v>
      </c>
      <c r="P761" s="71">
        <v>1.08</v>
      </c>
      <c r="Q761" s="64"/>
      <c r="R761" s="64"/>
      <c r="S761" s="64"/>
      <c r="T761" s="64"/>
      <c r="U761" s="64"/>
      <c r="V761" s="64"/>
      <c r="W761" s="64"/>
      <c r="X761" s="64"/>
      <c r="Y761" s="64"/>
      <c r="Z761" s="64"/>
    </row>
    <row r="762" spans="1:26" thickBot="1">
      <c r="A762" s="66" t="str">
        <f t="shared" si="34"/>
        <v>Latitude 3450</v>
      </c>
      <c r="B762" s="86">
        <v>34.5</v>
      </c>
      <c r="C762" s="80">
        <v>50</v>
      </c>
      <c r="D762" s="69">
        <v>0.78</v>
      </c>
      <c r="E762" s="69">
        <v>0.89</v>
      </c>
      <c r="F762" s="69">
        <v>1.06</v>
      </c>
      <c r="G762" s="69">
        <v>1.24</v>
      </c>
      <c r="H762" s="69">
        <v>1.37</v>
      </c>
      <c r="I762" s="69">
        <v>1.36</v>
      </c>
      <c r="J762" s="69">
        <v>1.28</v>
      </c>
      <c r="K762" s="69">
        <v>1.17</v>
      </c>
      <c r="L762" s="69">
        <v>1.03</v>
      </c>
      <c r="M762" s="69">
        <v>0.88</v>
      </c>
      <c r="N762" s="69">
        <v>0.78</v>
      </c>
      <c r="O762" s="69">
        <v>0.74</v>
      </c>
      <c r="P762" s="71">
        <v>1.05</v>
      </c>
      <c r="Q762" s="64"/>
      <c r="R762" s="64"/>
      <c r="S762" s="64"/>
      <c r="T762" s="64"/>
      <c r="U762" s="64"/>
      <c r="V762" s="64"/>
      <c r="W762" s="64"/>
      <c r="X762" s="64"/>
      <c r="Y762" s="64"/>
      <c r="Z762" s="64"/>
    </row>
    <row r="763" spans="1:26" thickBot="1">
      <c r="A763" s="66" t="str">
        <f t="shared" si="34"/>
        <v>Latitude 3455</v>
      </c>
      <c r="B763" s="86">
        <v>34.549999999999997</v>
      </c>
      <c r="C763" s="80">
        <v>55</v>
      </c>
      <c r="D763" s="69">
        <v>0.72</v>
      </c>
      <c r="E763" s="69">
        <v>0.84</v>
      </c>
      <c r="F763" s="69">
        <v>1.02</v>
      </c>
      <c r="G763" s="69">
        <v>1.22</v>
      </c>
      <c r="H763" s="69">
        <v>1.36</v>
      </c>
      <c r="I763" s="69">
        <v>1.35</v>
      </c>
      <c r="J763" s="69">
        <v>1.26</v>
      </c>
      <c r="K763" s="69">
        <v>1.1399999999999999</v>
      </c>
      <c r="L763" s="69">
        <v>0.99</v>
      </c>
      <c r="M763" s="69">
        <v>0.84</v>
      </c>
      <c r="N763" s="69">
        <v>0.72</v>
      </c>
      <c r="O763" s="69">
        <v>0.68</v>
      </c>
      <c r="P763" s="71">
        <v>1.01</v>
      </c>
      <c r="Q763" s="64"/>
      <c r="R763" s="64"/>
      <c r="S763" s="64"/>
      <c r="T763" s="64"/>
      <c r="U763" s="64"/>
      <c r="V763" s="64"/>
      <c r="W763" s="64"/>
      <c r="X763" s="64"/>
      <c r="Y763" s="64"/>
      <c r="Z763" s="64"/>
    </row>
    <row r="764" spans="1:26" thickBot="1">
      <c r="A764" s="66" t="str">
        <f t="shared" si="34"/>
        <v>Latitude 3460</v>
      </c>
      <c r="B764" s="86">
        <v>34.6</v>
      </c>
      <c r="C764" s="80">
        <v>60</v>
      </c>
      <c r="D764" s="69">
        <v>0.66</v>
      </c>
      <c r="E764" s="69">
        <v>0.79</v>
      </c>
      <c r="F764" s="69">
        <v>0.98</v>
      </c>
      <c r="G764" s="69">
        <v>1.19</v>
      </c>
      <c r="H764" s="69">
        <v>1.34</v>
      </c>
      <c r="I764" s="69">
        <v>1.34</v>
      </c>
      <c r="J764" s="69">
        <v>1.24</v>
      </c>
      <c r="K764" s="69">
        <v>1.1100000000000001</v>
      </c>
      <c r="L764" s="69">
        <v>0.95</v>
      </c>
      <c r="M764" s="69">
        <v>0.78</v>
      </c>
      <c r="N764" s="69">
        <v>0.66</v>
      </c>
      <c r="O764" s="69">
        <v>0.62</v>
      </c>
      <c r="P764" s="71">
        <v>0.97</v>
      </c>
      <c r="Q764" s="64"/>
      <c r="R764" s="64"/>
      <c r="S764" s="64"/>
      <c r="T764" s="64"/>
      <c r="U764" s="64"/>
      <c r="V764" s="64"/>
      <c r="W764" s="64"/>
      <c r="X764" s="64"/>
      <c r="Y764" s="64"/>
      <c r="Z764" s="64"/>
    </row>
    <row r="765" spans="1:26" thickBot="1">
      <c r="A765" s="66" t="str">
        <f t="shared" si="34"/>
        <v>Latitude 3465</v>
      </c>
      <c r="B765" s="86">
        <v>34.65</v>
      </c>
      <c r="C765" s="80">
        <v>65</v>
      </c>
      <c r="D765" s="69">
        <v>0.59</v>
      </c>
      <c r="E765" s="69">
        <v>0.73</v>
      </c>
      <c r="F765" s="69">
        <v>0.93</v>
      </c>
      <c r="G765" s="69">
        <v>1.1499999999999999</v>
      </c>
      <c r="H765" s="69">
        <v>1.31</v>
      </c>
      <c r="I765" s="69">
        <v>1.31</v>
      </c>
      <c r="J765" s="69">
        <v>1.21</v>
      </c>
      <c r="K765" s="69">
        <v>1.07</v>
      </c>
      <c r="L765" s="69">
        <v>0.9</v>
      </c>
      <c r="M765" s="69">
        <v>0.73</v>
      </c>
      <c r="N765" s="69">
        <v>0.6</v>
      </c>
      <c r="O765" s="69">
        <v>0.55000000000000004</v>
      </c>
      <c r="P765" s="71">
        <v>0.92</v>
      </c>
      <c r="Q765" s="64"/>
      <c r="R765" s="64"/>
      <c r="S765" s="64"/>
      <c r="T765" s="64"/>
      <c r="U765" s="64"/>
      <c r="V765" s="64"/>
      <c r="W765" s="64"/>
      <c r="X765" s="64"/>
      <c r="Y765" s="64"/>
      <c r="Z765" s="64"/>
    </row>
    <row r="766" spans="1:26" thickBot="1">
      <c r="A766" s="66" t="str">
        <f t="shared" si="34"/>
        <v>Latitude 3470</v>
      </c>
      <c r="B766" s="86">
        <v>34.700000000000003</v>
      </c>
      <c r="C766" s="80">
        <v>70</v>
      </c>
      <c r="D766" s="69">
        <v>0.53</v>
      </c>
      <c r="E766" s="69">
        <v>0.66</v>
      </c>
      <c r="F766" s="69">
        <v>0.87</v>
      </c>
      <c r="G766" s="69">
        <v>1.1100000000000001</v>
      </c>
      <c r="H766" s="69">
        <v>1.27</v>
      </c>
      <c r="I766" s="69">
        <v>1.28</v>
      </c>
      <c r="J766" s="69">
        <v>1.17</v>
      </c>
      <c r="K766" s="69">
        <v>1.03</v>
      </c>
      <c r="L766" s="69">
        <v>0.85</v>
      </c>
      <c r="M766" s="69">
        <v>0.66</v>
      </c>
      <c r="N766" s="69">
        <v>0.53</v>
      </c>
      <c r="O766" s="69">
        <v>0.48</v>
      </c>
      <c r="P766" s="71">
        <v>0.87</v>
      </c>
      <c r="Q766" s="64"/>
      <c r="R766" s="64"/>
      <c r="S766" s="64"/>
      <c r="T766" s="64"/>
      <c r="U766" s="64"/>
      <c r="V766" s="64"/>
      <c r="W766" s="64"/>
      <c r="X766" s="64"/>
      <c r="Y766" s="64"/>
      <c r="Z766" s="64"/>
    </row>
    <row r="767" spans="1:26" thickBot="1">
      <c r="A767" s="66" t="str">
        <f t="shared" si="34"/>
        <v>Latitude 3475</v>
      </c>
      <c r="B767" s="86">
        <v>34.75</v>
      </c>
      <c r="C767" s="80">
        <v>75</v>
      </c>
      <c r="D767" s="69">
        <v>0.45</v>
      </c>
      <c r="E767" s="69">
        <v>0.6</v>
      </c>
      <c r="F767" s="69" t="s">
        <v>5851</v>
      </c>
      <c r="G767" s="69">
        <v>1.06</v>
      </c>
      <c r="H767" s="69">
        <v>1.23</v>
      </c>
      <c r="I767" s="69">
        <v>1.24</v>
      </c>
      <c r="J767" s="69">
        <v>1.1299999999999999</v>
      </c>
      <c r="K767" s="69">
        <v>0.98</v>
      </c>
      <c r="L767" s="69">
        <v>0.79</v>
      </c>
      <c r="M767" s="69">
        <v>0.6</v>
      </c>
      <c r="N767" s="69">
        <v>0.46</v>
      </c>
      <c r="O767" s="69">
        <v>0.4</v>
      </c>
      <c r="P767" s="71">
        <v>0.75</v>
      </c>
      <c r="Q767" s="64"/>
      <c r="R767" s="64"/>
      <c r="S767" s="64"/>
      <c r="T767" s="64"/>
      <c r="U767" s="64"/>
      <c r="V767" s="64"/>
      <c r="W767" s="64"/>
      <c r="X767" s="64"/>
      <c r="Y767" s="64"/>
      <c r="Z767" s="64"/>
    </row>
    <row r="768" spans="1:26" thickBot="1">
      <c r="A768" s="66" t="str">
        <f t="shared" si="34"/>
        <v>Latitude 3480</v>
      </c>
      <c r="B768" s="86">
        <v>34.799999999999997</v>
      </c>
      <c r="C768" s="80">
        <v>80</v>
      </c>
      <c r="D768" s="69">
        <v>0.38</v>
      </c>
      <c r="E768" s="69">
        <v>0.52</v>
      </c>
      <c r="F768" s="69">
        <v>0.75</v>
      </c>
      <c r="G768" s="69">
        <v>1</v>
      </c>
      <c r="H768" s="69">
        <v>1.18</v>
      </c>
      <c r="I768" s="69">
        <v>1.19</v>
      </c>
      <c r="J768" s="69">
        <v>1.08</v>
      </c>
      <c r="K768" s="69">
        <v>0.92</v>
      </c>
      <c r="L768" s="69">
        <v>0.73</v>
      </c>
      <c r="M768" s="69">
        <v>0.53</v>
      </c>
      <c r="N768" s="69">
        <v>0.38</v>
      </c>
      <c r="O768" s="69">
        <v>0.33</v>
      </c>
      <c r="P768" s="71">
        <v>0.75</v>
      </c>
      <c r="Q768" s="64"/>
      <c r="R768" s="64"/>
      <c r="S768" s="64"/>
      <c r="T768" s="64"/>
      <c r="U768" s="64"/>
      <c r="V768" s="64"/>
      <c r="W768" s="64"/>
      <c r="X768" s="64"/>
      <c r="Y768" s="64"/>
      <c r="Z768" s="64"/>
    </row>
    <row r="769" spans="1:26" thickBot="1">
      <c r="A769" s="66" t="str">
        <f t="shared" si="34"/>
        <v>Latitude 3485</v>
      </c>
      <c r="B769" s="86">
        <v>34.85</v>
      </c>
      <c r="C769" s="80">
        <v>85</v>
      </c>
      <c r="D769" s="69">
        <v>0.3</v>
      </c>
      <c r="E769" s="69">
        <v>0.45</v>
      </c>
      <c r="F769" s="69">
        <v>0.67</v>
      </c>
      <c r="G769" s="69">
        <v>0.93</v>
      </c>
      <c r="H769" s="69">
        <v>1.1200000000000001</v>
      </c>
      <c r="I769" s="69">
        <v>1.1299999999999999</v>
      </c>
      <c r="J769" s="69">
        <v>1.02</v>
      </c>
      <c r="K769" s="69">
        <v>0.86</v>
      </c>
      <c r="L769" s="69">
        <v>0.66</v>
      </c>
      <c r="M769" s="69">
        <v>0.45</v>
      </c>
      <c r="N769" s="69">
        <v>0.31</v>
      </c>
      <c r="O769" s="69">
        <v>0.25</v>
      </c>
      <c r="P769" s="71">
        <v>0.68</v>
      </c>
      <c r="Q769" s="64"/>
      <c r="R769" s="64"/>
      <c r="S769" s="64"/>
      <c r="T769" s="64"/>
      <c r="U769" s="64"/>
      <c r="V769" s="64"/>
      <c r="W769" s="64"/>
      <c r="X769" s="64"/>
      <c r="Y769" s="64"/>
      <c r="Z769" s="64"/>
    </row>
    <row r="770" spans="1:26" thickBot="1">
      <c r="A770" s="66" t="str">
        <f t="shared" si="34"/>
        <v>Latitude 3490</v>
      </c>
      <c r="B770" s="86">
        <v>34.9</v>
      </c>
      <c r="C770" s="69">
        <v>90</v>
      </c>
      <c r="D770" s="69">
        <v>0.22</v>
      </c>
      <c r="E770" s="69">
        <v>0.37</v>
      </c>
      <c r="F770" s="69">
        <v>0.6</v>
      </c>
      <c r="G770" s="69">
        <v>0.86</v>
      </c>
      <c r="H770" s="69">
        <v>1.05</v>
      </c>
      <c r="I770" s="69">
        <v>1.07</v>
      </c>
      <c r="J770" s="69">
        <v>0.96</v>
      </c>
      <c r="K770" s="69">
        <v>0.79</v>
      </c>
      <c r="L770" s="69">
        <v>0.59</v>
      </c>
      <c r="M770" s="69">
        <v>0.38</v>
      </c>
      <c r="N770" s="69">
        <v>0.23</v>
      </c>
      <c r="O770" s="69">
        <v>0.17</v>
      </c>
      <c r="P770" s="71">
        <v>0.61</v>
      </c>
      <c r="Q770" s="64"/>
      <c r="R770" s="64"/>
      <c r="S770" s="64"/>
      <c r="T770" s="64"/>
      <c r="U770" s="64"/>
      <c r="V770" s="64"/>
      <c r="W770" s="64"/>
      <c r="X770" s="64"/>
      <c r="Y770" s="64"/>
      <c r="Z770" s="64"/>
    </row>
    <row r="771" spans="1:26" thickBot="1">
      <c r="A771" s="66"/>
      <c r="B771" s="88"/>
      <c r="C771" s="73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66"/>
      <c r="Q771" s="64"/>
      <c r="R771" s="64"/>
      <c r="S771" s="64"/>
      <c r="T771" s="64"/>
      <c r="U771" s="64"/>
      <c r="V771" s="64"/>
      <c r="W771" s="64"/>
      <c r="X771" s="64"/>
      <c r="Y771" s="64"/>
      <c r="Z771" s="64"/>
    </row>
    <row r="772" spans="1:26" thickBot="1">
      <c r="A772" s="66"/>
      <c r="B772" s="88"/>
      <c r="C772" s="73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66"/>
      <c r="Q772" s="64"/>
      <c r="R772" s="64"/>
      <c r="S772" s="64"/>
      <c r="T772" s="64"/>
      <c r="U772" s="64"/>
      <c r="V772" s="64"/>
      <c r="W772" s="64"/>
      <c r="X772" s="64"/>
      <c r="Y772" s="64"/>
      <c r="Z772" s="64"/>
    </row>
    <row r="773" spans="1:26" thickBot="1">
      <c r="A773" s="66"/>
      <c r="B773" s="85" t="s">
        <v>5900</v>
      </c>
      <c r="C773" s="75" t="s">
        <v>5853</v>
      </c>
      <c r="D773" s="75" t="s">
        <v>5827</v>
      </c>
      <c r="E773" s="75" t="s">
        <v>5828</v>
      </c>
      <c r="F773" s="75" t="s">
        <v>5829</v>
      </c>
      <c r="G773" s="75" t="s">
        <v>5830</v>
      </c>
      <c r="H773" s="75" t="s">
        <v>5831</v>
      </c>
      <c r="I773" s="75" t="s">
        <v>5832</v>
      </c>
      <c r="J773" s="75" t="s">
        <v>5833</v>
      </c>
      <c r="K773" s="75" t="s">
        <v>5834</v>
      </c>
      <c r="L773" s="75" t="s">
        <v>5835</v>
      </c>
      <c r="M773" s="75" t="s">
        <v>5836</v>
      </c>
      <c r="N773" s="75" t="s">
        <v>5837</v>
      </c>
      <c r="O773" s="75" t="s">
        <v>5838</v>
      </c>
      <c r="P773" s="74" t="s">
        <v>20</v>
      </c>
      <c r="Q773" s="64"/>
      <c r="R773" s="64"/>
      <c r="S773" s="64"/>
      <c r="T773" s="64"/>
      <c r="U773" s="64"/>
      <c r="V773" s="64"/>
      <c r="W773" s="64"/>
      <c r="X773" s="64"/>
      <c r="Y773" s="64"/>
      <c r="Z773" s="64"/>
    </row>
    <row r="774" spans="1:26" thickBot="1">
      <c r="A774" s="66" t="str">
        <f>$B$773&amp;C774</f>
        <v>Latitude 350</v>
      </c>
      <c r="B774" s="86">
        <v>35</v>
      </c>
      <c r="C774" s="80">
        <v>0</v>
      </c>
      <c r="D774" s="69">
        <v>1</v>
      </c>
      <c r="E774" s="69">
        <v>1</v>
      </c>
      <c r="F774" s="69">
        <v>1</v>
      </c>
      <c r="G774" s="69">
        <v>1</v>
      </c>
      <c r="H774" s="69">
        <v>1</v>
      </c>
      <c r="I774" s="69">
        <v>1</v>
      </c>
      <c r="J774" s="69">
        <v>1</v>
      </c>
      <c r="K774" s="69">
        <v>1</v>
      </c>
      <c r="L774" s="69">
        <v>1</v>
      </c>
      <c r="M774" s="69">
        <v>1</v>
      </c>
      <c r="N774" s="69">
        <v>1</v>
      </c>
      <c r="O774" s="69">
        <v>1</v>
      </c>
      <c r="P774" s="71">
        <v>1</v>
      </c>
      <c r="Q774" s="64"/>
      <c r="R774" s="64"/>
      <c r="S774" s="64"/>
      <c r="T774" s="64"/>
      <c r="U774" s="64"/>
      <c r="V774" s="64"/>
      <c r="W774" s="64"/>
      <c r="X774" s="64"/>
      <c r="Y774" s="64"/>
      <c r="Z774" s="64"/>
    </row>
    <row r="775" spans="1:26" thickBot="1">
      <c r="A775" s="66" t="str">
        <f t="shared" ref="A775:A792" si="35">$B$773&amp;C775</f>
        <v>Latitude 355</v>
      </c>
      <c r="B775" s="86">
        <v>35.5</v>
      </c>
      <c r="C775" s="80">
        <v>5</v>
      </c>
      <c r="D775" s="69">
        <v>1.01</v>
      </c>
      <c r="E775" s="69">
        <v>1.03</v>
      </c>
      <c r="F775" s="69">
        <v>1.04</v>
      </c>
      <c r="G775" s="69">
        <v>1.06</v>
      </c>
      <c r="H775" s="69">
        <v>1.08</v>
      </c>
      <c r="I775" s="69">
        <v>1.07</v>
      </c>
      <c r="J775" s="69">
        <v>1.06</v>
      </c>
      <c r="K775" s="69">
        <v>1.05</v>
      </c>
      <c r="L775" s="69">
        <v>1.04</v>
      </c>
      <c r="M775" s="69">
        <v>1.02</v>
      </c>
      <c r="N775" s="69">
        <v>1.01</v>
      </c>
      <c r="O775" s="69">
        <v>1.01</v>
      </c>
      <c r="P775" s="71">
        <v>1.04</v>
      </c>
      <c r="Q775" s="64"/>
      <c r="R775" s="64"/>
      <c r="S775" s="64"/>
      <c r="T775" s="64"/>
      <c r="U775" s="64"/>
      <c r="V775" s="64"/>
      <c r="W775" s="64"/>
      <c r="X775" s="64"/>
      <c r="Y775" s="64"/>
      <c r="Z775" s="64"/>
    </row>
    <row r="776" spans="1:26" thickBot="1">
      <c r="A776" s="66" t="str">
        <f t="shared" si="35"/>
        <v>Latitude 3510</v>
      </c>
      <c r="B776" s="86">
        <v>35.1</v>
      </c>
      <c r="C776" s="80">
        <v>10</v>
      </c>
      <c r="D776" s="69">
        <v>1.02</v>
      </c>
      <c r="E776" s="69">
        <v>1.04</v>
      </c>
      <c r="F776" s="69">
        <v>1.08</v>
      </c>
      <c r="G776" s="69">
        <v>1.1200000000000001</v>
      </c>
      <c r="H776" s="69">
        <v>1.1499999999999999</v>
      </c>
      <c r="I776" s="69">
        <v>1.1399999999999999</v>
      </c>
      <c r="J776" s="69">
        <v>1.1200000000000001</v>
      </c>
      <c r="K776" s="69">
        <v>1.1000000000000001</v>
      </c>
      <c r="L776" s="69">
        <v>1.07</v>
      </c>
      <c r="M776" s="69">
        <v>1.04</v>
      </c>
      <c r="N776" s="69">
        <v>1.02</v>
      </c>
      <c r="O776" s="69">
        <v>1.01</v>
      </c>
      <c r="P776" s="71">
        <v>1.08</v>
      </c>
      <c r="Q776" s="64"/>
      <c r="R776" s="64"/>
      <c r="S776" s="64"/>
      <c r="T776" s="64"/>
      <c r="U776" s="64"/>
      <c r="V776" s="64"/>
      <c r="W776" s="64"/>
      <c r="X776" s="64"/>
      <c r="Y776" s="64"/>
      <c r="Z776" s="64"/>
    </row>
    <row r="777" spans="1:26" thickBot="1">
      <c r="A777" s="66" t="str">
        <f t="shared" si="35"/>
        <v>Latitude 3515</v>
      </c>
      <c r="B777" s="86">
        <v>35.15</v>
      </c>
      <c r="C777" s="80">
        <v>15</v>
      </c>
      <c r="D777" s="69">
        <v>1.02</v>
      </c>
      <c r="E777" s="69">
        <v>1.05</v>
      </c>
      <c r="F777" s="69">
        <v>1.1100000000000001</v>
      </c>
      <c r="G777" s="69">
        <v>1.17</v>
      </c>
      <c r="H777" s="69">
        <v>1.21</v>
      </c>
      <c r="I777" s="69">
        <v>1.21</v>
      </c>
      <c r="J777" s="69">
        <v>1.17</v>
      </c>
      <c r="K777" s="69">
        <v>1.1399999999999999</v>
      </c>
      <c r="L777" s="69">
        <v>1.0900000000000001</v>
      </c>
      <c r="M777" s="69">
        <v>1.05</v>
      </c>
      <c r="N777" s="69">
        <v>1.02</v>
      </c>
      <c r="O777" s="69">
        <v>1</v>
      </c>
      <c r="P777" s="71">
        <v>1.1000000000000001</v>
      </c>
      <c r="Q777" s="64"/>
      <c r="R777" s="64"/>
      <c r="S777" s="64"/>
      <c r="T777" s="64"/>
      <c r="U777" s="64"/>
      <c r="V777" s="64"/>
      <c r="W777" s="64"/>
      <c r="X777" s="64"/>
      <c r="Y777" s="64"/>
      <c r="Z777" s="64"/>
    </row>
    <row r="778" spans="1:26" thickBot="1">
      <c r="A778" s="66" t="str">
        <f t="shared" si="35"/>
        <v>Latitude 3520</v>
      </c>
      <c r="B778" s="86">
        <v>35.200000000000003</v>
      </c>
      <c r="C778" s="80">
        <v>20</v>
      </c>
      <c r="D778" s="69">
        <v>1.01</v>
      </c>
      <c r="E778" s="69">
        <v>1.06</v>
      </c>
      <c r="F778" s="69">
        <v>1.1299999999999999</v>
      </c>
      <c r="G778" s="69">
        <v>1.22</v>
      </c>
      <c r="H778" s="69">
        <v>1.27</v>
      </c>
      <c r="I778" s="69">
        <v>1.26</v>
      </c>
      <c r="J778" s="69">
        <v>1.22</v>
      </c>
      <c r="K778" s="69">
        <v>1.17</v>
      </c>
      <c r="L778" s="69">
        <v>1.1100000000000001</v>
      </c>
      <c r="M778" s="69">
        <v>1.05</v>
      </c>
      <c r="N778" s="69">
        <v>1.01</v>
      </c>
      <c r="O778" s="69">
        <v>0.99</v>
      </c>
      <c r="P778" s="71">
        <v>1.1299999999999999</v>
      </c>
      <c r="Q778" s="64"/>
      <c r="R778" s="64"/>
      <c r="S778" s="64"/>
      <c r="T778" s="64"/>
      <c r="U778" s="64"/>
      <c r="V778" s="64"/>
      <c r="W778" s="64"/>
      <c r="X778" s="64"/>
      <c r="Y778" s="64"/>
      <c r="Z778" s="64"/>
    </row>
    <row r="779" spans="1:26" thickBot="1">
      <c r="A779" s="66" t="str">
        <f t="shared" si="35"/>
        <v>Latitude 3525</v>
      </c>
      <c r="B779" s="86">
        <v>35.25</v>
      </c>
      <c r="C779" s="80">
        <v>25</v>
      </c>
      <c r="D779" s="69">
        <v>0.99</v>
      </c>
      <c r="E779" s="69">
        <v>1.05</v>
      </c>
      <c r="F779" s="69">
        <v>1.1499999999999999</v>
      </c>
      <c r="G779" s="69">
        <v>1.25</v>
      </c>
      <c r="H779" s="69">
        <v>1.32</v>
      </c>
      <c r="I779" s="69">
        <v>1.31</v>
      </c>
      <c r="J779" s="69">
        <v>1.25</v>
      </c>
      <c r="K779" s="69">
        <v>1.2</v>
      </c>
      <c r="L779" s="69">
        <v>1.1200000000000001</v>
      </c>
      <c r="M779" s="69">
        <v>1.05</v>
      </c>
      <c r="N779" s="69">
        <v>0.99</v>
      </c>
      <c r="O779" s="69">
        <v>0.97</v>
      </c>
      <c r="P779" s="71">
        <v>1.1399999999999999</v>
      </c>
      <c r="Q779" s="64"/>
      <c r="R779" s="64"/>
      <c r="S779" s="64"/>
      <c r="T779" s="64"/>
      <c r="U779" s="64"/>
      <c r="V779" s="64"/>
      <c r="W779" s="64"/>
      <c r="X779" s="64"/>
      <c r="Y779" s="64"/>
      <c r="Z779" s="64"/>
    </row>
    <row r="780" spans="1:26" thickBot="1">
      <c r="A780" s="66" t="str">
        <f t="shared" si="35"/>
        <v>Latitude 3530</v>
      </c>
      <c r="B780" s="86">
        <v>35.299999999999997</v>
      </c>
      <c r="C780" s="80">
        <v>30</v>
      </c>
      <c r="D780" s="69">
        <v>0.97</v>
      </c>
      <c r="E780" s="69">
        <v>1.04</v>
      </c>
      <c r="F780" s="69">
        <v>1.1499999999999999</v>
      </c>
      <c r="G780" s="69">
        <v>1.28</v>
      </c>
      <c r="H780" s="69">
        <v>1.36</v>
      </c>
      <c r="I780" s="69">
        <v>1.35</v>
      </c>
      <c r="J780" s="69">
        <v>1.28</v>
      </c>
      <c r="K780" s="81">
        <v>1.21</v>
      </c>
      <c r="L780" s="69">
        <v>1.1299999999999999</v>
      </c>
      <c r="M780" s="69">
        <v>1.04</v>
      </c>
      <c r="N780" s="69">
        <v>0.97</v>
      </c>
      <c r="O780" s="69">
        <v>0.94</v>
      </c>
      <c r="P780" s="71">
        <v>1.1399999999999999</v>
      </c>
      <c r="Q780" s="64"/>
      <c r="R780" s="64"/>
      <c r="S780" s="64"/>
      <c r="T780" s="64"/>
      <c r="U780" s="64"/>
      <c r="V780" s="64"/>
      <c r="W780" s="64"/>
      <c r="X780" s="64"/>
      <c r="Y780" s="64"/>
      <c r="Z780" s="64"/>
    </row>
    <row r="781" spans="1:26" thickBot="1">
      <c r="A781" s="66" t="str">
        <f t="shared" si="35"/>
        <v>Latitude 3535</v>
      </c>
      <c r="B781" s="86">
        <v>35.35</v>
      </c>
      <c r="C781" s="80">
        <v>35</v>
      </c>
      <c r="D781" s="69">
        <v>0.94</v>
      </c>
      <c r="E781" s="69">
        <v>1.02</v>
      </c>
      <c r="F781" s="69">
        <v>1.1499999999999999</v>
      </c>
      <c r="G781" s="69">
        <v>1.29</v>
      </c>
      <c r="H781" s="69">
        <v>1.39</v>
      </c>
      <c r="I781" s="69">
        <v>1.38</v>
      </c>
      <c r="J781" s="69">
        <v>1.31</v>
      </c>
      <c r="K781" s="69">
        <v>1.22</v>
      </c>
      <c r="L781" s="69">
        <v>1.1200000000000001</v>
      </c>
      <c r="M781" s="69">
        <v>1.02</v>
      </c>
      <c r="N781" s="69">
        <v>0.94</v>
      </c>
      <c r="O781" s="69">
        <v>0.91</v>
      </c>
      <c r="P781" s="71">
        <v>1.1399999999999999</v>
      </c>
      <c r="Q781" s="64"/>
      <c r="R781" s="64"/>
      <c r="S781" s="64"/>
      <c r="T781" s="64"/>
      <c r="U781" s="64"/>
      <c r="V781" s="64"/>
      <c r="W781" s="64"/>
      <c r="X781" s="64"/>
      <c r="Y781" s="64"/>
      <c r="Z781" s="64"/>
    </row>
    <row r="782" spans="1:26" thickBot="1">
      <c r="A782" s="66" t="str">
        <f t="shared" si="35"/>
        <v>Latitude 3540</v>
      </c>
      <c r="B782" s="86">
        <v>35.4</v>
      </c>
      <c r="C782" s="80">
        <v>40</v>
      </c>
      <c r="D782" s="69">
        <v>0.9</v>
      </c>
      <c r="E782" s="69">
        <v>1</v>
      </c>
      <c r="F782" s="69">
        <v>1.1399999999999999</v>
      </c>
      <c r="G782" s="69">
        <v>1.3</v>
      </c>
      <c r="H782" s="69">
        <v>1.41</v>
      </c>
      <c r="I782" s="69">
        <v>1.4</v>
      </c>
      <c r="J782" s="69">
        <v>1.32</v>
      </c>
      <c r="K782" s="69">
        <v>1.23</v>
      </c>
      <c r="L782" s="69">
        <v>1.1100000000000001</v>
      </c>
      <c r="M782" s="69">
        <v>0.99</v>
      </c>
      <c r="N782" s="69">
        <v>0.9</v>
      </c>
      <c r="O782" s="69">
        <v>0.87</v>
      </c>
      <c r="P782" s="71">
        <v>1.1299999999999999</v>
      </c>
      <c r="Q782" s="64"/>
      <c r="R782" s="64"/>
      <c r="S782" s="64"/>
      <c r="T782" s="64"/>
      <c r="U782" s="64"/>
      <c r="V782" s="64"/>
      <c r="W782" s="64"/>
      <c r="X782" s="64"/>
      <c r="Y782" s="64"/>
      <c r="Z782" s="64"/>
    </row>
    <row r="783" spans="1:26" thickBot="1">
      <c r="A783" s="66" t="str">
        <f t="shared" si="35"/>
        <v>Latitude 3545</v>
      </c>
      <c r="B783" s="86">
        <v>35.450000000000003</v>
      </c>
      <c r="C783" s="80">
        <v>45</v>
      </c>
      <c r="D783" s="69">
        <v>0.86</v>
      </c>
      <c r="E783" s="69">
        <v>0.97</v>
      </c>
      <c r="F783" s="69">
        <v>1.1299999999999999</v>
      </c>
      <c r="G783" s="69">
        <v>1.3</v>
      </c>
      <c r="H783" s="69">
        <v>1.42</v>
      </c>
      <c r="I783" s="69">
        <v>1.41</v>
      </c>
      <c r="J783" s="69">
        <v>1.33</v>
      </c>
      <c r="K783" s="69">
        <v>1.22</v>
      </c>
      <c r="L783" s="69">
        <v>1.0900000000000001</v>
      </c>
      <c r="M783" s="69">
        <v>0.96</v>
      </c>
      <c r="N783" s="69">
        <v>0.86</v>
      </c>
      <c r="O783" s="69">
        <v>0.82</v>
      </c>
      <c r="P783" s="71">
        <v>1.1100000000000001</v>
      </c>
      <c r="Q783" s="64"/>
      <c r="R783" s="64"/>
      <c r="S783" s="64"/>
      <c r="T783" s="64"/>
      <c r="U783" s="64"/>
      <c r="V783" s="64"/>
      <c r="W783" s="64"/>
      <c r="X783" s="64"/>
      <c r="Y783" s="64"/>
      <c r="Z783" s="64"/>
    </row>
    <row r="784" spans="1:26" thickBot="1">
      <c r="A784" s="66" t="str">
        <f t="shared" si="35"/>
        <v>Latitude 3550</v>
      </c>
      <c r="B784" s="86">
        <v>35.5</v>
      </c>
      <c r="C784" s="80">
        <v>50</v>
      </c>
      <c r="D784" s="69">
        <v>0.81</v>
      </c>
      <c r="E784" s="69">
        <v>0.93</v>
      </c>
      <c r="F784" s="69">
        <v>1.1000000000000001</v>
      </c>
      <c r="G784" s="69">
        <v>1.3</v>
      </c>
      <c r="H784" s="69">
        <v>1.43</v>
      </c>
      <c r="I784" s="69">
        <v>1.42</v>
      </c>
      <c r="J784" s="69">
        <v>1.32</v>
      </c>
      <c r="K784" s="69">
        <v>1.21</v>
      </c>
      <c r="L784" s="69">
        <v>1.07</v>
      </c>
      <c r="M784" s="69">
        <v>0.92</v>
      </c>
      <c r="N784" s="69">
        <v>0.81</v>
      </c>
      <c r="O784" s="69">
        <v>0.77</v>
      </c>
      <c r="P784" s="71">
        <v>1.0900000000000001</v>
      </c>
      <c r="Q784" s="64"/>
      <c r="R784" s="64"/>
      <c r="S784" s="64"/>
      <c r="T784" s="64"/>
      <c r="U784" s="64"/>
      <c r="V784" s="64"/>
      <c r="W784" s="64"/>
      <c r="X784" s="64"/>
      <c r="Y784" s="64"/>
      <c r="Z784" s="64"/>
    </row>
    <row r="785" spans="1:26" thickBot="1">
      <c r="A785" s="66" t="str">
        <f t="shared" si="35"/>
        <v>Latitude 3555</v>
      </c>
      <c r="B785" s="86">
        <v>35.549999999999997</v>
      </c>
      <c r="C785" s="80">
        <v>55</v>
      </c>
      <c r="D785" s="69">
        <v>0.76</v>
      </c>
      <c r="E785" s="69">
        <v>0.88</v>
      </c>
      <c r="F785" s="69">
        <v>1.07</v>
      </c>
      <c r="G785" s="69">
        <v>1.28</v>
      </c>
      <c r="H785" s="69">
        <v>1.42</v>
      </c>
      <c r="I785" s="69">
        <v>1.41</v>
      </c>
      <c r="J785" s="69">
        <v>1.31</v>
      </c>
      <c r="K785" s="69">
        <v>1.19</v>
      </c>
      <c r="L785" s="69">
        <v>1.03</v>
      </c>
      <c r="M785" s="69">
        <v>0.87</v>
      </c>
      <c r="N785" s="69">
        <v>0.76</v>
      </c>
      <c r="O785" s="69">
        <v>0.72</v>
      </c>
      <c r="P785" s="71">
        <v>1.06</v>
      </c>
      <c r="Q785" s="64"/>
      <c r="R785" s="64"/>
      <c r="S785" s="64"/>
      <c r="T785" s="64"/>
      <c r="U785" s="64"/>
      <c r="V785" s="64"/>
      <c r="W785" s="64"/>
      <c r="X785" s="64"/>
      <c r="Y785" s="64"/>
      <c r="Z785" s="64"/>
    </row>
    <row r="786" spans="1:26" thickBot="1">
      <c r="A786" s="66" t="str">
        <f t="shared" si="35"/>
        <v>Latitude 3560</v>
      </c>
      <c r="B786" s="86">
        <v>35.6</v>
      </c>
      <c r="C786" s="80">
        <v>60</v>
      </c>
      <c r="D786" s="69">
        <v>0.7</v>
      </c>
      <c r="E786" s="69">
        <v>0.83</v>
      </c>
      <c r="F786" s="69">
        <v>1.03</v>
      </c>
      <c r="G786" s="69">
        <v>1.25</v>
      </c>
      <c r="H786" s="69">
        <v>1.41</v>
      </c>
      <c r="I786" s="69">
        <v>1.4</v>
      </c>
      <c r="J786" s="69">
        <v>1.29</v>
      </c>
      <c r="K786" s="69">
        <v>1.1599999999999999</v>
      </c>
      <c r="L786" s="69">
        <v>0.99</v>
      </c>
      <c r="M786" s="69">
        <v>0.82</v>
      </c>
      <c r="N786" s="69">
        <v>0.7</v>
      </c>
      <c r="O786" s="69">
        <v>0.66</v>
      </c>
      <c r="P786" s="71">
        <v>1.02</v>
      </c>
      <c r="Q786" s="64"/>
      <c r="R786" s="64"/>
      <c r="S786" s="64"/>
      <c r="T786" s="64"/>
      <c r="U786" s="64"/>
      <c r="V786" s="64"/>
      <c r="W786" s="64"/>
      <c r="X786" s="64"/>
      <c r="Y786" s="64"/>
      <c r="Z786" s="64"/>
    </row>
    <row r="787" spans="1:26" thickBot="1">
      <c r="A787" s="66" t="str">
        <f t="shared" si="35"/>
        <v>Latitude 3565</v>
      </c>
      <c r="B787" s="86">
        <v>35.65</v>
      </c>
      <c r="C787" s="80">
        <v>65</v>
      </c>
      <c r="D787" s="69">
        <v>0.64</v>
      </c>
      <c r="E787" s="69">
        <v>0.77</v>
      </c>
      <c r="F787" s="69">
        <v>0.98</v>
      </c>
      <c r="G787" s="69">
        <v>1.22</v>
      </c>
      <c r="H787" s="69">
        <v>1.38</v>
      </c>
      <c r="I787" s="69">
        <v>1.38</v>
      </c>
      <c r="J787" s="69">
        <v>1.27</v>
      </c>
      <c r="K787" s="69">
        <v>1.1200000000000001</v>
      </c>
      <c r="L787" s="69">
        <v>0.95</v>
      </c>
      <c r="M787" s="69">
        <v>0.77</v>
      </c>
      <c r="N787" s="69">
        <v>0.64</v>
      </c>
      <c r="O787" s="69">
        <v>0.59</v>
      </c>
      <c r="P787" s="71">
        <v>0.98</v>
      </c>
      <c r="Q787" s="64"/>
      <c r="R787" s="64"/>
      <c r="S787" s="64"/>
      <c r="T787" s="64"/>
      <c r="U787" s="64"/>
      <c r="V787" s="64"/>
      <c r="W787" s="64"/>
      <c r="X787" s="64"/>
      <c r="Y787" s="64"/>
      <c r="Z787" s="64"/>
    </row>
    <row r="788" spans="1:26" thickBot="1">
      <c r="A788" s="66" t="str">
        <f t="shared" si="35"/>
        <v>Latitude 3570</v>
      </c>
      <c r="B788" s="86">
        <v>35.700000000000003</v>
      </c>
      <c r="C788" s="80">
        <v>70</v>
      </c>
      <c r="D788" s="69">
        <v>0.56999999999999995</v>
      </c>
      <c r="E788" s="69">
        <v>0.71</v>
      </c>
      <c r="F788" s="69">
        <v>0.93</v>
      </c>
      <c r="G788" s="69">
        <v>1.18</v>
      </c>
      <c r="H788" s="69">
        <v>1.35</v>
      </c>
      <c r="I788" s="69">
        <v>1.35</v>
      </c>
      <c r="J788" s="69">
        <v>1.23</v>
      </c>
      <c r="K788" s="69">
        <v>1.08</v>
      </c>
      <c r="L788" s="69">
        <v>0.9</v>
      </c>
      <c r="M788" s="69">
        <v>0.71</v>
      </c>
      <c r="N788" s="69">
        <v>0.56999999999999995</v>
      </c>
      <c r="O788" s="69">
        <v>0.52</v>
      </c>
      <c r="P788" s="71">
        <v>0.93</v>
      </c>
      <c r="Q788" s="64"/>
      <c r="R788" s="64"/>
      <c r="S788" s="64"/>
      <c r="T788" s="64"/>
      <c r="U788" s="64"/>
      <c r="V788" s="64"/>
      <c r="W788" s="64"/>
      <c r="X788" s="64"/>
      <c r="Y788" s="64"/>
      <c r="Z788" s="64"/>
    </row>
    <row r="789" spans="1:26" thickBot="1">
      <c r="A789" s="66" t="str">
        <f t="shared" si="35"/>
        <v>Latitude 3575</v>
      </c>
      <c r="B789" s="86">
        <v>35.75</v>
      </c>
      <c r="C789" s="80">
        <v>75</v>
      </c>
      <c r="D789" s="69">
        <v>0.5</v>
      </c>
      <c r="E789" s="69">
        <v>0.64</v>
      </c>
      <c r="F789" s="69">
        <v>0.87</v>
      </c>
      <c r="G789" s="69">
        <v>1.1299999999999999</v>
      </c>
      <c r="H789" s="69">
        <v>1.31</v>
      </c>
      <c r="I789" s="69">
        <v>1.31</v>
      </c>
      <c r="J789" s="69">
        <v>1.19</v>
      </c>
      <c r="K789" s="69">
        <v>1.03</v>
      </c>
      <c r="L789" s="69">
        <v>0.84</v>
      </c>
      <c r="M789" s="69">
        <v>0.64</v>
      </c>
      <c r="N789" s="69">
        <v>0.5</v>
      </c>
      <c r="O789" s="69">
        <v>0.45</v>
      </c>
      <c r="P789" s="71">
        <v>0.87</v>
      </c>
      <c r="Q789" s="64"/>
      <c r="R789" s="64"/>
      <c r="S789" s="64"/>
      <c r="T789" s="64"/>
      <c r="U789" s="64"/>
      <c r="V789" s="64"/>
      <c r="W789" s="64"/>
      <c r="X789" s="64"/>
      <c r="Y789" s="64"/>
      <c r="Z789" s="64"/>
    </row>
    <row r="790" spans="1:26" thickBot="1">
      <c r="A790" s="66" t="str">
        <f t="shared" si="35"/>
        <v>Latitude 3580</v>
      </c>
      <c r="B790" s="86">
        <v>35.799999999999997</v>
      </c>
      <c r="C790" s="80">
        <v>80</v>
      </c>
      <c r="D790" s="69">
        <v>0.42</v>
      </c>
      <c r="E790" s="69">
        <v>0.56999999999999995</v>
      </c>
      <c r="F790" s="69">
        <v>8</v>
      </c>
      <c r="G790" s="69">
        <v>1.07</v>
      </c>
      <c r="H790" s="69">
        <v>1.26</v>
      </c>
      <c r="I790" s="69">
        <v>1.26</v>
      </c>
      <c r="J790" s="69">
        <v>1.1399999999999999</v>
      </c>
      <c r="K790" s="69">
        <v>0.98</v>
      </c>
      <c r="L790" s="69">
        <v>0.78</v>
      </c>
      <c r="M790" s="69">
        <v>0.56999999999999995</v>
      </c>
      <c r="N790" s="69">
        <v>0.43</v>
      </c>
      <c r="O790" s="69">
        <v>0.37</v>
      </c>
      <c r="P790" s="71">
        <v>1.4</v>
      </c>
      <c r="Q790" s="64"/>
      <c r="R790" s="64"/>
      <c r="S790" s="64"/>
      <c r="T790" s="64"/>
      <c r="U790" s="64"/>
      <c r="V790" s="64"/>
      <c r="W790" s="64"/>
      <c r="X790" s="64"/>
      <c r="Y790" s="64"/>
      <c r="Z790" s="64"/>
    </row>
    <row r="791" spans="1:26" thickBot="1">
      <c r="A791" s="66" t="str">
        <f t="shared" si="35"/>
        <v>Latitude 3585</v>
      </c>
      <c r="B791" s="86">
        <v>35.85</v>
      </c>
      <c r="C791" s="80">
        <v>85</v>
      </c>
      <c r="D791" s="69">
        <v>0.34</v>
      </c>
      <c r="E791" s="69">
        <v>0.5</v>
      </c>
      <c r="F791" s="69">
        <v>0.73</v>
      </c>
      <c r="G791" s="69">
        <v>1</v>
      </c>
      <c r="H791" s="69">
        <v>1.2</v>
      </c>
      <c r="I791" s="69">
        <v>1.21</v>
      </c>
      <c r="J791" s="69">
        <v>1.0900000000000001</v>
      </c>
      <c r="K791" s="69">
        <v>0.92</v>
      </c>
      <c r="L791" s="69">
        <v>0.71</v>
      </c>
      <c r="M791" s="69">
        <v>0.5</v>
      </c>
      <c r="N791" s="69">
        <v>0.35</v>
      </c>
      <c r="O791" s="69">
        <v>0.28999999999999998</v>
      </c>
      <c r="P791" s="71">
        <v>0.74</v>
      </c>
      <c r="Q791" s="64"/>
      <c r="R791" s="64"/>
      <c r="S791" s="64"/>
      <c r="T791" s="64"/>
      <c r="U791" s="64"/>
      <c r="V791" s="64"/>
      <c r="W791" s="64"/>
      <c r="X791" s="64"/>
      <c r="Y791" s="64"/>
      <c r="Z791" s="64"/>
    </row>
    <row r="792" spans="1:26" thickBot="1">
      <c r="A792" s="66" t="str">
        <f t="shared" si="35"/>
        <v>Latitude 3590</v>
      </c>
      <c r="B792" s="86">
        <v>35.9</v>
      </c>
      <c r="C792" s="69">
        <v>90</v>
      </c>
      <c r="D792" s="69">
        <v>0.26</v>
      </c>
      <c r="E792" s="69">
        <v>0.42</v>
      </c>
      <c r="F792" s="69">
        <v>0.66</v>
      </c>
      <c r="G792" s="69">
        <v>0.93</v>
      </c>
      <c r="H792" s="69">
        <v>1.1299999999999999</v>
      </c>
      <c r="I792" s="69">
        <v>1.1499999999999999</v>
      </c>
      <c r="J792" s="69">
        <v>1.02</v>
      </c>
      <c r="K792" s="69">
        <v>0.85</v>
      </c>
      <c r="L792" s="69">
        <v>0.64</v>
      </c>
      <c r="M792" s="69">
        <v>0.42</v>
      </c>
      <c r="N792" s="69">
        <v>0.27</v>
      </c>
      <c r="O792" s="69">
        <v>0.21</v>
      </c>
      <c r="P792" s="71">
        <v>0.66</v>
      </c>
      <c r="Q792" s="64"/>
      <c r="R792" s="64"/>
      <c r="S792" s="64"/>
      <c r="T792" s="64"/>
      <c r="U792" s="64"/>
      <c r="V792" s="64"/>
      <c r="W792" s="64"/>
      <c r="X792" s="64"/>
      <c r="Y792" s="64"/>
      <c r="Z792" s="64"/>
    </row>
    <row r="793" spans="1:26" thickBot="1">
      <c r="A793" s="66"/>
      <c r="B793" s="88"/>
      <c r="C793" s="73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66"/>
      <c r="Q793" s="64"/>
      <c r="R793" s="64"/>
      <c r="S793" s="64"/>
      <c r="T793" s="64"/>
      <c r="U793" s="64"/>
      <c r="V793" s="64"/>
      <c r="W793" s="64"/>
      <c r="X793" s="64"/>
      <c r="Y793" s="64"/>
      <c r="Z793" s="64"/>
    </row>
    <row r="794" spans="1:26" thickBot="1">
      <c r="A794" s="66"/>
      <c r="B794" s="88"/>
      <c r="C794" s="73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66"/>
      <c r="Q794" s="64"/>
      <c r="R794" s="64"/>
      <c r="S794" s="64"/>
      <c r="T794" s="64"/>
      <c r="U794" s="64"/>
      <c r="V794" s="64"/>
      <c r="W794" s="64"/>
      <c r="X794" s="64"/>
      <c r="Y794" s="64"/>
      <c r="Z794" s="64"/>
    </row>
    <row r="795" spans="1:26" thickBot="1">
      <c r="A795" s="66"/>
      <c r="B795" s="85" t="s">
        <v>5901</v>
      </c>
      <c r="C795" s="75" t="s">
        <v>5853</v>
      </c>
      <c r="D795" s="75" t="s">
        <v>5827</v>
      </c>
      <c r="E795" s="75" t="s">
        <v>5828</v>
      </c>
      <c r="F795" s="75" t="s">
        <v>5829</v>
      </c>
      <c r="G795" s="75" t="s">
        <v>5830</v>
      </c>
      <c r="H795" s="75" t="s">
        <v>5831</v>
      </c>
      <c r="I795" s="75" t="s">
        <v>5832</v>
      </c>
      <c r="J795" s="75" t="s">
        <v>5833</v>
      </c>
      <c r="K795" s="75" t="s">
        <v>5834</v>
      </c>
      <c r="L795" s="75" t="s">
        <v>5835</v>
      </c>
      <c r="M795" s="75" t="s">
        <v>5836</v>
      </c>
      <c r="N795" s="75" t="s">
        <v>5837</v>
      </c>
      <c r="O795" s="75" t="s">
        <v>5838</v>
      </c>
      <c r="P795" s="74" t="s">
        <v>20</v>
      </c>
      <c r="Q795" s="64"/>
      <c r="R795" s="64"/>
      <c r="S795" s="64"/>
      <c r="T795" s="64"/>
      <c r="U795" s="64"/>
      <c r="V795" s="64"/>
      <c r="W795" s="64"/>
      <c r="X795" s="64"/>
      <c r="Y795" s="64"/>
      <c r="Z795" s="64"/>
    </row>
    <row r="796" spans="1:26" thickBot="1">
      <c r="A796" s="66" t="str">
        <f>$B$795&amp;C796</f>
        <v>Latitude 360</v>
      </c>
      <c r="B796" s="86">
        <v>36</v>
      </c>
      <c r="C796" s="80">
        <v>0</v>
      </c>
      <c r="D796" s="69">
        <v>1</v>
      </c>
      <c r="E796" s="69">
        <v>1</v>
      </c>
      <c r="F796" s="69">
        <v>1</v>
      </c>
      <c r="G796" s="69">
        <v>1</v>
      </c>
      <c r="H796" s="69">
        <v>1</v>
      </c>
      <c r="I796" s="69">
        <v>1</v>
      </c>
      <c r="J796" s="69">
        <v>1</v>
      </c>
      <c r="K796" s="69">
        <v>1</v>
      </c>
      <c r="L796" s="69">
        <v>1</v>
      </c>
      <c r="M796" s="69">
        <v>1</v>
      </c>
      <c r="N796" s="69">
        <v>1</v>
      </c>
      <c r="O796" s="69">
        <v>1</v>
      </c>
      <c r="P796" s="71">
        <v>1</v>
      </c>
      <c r="Q796" s="64"/>
      <c r="R796" s="64"/>
      <c r="S796" s="64"/>
      <c r="T796" s="64"/>
      <c r="U796" s="64"/>
      <c r="V796" s="64"/>
      <c r="W796" s="64"/>
      <c r="X796" s="64"/>
      <c r="Y796" s="64"/>
      <c r="Z796" s="64"/>
    </row>
    <row r="797" spans="1:26" thickBot="1">
      <c r="A797" s="66" t="str">
        <f t="shared" ref="A797:A814" si="36">$B$795&amp;C797</f>
        <v>Latitude 365</v>
      </c>
      <c r="B797" s="86">
        <v>36.5</v>
      </c>
      <c r="C797" s="80">
        <v>5</v>
      </c>
      <c r="D797" s="69">
        <v>1.01</v>
      </c>
      <c r="E797" s="69">
        <v>1.03</v>
      </c>
      <c r="F797" s="69">
        <v>1.05</v>
      </c>
      <c r="G797" s="69">
        <v>1.07</v>
      </c>
      <c r="H797" s="69">
        <v>1.08</v>
      </c>
      <c r="I797" s="69">
        <v>1.08</v>
      </c>
      <c r="J797" s="69">
        <v>1.07</v>
      </c>
      <c r="K797" s="69">
        <v>1.05</v>
      </c>
      <c r="L797" s="69">
        <v>1.04</v>
      </c>
      <c r="M797" s="69">
        <v>1.02</v>
      </c>
      <c r="N797" s="69">
        <v>1.01</v>
      </c>
      <c r="O797" s="69">
        <v>1.01</v>
      </c>
      <c r="P797" s="71">
        <v>1.04</v>
      </c>
      <c r="Q797" s="64"/>
      <c r="R797" s="64"/>
      <c r="S797" s="64"/>
      <c r="T797" s="64"/>
      <c r="U797" s="64"/>
      <c r="V797" s="64"/>
      <c r="W797" s="64"/>
      <c r="X797" s="64"/>
      <c r="Y797" s="64"/>
      <c r="Z797" s="64"/>
    </row>
    <row r="798" spans="1:26" thickBot="1">
      <c r="A798" s="66" t="str">
        <f t="shared" si="36"/>
        <v>Latitude 3610</v>
      </c>
      <c r="B798" s="86">
        <v>36.1</v>
      </c>
      <c r="C798" s="80">
        <v>10</v>
      </c>
      <c r="D798" s="69">
        <v>1.02</v>
      </c>
      <c r="E798" s="69">
        <v>1.05</v>
      </c>
      <c r="F798" s="69">
        <v>1.08</v>
      </c>
      <c r="G798" s="69">
        <v>1.1299999999999999</v>
      </c>
      <c r="H798" s="69">
        <v>1.1499999999999999</v>
      </c>
      <c r="I798" s="69">
        <v>1.1499999999999999</v>
      </c>
      <c r="J798" s="69">
        <v>1.1299999999999999</v>
      </c>
      <c r="K798" s="69">
        <v>1.1000000000000001</v>
      </c>
      <c r="L798" s="69">
        <v>1.07</v>
      </c>
      <c r="M798" s="69">
        <v>1.04</v>
      </c>
      <c r="N798" s="69">
        <v>1.02</v>
      </c>
      <c r="O798" s="69">
        <v>1.01</v>
      </c>
      <c r="P798" s="71">
        <v>1.08</v>
      </c>
      <c r="Q798" s="64"/>
      <c r="R798" s="64"/>
      <c r="S798" s="64"/>
      <c r="T798" s="64"/>
      <c r="U798" s="64"/>
      <c r="V798" s="64"/>
      <c r="W798" s="64"/>
      <c r="X798" s="64"/>
      <c r="Y798" s="64"/>
      <c r="Z798" s="64"/>
    </row>
    <row r="799" spans="1:26" thickBot="1">
      <c r="A799" s="66" t="str">
        <f t="shared" si="36"/>
        <v>Latitude 3615</v>
      </c>
      <c r="B799" s="86">
        <v>36.15</v>
      </c>
      <c r="C799" s="80">
        <v>15</v>
      </c>
      <c r="D799" s="69">
        <v>1.02</v>
      </c>
      <c r="E799" s="69">
        <v>1.06</v>
      </c>
      <c r="F799" s="69">
        <v>1.1200000000000001</v>
      </c>
      <c r="G799" s="69">
        <v>1.18</v>
      </c>
      <c r="H799" s="69">
        <v>1.22</v>
      </c>
      <c r="I799" s="69">
        <v>1.21</v>
      </c>
      <c r="J799" s="69">
        <v>1.18</v>
      </c>
      <c r="K799" s="69">
        <v>1.1399999999999999</v>
      </c>
      <c r="L799" s="69">
        <v>1.1000000000000001</v>
      </c>
      <c r="M799" s="69">
        <v>1.05</v>
      </c>
      <c r="N799" s="69">
        <v>1.02</v>
      </c>
      <c r="O799" s="69">
        <v>1.01</v>
      </c>
      <c r="P799" s="71">
        <v>1.1100000000000001</v>
      </c>
      <c r="Q799" s="64"/>
      <c r="R799" s="64"/>
      <c r="S799" s="64"/>
      <c r="T799" s="64"/>
      <c r="U799" s="64"/>
      <c r="V799" s="64"/>
      <c r="W799" s="64"/>
      <c r="X799" s="64"/>
      <c r="Y799" s="64"/>
      <c r="Z799" s="64"/>
    </row>
    <row r="800" spans="1:26" thickBot="1">
      <c r="A800" s="66" t="str">
        <f t="shared" si="36"/>
        <v>Latitude 3620</v>
      </c>
      <c r="B800" s="86">
        <v>36.200000000000003</v>
      </c>
      <c r="C800" s="80">
        <v>20</v>
      </c>
      <c r="D800" s="69">
        <v>1.01</v>
      </c>
      <c r="E800" s="69">
        <v>1.06</v>
      </c>
      <c r="F800" s="69">
        <v>1.1399999999999999</v>
      </c>
      <c r="G800" s="69">
        <v>1.22</v>
      </c>
      <c r="H800" s="69">
        <v>1.28</v>
      </c>
      <c r="I800" s="69">
        <v>1.27</v>
      </c>
      <c r="J800" s="69">
        <v>1.22</v>
      </c>
      <c r="K800" s="69">
        <v>1.18</v>
      </c>
      <c r="L800" s="69">
        <v>1.1200000000000001</v>
      </c>
      <c r="M800" s="69">
        <v>1.06</v>
      </c>
      <c r="N800" s="69">
        <v>1.01</v>
      </c>
      <c r="O800" s="69">
        <v>0.99</v>
      </c>
      <c r="P800" s="71">
        <v>1.1299999999999999</v>
      </c>
      <c r="Q800" s="64"/>
      <c r="R800" s="64"/>
      <c r="S800" s="64"/>
      <c r="T800" s="64"/>
      <c r="U800" s="64"/>
      <c r="V800" s="64"/>
      <c r="W800" s="64"/>
      <c r="X800" s="64"/>
      <c r="Y800" s="64"/>
      <c r="Z800" s="64"/>
    </row>
    <row r="801" spans="1:26" thickBot="1">
      <c r="A801" s="66" t="str">
        <f t="shared" si="36"/>
        <v>Latitude 3625</v>
      </c>
      <c r="B801" s="86">
        <v>36.25</v>
      </c>
      <c r="C801" s="80">
        <v>25</v>
      </c>
      <c r="D801" s="69">
        <v>1</v>
      </c>
      <c r="E801" s="69">
        <v>1.06</v>
      </c>
      <c r="F801" s="69">
        <v>1.1599999999999999</v>
      </c>
      <c r="G801" s="69">
        <v>1.26</v>
      </c>
      <c r="H801" s="69">
        <v>1.33</v>
      </c>
      <c r="I801" s="69">
        <v>1.32</v>
      </c>
      <c r="J801" s="69">
        <v>1.26</v>
      </c>
      <c r="K801" s="69">
        <v>1.2</v>
      </c>
      <c r="L801" s="69">
        <v>1.1299999999999999</v>
      </c>
      <c r="M801" s="69">
        <v>1.05</v>
      </c>
      <c r="N801" s="69">
        <v>1</v>
      </c>
      <c r="O801" s="69">
        <v>0.98</v>
      </c>
      <c r="P801" s="71">
        <v>1.1499999999999999</v>
      </c>
      <c r="Q801" s="64"/>
      <c r="R801" s="64"/>
      <c r="S801" s="64"/>
      <c r="T801" s="64"/>
      <c r="U801" s="64"/>
      <c r="V801" s="64"/>
      <c r="W801" s="64"/>
      <c r="X801" s="64"/>
      <c r="Y801" s="64"/>
      <c r="Z801" s="64"/>
    </row>
    <row r="802" spans="1:26" thickBot="1">
      <c r="A802" s="66" t="str">
        <f t="shared" si="36"/>
        <v>Latitude 3630</v>
      </c>
      <c r="B802" s="86">
        <v>36.299999999999997</v>
      </c>
      <c r="C802" s="80">
        <v>30</v>
      </c>
      <c r="D802" s="69">
        <v>0.98</v>
      </c>
      <c r="E802" s="69">
        <v>1.05</v>
      </c>
      <c r="F802" s="69">
        <v>1.1599999999999999</v>
      </c>
      <c r="G802" s="69">
        <v>1.29</v>
      </c>
      <c r="H802" s="69">
        <v>1.37</v>
      </c>
      <c r="I802" s="69">
        <v>1.36</v>
      </c>
      <c r="J802" s="69">
        <v>1.29</v>
      </c>
      <c r="K802" s="81">
        <v>1.22</v>
      </c>
      <c r="L802" s="69">
        <v>1.1299999999999999</v>
      </c>
      <c r="M802" s="69">
        <v>1.04</v>
      </c>
      <c r="N802" s="69">
        <v>0.98</v>
      </c>
      <c r="O802" s="69">
        <v>0.95</v>
      </c>
      <c r="P802" s="71">
        <v>1.1499999999999999</v>
      </c>
      <c r="Q802" s="64"/>
      <c r="R802" s="64"/>
      <c r="S802" s="64"/>
      <c r="T802" s="64"/>
      <c r="U802" s="64"/>
      <c r="V802" s="64"/>
      <c r="W802" s="64"/>
      <c r="X802" s="64"/>
      <c r="Y802" s="64"/>
      <c r="Z802" s="64"/>
    </row>
    <row r="803" spans="1:26" thickBot="1">
      <c r="A803" s="66" t="str">
        <f t="shared" si="36"/>
        <v>Latitude 3635</v>
      </c>
      <c r="B803" s="86">
        <v>36.35</v>
      </c>
      <c r="C803" s="80">
        <v>35</v>
      </c>
      <c r="D803" s="69">
        <v>0.95</v>
      </c>
      <c r="E803" s="69">
        <v>1.03</v>
      </c>
      <c r="F803" s="69">
        <v>1.1599999999999999</v>
      </c>
      <c r="G803" s="69">
        <v>1.31</v>
      </c>
      <c r="H803" s="69">
        <v>1.4</v>
      </c>
      <c r="I803" s="69">
        <v>1.39</v>
      </c>
      <c r="J803" s="69">
        <v>1.32</v>
      </c>
      <c r="K803" s="69">
        <v>1.23</v>
      </c>
      <c r="L803" s="69">
        <v>1.1299999999999999</v>
      </c>
      <c r="M803" s="69">
        <v>1.02</v>
      </c>
      <c r="N803" s="69">
        <v>0.95</v>
      </c>
      <c r="O803" s="69">
        <v>0.92</v>
      </c>
      <c r="P803" s="71">
        <v>1.1499999999999999</v>
      </c>
      <c r="Q803" s="64"/>
      <c r="R803" s="64"/>
      <c r="S803" s="64"/>
      <c r="T803" s="64"/>
      <c r="U803" s="64"/>
      <c r="V803" s="64"/>
      <c r="W803" s="64"/>
      <c r="X803" s="64"/>
      <c r="Y803" s="64"/>
      <c r="Z803" s="64"/>
    </row>
    <row r="804" spans="1:26" thickBot="1">
      <c r="A804" s="66" t="str">
        <f t="shared" si="36"/>
        <v>Latitude 3640</v>
      </c>
      <c r="B804" s="86">
        <v>36.4</v>
      </c>
      <c r="C804" s="80">
        <v>40</v>
      </c>
      <c r="D804" s="69">
        <v>0.91</v>
      </c>
      <c r="E804" s="69">
        <v>1.01</v>
      </c>
      <c r="F804" s="69">
        <v>1.1599999999999999</v>
      </c>
      <c r="G804" s="69">
        <v>1.32</v>
      </c>
      <c r="H804" s="69">
        <v>1.43</v>
      </c>
      <c r="I804" s="69">
        <v>1.41</v>
      </c>
      <c r="J804" s="69">
        <v>1.33</v>
      </c>
      <c r="K804" s="69">
        <v>1.24</v>
      </c>
      <c r="L804" s="69">
        <v>1.1200000000000001</v>
      </c>
      <c r="M804" s="69">
        <v>1</v>
      </c>
      <c r="N804" s="69">
        <v>0.91</v>
      </c>
      <c r="O804" s="69">
        <v>0.88</v>
      </c>
      <c r="P804" s="71">
        <v>1.1399999999999999</v>
      </c>
      <c r="Q804" s="64"/>
      <c r="R804" s="64"/>
      <c r="S804" s="64"/>
      <c r="T804" s="64"/>
      <c r="U804" s="64"/>
      <c r="V804" s="64"/>
      <c r="W804" s="64"/>
      <c r="X804" s="64"/>
      <c r="Y804" s="64"/>
      <c r="Z804" s="64"/>
    </row>
    <row r="805" spans="1:26" thickBot="1">
      <c r="A805" s="66" t="str">
        <f t="shared" si="36"/>
        <v>Latitude 3645</v>
      </c>
      <c r="B805" s="86">
        <v>36.450000000000003</v>
      </c>
      <c r="C805" s="80">
        <v>45</v>
      </c>
      <c r="D805" s="69">
        <v>0.87</v>
      </c>
      <c r="E805" s="69">
        <v>0.98</v>
      </c>
      <c r="F805" s="69">
        <v>1.1399999999999999</v>
      </c>
      <c r="G805" s="69">
        <v>1.32</v>
      </c>
      <c r="H805" s="69">
        <v>1.44</v>
      </c>
      <c r="I805" s="69">
        <v>1.43</v>
      </c>
      <c r="J805" s="69">
        <v>1.34</v>
      </c>
      <c r="K805" s="69">
        <v>1.23</v>
      </c>
      <c r="L805" s="69">
        <v>1.1000000000000001</v>
      </c>
      <c r="M805" s="69">
        <v>0.97</v>
      </c>
      <c r="N805" s="69">
        <v>0.87</v>
      </c>
      <c r="O805" s="69">
        <v>0.84</v>
      </c>
      <c r="P805" s="71">
        <v>1.1299999999999999</v>
      </c>
      <c r="Q805" s="64"/>
      <c r="R805" s="64"/>
      <c r="S805" s="64"/>
      <c r="T805" s="64"/>
      <c r="U805" s="64"/>
      <c r="V805" s="64"/>
      <c r="W805" s="64"/>
      <c r="X805" s="64"/>
      <c r="Y805" s="64"/>
      <c r="Z805" s="64"/>
    </row>
    <row r="806" spans="1:26" thickBot="1">
      <c r="A806" s="66" t="str">
        <f t="shared" si="36"/>
        <v>Latitude 3650</v>
      </c>
      <c r="B806" s="86">
        <v>36.5</v>
      </c>
      <c r="C806" s="80">
        <v>50</v>
      </c>
      <c r="D806" s="69">
        <v>0.82</v>
      </c>
      <c r="E806" s="69">
        <v>0.94</v>
      </c>
      <c r="F806" s="69">
        <v>1.1200000000000001</v>
      </c>
      <c r="G806" s="69">
        <v>1.31</v>
      </c>
      <c r="H806" s="69">
        <v>1.45</v>
      </c>
      <c r="I806" s="69">
        <v>1.44</v>
      </c>
      <c r="J806" s="69">
        <v>1.34</v>
      </c>
      <c r="K806" s="69">
        <v>1.22</v>
      </c>
      <c r="L806" s="69">
        <v>1.08</v>
      </c>
      <c r="M806" s="69">
        <v>0.93</v>
      </c>
      <c r="N806" s="69">
        <v>0.82</v>
      </c>
      <c r="O806" s="69">
        <v>0.78</v>
      </c>
      <c r="P806" s="71">
        <v>1.1000000000000001</v>
      </c>
      <c r="Q806" s="64"/>
      <c r="R806" s="64"/>
      <c r="S806" s="64"/>
      <c r="T806" s="64"/>
      <c r="U806" s="64"/>
      <c r="V806" s="64"/>
      <c r="W806" s="64"/>
      <c r="X806" s="64"/>
      <c r="Y806" s="64"/>
      <c r="Z806" s="64"/>
    </row>
    <row r="807" spans="1:26" thickBot="1">
      <c r="A807" s="66" t="str">
        <f t="shared" si="36"/>
        <v>Latitude 3655</v>
      </c>
      <c r="B807" s="86">
        <v>36.549999999999997</v>
      </c>
      <c r="C807" s="80">
        <v>55</v>
      </c>
      <c r="D807" s="69">
        <v>0.77</v>
      </c>
      <c r="E807" s="69">
        <v>0.9</v>
      </c>
      <c r="F807" s="69">
        <v>1.08</v>
      </c>
      <c r="G807" s="69">
        <v>1.3</v>
      </c>
      <c r="H807" s="69">
        <v>1.44</v>
      </c>
      <c r="I807" s="69">
        <v>1.43</v>
      </c>
      <c r="J807" s="69">
        <v>1.33</v>
      </c>
      <c r="K807" s="69">
        <v>1.2</v>
      </c>
      <c r="L807" s="69">
        <v>1.05</v>
      </c>
      <c r="M807" s="69">
        <v>0.89</v>
      </c>
      <c r="N807" s="69">
        <v>0.77</v>
      </c>
      <c r="O807" s="69">
        <v>0.73</v>
      </c>
      <c r="P807" s="71">
        <v>1.07</v>
      </c>
      <c r="Q807" s="64"/>
      <c r="R807" s="64"/>
      <c r="S807" s="64"/>
      <c r="T807" s="64"/>
      <c r="U807" s="64"/>
      <c r="V807" s="64"/>
      <c r="W807" s="64"/>
      <c r="X807" s="64"/>
      <c r="Y807" s="64"/>
      <c r="Z807" s="64"/>
    </row>
    <row r="808" spans="1:26" thickBot="1">
      <c r="A808" s="66" t="str">
        <f t="shared" si="36"/>
        <v>Latitude 3660</v>
      </c>
      <c r="B808" s="86">
        <v>36.6</v>
      </c>
      <c r="C808" s="80">
        <v>60</v>
      </c>
      <c r="D808" s="69">
        <v>0.71</v>
      </c>
      <c r="E808" s="69">
        <v>0.84</v>
      </c>
      <c r="F808" s="69">
        <v>1.5</v>
      </c>
      <c r="G808" s="69">
        <v>1.27</v>
      </c>
      <c r="H808" s="69">
        <v>1.43</v>
      </c>
      <c r="I808" s="69">
        <v>1.42</v>
      </c>
      <c r="J808" s="69">
        <v>1.31</v>
      </c>
      <c r="K808" s="69">
        <v>1.17</v>
      </c>
      <c r="L808" s="69">
        <v>1.01</v>
      </c>
      <c r="M808" s="69">
        <v>0.84</v>
      </c>
      <c r="N808" s="69">
        <v>0.71</v>
      </c>
      <c r="O808" s="69">
        <v>0.67</v>
      </c>
      <c r="P808" s="71">
        <v>1.07</v>
      </c>
      <c r="Q808" s="64"/>
      <c r="R808" s="64"/>
      <c r="S808" s="64"/>
      <c r="T808" s="64"/>
      <c r="U808" s="64"/>
      <c r="V808" s="64"/>
      <c r="W808" s="64"/>
      <c r="X808" s="64"/>
      <c r="Y808" s="64"/>
      <c r="Z808" s="64"/>
    </row>
    <row r="809" spans="1:26" thickBot="1">
      <c r="A809" s="66" t="str">
        <f t="shared" si="36"/>
        <v>Latitude 3665</v>
      </c>
      <c r="B809" s="86">
        <v>36.65</v>
      </c>
      <c r="C809" s="80">
        <v>65</v>
      </c>
      <c r="D809" s="69">
        <v>0.65</v>
      </c>
      <c r="E809" s="69">
        <v>0.79</v>
      </c>
      <c r="F809" s="69">
        <v>1</v>
      </c>
      <c r="G809" s="69">
        <v>1.24</v>
      </c>
      <c r="H809" s="69">
        <v>1.41</v>
      </c>
      <c r="I809" s="69">
        <v>1.4</v>
      </c>
      <c r="J809" s="69">
        <v>1.29</v>
      </c>
      <c r="K809" s="69">
        <v>1.1399999999999999</v>
      </c>
      <c r="L809" s="69">
        <v>0.96</v>
      </c>
      <c r="M809" s="69">
        <v>0.78</v>
      </c>
      <c r="N809" s="69">
        <v>0.65</v>
      </c>
      <c r="O809" s="69">
        <v>0.6</v>
      </c>
      <c r="P809" s="71">
        <v>0.99</v>
      </c>
      <c r="Q809" s="64"/>
      <c r="R809" s="64"/>
      <c r="S809" s="64"/>
      <c r="T809" s="64"/>
      <c r="U809" s="64"/>
      <c r="V809" s="64"/>
      <c r="W809" s="64"/>
      <c r="X809" s="64"/>
      <c r="Y809" s="64"/>
      <c r="Z809" s="64"/>
    </row>
    <row r="810" spans="1:26" thickBot="1">
      <c r="A810" s="66" t="str">
        <f t="shared" si="36"/>
        <v>Latitude 3670</v>
      </c>
      <c r="B810" s="86">
        <v>36.700000000000003</v>
      </c>
      <c r="C810" s="80">
        <v>70</v>
      </c>
      <c r="D810" s="69">
        <v>0.57999999999999996</v>
      </c>
      <c r="E810" s="69">
        <v>0.73</v>
      </c>
      <c r="F810" s="69">
        <v>0.95</v>
      </c>
      <c r="G810" s="69">
        <v>1.2</v>
      </c>
      <c r="H810" s="69">
        <v>1.37</v>
      </c>
      <c r="I810" s="69">
        <v>1.37</v>
      </c>
      <c r="J810" s="69">
        <v>1.25</v>
      </c>
      <c r="K810" s="69">
        <v>1.1000000000000001</v>
      </c>
      <c r="L810" s="69">
        <v>0.91</v>
      </c>
      <c r="M810" s="69">
        <v>0.72</v>
      </c>
      <c r="N810" s="69">
        <v>0.59</v>
      </c>
      <c r="O810" s="69">
        <v>0.53</v>
      </c>
      <c r="P810" s="71">
        <v>0.94</v>
      </c>
      <c r="Q810" s="64"/>
      <c r="R810" s="64"/>
      <c r="S810" s="64"/>
      <c r="T810" s="64"/>
      <c r="U810" s="64"/>
      <c r="V810" s="64"/>
      <c r="W810" s="64"/>
      <c r="X810" s="64"/>
      <c r="Y810" s="64"/>
      <c r="Z810" s="64"/>
    </row>
    <row r="811" spans="1:26" thickBot="1">
      <c r="A811" s="66" t="str">
        <f t="shared" si="36"/>
        <v>Latitude 3675</v>
      </c>
      <c r="B811" s="86">
        <v>36.75</v>
      </c>
      <c r="C811" s="80">
        <v>75</v>
      </c>
      <c r="D811" s="69">
        <v>0.51</v>
      </c>
      <c r="E811" s="69">
        <v>0.66</v>
      </c>
      <c r="F811" s="69">
        <v>0.89</v>
      </c>
      <c r="G811" s="69">
        <v>1.1499999999999999</v>
      </c>
      <c r="H811" s="69">
        <v>1.33</v>
      </c>
      <c r="I811" s="69">
        <v>1.33</v>
      </c>
      <c r="J811" s="69">
        <v>1.21</v>
      </c>
      <c r="K811" s="69">
        <v>1.05</v>
      </c>
      <c r="L811" s="69">
        <v>0.85</v>
      </c>
      <c r="M811" s="69">
        <v>0.66</v>
      </c>
      <c r="N811" s="69">
        <v>0.52</v>
      </c>
      <c r="O811" s="69">
        <v>0.46</v>
      </c>
      <c r="P811" s="71">
        <v>0.89</v>
      </c>
      <c r="Q811" s="64"/>
      <c r="R811" s="64"/>
      <c r="S811" s="64"/>
      <c r="T811" s="64"/>
      <c r="U811" s="64"/>
      <c r="V811" s="64"/>
      <c r="W811" s="64"/>
      <c r="X811" s="64"/>
      <c r="Y811" s="64"/>
      <c r="Z811" s="64"/>
    </row>
    <row r="812" spans="1:26" thickBot="1">
      <c r="A812" s="66" t="str">
        <f t="shared" si="36"/>
        <v>Latitude 3680</v>
      </c>
      <c r="B812" s="86">
        <v>36.799999999999997</v>
      </c>
      <c r="C812" s="80">
        <v>80</v>
      </c>
      <c r="D812" s="69">
        <v>0.44</v>
      </c>
      <c r="E812" s="69">
        <v>0.59</v>
      </c>
      <c r="F812" s="69">
        <v>0.82</v>
      </c>
      <c r="G812" s="69">
        <v>1.0900000000000001</v>
      </c>
      <c r="H812" s="69">
        <v>1.28</v>
      </c>
      <c r="I812" s="69">
        <v>1.29</v>
      </c>
      <c r="J812" s="69">
        <v>1.1599999999999999</v>
      </c>
      <c r="K812" s="69">
        <v>1</v>
      </c>
      <c r="L812" s="69">
        <v>0.79</v>
      </c>
      <c r="M812" s="69">
        <v>0.59</v>
      </c>
      <c r="N812" s="69">
        <v>0.44</v>
      </c>
      <c r="O812" s="69">
        <v>0.39</v>
      </c>
      <c r="P812" s="71">
        <v>0.82</v>
      </c>
      <c r="Q812" s="64"/>
      <c r="R812" s="64"/>
      <c r="S812" s="64"/>
      <c r="T812" s="64"/>
      <c r="U812" s="64"/>
      <c r="V812" s="64"/>
      <c r="W812" s="64"/>
      <c r="X812" s="64"/>
      <c r="Y812" s="64"/>
      <c r="Z812" s="64"/>
    </row>
    <row r="813" spans="1:26" thickBot="1">
      <c r="A813" s="66" t="str">
        <f t="shared" si="36"/>
        <v>Latitude 3685</v>
      </c>
      <c r="B813" s="86">
        <v>36.85</v>
      </c>
      <c r="C813" s="80">
        <v>85</v>
      </c>
      <c r="D813" s="69">
        <v>0.36</v>
      </c>
      <c r="E813" s="69">
        <v>0.51</v>
      </c>
      <c r="F813" s="69">
        <v>0.75</v>
      </c>
      <c r="G813" s="69">
        <v>1.03</v>
      </c>
      <c r="H813" s="69">
        <v>1.23</v>
      </c>
      <c r="I813" s="69">
        <v>1.23</v>
      </c>
      <c r="J813" s="69">
        <v>1.1100000000000001</v>
      </c>
      <c r="K813" s="69">
        <v>0.94</v>
      </c>
      <c r="L813" s="69">
        <v>0.73</v>
      </c>
      <c r="M813" s="69">
        <v>0.52</v>
      </c>
      <c r="N813" s="69">
        <v>0.37</v>
      </c>
      <c r="O813" s="69">
        <v>0.31</v>
      </c>
      <c r="P813" s="71">
        <v>0.76</v>
      </c>
      <c r="Q813" s="64"/>
      <c r="R813" s="64"/>
      <c r="S813" s="64"/>
      <c r="T813" s="64"/>
      <c r="U813" s="64"/>
      <c r="V813" s="64"/>
      <c r="W813" s="64"/>
      <c r="X813" s="64"/>
      <c r="Y813" s="64"/>
      <c r="Z813" s="64"/>
    </row>
    <row r="814" spans="1:26" thickBot="1">
      <c r="A814" s="66" t="str">
        <f t="shared" si="36"/>
        <v>Latitude 3690</v>
      </c>
      <c r="B814" s="86">
        <v>36.9</v>
      </c>
      <c r="C814" s="69">
        <v>90</v>
      </c>
      <c r="D814" s="69">
        <v>0.28000000000000003</v>
      </c>
      <c r="E814" s="69">
        <v>0.44</v>
      </c>
      <c r="F814" s="69">
        <v>0.68</v>
      </c>
      <c r="G814" s="69">
        <v>0.96</v>
      </c>
      <c r="H814" s="69">
        <v>1.1599999999999999</v>
      </c>
      <c r="I814" s="69">
        <v>1.17</v>
      </c>
      <c r="J814" s="69">
        <v>1.05</v>
      </c>
      <c r="K814" s="69">
        <v>0.87</v>
      </c>
      <c r="L814" s="69">
        <v>0.65</v>
      </c>
      <c r="M814" s="69">
        <v>0.44</v>
      </c>
      <c r="N814" s="69">
        <v>0.28999999999999998</v>
      </c>
      <c r="O814" s="69">
        <v>0.23</v>
      </c>
      <c r="P814" s="71">
        <v>0.69</v>
      </c>
      <c r="Q814" s="64"/>
      <c r="R814" s="64"/>
      <c r="S814" s="64"/>
      <c r="T814" s="64"/>
      <c r="U814" s="64"/>
      <c r="V814" s="64"/>
      <c r="W814" s="64"/>
      <c r="X814" s="64"/>
      <c r="Y814" s="64"/>
      <c r="Z814" s="64"/>
    </row>
    <row r="815" spans="1:26" thickBot="1">
      <c r="A815" s="66"/>
      <c r="B815" s="88"/>
      <c r="C815" s="73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66"/>
      <c r="Q815" s="64"/>
      <c r="R815" s="64"/>
      <c r="S815" s="64"/>
      <c r="T815" s="64"/>
      <c r="U815" s="64"/>
      <c r="V815" s="64"/>
      <c r="W815" s="64"/>
      <c r="X815" s="64"/>
      <c r="Y815" s="64"/>
      <c r="Z815" s="64"/>
    </row>
    <row r="816" spans="1:26" thickBot="1">
      <c r="A816" s="66"/>
      <c r="B816" s="88"/>
      <c r="C816" s="73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66"/>
      <c r="Q816" s="64"/>
      <c r="R816" s="64"/>
      <c r="S816" s="64"/>
      <c r="T816" s="64"/>
      <c r="U816" s="64"/>
      <c r="V816" s="64"/>
      <c r="W816" s="64"/>
      <c r="X816" s="64"/>
      <c r="Y816" s="64"/>
      <c r="Z816" s="64"/>
    </row>
    <row r="817" spans="1:26" thickBot="1">
      <c r="A817" s="66"/>
      <c r="B817" s="85" t="s">
        <v>5902</v>
      </c>
      <c r="C817" s="75" t="s">
        <v>5853</v>
      </c>
      <c r="D817" s="75" t="s">
        <v>5827</v>
      </c>
      <c r="E817" s="75" t="s">
        <v>5828</v>
      </c>
      <c r="F817" s="75" t="s">
        <v>5829</v>
      </c>
      <c r="G817" s="75" t="s">
        <v>5830</v>
      </c>
      <c r="H817" s="75" t="s">
        <v>5831</v>
      </c>
      <c r="I817" s="75" t="s">
        <v>5832</v>
      </c>
      <c r="J817" s="75" t="s">
        <v>5833</v>
      </c>
      <c r="K817" s="75" t="s">
        <v>5834</v>
      </c>
      <c r="L817" s="75" t="s">
        <v>5835</v>
      </c>
      <c r="M817" s="75" t="s">
        <v>5836</v>
      </c>
      <c r="N817" s="75" t="s">
        <v>5837</v>
      </c>
      <c r="O817" s="75" t="s">
        <v>5838</v>
      </c>
      <c r="P817" s="74" t="s">
        <v>20</v>
      </c>
      <c r="Q817" s="64"/>
      <c r="R817" s="64"/>
      <c r="S817" s="64"/>
      <c r="T817" s="64"/>
      <c r="U817" s="64"/>
      <c r="V817" s="64"/>
      <c r="W817" s="64"/>
      <c r="X817" s="64"/>
      <c r="Y817" s="64"/>
      <c r="Z817" s="64"/>
    </row>
    <row r="818" spans="1:26" thickBot="1">
      <c r="A818" s="66" t="str">
        <f>$B$817&amp;C818</f>
        <v>Latitude 370</v>
      </c>
      <c r="B818" s="86">
        <v>37</v>
      </c>
      <c r="C818" s="80">
        <v>0</v>
      </c>
      <c r="D818" s="69">
        <v>1</v>
      </c>
      <c r="E818" s="69">
        <v>1</v>
      </c>
      <c r="F818" s="69">
        <v>1</v>
      </c>
      <c r="G818" s="69">
        <v>1</v>
      </c>
      <c r="H818" s="69">
        <v>1</v>
      </c>
      <c r="I818" s="69">
        <v>1</v>
      </c>
      <c r="J818" s="69">
        <v>1</v>
      </c>
      <c r="K818" s="69">
        <v>1</v>
      </c>
      <c r="L818" s="69">
        <v>1</v>
      </c>
      <c r="M818" s="69">
        <v>1</v>
      </c>
      <c r="N818" s="69">
        <v>1</v>
      </c>
      <c r="O818" s="69">
        <v>1</v>
      </c>
      <c r="P818" s="71">
        <v>1</v>
      </c>
      <c r="Q818" s="64"/>
      <c r="R818" s="64"/>
      <c r="S818" s="64"/>
      <c r="T818" s="64"/>
      <c r="U818" s="64"/>
      <c r="V818" s="64"/>
      <c r="W818" s="64"/>
      <c r="X818" s="64"/>
      <c r="Y818" s="64"/>
      <c r="Z818" s="64"/>
    </row>
    <row r="819" spans="1:26" thickBot="1">
      <c r="A819" s="66" t="str">
        <f t="shared" ref="A819:A836" si="37">$B$817&amp;C819</f>
        <v>Latitude 375</v>
      </c>
      <c r="B819" s="86">
        <v>37.5</v>
      </c>
      <c r="C819" s="80">
        <v>5</v>
      </c>
      <c r="D819" s="69">
        <v>1.02</v>
      </c>
      <c r="E819" s="69">
        <v>1.03</v>
      </c>
      <c r="F819" s="69">
        <v>1.05</v>
      </c>
      <c r="G819" s="69">
        <v>1.07</v>
      </c>
      <c r="H819" s="69">
        <v>1.08</v>
      </c>
      <c r="I819" s="69">
        <v>1.08</v>
      </c>
      <c r="J819" s="69">
        <v>1.07</v>
      </c>
      <c r="K819" s="69">
        <v>1.06</v>
      </c>
      <c r="L819" s="69">
        <v>1.04</v>
      </c>
      <c r="M819" s="69">
        <v>1.03</v>
      </c>
      <c r="N819" s="69">
        <v>1.01</v>
      </c>
      <c r="O819" s="69">
        <v>1.01</v>
      </c>
      <c r="P819" s="71">
        <v>1.05</v>
      </c>
      <c r="Q819" s="64"/>
      <c r="R819" s="64"/>
      <c r="S819" s="64"/>
      <c r="T819" s="64"/>
      <c r="U819" s="64"/>
      <c r="V819" s="64"/>
      <c r="W819" s="64"/>
      <c r="X819" s="64"/>
      <c r="Y819" s="64"/>
      <c r="Z819" s="64"/>
    </row>
    <row r="820" spans="1:26" thickBot="1">
      <c r="A820" s="66" t="str">
        <f t="shared" si="37"/>
        <v>Latitude 3710</v>
      </c>
      <c r="B820" s="86">
        <v>37.1</v>
      </c>
      <c r="C820" s="80">
        <v>10</v>
      </c>
      <c r="D820" s="69">
        <v>1.02</v>
      </c>
      <c r="E820" s="69">
        <v>1.05</v>
      </c>
      <c r="F820" s="69">
        <v>1.0900000000000001</v>
      </c>
      <c r="G820" s="69">
        <v>1.1299999999999999</v>
      </c>
      <c r="H820" s="69">
        <v>1.1599999999999999</v>
      </c>
      <c r="I820" s="69">
        <v>1.1499999999999999</v>
      </c>
      <c r="J820" s="69">
        <v>1.1299999999999999</v>
      </c>
      <c r="K820" s="69">
        <v>1.1000000000000001</v>
      </c>
      <c r="L820" s="69">
        <v>1.08</v>
      </c>
      <c r="M820" s="69">
        <v>1.05</v>
      </c>
      <c r="N820" s="69">
        <v>1.02</v>
      </c>
      <c r="O820" s="69">
        <v>1.01</v>
      </c>
      <c r="P820" s="71">
        <v>1.08</v>
      </c>
      <c r="Q820" s="64"/>
      <c r="R820" s="64"/>
      <c r="S820" s="64"/>
      <c r="T820" s="64"/>
      <c r="U820" s="64"/>
      <c r="V820" s="64"/>
      <c r="W820" s="64"/>
      <c r="X820" s="64"/>
      <c r="Y820" s="64"/>
      <c r="Z820" s="64"/>
    </row>
    <row r="821" spans="1:26" thickBot="1">
      <c r="A821" s="66" t="str">
        <f t="shared" si="37"/>
        <v>Latitude 3715</v>
      </c>
      <c r="B821" s="86">
        <v>37.15</v>
      </c>
      <c r="C821" s="80">
        <v>15</v>
      </c>
      <c r="D821" s="69">
        <v>1.02</v>
      </c>
      <c r="E821" s="69">
        <v>1.06</v>
      </c>
      <c r="F821" s="69">
        <v>1.1200000000000001</v>
      </c>
      <c r="G821" s="69">
        <v>1.19</v>
      </c>
      <c r="H821" s="69">
        <v>1.23</v>
      </c>
      <c r="I821" s="69">
        <v>1.22</v>
      </c>
      <c r="J821" s="69">
        <v>1.18</v>
      </c>
      <c r="K821" s="69">
        <v>1.1499999999999999</v>
      </c>
      <c r="L821" s="69">
        <v>1.1000000000000001</v>
      </c>
      <c r="M821" s="69">
        <v>1.06</v>
      </c>
      <c r="N821" s="69">
        <v>1.02</v>
      </c>
      <c r="O821" s="69">
        <v>1.01</v>
      </c>
      <c r="P821" s="71">
        <v>1.1100000000000001</v>
      </c>
      <c r="Q821" s="64"/>
      <c r="R821" s="64"/>
      <c r="S821" s="64"/>
      <c r="T821" s="64"/>
      <c r="U821" s="64"/>
      <c r="V821" s="64"/>
      <c r="W821" s="64"/>
      <c r="X821" s="64"/>
      <c r="Y821" s="64"/>
      <c r="Z821" s="64"/>
    </row>
    <row r="822" spans="1:26" thickBot="1">
      <c r="A822" s="66" t="str">
        <f t="shared" si="37"/>
        <v>Latitude 3720</v>
      </c>
      <c r="B822" s="86">
        <v>37.200000000000003</v>
      </c>
      <c r="C822" s="80">
        <v>20</v>
      </c>
      <c r="D822" s="69">
        <v>1.02</v>
      </c>
      <c r="E822" s="69">
        <v>1.07</v>
      </c>
      <c r="F822" s="69">
        <v>1.1499999999999999</v>
      </c>
      <c r="G822" s="69">
        <v>1.23</v>
      </c>
      <c r="H822" s="69">
        <v>1.29</v>
      </c>
      <c r="I822" s="69">
        <v>1.28</v>
      </c>
      <c r="J822" s="69">
        <v>1.23</v>
      </c>
      <c r="K822" s="69">
        <v>1.18</v>
      </c>
      <c r="L822" s="69">
        <v>1.1200000000000001</v>
      </c>
      <c r="M822" s="69">
        <v>1.06</v>
      </c>
      <c r="N822" s="69">
        <v>1.02</v>
      </c>
      <c r="O822" s="69">
        <v>1</v>
      </c>
      <c r="P822" s="71">
        <v>1.1399999999999999</v>
      </c>
      <c r="Q822" s="64"/>
      <c r="R822" s="64"/>
      <c r="S822" s="64"/>
      <c r="T822" s="64"/>
      <c r="U822" s="64"/>
      <c r="V822" s="64"/>
      <c r="W822" s="64"/>
      <c r="X822" s="64"/>
      <c r="Y822" s="64"/>
      <c r="Z822" s="64"/>
    </row>
    <row r="823" spans="1:26" thickBot="1">
      <c r="A823" s="66" t="str">
        <f t="shared" si="37"/>
        <v>Latitude 3725</v>
      </c>
      <c r="B823" s="86">
        <v>37.25</v>
      </c>
      <c r="C823" s="80">
        <v>25</v>
      </c>
      <c r="D823" s="69">
        <v>1</v>
      </c>
      <c r="E823" s="69">
        <v>1.07</v>
      </c>
      <c r="F823" s="69">
        <v>1.1599999999999999</v>
      </c>
      <c r="G823" s="69">
        <v>1.27</v>
      </c>
      <c r="H823" s="69">
        <v>1.34</v>
      </c>
      <c r="I823" s="69">
        <v>1.33</v>
      </c>
      <c r="J823" s="69">
        <v>1.27</v>
      </c>
      <c r="K823" s="69">
        <v>1.21</v>
      </c>
      <c r="L823" s="69">
        <v>1.1399999999999999</v>
      </c>
      <c r="M823" s="69">
        <v>1.06</v>
      </c>
      <c r="N823" s="69">
        <v>1</v>
      </c>
      <c r="O823" s="69">
        <v>0.98</v>
      </c>
      <c r="P823" s="71">
        <v>1.1499999999999999</v>
      </c>
      <c r="Q823" s="64"/>
      <c r="R823" s="64"/>
      <c r="S823" s="64"/>
      <c r="T823" s="64"/>
      <c r="U823" s="64"/>
      <c r="V823" s="64"/>
      <c r="W823" s="64"/>
      <c r="X823" s="64"/>
      <c r="Y823" s="64"/>
      <c r="Z823" s="64"/>
    </row>
    <row r="824" spans="1:26" thickBot="1">
      <c r="A824" s="66" t="str">
        <f t="shared" si="37"/>
        <v>Latitude 3730</v>
      </c>
      <c r="B824" s="86">
        <v>37.299999999999997</v>
      </c>
      <c r="C824" s="80">
        <v>30</v>
      </c>
      <c r="D824" s="69">
        <v>0.98</v>
      </c>
      <c r="E824" s="69">
        <v>1.06</v>
      </c>
      <c r="F824" s="69">
        <v>1.17</v>
      </c>
      <c r="G824" s="69">
        <v>1.3</v>
      </c>
      <c r="H824" s="69">
        <v>1.38</v>
      </c>
      <c r="I824" s="69">
        <v>1.37</v>
      </c>
      <c r="J824" s="69">
        <v>1.3</v>
      </c>
      <c r="K824" s="81">
        <v>1.23</v>
      </c>
      <c r="L824" s="69">
        <v>1.1399999999999999</v>
      </c>
      <c r="M824" s="69">
        <v>1.05</v>
      </c>
      <c r="N824" s="69">
        <v>0.98</v>
      </c>
      <c r="O824" s="69">
        <v>0.96</v>
      </c>
      <c r="P824" s="71">
        <v>1.1599999999999999</v>
      </c>
      <c r="Q824" s="64"/>
      <c r="R824" s="64"/>
      <c r="S824" s="64"/>
      <c r="T824" s="64"/>
      <c r="U824" s="64"/>
      <c r="V824" s="64"/>
      <c r="W824" s="64"/>
      <c r="X824" s="64"/>
      <c r="Y824" s="64"/>
      <c r="Z824" s="64"/>
    </row>
    <row r="825" spans="1:26" thickBot="1">
      <c r="A825" s="66" t="str">
        <f t="shared" si="37"/>
        <v>Latitude 3735</v>
      </c>
      <c r="B825" s="86">
        <v>37.35</v>
      </c>
      <c r="C825" s="80">
        <v>35</v>
      </c>
      <c r="D825" s="69">
        <v>0.96</v>
      </c>
      <c r="E825" s="69">
        <v>1.04</v>
      </c>
      <c r="F825" s="69">
        <v>1.17</v>
      </c>
      <c r="G825" s="69">
        <v>1.32</v>
      </c>
      <c r="H825" s="69">
        <v>1.42</v>
      </c>
      <c r="I825" s="69">
        <v>1.41</v>
      </c>
      <c r="J825" s="69">
        <v>1.33</v>
      </c>
      <c r="K825" s="69">
        <v>1.24</v>
      </c>
      <c r="L825" s="69">
        <v>1.1399999999999999</v>
      </c>
      <c r="M825" s="69">
        <v>1.03</v>
      </c>
      <c r="N825" s="69">
        <v>0.96</v>
      </c>
      <c r="O825" s="69">
        <v>0.93</v>
      </c>
      <c r="P825" s="71">
        <v>1.1599999999999999</v>
      </c>
      <c r="Q825" s="64"/>
      <c r="R825" s="64"/>
      <c r="S825" s="64"/>
      <c r="T825" s="64"/>
      <c r="U825" s="64"/>
      <c r="V825" s="64"/>
      <c r="W825" s="64"/>
      <c r="X825" s="64"/>
      <c r="Y825" s="64"/>
      <c r="Z825" s="64"/>
    </row>
    <row r="826" spans="1:26" thickBot="1">
      <c r="A826" s="66" t="str">
        <f t="shared" si="37"/>
        <v>Latitude 3740</v>
      </c>
      <c r="B826" s="86">
        <v>37.4</v>
      </c>
      <c r="C826" s="80">
        <v>40</v>
      </c>
      <c r="D826" s="69">
        <v>0.92</v>
      </c>
      <c r="E826" s="69">
        <v>1.02</v>
      </c>
      <c r="F826" s="69">
        <v>1.17</v>
      </c>
      <c r="G826" s="69">
        <v>1.34</v>
      </c>
      <c r="H826" s="69">
        <v>1.44</v>
      </c>
      <c r="I826" s="69">
        <v>1.43</v>
      </c>
      <c r="J826" s="69">
        <v>1.35</v>
      </c>
      <c r="K826" s="69">
        <v>1.25</v>
      </c>
      <c r="L826" s="69">
        <v>1.1299999999999999</v>
      </c>
      <c r="M826" s="69">
        <v>1.01</v>
      </c>
      <c r="N826" s="69">
        <v>0.92</v>
      </c>
      <c r="O826" s="69">
        <v>0.89</v>
      </c>
      <c r="P826" s="71">
        <v>1.1599999999999999</v>
      </c>
      <c r="Q826" s="64"/>
      <c r="R826" s="64"/>
      <c r="S826" s="64"/>
      <c r="T826" s="64"/>
      <c r="U826" s="64"/>
      <c r="V826" s="64"/>
      <c r="W826" s="64"/>
      <c r="X826" s="64"/>
      <c r="Y826" s="64"/>
      <c r="Z826" s="64"/>
    </row>
    <row r="827" spans="1:26" thickBot="1">
      <c r="A827" s="66" t="str">
        <f t="shared" si="37"/>
        <v>Latitude 3745</v>
      </c>
      <c r="B827" s="86">
        <v>37.450000000000003</v>
      </c>
      <c r="C827" s="80">
        <v>45</v>
      </c>
      <c r="D827" s="69">
        <v>0.88</v>
      </c>
      <c r="E827" s="69">
        <v>0.99</v>
      </c>
      <c r="F827" s="69">
        <v>1.1499999999999999</v>
      </c>
      <c r="G827" s="69">
        <v>1.34</v>
      </c>
      <c r="H827" s="69">
        <v>1.46</v>
      </c>
      <c r="I827" s="69">
        <v>1.45</v>
      </c>
      <c r="J827" s="69">
        <v>1.35</v>
      </c>
      <c r="K827" s="69">
        <v>1.25</v>
      </c>
      <c r="L827" s="69">
        <v>1.1100000000000001</v>
      </c>
      <c r="M827" s="69">
        <v>0.98</v>
      </c>
      <c r="N827" s="69">
        <v>0.88</v>
      </c>
      <c r="O827" s="69">
        <v>0.85</v>
      </c>
      <c r="P827" s="71">
        <v>1.1399999999999999</v>
      </c>
      <c r="Q827" s="64"/>
      <c r="R827" s="64"/>
      <c r="S827" s="64"/>
      <c r="T827" s="64"/>
      <c r="U827" s="64"/>
      <c r="V827" s="64"/>
      <c r="W827" s="64"/>
      <c r="X827" s="64"/>
      <c r="Y827" s="64"/>
      <c r="Z827" s="64"/>
    </row>
    <row r="828" spans="1:26" thickBot="1">
      <c r="A828" s="66" t="str">
        <f t="shared" si="37"/>
        <v>Latitude 3750</v>
      </c>
      <c r="B828" s="86">
        <v>37.5</v>
      </c>
      <c r="C828" s="80">
        <v>50</v>
      </c>
      <c r="D828" s="69">
        <v>0.84</v>
      </c>
      <c r="E828" s="69">
        <v>0.95</v>
      </c>
      <c r="F828" s="69">
        <v>1.1299999999999999</v>
      </c>
      <c r="G828" s="69">
        <v>1.33</v>
      </c>
      <c r="H828" s="69">
        <v>1.47</v>
      </c>
      <c r="I828" s="69">
        <v>1.46</v>
      </c>
      <c r="J828" s="69">
        <v>1.35</v>
      </c>
      <c r="K828" s="69">
        <v>1.24</v>
      </c>
      <c r="L828" s="69">
        <v>1.0900000000000001</v>
      </c>
      <c r="M828" s="69">
        <v>0.94</v>
      </c>
      <c r="N828" s="69">
        <v>0.84</v>
      </c>
      <c r="O828" s="69">
        <v>0.8</v>
      </c>
      <c r="P828" s="71">
        <v>1.1200000000000001</v>
      </c>
      <c r="Q828" s="64"/>
      <c r="R828" s="64"/>
      <c r="S828" s="64"/>
      <c r="T828" s="64"/>
      <c r="U828" s="64"/>
      <c r="V828" s="64"/>
      <c r="W828" s="64"/>
      <c r="X828" s="64"/>
      <c r="Y828" s="64"/>
      <c r="Z828" s="64"/>
    </row>
    <row r="829" spans="1:26" thickBot="1">
      <c r="A829" s="66" t="str">
        <f t="shared" si="37"/>
        <v>Latitude 3755</v>
      </c>
      <c r="B829" s="86">
        <v>37.549999999999997</v>
      </c>
      <c r="C829" s="80">
        <v>55</v>
      </c>
      <c r="D829" s="69">
        <v>0.78</v>
      </c>
      <c r="E829" s="69">
        <v>0.91</v>
      </c>
      <c r="F829" s="69">
        <v>1.1000000000000001</v>
      </c>
      <c r="G829" s="69">
        <v>1.32</v>
      </c>
      <c r="H829" s="69">
        <v>1.47</v>
      </c>
      <c r="I829" s="69">
        <v>1.45</v>
      </c>
      <c r="J829" s="69">
        <v>1.35</v>
      </c>
      <c r="K829" s="69">
        <v>1.22</v>
      </c>
      <c r="L829" s="69">
        <v>1.06</v>
      </c>
      <c r="M829" s="69">
        <v>0.9</v>
      </c>
      <c r="N829" s="69">
        <v>0.78</v>
      </c>
      <c r="O829" s="69">
        <v>0.74</v>
      </c>
      <c r="P829" s="71">
        <v>1.0900000000000001</v>
      </c>
      <c r="Q829" s="64"/>
      <c r="R829" s="64"/>
      <c r="S829" s="64"/>
      <c r="T829" s="64"/>
      <c r="U829" s="64"/>
      <c r="V829" s="64"/>
      <c r="W829" s="64"/>
      <c r="X829" s="64"/>
      <c r="Y829" s="64"/>
      <c r="Z829" s="64"/>
    </row>
    <row r="830" spans="1:26" thickBot="1">
      <c r="A830" s="66" t="str">
        <f t="shared" si="37"/>
        <v>Latitude 3760</v>
      </c>
      <c r="B830" s="86">
        <v>37.6</v>
      </c>
      <c r="C830" s="80">
        <v>60</v>
      </c>
      <c r="D830" s="69">
        <v>0.73</v>
      </c>
      <c r="E830" s="69">
        <v>0.86</v>
      </c>
      <c r="F830" s="69">
        <v>1.06</v>
      </c>
      <c r="G830" s="69">
        <v>1.3</v>
      </c>
      <c r="H830" s="69">
        <v>1.45</v>
      </c>
      <c r="I830" s="69">
        <v>1.44</v>
      </c>
      <c r="J830" s="69">
        <v>1.33</v>
      </c>
      <c r="K830" s="69">
        <v>1.19</v>
      </c>
      <c r="L830" s="69">
        <v>1.02</v>
      </c>
      <c r="M830" s="69">
        <v>0.85</v>
      </c>
      <c r="N830" s="69">
        <v>0.73</v>
      </c>
      <c r="O830" s="69">
        <v>0.68</v>
      </c>
      <c r="P830" s="71">
        <v>1.05</v>
      </c>
      <c r="Q830" s="64"/>
      <c r="R830" s="64"/>
      <c r="S830" s="64"/>
      <c r="T830" s="64"/>
      <c r="U830" s="64"/>
      <c r="V830" s="64"/>
      <c r="W830" s="64"/>
      <c r="X830" s="64"/>
      <c r="Y830" s="64"/>
      <c r="Z830" s="64"/>
    </row>
    <row r="831" spans="1:26" thickBot="1">
      <c r="A831" s="66" t="str">
        <f t="shared" si="37"/>
        <v>Latitude 3765</v>
      </c>
      <c r="B831" s="86">
        <v>37.65</v>
      </c>
      <c r="C831" s="80">
        <v>65</v>
      </c>
      <c r="D831" s="69">
        <v>0.66</v>
      </c>
      <c r="E831" s="69">
        <v>0.8</v>
      </c>
      <c r="F831" s="69">
        <v>1.02</v>
      </c>
      <c r="G831" s="69">
        <v>1.26</v>
      </c>
      <c r="H831" s="69">
        <v>1.43</v>
      </c>
      <c r="I831" s="69">
        <v>1.42</v>
      </c>
      <c r="J831" s="69">
        <v>1.31</v>
      </c>
      <c r="K831" s="69">
        <v>1.1599999999999999</v>
      </c>
      <c r="L831" s="69">
        <v>0.98</v>
      </c>
      <c r="M831" s="69">
        <v>0.8</v>
      </c>
      <c r="N831" s="69">
        <v>0.67</v>
      </c>
      <c r="O831" s="69">
        <v>0.62</v>
      </c>
      <c r="P831" s="71">
        <v>1.01</v>
      </c>
      <c r="Q831" s="64"/>
      <c r="R831" s="64"/>
      <c r="S831" s="64"/>
      <c r="T831" s="64"/>
      <c r="U831" s="64"/>
      <c r="V831" s="64"/>
      <c r="W831" s="64"/>
      <c r="X831" s="64"/>
      <c r="Y831" s="64"/>
      <c r="Z831" s="64"/>
    </row>
    <row r="832" spans="1:26" thickBot="1">
      <c r="A832" s="66" t="str">
        <f t="shared" si="37"/>
        <v>Latitude 3770</v>
      </c>
      <c r="B832" s="86">
        <v>37.700000000000003</v>
      </c>
      <c r="C832" s="80">
        <v>70</v>
      </c>
      <c r="D832" s="69">
        <v>0.6</v>
      </c>
      <c r="E832" s="69">
        <v>0.74</v>
      </c>
      <c r="F832" s="69">
        <v>0.9</v>
      </c>
      <c r="G832" s="69">
        <v>1.22</v>
      </c>
      <c r="H832" s="69">
        <v>1.4</v>
      </c>
      <c r="I832" s="69">
        <v>1.4</v>
      </c>
      <c r="J832" s="69">
        <v>1.27</v>
      </c>
      <c r="K832" s="69">
        <v>1.1200000000000001</v>
      </c>
      <c r="L832" s="69">
        <v>0.93</v>
      </c>
      <c r="M832" s="69">
        <v>0.74</v>
      </c>
      <c r="N832" s="69">
        <v>0.6</v>
      </c>
      <c r="O832" s="69">
        <v>0.55000000000000004</v>
      </c>
      <c r="P832" s="71">
        <v>0.96</v>
      </c>
      <c r="Q832" s="64"/>
      <c r="R832" s="64"/>
      <c r="S832" s="64"/>
      <c r="T832" s="64"/>
      <c r="U832" s="64"/>
      <c r="V832" s="64"/>
      <c r="W832" s="64"/>
      <c r="X832" s="64"/>
      <c r="Y832" s="64"/>
      <c r="Z832" s="64"/>
    </row>
    <row r="833" spans="1:26" thickBot="1">
      <c r="A833" s="66" t="str">
        <f t="shared" si="37"/>
        <v>Latitude 3775</v>
      </c>
      <c r="B833" s="86">
        <v>37.75</v>
      </c>
      <c r="C833" s="80">
        <v>75</v>
      </c>
      <c r="D833" s="69">
        <v>0.53</v>
      </c>
      <c r="E833" s="69">
        <v>0.68</v>
      </c>
      <c r="F833" s="69">
        <v>0.91</v>
      </c>
      <c r="G833" s="69">
        <v>1.17</v>
      </c>
      <c r="H833" s="69">
        <v>1.36</v>
      </c>
      <c r="I833" s="69">
        <v>1.36</v>
      </c>
      <c r="J833" s="69">
        <v>1.23</v>
      </c>
      <c r="K833" s="69">
        <v>1.07</v>
      </c>
      <c r="L833" s="69">
        <v>0.87</v>
      </c>
      <c r="M833" s="69">
        <v>0.67</v>
      </c>
      <c r="N833" s="69">
        <v>0.53</v>
      </c>
      <c r="O833" s="69">
        <v>0.48</v>
      </c>
      <c r="P833" s="71">
        <v>0.91</v>
      </c>
      <c r="Q833" s="64"/>
      <c r="R833" s="64"/>
      <c r="S833" s="64"/>
      <c r="T833" s="64"/>
      <c r="U833" s="64"/>
      <c r="V833" s="64"/>
      <c r="W833" s="64"/>
      <c r="X833" s="64"/>
      <c r="Y833" s="64"/>
      <c r="Z833" s="64"/>
    </row>
    <row r="834" spans="1:26" thickBot="1">
      <c r="A834" s="66" t="str">
        <f t="shared" si="37"/>
        <v>Latitude 3780</v>
      </c>
      <c r="B834" s="86">
        <v>37.799999999999997</v>
      </c>
      <c r="C834" s="80">
        <v>80</v>
      </c>
      <c r="D834" s="69">
        <v>0.45</v>
      </c>
      <c r="E834" s="69">
        <v>0.6</v>
      </c>
      <c r="F834" s="69">
        <v>0.84</v>
      </c>
      <c r="G834" s="69">
        <v>1.1200000000000001</v>
      </c>
      <c r="H834" s="69">
        <v>1.31</v>
      </c>
      <c r="I834" s="69">
        <v>1.31</v>
      </c>
      <c r="J834" s="69">
        <v>1.19</v>
      </c>
      <c r="K834" s="69">
        <v>1.02</v>
      </c>
      <c r="L834" s="69">
        <v>0.81</v>
      </c>
      <c r="M834" s="69">
        <v>0.6</v>
      </c>
      <c r="N834" s="69">
        <v>0.46</v>
      </c>
      <c r="O834" s="69">
        <v>0.4</v>
      </c>
      <c r="P834" s="71">
        <v>0.84</v>
      </c>
      <c r="Q834" s="64"/>
      <c r="R834" s="64"/>
      <c r="S834" s="64"/>
      <c r="T834" s="64"/>
      <c r="U834" s="64"/>
      <c r="V834" s="64"/>
      <c r="W834" s="64"/>
      <c r="X834" s="64"/>
      <c r="Y834" s="64"/>
      <c r="Z834" s="64"/>
    </row>
    <row r="835" spans="1:26" thickBot="1">
      <c r="A835" s="66" t="str">
        <f t="shared" si="37"/>
        <v>Latitude 3785</v>
      </c>
      <c r="B835" s="86">
        <v>37.85</v>
      </c>
      <c r="C835" s="80">
        <v>85</v>
      </c>
      <c r="D835" s="69">
        <v>0.38</v>
      </c>
      <c r="E835" s="69">
        <v>0.53</v>
      </c>
      <c r="F835" s="69">
        <v>0.77</v>
      </c>
      <c r="G835" s="69">
        <v>1.05</v>
      </c>
      <c r="H835" s="69">
        <v>1.26</v>
      </c>
      <c r="I835" s="69">
        <v>1.26</v>
      </c>
      <c r="J835" s="69">
        <v>1.1299999999999999</v>
      </c>
      <c r="K835" s="69">
        <v>0.96</v>
      </c>
      <c r="L835" s="69">
        <v>0.74</v>
      </c>
      <c r="M835" s="69">
        <v>0.53</v>
      </c>
      <c r="N835" s="69">
        <v>0.38</v>
      </c>
      <c r="O835" s="69">
        <v>0.32</v>
      </c>
      <c r="P835" s="71">
        <v>0.78</v>
      </c>
      <c r="Q835" s="64"/>
      <c r="R835" s="64"/>
      <c r="S835" s="64"/>
      <c r="T835" s="64"/>
      <c r="U835" s="64"/>
      <c r="V835" s="64"/>
      <c r="W835" s="64"/>
      <c r="X835" s="64"/>
      <c r="Y835" s="64"/>
      <c r="Z835" s="64"/>
    </row>
    <row r="836" spans="1:26" thickBot="1">
      <c r="A836" s="66" t="str">
        <f t="shared" si="37"/>
        <v>Latitude 3790</v>
      </c>
      <c r="B836" s="86">
        <v>37.9</v>
      </c>
      <c r="C836" s="69">
        <v>90</v>
      </c>
      <c r="D836" s="69">
        <v>0.3</v>
      </c>
      <c r="E836" s="69">
        <v>0.45</v>
      </c>
      <c r="F836" s="69">
        <v>0.7</v>
      </c>
      <c r="G836" s="69">
        <v>0.98</v>
      </c>
      <c r="H836" s="69">
        <v>1.19</v>
      </c>
      <c r="I836" s="69">
        <v>1.2</v>
      </c>
      <c r="J836" s="69">
        <v>1.07</v>
      </c>
      <c r="K836" s="69">
        <v>0.89</v>
      </c>
      <c r="L836" s="69">
        <v>0.67</v>
      </c>
      <c r="M836" s="69">
        <v>0.46</v>
      </c>
      <c r="N836" s="69">
        <v>0.3</v>
      </c>
      <c r="O836" s="69">
        <v>0.25</v>
      </c>
      <c r="P836" s="71">
        <v>0.71</v>
      </c>
      <c r="Q836" s="64"/>
      <c r="R836" s="64"/>
      <c r="S836" s="64"/>
      <c r="T836" s="64"/>
      <c r="U836" s="64"/>
      <c r="V836" s="64"/>
      <c r="W836" s="64"/>
      <c r="X836" s="64"/>
      <c r="Y836" s="64"/>
      <c r="Z836" s="64"/>
    </row>
    <row r="837" spans="1:26" thickBot="1">
      <c r="A837" s="66"/>
      <c r="B837" s="88"/>
      <c r="C837" s="73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66"/>
      <c r="Q837" s="64"/>
      <c r="R837" s="64"/>
      <c r="S837" s="64"/>
      <c r="T837" s="64"/>
      <c r="U837" s="64"/>
      <c r="V837" s="64"/>
      <c r="W837" s="64"/>
      <c r="X837" s="64"/>
      <c r="Y837" s="64"/>
      <c r="Z837" s="64"/>
    </row>
    <row r="838" spans="1:26" thickBot="1">
      <c r="A838" s="66"/>
      <c r="B838" s="88"/>
      <c r="C838" s="73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66"/>
      <c r="Q838" s="64"/>
      <c r="R838" s="64"/>
      <c r="S838" s="64"/>
      <c r="T838" s="64"/>
      <c r="U838" s="64"/>
      <c r="V838" s="64"/>
      <c r="W838" s="64"/>
      <c r="X838" s="64"/>
      <c r="Y838" s="64"/>
      <c r="Z838" s="64"/>
    </row>
    <row r="839" spans="1:26" thickBot="1">
      <c r="A839" s="66"/>
      <c r="B839" s="85" t="s">
        <v>5903</v>
      </c>
      <c r="C839" s="75" t="s">
        <v>5853</v>
      </c>
      <c r="D839" s="75" t="s">
        <v>5827</v>
      </c>
      <c r="E839" s="75" t="s">
        <v>5828</v>
      </c>
      <c r="F839" s="75" t="s">
        <v>5829</v>
      </c>
      <c r="G839" s="75" t="s">
        <v>5830</v>
      </c>
      <c r="H839" s="75" t="s">
        <v>5831</v>
      </c>
      <c r="I839" s="75" t="s">
        <v>5832</v>
      </c>
      <c r="J839" s="75" t="s">
        <v>5833</v>
      </c>
      <c r="K839" s="75" t="s">
        <v>5834</v>
      </c>
      <c r="L839" s="75" t="s">
        <v>5835</v>
      </c>
      <c r="M839" s="75" t="s">
        <v>5836</v>
      </c>
      <c r="N839" s="75" t="s">
        <v>5837</v>
      </c>
      <c r="O839" s="75" t="s">
        <v>5838</v>
      </c>
      <c r="P839" s="74" t="s">
        <v>20</v>
      </c>
      <c r="Q839" s="64"/>
      <c r="R839" s="64"/>
      <c r="S839" s="64"/>
      <c r="T839" s="64"/>
      <c r="U839" s="64"/>
      <c r="V839" s="64"/>
      <c r="W839" s="64"/>
      <c r="X839" s="64"/>
      <c r="Y839" s="64"/>
      <c r="Z839" s="64"/>
    </row>
    <row r="840" spans="1:26" thickBot="1">
      <c r="A840" s="66" t="str">
        <f>$B$839&amp;C840</f>
        <v>Latitude 380</v>
      </c>
      <c r="B840" s="86">
        <v>38</v>
      </c>
      <c r="C840" s="80">
        <v>0</v>
      </c>
      <c r="D840" s="69">
        <v>1</v>
      </c>
      <c r="E840" s="69">
        <v>1</v>
      </c>
      <c r="F840" s="69">
        <v>1</v>
      </c>
      <c r="G840" s="69">
        <v>1</v>
      </c>
      <c r="H840" s="69">
        <v>1</v>
      </c>
      <c r="I840" s="69">
        <v>1</v>
      </c>
      <c r="J840" s="69">
        <v>1</v>
      </c>
      <c r="K840" s="69">
        <v>1</v>
      </c>
      <c r="L840" s="69">
        <v>1</v>
      </c>
      <c r="M840" s="69">
        <v>1</v>
      </c>
      <c r="N840" s="69">
        <v>1</v>
      </c>
      <c r="O840" s="69">
        <v>1</v>
      </c>
      <c r="P840" s="71">
        <v>1</v>
      </c>
      <c r="Q840" s="64"/>
      <c r="R840" s="64"/>
      <c r="S840" s="64"/>
      <c r="T840" s="64"/>
      <c r="U840" s="64"/>
      <c r="V840" s="64"/>
      <c r="W840" s="64"/>
      <c r="X840" s="64"/>
      <c r="Y840" s="64"/>
      <c r="Z840" s="64"/>
    </row>
    <row r="841" spans="1:26" thickBot="1">
      <c r="A841" s="66" t="str">
        <f t="shared" ref="A841:A858" si="38">$B$839&amp;C841</f>
        <v>Latitude 385</v>
      </c>
      <c r="B841" s="86">
        <v>38.5</v>
      </c>
      <c r="C841" s="80">
        <v>5</v>
      </c>
      <c r="D841" s="69">
        <v>1.02</v>
      </c>
      <c r="E841" s="69">
        <v>1.03</v>
      </c>
      <c r="F841" s="69">
        <v>1.05</v>
      </c>
      <c r="G841" s="69">
        <v>1.07</v>
      </c>
      <c r="H841" s="69">
        <v>1.08</v>
      </c>
      <c r="I841" s="69">
        <v>1.08</v>
      </c>
      <c r="J841" s="69">
        <v>1.07</v>
      </c>
      <c r="K841" s="69">
        <v>1.06</v>
      </c>
      <c r="L841" s="69">
        <v>1.04</v>
      </c>
      <c r="M841" s="69">
        <v>1.03</v>
      </c>
      <c r="N841" s="69">
        <v>1.02</v>
      </c>
      <c r="O841" s="69">
        <v>1.01</v>
      </c>
      <c r="P841" s="71">
        <v>1.05</v>
      </c>
      <c r="Q841" s="64"/>
      <c r="R841" s="64"/>
      <c r="S841" s="64"/>
      <c r="T841" s="64"/>
      <c r="U841" s="64"/>
      <c r="V841" s="64"/>
      <c r="W841" s="64"/>
      <c r="X841" s="64"/>
      <c r="Y841" s="64"/>
      <c r="Z841" s="64"/>
    </row>
    <row r="842" spans="1:26" thickBot="1">
      <c r="A842" s="66" t="str">
        <f t="shared" si="38"/>
        <v>Latitude 3810</v>
      </c>
      <c r="B842" s="86">
        <v>38.1</v>
      </c>
      <c r="C842" s="80">
        <v>10</v>
      </c>
      <c r="D842" s="69">
        <v>1.03</v>
      </c>
      <c r="E842" s="69">
        <v>1.05</v>
      </c>
      <c r="F842" s="69">
        <v>1.0900000000000001</v>
      </c>
      <c r="G842" s="69">
        <v>1.1399999999999999</v>
      </c>
      <c r="H842" s="69">
        <v>1.1599999999999999</v>
      </c>
      <c r="I842" s="69">
        <v>1.1599999999999999</v>
      </c>
      <c r="J842" s="69">
        <v>1.1299999999999999</v>
      </c>
      <c r="K842" s="69">
        <v>1.1100000000000001</v>
      </c>
      <c r="L842" s="69">
        <v>1.08</v>
      </c>
      <c r="M842" s="69">
        <v>1.05</v>
      </c>
      <c r="N842" s="69">
        <v>1.02</v>
      </c>
      <c r="O842" s="69">
        <v>1.02</v>
      </c>
      <c r="P842" s="71">
        <v>1.0900000000000001</v>
      </c>
      <c r="Q842" s="64"/>
      <c r="R842" s="64"/>
      <c r="S842" s="64"/>
      <c r="T842" s="64"/>
      <c r="U842" s="64"/>
      <c r="V842" s="64"/>
      <c r="W842" s="64"/>
      <c r="X842" s="64"/>
      <c r="Y842" s="64"/>
      <c r="Z842" s="64"/>
    </row>
    <row r="843" spans="1:26" thickBot="1">
      <c r="A843" s="66" t="str">
        <f t="shared" si="38"/>
        <v>Latitude 3815</v>
      </c>
      <c r="B843" s="86">
        <v>38.15</v>
      </c>
      <c r="C843" s="80">
        <v>15</v>
      </c>
      <c r="D843" s="69">
        <v>1.03</v>
      </c>
      <c r="E843" s="69">
        <v>1.07</v>
      </c>
      <c r="F843" s="69">
        <v>1.1299999999999999</v>
      </c>
      <c r="G843" s="69">
        <v>1.19</v>
      </c>
      <c r="H843" s="69">
        <v>1.23</v>
      </c>
      <c r="I843" s="69">
        <v>1.22</v>
      </c>
      <c r="J843" s="69">
        <v>1.19</v>
      </c>
      <c r="K843" s="69">
        <v>1.1499999999999999</v>
      </c>
      <c r="L843" s="69">
        <v>1.1100000000000001</v>
      </c>
      <c r="M843" s="69">
        <v>1.06</v>
      </c>
      <c r="N843" s="69">
        <v>1.03</v>
      </c>
      <c r="O843" s="69">
        <v>1.01</v>
      </c>
      <c r="P843" s="71">
        <v>1.1200000000000001</v>
      </c>
      <c r="Q843" s="64"/>
      <c r="R843" s="64"/>
      <c r="S843" s="64"/>
      <c r="T843" s="64"/>
      <c r="U843" s="64"/>
      <c r="V843" s="64"/>
      <c r="W843" s="64"/>
      <c r="X843" s="64"/>
      <c r="Y843" s="64"/>
      <c r="Z843" s="64"/>
    </row>
    <row r="844" spans="1:26" thickBot="1">
      <c r="A844" s="66" t="str">
        <f t="shared" si="38"/>
        <v>Latitude 3820</v>
      </c>
      <c r="B844" s="86">
        <v>38.200000000000003</v>
      </c>
      <c r="C844" s="80">
        <v>20</v>
      </c>
      <c r="D844" s="69">
        <v>1.02</v>
      </c>
      <c r="E844" s="69">
        <v>1.07</v>
      </c>
      <c r="F844" s="69">
        <v>1.1499999999999999</v>
      </c>
      <c r="G844" s="69">
        <v>1.24</v>
      </c>
      <c r="H844" s="69">
        <v>1.3</v>
      </c>
      <c r="I844" s="69">
        <v>1.29</v>
      </c>
      <c r="J844" s="69">
        <v>1.24</v>
      </c>
      <c r="K844" s="69">
        <v>1.19</v>
      </c>
      <c r="L844" s="69">
        <v>1.1299999999999999</v>
      </c>
      <c r="M844" s="69">
        <v>1.07</v>
      </c>
      <c r="N844" s="69">
        <v>1.02</v>
      </c>
      <c r="O844" s="69">
        <v>1.01</v>
      </c>
      <c r="P844" s="71">
        <v>1.1399999999999999</v>
      </c>
      <c r="Q844" s="64"/>
      <c r="R844" s="64"/>
      <c r="S844" s="64"/>
      <c r="T844" s="64"/>
      <c r="U844" s="64"/>
      <c r="V844" s="64"/>
      <c r="W844" s="64"/>
      <c r="X844" s="64"/>
      <c r="Y844" s="64"/>
      <c r="Z844" s="64"/>
    </row>
    <row r="845" spans="1:26" thickBot="1">
      <c r="A845" s="66" t="str">
        <f t="shared" si="38"/>
        <v>Latitude 3825</v>
      </c>
      <c r="B845" s="86">
        <v>38.25</v>
      </c>
      <c r="C845" s="80">
        <v>25</v>
      </c>
      <c r="D845" s="69">
        <v>1.01</v>
      </c>
      <c r="E845" s="69">
        <v>1.08</v>
      </c>
      <c r="F845" s="69">
        <v>1.17</v>
      </c>
      <c r="G845" s="69">
        <v>1.28</v>
      </c>
      <c r="H845" s="69">
        <v>1.35</v>
      </c>
      <c r="I845" s="69">
        <v>1.34</v>
      </c>
      <c r="J845" s="69">
        <v>1.28</v>
      </c>
      <c r="K845" s="69">
        <v>1.22</v>
      </c>
      <c r="L845" s="69">
        <v>1.1399999999999999</v>
      </c>
      <c r="M845" s="69">
        <v>1.07</v>
      </c>
      <c r="N845" s="69">
        <v>1.01</v>
      </c>
      <c r="O845" s="69">
        <v>0.99</v>
      </c>
      <c r="P845" s="71">
        <v>1.1599999999999999</v>
      </c>
      <c r="Q845" s="64"/>
      <c r="R845" s="64"/>
      <c r="S845" s="64"/>
      <c r="T845" s="64"/>
      <c r="U845" s="64"/>
      <c r="V845" s="64"/>
      <c r="W845" s="64"/>
      <c r="X845" s="64"/>
      <c r="Y845" s="64"/>
      <c r="Z845" s="64"/>
    </row>
    <row r="846" spans="1:26" thickBot="1">
      <c r="A846" s="66" t="str">
        <f t="shared" si="38"/>
        <v>Latitude 3830</v>
      </c>
      <c r="B846" s="86">
        <v>38.299999999999997</v>
      </c>
      <c r="C846" s="80">
        <v>30</v>
      </c>
      <c r="D846" s="69">
        <v>0.99</v>
      </c>
      <c r="E846" s="69">
        <v>1.07</v>
      </c>
      <c r="F846" s="69">
        <v>1.18</v>
      </c>
      <c r="G846" s="69">
        <v>1.31</v>
      </c>
      <c r="H846" s="69">
        <v>1.4</v>
      </c>
      <c r="I846" s="69">
        <v>1.38</v>
      </c>
      <c r="J846" s="69">
        <v>1.31</v>
      </c>
      <c r="K846" s="81">
        <v>1.24</v>
      </c>
      <c r="L846" s="69">
        <v>1.1499999999999999</v>
      </c>
      <c r="M846" s="69">
        <v>1.06</v>
      </c>
      <c r="N846" s="69">
        <v>0.99</v>
      </c>
      <c r="O846" s="69">
        <v>0.97</v>
      </c>
      <c r="P846" s="71">
        <v>1.17</v>
      </c>
      <c r="Q846" s="64"/>
      <c r="R846" s="64"/>
      <c r="S846" s="64"/>
      <c r="T846" s="64"/>
      <c r="U846" s="64"/>
      <c r="V846" s="64"/>
      <c r="W846" s="64"/>
      <c r="X846" s="64"/>
      <c r="Y846" s="64"/>
      <c r="Z846" s="64"/>
    </row>
    <row r="847" spans="1:26" thickBot="1">
      <c r="A847" s="66" t="str">
        <f t="shared" si="38"/>
        <v>Latitude 3835</v>
      </c>
      <c r="B847" s="86">
        <v>38.35</v>
      </c>
      <c r="C847" s="80">
        <v>35</v>
      </c>
      <c r="D847" s="69">
        <v>0.97</v>
      </c>
      <c r="E847" s="69">
        <v>1.05</v>
      </c>
      <c r="F847" s="69">
        <v>1.19</v>
      </c>
      <c r="G847" s="69">
        <v>1.34</v>
      </c>
      <c r="H847" s="69">
        <v>1.43</v>
      </c>
      <c r="I847" s="69">
        <v>1.42</v>
      </c>
      <c r="J847" s="69">
        <v>1.34</v>
      </c>
      <c r="K847" s="69">
        <v>1.25</v>
      </c>
      <c r="L847" s="69">
        <v>1.1499999999999999</v>
      </c>
      <c r="M847" s="69">
        <v>1.04</v>
      </c>
      <c r="N847" s="69">
        <v>0.96</v>
      </c>
      <c r="O847" s="69">
        <v>0.94</v>
      </c>
      <c r="P847" s="71">
        <v>1.17</v>
      </c>
      <c r="Q847" s="64"/>
      <c r="R847" s="64"/>
      <c r="S847" s="64"/>
      <c r="T847" s="64"/>
      <c r="U847" s="64"/>
      <c r="V847" s="64"/>
      <c r="W847" s="64"/>
      <c r="X847" s="64"/>
      <c r="Y847" s="64"/>
      <c r="Z847" s="64"/>
    </row>
    <row r="848" spans="1:26" thickBot="1">
      <c r="A848" s="66" t="str">
        <f t="shared" si="38"/>
        <v>Latitude 3840</v>
      </c>
      <c r="B848" s="86">
        <v>38.4</v>
      </c>
      <c r="C848" s="80">
        <v>40</v>
      </c>
      <c r="D848" s="69">
        <v>0.93</v>
      </c>
      <c r="E848" s="69">
        <v>1.03</v>
      </c>
      <c r="F848" s="69">
        <v>1.18</v>
      </c>
      <c r="G848" s="69">
        <v>1.35</v>
      </c>
      <c r="H848" s="69">
        <v>1.46</v>
      </c>
      <c r="I848" s="69">
        <v>1.45</v>
      </c>
      <c r="J848" s="69">
        <v>1.36</v>
      </c>
      <c r="K848" s="69">
        <v>1.26</v>
      </c>
      <c r="L848" s="69">
        <v>1.1399999999999999</v>
      </c>
      <c r="M848" s="69">
        <v>1.02</v>
      </c>
      <c r="N848" s="69">
        <v>0.93</v>
      </c>
      <c r="O848" s="69">
        <v>0.9</v>
      </c>
      <c r="P848" s="71">
        <v>1.17</v>
      </c>
      <c r="Q848" s="64"/>
      <c r="R848" s="64"/>
      <c r="S848" s="64"/>
      <c r="T848" s="64"/>
      <c r="U848" s="64"/>
      <c r="V848" s="64"/>
      <c r="W848" s="64"/>
      <c r="X848" s="64"/>
      <c r="Y848" s="64"/>
      <c r="Z848" s="64"/>
    </row>
    <row r="849" spans="1:26" thickBot="1">
      <c r="A849" s="66" t="str">
        <f t="shared" si="38"/>
        <v>Latitude 3845</v>
      </c>
      <c r="B849" s="86">
        <v>38.450000000000003</v>
      </c>
      <c r="C849" s="80">
        <v>45</v>
      </c>
      <c r="D849" s="69">
        <v>0.89</v>
      </c>
      <c r="E849" s="69">
        <v>1</v>
      </c>
      <c r="F849" s="69">
        <v>1.17</v>
      </c>
      <c r="G849" s="69">
        <v>1.36</v>
      </c>
      <c r="H849" s="69">
        <v>1.48</v>
      </c>
      <c r="I849" s="69">
        <v>1.47</v>
      </c>
      <c r="J849" s="69">
        <v>1.37</v>
      </c>
      <c r="K849" s="69">
        <v>1.26</v>
      </c>
      <c r="L849" s="69">
        <v>1.1299999999999999</v>
      </c>
      <c r="M849" s="69">
        <v>0.99</v>
      </c>
      <c r="N849" s="69">
        <v>0.89</v>
      </c>
      <c r="O849" s="69">
        <v>0.86</v>
      </c>
      <c r="P849" s="71">
        <v>1.1599999999999999</v>
      </c>
      <c r="Q849" s="64"/>
      <c r="R849" s="64"/>
      <c r="S849" s="64"/>
      <c r="T849" s="64"/>
      <c r="U849" s="64"/>
      <c r="V849" s="64"/>
      <c r="W849" s="64"/>
      <c r="X849" s="64"/>
      <c r="Y849" s="64"/>
      <c r="Z849" s="64"/>
    </row>
    <row r="850" spans="1:26" thickBot="1">
      <c r="A850" s="66" t="str">
        <f t="shared" si="38"/>
        <v>Latitude 3850</v>
      </c>
      <c r="B850" s="86">
        <v>38.5</v>
      </c>
      <c r="C850" s="80">
        <v>50</v>
      </c>
      <c r="D850" s="69">
        <v>0.85</v>
      </c>
      <c r="E850" s="69">
        <v>0.97</v>
      </c>
      <c r="F850" s="69">
        <v>1.1499999999999999</v>
      </c>
      <c r="G850" s="69">
        <v>1.35</v>
      </c>
      <c r="H850" s="69">
        <v>1.49</v>
      </c>
      <c r="I850" s="69">
        <v>1.48</v>
      </c>
      <c r="J850" s="69">
        <v>1.37</v>
      </c>
      <c r="K850" s="69">
        <v>1.25</v>
      </c>
      <c r="L850" s="69">
        <v>1.1000000000000001</v>
      </c>
      <c r="M850" s="69">
        <v>0.96</v>
      </c>
      <c r="N850" s="69">
        <v>0.85</v>
      </c>
      <c r="O850" s="69">
        <v>0.81</v>
      </c>
      <c r="P850" s="71">
        <v>1.1399999999999999</v>
      </c>
      <c r="Q850" s="64"/>
      <c r="R850" s="64"/>
      <c r="S850" s="64"/>
      <c r="T850" s="64"/>
      <c r="U850" s="64"/>
      <c r="V850" s="64"/>
      <c r="W850" s="64"/>
      <c r="X850" s="64"/>
      <c r="Y850" s="64"/>
      <c r="Z850" s="64"/>
    </row>
    <row r="851" spans="1:26" thickBot="1">
      <c r="A851" s="66" t="str">
        <f t="shared" si="38"/>
        <v>Latitude 3855</v>
      </c>
      <c r="B851" s="86">
        <v>38.549999999999997</v>
      </c>
      <c r="C851" s="80">
        <v>55</v>
      </c>
      <c r="D851" s="69">
        <v>0.8</v>
      </c>
      <c r="E851" s="69">
        <v>0.92</v>
      </c>
      <c r="F851" s="69">
        <v>1.1200000000000001</v>
      </c>
      <c r="G851" s="69">
        <v>1.34</v>
      </c>
      <c r="H851" s="69">
        <v>1.49</v>
      </c>
      <c r="I851" s="69">
        <v>1.48</v>
      </c>
      <c r="J851" s="69">
        <v>1.36</v>
      </c>
      <c r="K851" s="69">
        <v>1.23</v>
      </c>
      <c r="L851" s="69">
        <v>1.07</v>
      </c>
      <c r="M851" s="69">
        <v>0.91</v>
      </c>
      <c r="N851" s="69">
        <v>0.8</v>
      </c>
      <c r="O851" s="69">
        <v>0.75</v>
      </c>
      <c r="P851" s="71">
        <v>1.1100000000000001</v>
      </c>
      <c r="Q851" s="64"/>
      <c r="R851" s="64"/>
      <c r="S851" s="64"/>
      <c r="T851" s="64"/>
      <c r="U851" s="64"/>
      <c r="V851" s="64"/>
      <c r="W851" s="64"/>
      <c r="X851" s="64"/>
      <c r="Y851" s="64"/>
      <c r="Z851" s="64"/>
    </row>
    <row r="852" spans="1:26" thickBot="1">
      <c r="A852" s="66" t="str">
        <f t="shared" si="38"/>
        <v>Latitude 3860</v>
      </c>
      <c r="B852" s="86">
        <v>38.6</v>
      </c>
      <c r="C852" s="80">
        <v>60</v>
      </c>
      <c r="D852" s="69">
        <v>0.74</v>
      </c>
      <c r="E852" s="69">
        <v>0.87</v>
      </c>
      <c r="F852" s="69">
        <v>1.08</v>
      </c>
      <c r="G852" s="69">
        <v>1.32</v>
      </c>
      <c r="H852" s="69">
        <v>1.48</v>
      </c>
      <c r="I852" s="69">
        <v>1.47</v>
      </c>
      <c r="J852" s="69">
        <v>1.35</v>
      </c>
      <c r="K852" s="69">
        <v>1.21</v>
      </c>
      <c r="L852" s="69">
        <v>1.04</v>
      </c>
      <c r="M852" s="69">
        <v>0.86</v>
      </c>
      <c r="N852" s="69">
        <v>0.74</v>
      </c>
      <c r="O852" s="69">
        <v>0.69</v>
      </c>
      <c r="P852" s="71">
        <v>1.07</v>
      </c>
      <c r="Q852" s="64"/>
      <c r="R852" s="64"/>
      <c r="S852" s="64"/>
      <c r="T852" s="64"/>
      <c r="U852" s="64"/>
      <c r="V852" s="64"/>
      <c r="W852" s="64"/>
      <c r="X852" s="64"/>
      <c r="Y852" s="64"/>
      <c r="Z852" s="64"/>
    </row>
    <row r="853" spans="1:26" thickBot="1">
      <c r="A853" s="66" t="str">
        <f t="shared" si="38"/>
        <v>Latitude 3865</v>
      </c>
      <c r="B853" s="86">
        <v>38.65</v>
      </c>
      <c r="C853" s="80">
        <v>65</v>
      </c>
      <c r="D853" s="69">
        <v>0.68</v>
      </c>
      <c r="E853" s="69">
        <v>0.82</v>
      </c>
      <c r="F853" s="69">
        <v>1.04</v>
      </c>
      <c r="G853" s="69">
        <v>1.29</v>
      </c>
      <c r="H853" s="69">
        <v>1.46</v>
      </c>
      <c r="I853" s="69">
        <v>1.45</v>
      </c>
      <c r="J853" s="69">
        <v>1.33</v>
      </c>
      <c r="K853" s="69">
        <v>1.18</v>
      </c>
      <c r="L853" s="69">
        <v>0.99</v>
      </c>
      <c r="M853" s="69">
        <v>0.81</v>
      </c>
      <c r="N853" s="69">
        <v>0.68</v>
      </c>
      <c r="O853" s="69">
        <v>0.63</v>
      </c>
      <c r="P853" s="71">
        <v>1.03</v>
      </c>
      <c r="Q853" s="64"/>
      <c r="R853" s="64"/>
      <c r="S853" s="64"/>
      <c r="T853" s="64"/>
      <c r="U853" s="64"/>
      <c r="V853" s="64"/>
      <c r="W853" s="64"/>
      <c r="X853" s="64"/>
      <c r="Y853" s="64"/>
      <c r="Z853" s="64"/>
    </row>
    <row r="854" spans="1:26" thickBot="1">
      <c r="A854" s="66" t="str">
        <f t="shared" si="38"/>
        <v>Latitude 3870</v>
      </c>
      <c r="B854" s="86">
        <v>38.700000000000003</v>
      </c>
      <c r="C854" s="80">
        <v>70</v>
      </c>
      <c r="D854" s="69">
        <v>0.61</v>
      </c>
      <c r="E854" s="69">
        <v>0.76</v>
      </c>
      <c r="F854" s="69">
        <v>0.98</v>
      </c>
      <c r="G854" s="69">
        <v>1.25</v>
      </c>
      <c r="H854" s="69">
        <v>1.43</v>
      </c>
      <c r="I854" s="69">
        <v>1.42</v>
      </c>
      <c r="J854" s="69">
        <v>1.29</v>
      </c>
      <c r="K854" s="69">
        <v>1.1399999999999999</v>
      </c>
      <c r="L854" s="69">
        <v>0.94</v>
      </c>
      <c r="M854" s="69">
        <v>0.75</v>
      </c>
      <c r="N854" s="69">
        <v>0.61</v>
      </c>
      <c r="O854" s="69">
        <v>0.56000000000000005</v>
      </c>
      <c r="P854" s="71">
        <v>0.98</v>
      </c>
      <c r="Q854" s="64"/>
      <c r="R854" s="64"/>
      <c r="S854" s="64"/>
      <c r="T854" s="64"/>
      <c r="U854" s="64"/>
      <c r="V854" s="64"/>
      <c r="W854" s="64"/>
      <c r="X854" s="64"/>
      <c r="Y854" s="64"/>
      <c r="Z854" s="64"/>
    </row>
    <row r="855" spans="1:26" thickBot="1">
      <c r="A855" s="66" t="str">
        <f t="shared" si="38"/>
        <v>Latitude 3875</v>
      </c>
      <c r="B855" s="86">
        <v>38.75</v>
      </c>
      <c r="C855" s="80">
        <v>75</v>
      </c>
      <c r="D855" s="69">
        <v>0.54</v>
      </c>
      <c r="E855" s="69">
        <v>0.69</v>
      </c>
      <c r="F855" s="69">
        <v>0.93</v>
      </c>
      <c r="G855" s="69">
        <v>1.2</v>
      </c>
      <c r="H855" s="69">
        <v>1.39</v>
      </c>
      <c r="I855" s="69">
        <v>1.39</v>
      </c>
      <c r="J855" s="69">
        <v>1.25</v>
      </c>
      <c r="K855" s="69">
        <v>1.0900000000000001</v>
      </c>
      <c r="L855" s="69">
        <v>0.89</v>
      </c>
      <c r="M855" s="69">
        <v>0.69</v>
      </c>
      <c r="N855" s="69">
        <v>0.54</v>
      </c>
      <c r="O855" s="69">
        <v>0.49</v>
      </c>
      <c r="P855" s="71">
        <v>0.92</v>
      </c>
      <c r="Q855" s="64"/>
      <c r="R855" s="64"/>
      <c r="S855" s="64"/>
      <c r="T855" s="64"/>
      <c r="U855" s="64"/>
      <c r="V855" s="64"/>
      <c r="W855" s="64"/>
      <c r="X855" s="64"/>
      <c r="Y855" s="64"/>
      <c r="Z855" s="64"/>
    </row>
    <row r="856" spans="1:26" thickBot="1">
      <c r="A856" s="66" t="str">
        <f t="shared" si="38"/>
        <v>Latitude 3880</v>
      </c>
      <c r="B856" s="86">
        <v>38.799999999999997</v>
      </c>
      <c r="C856" s="80">
        <v>80</v>
      </c>
      <c r="D856" s="69">
        <v>0.47</v>
      </c>
      <c r="E856" s="69">
        <v>0.62</v>
      </c>
      <c r="F856" s="69">
        <v>0.86</v>
      </c>
      <c r="G856" s="69">
        <v>1.1399999999999999</v>
      </c>
      <c r="H856" s="69">
        <v>1.34</v>
      </c>
      <c r="I856" s="69">
        <v>1.34</v>
      </c>
      <c r="J856" s="69">
        <v>1.21</v>
      </c>
      <c r="K856" s="69">
        <v>1.04</v>
      </c>
      <c r="L856" s="69">
        <v>0.83</v>
      </c>
      <c r="M856" s="69">
        <v>0.62</v>
      </c>
      <c r="N856" s="69">
        <v>0.47</v>
      </c>
      <c r="O856" s="69">
        <v>0.42</v>
      </c>
      <c r="P856" s="71">
        <v>0.86</v>
      </c>
      <c r="Q856" s="64"/>
      <c r="R856" s="64"/>
      <c r="S856" s="64"/>
      <c r="T856" s="64"/>
      <c r="U856" s="64"/>
      <c r="V856" s="64"/>
      <c r="W856" s="64"/>
      <c r="X856" s="64"/>
      <c r="Y856" s="64"/>
      <c r="Z856" s="64"/>
    </row>
    <row r="857" spans="1:26" thickBot="1">
      <c r="A857" s="66" t="str">
        <f t="shared" si="38"/>
        <v>Latitude 3885</v>
      </c>
      <c r="B857" s="86">
        <v>38.85</v>
      </c>
      <c r="C857" s="80">
        <v>85</v>
      </c>
      <c r="D857" s="69">
        <v>0.39</v>
      </c>
      <c r="E857" s="69">
        <v>0.55000000000000004</v>
      </c>
      <c r="F857" s="69">
        <v>0.79</v>
      </c>
      <c r="G857" s="69">
        <v>1.08</v>
      </c>
      <c r="H857" s="69">
        <v>1.29</v>
      </c>
      <c r="I857" s="69">
        <v>1.29</v>
      </c>
      <c r="J857" s="69">
        <v>1.1499999999999999</v>
      </c>
      <c r="K857" s="69">
        <v>0.98</v>
      </c>
      <c r="L857" s="69">
        <v>0.76</v>
      </c>
      <c r="M857" s="69">
        <v>0.55000000000000004</v>
      </c>
      <c r="N857" s="69">
        <v>0.4</v>
      </c>
      <c r="O857" s="69">
        <v>0.34</v>
      </c>
      <c r="P857" s="71">
        <v>0.8</v>
      </c>
      <c r="Q857" s="64"/>
      <c r="R857" s="64"/>
      <c r="S857" s="64"/>
      <c r="T857" s="64"/>
      <c r="U857" s="64"/>
      <c r="V857" s="64"/>
      <c r="W857" s="64"/>
      <c r="X857" s="64"/>
      <c r="Y857" s="64"/>
      <c r="Z857" s="64"/>
    </row>
    <row r="858" spans="1:26" thickBot="1">
      <c r="A858" s="66" t="str">
        <f t="shared" si="38"/>
        <v>Latitude 3890</v>
      </c>
      <c r="B858" s="86">
        <v>38.9</v>
      </c>
      <c r="C858" s="69">
        <v>90</v>
      </c>
      <c r="D858" s="69">
        <v>0.31</v>
      </c>
      <c r="E858" s="69">
        <v>0.47</v>
      </c>
      <c r="F858" s="69">
        <v>0.72</v>
      </c>
      <c r="G858" s="69">
        <v>1.01</v>
      </c>
      <c r="H858" s="69">
        <v>1.22</v>
      </c>
      <c r="I858" s="69">
        <v>1.23</v>
      </c>
      <c r="J858" s="69">
        <v>1.0900000000000001</v>
      </c>
      <c r="K858" s="69">
        <v>0.91</v>
      </c>
      <c r="L858" s="69">
        <v>0.69</v>
      </c>
      <c r="M858" s="69">
        <v>0.47</v>
      </c>
      <c r="N858" s="69">
        <v>0.32</v>
      </c>
      <c r="O858" s="69">
        <v>0.26</v>
      </c>
      <c r="P858" s="71">
        <v>0.73</v>
      </c>
      <c r="Q858" s="64"/>
      <c r="R858" s="64"/>
      <c r="S858" s="64"/>
      <c r="T858" s="64"/>
      <c r="U858" s="64"/>
      <c r="V858" s="64"/>
      <c r="W858" s="64"/>
      <c r="X858" s="64"/>
      <c r="Y858" s="64"/>
      <c r="Z858" s="64"/>
    </row>
    <row r="859" spans="1:26" thickBot="1">
      <c r="A859" s="66"/>
      <c r="B859" s="88"/>
      <c r="C859" s="73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66"/>
      <c r="Q859" s="64"/>
      <c r="R859" s="64"/>
      <c r="S859" s="64"/>
      <c r="T859" s="64"/>
      <c r="U859" s="64"/>
      <c r="V859" s="64"/>
      <c r="W859" s="64"/>
      <c r="X859" s="64"/>
      <c r="Y859" s="64"/>
      <c r="Z859" s="64"/>
    </row>
    <row r="860" spans="1:26" thickBot="1">
      <c r="A860" s="66"/>
      <c r="B860" s="88"/>
      <c r="C860" s="73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66"/>
      <c r="Q860" s="64"/>
      <c r="R860" s="64"/>
      <c r="S860" s="64"/>
      <c r="T860" s="64"/>
      <c r="U860" s="64"/>
      <c r="V860" s="64"/>
      <c r="W860" s="64"/>
      <c r="X860" s="64"/>
      <c r="Y860" s="64"/>
      <c r="Z860" s="64"/>
    </row>
    <row r="861" spans="1:26" thickBot="1">
      <c r="A861" s="66"/>
      <c r="B861" s="85" t="s">
        <v>5904</v>
      </c>
      <c r="C861" s="75" t="s">
        <v>5853</v>
      </c>
      <c r="D861" s="75" t="s">
        <v>5827</v>
      </c>
      <c r="E861" s="75" t="s">
        <v>5828</v>
      </c>
      <c r="F861" s="75" t="s">
        <v>5829</v>
      </c>
      <c r="G861" s="75" t="s">
        <v>5830</v>
      </c>
      <c r="H861" s="75" t="s">
        <v>5831</v>
      </c>
      <c r="I861" s="75" t="s">
        <v>5832</v>
      </c>
      <c r="J861" s="75" t="s">
        <v>5833</v>
      </c>
      <c r="K861" s="75" t="s">
        <v>5834</v>
      </c>
      <c r="L861" s="75" t="s">
        <v>5835</v>
      </c>
      <c r="M861" s="75" t="s">
        <v>5836</v>
      </c>
      <c r="N861" s="75" t="s">
        <v>5837</v>
      </c>
      <c r="O861" s="75" t="s">
        <v>5838</v>
      </c>
      <c r="P861" s="74" t="s">
        <v>20</v>
      </c>
      <c r="Q861" s="64"/>
      <c r="R861" s="64"/>
      <c r="S861" s="64"/>
      <c r="T861" s="64"/>
      <c r="U861" s="64"/>
      <c r="V861" s="64"/>
      <c r="W861" s="64"/>
      <c r="X861" s="64"/>
      <c r="Y861" s="64"/>
      <c r="Z861" s="64"/>
    </row>
    <row r="862" spans="1:26" thickBot="1">
      <c r="A862" s="66" t="str">
        <f>$B$861&amp;C862</f>
        <v>Latitude 390</v>
      </c>
      <c r="B862" s="86">
        <v>39</v>
      </c>
      <c r="C862" s="80">
        <v>0</v>
      </c>
      <c r="D862" s="69">
        <v>1</v>
      </c>
      <c r="E862" s="69">
        <v>1</v>
      </c>
      <c r="F862" s="69">
        <v>1</v>
      </c>
      <c r="G862" s="69">
        <v>1</v>
      </c>
      <c r="H862" s="69">
        <v>1</v>
      </c>
      <c r="I862" s="69">
        <v>1</v>
      </c>
      <c r="J862" s="69">
        <v>1</v>
      </c>
      <c r="K862" s="69">
        <v>1</v>
      </c>
      <c r="L862" s="69">
        <v>1</v>
      </c>
      <c r="M862" s="69">
        <v>1</v>
      </c>
      <c r="N862" s="69">
        <v>1</v>
      </c>
      <c r="O862" s="69">
        <v>1</v>
      </c>
      <c r="P862" s="71">
        <v>1</v>
      </c>
      <c r="Q862" s="64"/>
      <c r="R862" s="64"/>
      <c r="S862" s="64"/>
      <c r="T862" s="64"/>
      <c r="U862" s="64"/>
      <c r="V862" s="64"/>
      <c r="W862" s="64"/>
      <c r="X862" s="64"/>
      <c r="Y862" s="64"/>
      <c r="Z862" s="64"/>
    </row>
    <row r="863" spans="1:26" thickBot="1">
      <c r="A863" s="66" t="str">
        <f t="shared" ref="A863:A880" si="39">$B$861&amp;C863</f>
        <v>Latitude 395</v>
      </c>
      <c r="B863" s="86">
        <v>39.5</v>
      </c>
      <c r="C863" s="80">
        <v>5</v>
      </c>
      <c r="D863" s="69">
        <v>1.02</v>
      </c>
      <c r="E863" s="69">
        <v>1.03</v>
      </c>
      <c r="F863" s="69">
        <v>1.05</v>
      </c>
      <c r="G863" s="69">
        <v>1.07</v>
      </c>
      <c r="H863" s="69">
        <v>1.0900000000000001</v>
      </c>
      <c r="I863" s="69">
        <v>1.08</v>
      </c>
      <c r="J863" s="69">
        <v>1.07</v>
      </c>
      <c r="K863" s="69">
        <v>1.06</v>
      </c>
      <c r="L863" s="69">
        <v>1.04</v>
      </c>
      <c r="M863" s="69">
        <v>1.03</v>
      </c>
      <c r="N863" s="69">
        <v>1.02</v>
      </c>
      <c r="O863" s="69">
        <v>1.01</v>
      </c>
      <c r="P863" s="71">
        <v>1.05</v>
      </c>
      <c r="Q863" s="64"/>
      <c r="R863" s="64"/>
      <c r="S863" s="64"/>
      <c r="T863" s="64"/>
      <c r="U863" s="64"/>
      <c r="V863" s="64"/>
      <c r="W863" s="64"/>
      <c r="X863" s="64"/>
      <c r="Y863" s="64"/>
      <c r="Z863" s="64"/>
    </row>
    <row r="864" spans="1:26" thickBot="1">
      <c r="A864" s="66" t="str">
        <f t="shared" si="39"/>
        <v>Latitude 3910</v>
      </c>
      <c r="B864" s="86">
        <v>39.1</v>
      </c>
      <c r="C864" s="80">
        <v>10</v>
      </c>
      <c r="D864" s="69">
        <v>1.03</v>
      </c>
      <c r="E864" s="69">
        <v>1.06</v>
      </c>
      <c r="F864" s="69">
        <v>1.1000000000000001</v>
      </c>
      <c r="G864" s="69">
        <v>1.1399999999999999</v>
      </c>
      <c r="H864" s="69">
        <v>1.17</v>
      </c>
      <c r="I864" s="69">
        <v>1.1599999999999999</v>
      </c>
      <c r="J864" s="69">
        <v>1.1399999999999999</v>
      </c>
      <c r="K864" s="69">
        <v>1.1100000000000001</v>
      </c>
      <c r="L864" s="69">
        <v>1.08</v>
      </c>
      <c r="M864" s="69">
        <v>1.05</v>
      </c>
      <c r="N864" s="69">
        <v>1.03</v>
      </c>
      <c r="O864" s="69">
        <v>1.02</v>
      </c>
      <c r="P864" s="71">
        <v>1.0900000000000001</v>
      </c>
      <c r="Q864" s="64"/>
      <c r="R864" s="64"/>
      <c r="S864" s="64"/>
      <c r="T864" s="64"/>
      <c r="U864" s="64"/>
      <c r="V864" s="64"/>
      <c r="W864" s="64"/>
      <c r="X864" s="64"/>
      <c r="Y864" s="64"/>
      <c r="Z864" s="64"/>
    </row>
    <row r="865" spans="1:26" thickBot="1">
      <c r="A865" s="66" t="str">
        <f t="shared" si="39"/>
        <v>Latitude 3915</v>
      </c>
      <c r="B865" s="86">
        <v>39.15</v>
      </c>
      <c r="C865" s="80">
        <v>15</v>
      </c>
      <c r="D865" s="69">
        <v>1.03</v>
      </c>
      <c r="E865" s="69">
        <v>1.07</v>
      </c>
      <c r="F865" s="69">
        <v>1.1299999999999999</v>
      </c>
      <c r="G865" s="69">
        <v>1.2</v>
      </c>
      <c r="H865" s="69">
        <v>1.24</v>
      </c>
      <c r="I865" s="69">
        <v>1.23</v>
      </c>
      <c r="J865" s="69">
        <v>1.19</v>
      </c>
      <c r="K865" s="69">
        <v>1.1599999999999999</v>
      </c>
      <c r="L865" s="69">
        <v>1.1100000000000001</v>
      </c>
      <c r="M865" s="69">
        <v>1.07</v>
      </c>
      <c r="N865" s="69">
        <v>1.03</v>
      </c>
      <c r="O865" s="69">
        <v>1.02</v>
      </c>
      <c r="P865" s="71">
        <v>1.1200000000000001</v>
      </c>
      <c r="Q865" s="64"/>
      <c r="R865" s="64"/>
      <c r="S865" s="64"/>
      <c r="T865" s="64"/>
      <c r="U865" s="64"/>
      <c r="V865" s="64"/>
      <c r="W865" s="64"/>
      <c r="X865" s="64"/>
      <c r="Y865" s="64"/>
      <c r="Z865" s="64"/>
    </row>
    <row r="866" spans="1:26" thickBot="1">
      <c r="A866" s="66" t="str">
        <f t="shared" si="39"/>
        <v>Latitude 3920</v>
      </c>
      <c r="B866" s="86">
        <v>39.200000000000003</v>
      </c>
      <c r="C866" s="80">
        <v>20</v>
      </c>
      <c r="D866" s="69">
        <v>1.03</v>
      </c>
      <c r="E866" s="69">
        <v>1.08</v>
      </c>
      <c r="F866" s="69">
        <v>1.1599999999999999</v>
      </c>
      <c r="G866" s="69">
        <v>1.25</v>
      </c>
      <c r="H866" s="69">
        <v>1.31</v>
      </c>
      <c r="I866" s="69">
        <v>1.29</v>
      </c>
      <c r="J866" s="69">
        <v>1.25</v>
      </c>
      <c r="K866" s="69">
        <v>1.2</v>
      </c>
      <c r="L866" s="69">
        <v>1.1399999999999999</v>
      </c>
      <c r="M866" s="69">
        <v>1.07</v>
      </c>
      <c r="N866" s="69">
        <v>1.03</v>
      </c>
      <c r="O866" s="69">
        <v>1.01</v>
      </c>
      <c r="P866" s="71">
        <v>1.1499999999999999</v>
      </c>
      <c r="Q866" s="64"/>
      <c r="R866" s="64"/>
      <c r="S866" s="64"/>
      <c r="T866" s="64"/>
      <c r="U866" s="64"/>
      <c r="V866" s="64"/>
      <c r="W866" s="64"/>
      <c r="X866" s="64"/>
      <c r="Y866" s="64"/>
      <c r="Z866" s="64"/>
    </row>
    <row r="867" spans="1:26" thickBot="1">
      <c r="A867" s="66" t="str">
        <f t="shared" si="39"/>
        <v>Latitude 3925</v>
      </c>
      <c r="B867" s="86">
        <v>39.25</v>
      </c>
      <c r="C867" s="80">
        <v>25</v>
      </c>
      <c r="D867" s="69">
        <v>1.02</v>
      </c>
      <c r="E867" s="69">
        <v>1.08</v>
      </c>
      <c r="F867" s="69">
        <v>1.18</v>
      </c>
      <c r="G867" s="69">
        <v>1.29</v>
      </c>
      <c r="H867" s="69">
        <v>1.36</v>
      </c>
      <c r="I867" s="69">
        <v>1.35</v>
      </c>
      <c r="J867" s="69">
        <v>1.29</v>
      </c>
      <c r="K867" s="69">
        <v>1.23</v>
      </c>
      <c r="L867" s="69">
        <v>1.1499999999999999</v>
      </c>
      <c r="M867" s="69">
        <v>1.07</v>
      </c>
      <c r="N867" s="69">
        <v>1.02</v>
      </c>
      <c r="O867" s="69">
        <v>1</v>
      </c>
      <c r="P867" s="71">
        <v>1.17</v>
      </c>
      <c r="Q867" s="64"/>
      <c r="R867" s="64"/>
      <c r="S867" s="64"/>
      <c r="T867" s="64"/>
      <c r="U867" s="64"/>
      <c r="V867" s="64"/>
      <c r="W867" s="64"/>
      <c r="X867" s="64"/>
      <c r="Y867" s="64"/>
      <c r="Z867" s="64"/>
    </row>
    <row r="868" spans="1:26" thickBot="1">
      <c r="A868" s="66" t="str">
        <f t="shared" si="39"/>
        <v>Latitude 3930</v>
      </c>
      <c r="B868" s="86">
        <v>39.299999999999997</v>
      </c>
      <c r="C868" s="80">
        <v>30</v>
      </c>
      <c r="D868" s="69">
        <v>1</v>
      </c>
      <c r="E868" s="69">
        <v>1.08</v>
      </c>
      <c r="F868" s="69">
        <v>1.19</v>
      </c>
      <c r="G868" s="69">
        <v>1.33</v>
      </c>
      <c r="H868" s="69">
        <v>1.41</v>
      </c>
      <c r="I868" s="69">
        <v>1.4</v>
      </c>
      <c r="J868" s="69">
        <v>1.33</v>
      </c>
      <c r="K868" s="81">
        <v>1.25</v>
      </c>
      <c r="L868" s="69">
        <v>1.1599999999999999</v>
      </c>
      <c r="M868" s="69">
        <v>1.07</v>
      </c>
      <c r="N868" s="69">
        <v>1</v>
      </c>
      <c r="O868" s="69">
        <v>0.97</v>
      </c>
      <c r="P868" s="71">
        <v>1.18</v>
      </c>
      <c r="Q868" s="64"/>
      <c r="R868" s="64"/>
      <c r="S868" s="64"/>
      <c r="T868" s="64"/>
      <c r="U868" s="64"/>
      <c r="V868" s="64"/>
      <c r="W868" s="64"/>
      <c r="X868" s="64"/>
      <c r="Y868" s="64"/>
      <c r="Z868" s="64"/>
    </row>
    <row r="869" spans="1:26" thickBot="1">
      <c r="A869" s="66" t="str">
        <f t="shared" si="39"/>
        <v>Latitude 3935</v>
      </c>
      <c r="B869" s="86">
        <v>39.35</v>
      </c>
      <c r="C869" s="80">
        <v>35</v>
      </c>
      <c r="D869" s="69">
        <v>0.98</v>
      </c>
      <c r="E869" s="69">
        <v>1.06</v>
      </c>
      <c r="F869" s="69">
        <v>1.2</v>
      </c>
      <c r="G869" s="69">
        <v>1.35</v>
      </c>
      <c r="H869" s="69">
        <v>1.45</v>
      </c>
      <c r="I869" s="69">
        <v>1.43</v>
      </c>
      <c r="J869" s="69">
        <v>1.35</v>
      </c>
      <c r="K869" s="69">
        <v>1.27</v>
      </c>
      <c r="L869" s="69">
        <v>1.1599999999999999</v>
      </c>
      <c r="M869" s="69">
        <v>1.05</v>
      </c>
      <c r="N869" s="69">
        <v>0.97</v>
      </c>
      <c r="O869" s="69">
        <v>0.94</v>
      </c>
      <c r="P869" s="71">
        <v>1.18</v>
      </c>
      <c r="Q869" s="64"/>
      <c r="R869" s="64"/>
      <c r="S869" s="64"/>
      <c r="T869" s="64"/>
      <c r="U869" s="64"/>
      <c r="V869" s="64"/>
      <c r="W869" s="64"/>
      <c r="X869" s="64"/>
      <c r="Y869" s="64"/>
      <c r="Z869" s="64"/>
    </row>
    <row r="870" spans="1:26" thickBot="1">
      <c r="A870" s="66" t="str">
        <f t="shared" si="39"/>
        <v>Latitude 3940</v>
      </c>
      <c r="B870" s="86">
        <v>39.4</v>
      </c>
      <c r="C870" s="80">
        <v>40</v>
      </c>
      <c r="D870" s="69">
        <v>0.94</v>
      </c>
      <c r="E870" s="69">
        <v>1.04</v>
      </c>
      <c r="F870" s="69">
        <v>1.19</v>
      </c>
      <c r="G870" s="69">
        <v>1.37</v>
      </c>
      <c r="H870" s="69">
        <v>1.48</v>
      </c>
      <c r="I870" s="69">
        <v>1.46</v>
      </c>
      <c r="J870" s="69">
        <v>1.37</v>
      </c>
      <c r="K870" s="69">
        <v>1.27</v>
      </c>
      <c r="L870" s="69">
        <v>1.1499999999999999</v>
      </c>
      <c r="M870" s="69">
        <v>1.03</v>
      </c>
      <c r="N870" s="69">
        <v>0.94</v>
      </c>
      <c r="O870" s="69">
        <v>0.91</v>
      </c>
      <c r="P870" s="71">
        <v>1.18</v>
      </c>
      <c r="Q870" s="64"/>
      <c r="R870" s="64"/>
      <c r="S870" s="64"/>
      <c r="T870" s="64"/>
      <c r="U870" s="64"/>
      <c r="V870" s="64"/>
      <c r="W870" s="64"/>
      <c r="X870" s="64"/>
      <c r="Y870" s="64"/>
      <c r="Z870" s="64"/>
    </row>
    <row r="871" spans="1:26" thickBot="1">
      <c r="A871" s="66" t="str">
        <f t="shared" si="39"/>
        <v>Latitude 3945</v>
      </c>
      <c r="B871" s="86">
        <v>39.450000000000003</v>
      </c>
      <c r="C871" s="80">
        <v>45</v>
      </c>
      <c r="D871" s="69">
        <v>0.9</v>
      </c>
      <c r="E871" s="69">
        <v>1.01</v>
      </c>
      <c r="F871" s="69">
        <v>1.18</v>
      </c>
      <c r="G871" s="69">
        <v>1.37</v>
      </c>
      <c r="H871" s="69">
        <v>1.5</v>
      </c>
      <c r="I871" s="69">
        <v>1.48</v>
      </c>
      <c r="J871" s="69">
        <v>1.38</v>
      </c>
      <c r="K871" s="69">
        <v>1.27</v>
      </c>
      <c r="L871" s="69">
        <v>1.1399999999999999</v>
      </c>
      <c r="M871" s="69">
        <v>1</v>
      </c>
      <c r="N871" s="69">
        <v>0.9</v>
      </c>
      <c r="O871" s="69">
        <v>0.87</v>
      </c>
      <c r="P871" s="71">
        <v>1.17</v>
      </c>
      <c r="Q871" s="64"/>
      <c r="R871" s="64"/>
      <c r="S871" s="64"/>
      <c r="T871" s="64"/>
      <c r="U871" s="64"/>
      <c r="V871" s="64"/>
      <c r="W871" s="64"/>
      <c r="X871" s="64"/>
      <c r="Y871" s="64"/>
      <c r="Z871" s="64"/>
    </row>
    <row r="872" spans="1:26" thickBot="1">
      <c r="A872" s="66" t="str">
        <f t="shared" si="39"/>
        <v>Latitude 3950</v>
      </c>
      <c r="B872" s="86">
        <v>39.5</v>
      </c>
      <c r="C872" s="80">
        <v>50</v>
      </c>
      <c r="D872" s="69">
        <v>0.86</v>
      </c>
      <c r="E872" s="69">
        <v>0.98</v>
      </c>
      <c r="F872" s="69">
        <v>1.1599999999999999</v>
      </c>
      <c r="G872" s="69">
        <v>1.37</v>
      </c>
      <c r="H872" s="69">
        <v>1.51</v>
      </c>
      <c r="I872" s="69">
        <v>1.5</v>
      </c>
      <c r="J872" s="69">
        <v>1.39</v>
      </c>
      <c r="K872" s="69">
        <v>1.26</v>
      </c>
      <c r="L872" s="69">
        <v>1.1200000000000001</v>
      </c>
      <c r="M872" s="69">
        <v>0.97</v>
      </c>
      <c r="N872" s="69">
        <v>0.86</v>
      </c>
      <c r="O872" s="69">
        <v>0.82</v>
      </c>
      <c r="P872" s="71">
        <v>1.1499999999999999</v>
      </c>
      <c r="Q872" s="64"/>
      <c r="R872" s="64"/>
      <c r="S872" s="64"/>
      <c r="T872" s="64"/>
      <c r="U872" s="64"/>
      <c r="V872" s="64"/>
      <c r="W872" s="64"/>
      <c r="X872" s="64"/>
      <c r="Y872" s="64"/>
      <c r="Z872" s="64"/>
    </row>
    <row r="873" spans="1:26" thickBot="1">
      <c r="A873" s="66" t="str">
        <f t="shared" si="39"/>
        <v>Latitude 3955</v>
      </c>
      <c r="B873" s="86">
        <v>39.549999999999997</v>
      </c>
      <c r="C873" s="80">
        <v>55</v>
      </c>
      <c r="D873" s="69">
        <v>0.81</v>
      </c>
      <c r="E873" s="69">
        <v>0.94</v>
      </c>
      <c r="F873" s="69">
        <v>1.1299999999999999</v>
      </c>
      <c r="G873" s="69">
        <v>1.36</v>
      </c>
      <c r="H873" s="69">
        <v>1.51</v>
      </c>
      <c r="I873" s="69">
        <v>1.5</v>
      </c>
      <c r="J873" s="69">
        <v>1.38</v>
      </c>
      <c r="K873" s="69">
        <v>1.25</v>
      </c>
      <c r="L873" s="69">
        <v>1.0900000000000001</v>
      </c>
      <c r="M873" s="69">
        <v>0.93</v>
      </c>
      <c r="N873" s="69">
        <v>0.81</v>
      </c>
      <c r="O873" s="69">
        <v>0.77</v>
      </c>
      <c r="P873" s="71">
        <v>1.1200000000000001</v>
      </c>
      <c r="Q873" s="64"/>
      <c r="R873" s="64"/>
      <c r="S873" s="64"/>
      <c r="T873" s="64"/>
      <c r="U873" s="64"/>
      <c r="V873" s="64"/>
      <c r="W873" s="64"/>
      <c r="X873" s="64"/>
      <c r="Y873" s="64"/>
      <c r="Z873" s="64"/>
    </row>
    <row r="874" spans="1:26" thickBot="1">
      <c r="A874" s="66" t="str">
        <f t="shared" si="39"/>
        <v>Latitude 3960</v>
      </c>
      <c r="B874" s="86">
        <v>39.6</v>
      </c>
      <c r="C874" s="80">
        <v>60</v>
      </c>
      <c r="D874" s="69">
        <v>0.75</v>
      </c>
      <c r="E874" s="69">
        <v>0.89</v>
      </c>
      <c r="F874" s="69">
        <v>1.1000000000000001</v>
      </c>
      <c r="G874" s="69">
        <v>1.34</v>
      </c>
      <c r="H874" s="69">
        <v>1.51</v>
      </c>
      <c r="I874" s="69">
        <v>1.49</v>
      </c>
      <c r="J874" s="69">
        <v>1.37</v>
      </c>
      <c r="K874" s="69">
        <v>1.22</v>
      </c>
      <c r="L874" s="69">
        <v>1.05</v>
      </c>
      <c r="M874" s="69">
        <v>0.88</v>
      </c>
      <c r="N874" s="69">
        <v>0.75</v>
      </c>
      <c r="O874" s="69">
        <v>0.71</v>
      </c>
      <c r="P874" s="71">
        <v>1.0900000000000001</v>
      </c>
      <c r="Q874" s="64"/>
      <c r="R874" s="64"/>
      <c r="S874" s="64"/>
      <c r="T874" s="64"/>
      <c r="U874" s="64"/>
      <c r="V874" s="64"/>
      <c r="W874" s="64"/>
      <c r="X874" s="64"/>
      <c r="Y874" s="64"/>
      <c r="Z874" s="64"/>
    </row>
    <row r="875" spans="1:26" thickBot="1">
      <c r="A875" s="66" t="str">
        <f t="shared" si="39"/>
        <v>Latitude 3965</v>
      </c>
      <c r="B875" s="86">
        <v>39.65</v>
      </c>
      <c r="C875" s="80">
        <v>65</v>
      </c>
      <c r="D875" s="69">
        <v>0.69</v>
      </c>
      <c r="E875" s="69">
        <v>0.83</v>
      </c>
      <c r="F875" s="69">
        <v>1.05</v>
      </c>
      <c r="G875" s="69">
        <v>1.31</v>
      </c>
      <c r="H875" s="69">
        <v>1.49</v>
      </c>
      <c r="I875" s="69">
        <v>1.47</v>
      </c>
      <c r="J875" s="69">
        <v>1.35</v>
      </c>
      <c r="K875" s="69">
        <v>1.19</v>
      </c>
      <c r="L875" s="69">
        <v>1.01</v>
      </c>
      <c r="M875" s="69">
        <v>0.83</v>
      </c>
      <c r="N875" s="69">
        <v>0.69</v>
      </c>
      <c r="O875" s="69">
        <v>0.65</v>
      </c>
      <c r="P875" s="71">
        <v>1.05</v>
      </c>
      <c r="Q875" s="64"/>
      <c r="R875" s="64"/>
      <c r="S875" s="64"/>
      <c r="T875" s="64"/>
      <c r="U875" s="64"/>
      <c r="V875" s="64"/>
      <c r="W875" s="64"/>
      <c r="X875" s="64"/>
      <c r="Y875" s="64"/>
      <c r="Z875" s="64"/>
    </row>
    <row r="876" spans="1:26" thickBot="1">
      <c r="A876" s="66" t="str">
        <f t="shared" si="39"/>
        <v>Latitude 3970</v>
      </c>
      <c r="B876" s="86">
        <v>39.700000000000003</v>
      </c>
      <c r="C876" s="80">
        <v>70</v>
      </c>
      <c r="D876" s="69">
        <v>0.63</v>
      </c>
      <c r="E876" s="69">
        <v>0.77</v>
      </c>
      <c r="F876" s="69">
        <v>1</v>
      </c>
      <c r="G876" s="69">
        <v>1.27</v>
      </c>
      <c r="H876" s="69">
        <v>1.46</v>
      </c>
      <c r="I876" s="69">
        <v>1.45</v>
      </c>
      <c r="J876" s="69">
        <v>1.32</v>
      </c>
      <c r="K876" s="69">
        <v>1.1499999999999999</v>
      </c>
      <c r="L876" s="69">
        <v>0.96</v>
      </c>
      <c r="M876" s="69">
        <v>0.77</v>
      </c>
      <c r="N876" s="69">
        <v>0.63</v>
      </c>
      <c r="O876" s="69">
        <v>0.57999999999999996</v>
      </c>
      <c r="P876" s="71">
        <v>1</v>
      </c>
      <c r="Q876" s="64"/>
      <c r="R876" s="64"/>
      <c r="S876" s="64"/>
      <c r="T876" s="64"/>
      <c r="U876" s="64"/>
      <c r="V876" s="64"/>
      <c r="W876" s="64"/>
      <c r="X876" s="64"/>
      <c r="Y876" s="64"/>
      <c r="Z876" s="64"/>
    </row>
    <row r="877" spans="1:26" thickBot="1">
      <c r="A877" s="66" t="str">
        <f t="shared" si="39"/>
        <v>Latitude 3975</v>
      </c>
      <c r="B877" s="86">
        <v>39.75</v>
      </c>
      <c r="C877" s="80">
        <v>75</v>
      </c>
      <c r="D877" s="69">
        <v>0.56000000000000005</v>
      </c>
      <c r="E877" s="69">
        <v>0.71</v>
      </c>
      <c r="F877" s="69">
        <v>0.95</v>
      </c>
      <c r="G877" s="69">
        <v>1.23</v>
      </c>
      <c r="H877" s="69">
        <v>1.42</v>
      </c>
      <c r="I877" s="69">
        <v>1.41</v>
      </c>
      <c r="J877" s="69">
        <v>1.28</v>
      </c>
      <c r="K877" s="69">
        <v>1.1100000000000001</v>
      </c>
      <c r="L877" s="69">
        <v>0.91</v>
      </c>
      <c r="M877" s="69">
        <v>0.7</v>
      </c>
      <c r="N877" s="69">
        <v>0.56000000000000005</v>
      </c>
      <c r="O877" s="69">
        <v>0.51</v>
      </c>
      <c r="P877" s="71">
        <v>0.95</v>
      </c>
      <c r="Q877" s="64"/>
      <c r="R877" s="64"/>
      <c r="S877" s="64"/>
      <c r="T877" s="64"/>
      <c r="U877" s="64"/>
      <c r="V877" s="64"/>
      <c r="W877" s="64"/>
      <c r="X877" s="64"/>
      <c r="Y877" s="64"/>
      <c r="Z877" s="64"/>
    </row>
    <row r="878" spans="1:26" thickBot="1">
      <c r="A878" s="66" t="str">
        <f t="shared" si="39"/>
        <v>Latitude 3980</v>
      </c>
      <c r="B878" s="86">
        <v>39.799999999999997</v>
      </c>
      <c r="C878" s="80">
        <v>80</v>
      </c>
      <c r="D878" s="69">
        <v>0.48</v>
      </c>
      <c r="E878" s="69">
        <v>0.64</v>
      </c>
      <c r="F878" s="69">
        <v>0.88</v>
      </c>
      <c r="G878" s="69">
        <v>1.17</v>
      </c>
      <c r="H878" s="69">
        <v>1.37</v>
      </c>
      <c r="I878" s="69">
        <v>1.37</v>
      </c>
      <c r="J878" s="69">
        <v>1.23</v>
      </c>
      <c r="K878" s="69">
        <v>1.06</v>
      </c>
      <c r="L878" s="69">
        <v>0.84</v>
      </c>
      <c r="M878" s="69">
        <v>0.64</v>
      </c>
      <c r="N878" s="69">
        <v>0.49</v>
      </c>
      <c r="O878" s="69">
        <v>0.43</v>
      </c>
      <c r="P878" s="71">
        <v>0.88</v>
      </c>
      <c r="Q878" s="64"/>
      <c r="R878" s="64"/>
      <c r="S878" s="64"/>
      <c r="T878" s="64"/>
      <c r="U878" s="64"/>
      <c r="V878" s="64"/>
      <c r="W878" s="64"/>
      <c r="X878" s="64"/>
      <c r="Y878" s="64"/>
      <c r="Z878" s="64"/>
    </row>
    <row r="879" spans="1:26" thickBot="1">
      <c r="A879" s="66" t="str">
        <f t="shared" si="39"/>
        <v>Latitude 3985</v>
      </c>
      <c r="B879" s="86">
        <v>39.85</v>
      </c>
      <c r="C879" s="80">
        <v>85</v>
      </c>
      <c r="D879" s="69">
        <v>0.41</v>
      </c>
      <c r="E879" s="69">
        <v>0.56000000000000005</v>
      </c>
      <c r="F879" s="69">
        <v>0.81</v>
      </c>
      <c r="G879" s="69">
        <v>1.1100000000000001</v>
      </c>
      <c r="H879" s="69">
        <v>1.32</v>
      </c>
      <c r="I879" s="69">
        <v>1.32</v>
      </c>
      <c r="J879" s="69">
        <v>1.18</v>
      </c>
      <c r="K879" s="69">
        <v>1</v>
      </c>
      <c r="L879" s="69">
        <v>0.78</v>
      </c>
      <c r="M879" s="69">
        <v>0.56000000000000005</v>
      </c>
      <c r="N879" s="69">
        <v>0.41</v>
      </c>
      <c r="O879" s="69">
        <v>0.35</v>
      </c>
      <c r="P879" s="71">
        <v>0.82</v>
      </c>
      <c r="Q879" s="64"/>
      <c r="R879" s="64"/>
      <c r="S879" s="64"/>
      <c r="T879" s="64"/>
      <c r="U879" s="64"/>
      <c r="V879" s="64"/>
      <c r="W879" s="64"/>
      <c r="X879" s="64"/>
      <c r="Y879" s="64"/>
      <c r="Z879" s="64"/>
    </row>
    <row r="880" spans="1:26" thickBot="1">
      <c r="A880" s="66" t="str">
        <f t="shared" si="39"/>
        <v>Latitude 3990</v>
      </c>
      <c r="B880" s="86">
        <v>39.9</v>
      </c>
      <c r="C880" s="69">
        <v>90</v>
      </c>
      <c r="D880" s="69">
        <v>0.33</v>
      </c>
      <c r="E880" s="69">
        <v>0.49</v>
      </c>
      <c r="F880" s="69">
        <v>0.74</v>
      </c>
      <c r="G880" s="69">
        <v>1.04</v>
      </c>
      <c r="H880" s="69">
        <v>1.25</v>
      </c>
      <c r="I880" s="69">
        <v>1.26</v>
      </c>
      <c r="J880" s="69">
        <v>1.1200000000000001</v>
      </c>
      <c r="K880" s="69">
        <v>0.93</v>
      </c>
      <c r="L880" s="69">
        <v>0.71</v>
      </c>
      <c r="M880" s="69">
        <v>0.49</v>
      </c>
      <c r="N880" s="69">
        <v>0.33</v>
      </c>
      <c r="O880" s="69">
        <v>0.28000000000000003</v>
      </c>
      <c r="P880" s="71">
        <v>0.75</v>
      </c>
      <c r="Q880" s="64"/>
      <c r="R880" s="64"/>
      <c r="S880" s="64"/>
      <c r="T880" s="64"/>
      <c r="U880" s="64"/>
      <c r="V880" s="64"/>
      <c r="W880" s="64"/>
      <c r="X880" s="64"/>
      <c r="Y880" s="64"/>
      <c r="Z880" s="64"/>
    </row>
    <row r="881" spans="1:26" thickBot="1">
      <c r="A881" s="66"/>
      <c r="B881" s="88"/>
      <c r="C881" s="73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66"/>
      <c r="Q881" s="64"/>
      <c r="R881" s="64"/>
      <c r="S881" s="64"/>
      <c r="T881" s="64"/>
      <c r="U881" s="64"/>
      <c r="V881" s="64"/>
      <c r="W881" s="64"/>
      <c r="X881" s="64"/>
      <c r="Y881" s="64"/>
      <c r="Z881" s="64"/>
    </row>
    <row r="882" spans="1:26" thickBot="1">
      <c r="A882" s="66"/>
      <c r="B882" s="88"/>
      <c r="C882" s="73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66"/>
      <c r="Q882" s="64"/>
      <c r="R882" s="64"/>
      <c r="S882" s="64"/>
      <c r="T882" s="64"/>
      <c r="U882" s="64"/>
      <c r="V882" s="64"/>
      <c r="W882" s="64"/>
      <c r="X882" s="64"/>
      <c r="Y882" s="64"/>
      <c r="Z882" s="64"/>
    </row>
    <row r="883" spans="1:26" thickBot="1">
      <c r="A883" s="66"/>
      <c r="B883" s="85" t="s">
        <v>5905</v>
      </c>
      <c r="C883" s="75" t="s">
        <v>5853</v>
      </c>
      <c r="D883" s="75" t="s">
        <v>5827</v>
      </c>
      <c r="E883" s="75" t="s">
        <v>5828</v>
      </c>
      <c r="F883" s="75" t="s">
        <v>5829</v>
      </c>
      <c r="G883" s="75" t="s">
        <v>5830</v>
      </c>
      <c r="H883" s="75" t="s">
        <v>5831</v>
      </c>
      <c r="I883" s="75" t="s">
        <v>5832</v>
      </c>
      <c r="J883" s="75" t="s">
        <v>5833</v>
      </c>
      <c r="K883" s="75" t="s">
        <v>5834</v>
      </c>
      <c r="L883" s="75" t="s">
        <v>5835</v>
      </c>
      <c r="M883" s="75" t="s">
        <v>5836</v>
      </c>
      <c r="N883" s="75" t="s">
        <v>5837</v>
      </c>
      <c r="O883" s="75" t="s">
        <v>5838</v>
      </c>
      <c r="P883" s="74" t="s">
        <v>20</v>
      </c>
      <c r="Q883" s="64"/>
      <c r="R883" s="64"/>
      <c r="S883" s="64"/>
      <c r="T883" s="64"/>
      <c r="U883" s="64"/>
      <c r="V883" s="64"/>
      <c r="W883" s="64"/>
      <c r="X883" s="64"/>
      <c r="Y883" s="64"/>
      <c r="Z883" s="64"/>
    </row>
    <row r="884" spans="1:26" thickBot="1">
      <c r="A884" s="66" t="str">
        <f>$B$883&amp;C884</f>
        <v>Latitude 400</v>
      </c>
      <c r="B884" s="86">
        <v>40</v>
      </c>
      <c r="C884" s="80">
        <v>0</v>
      </c>
      <c r="D884" s="69">
        <v>1</v>
      </c>
      <c r="E884" s="69">
        <v>1</v>
      </c>
      <c r="F884" s="69">
        <v>1</v>
      </c>
      <c r="G884" s="69">
        <v>1</v>
      </c>
      <c r="H884" s="69">
        <v>1</v>
      </c>
      <c r="I884" s="69">
        <v>1</v>
      </c>
      <c r="J884" s="69">
        <v>1</v>
      </c>
      <c r="K884" s="69">
        <v>1</v>
      </c>
      <c r="L884" s="69">
        <v>1</v>
      </c>
      <c r="M884" s="69">
        <v>1</v>
      </c>
      <c r="N884" s="69">
        <v>1</v>
      </c>
      <c r="O884" s="69">
        <v>1</v>
      </c>
      <c r="P884" s="71">
        <v>1</v>
      </c>
      <c r="Q884" s="64"/>
      <c r="R884" s="64"/>
      <c r="S884" s="64"/>
      <c r="T884" s="64"/>
      <c r="U884" s="64"/>
      <c r="V884" s="64"/>
      <c r="W884" s="64"/>
      <c r="X884" s="64"/>
      <c r="Y884" s="64"/>
      <c r="Z884" s="64"/>
    </row>
    <row r="885" spans="1:26" thickBot="1">
      <c r="A885" s="66" t="str">
        <f t="shared" ref="A885:A902" si="40">$B$883&amp;C885</f>
        <v>Latitude 405</v>
      </c>
      <c r="B885" s="86">
        <v>40.5</v>
      </c>
      <c r="C885" s="80">
        <v>5</v>
      </c>
      <c r="D885" s="69">
        <v>1.02</v>
      </c>
      <c r="E885" s="69">
        <v>1.03</v>
      </c>
      <c r="F885" s="69">
        <v>1.05</v>
      </c>
      <c r="G885" s="69">
        <v>1.08</v>
      </c>
      <c r="H885" s="69">
        <v>1.0900000000000001</v>
      </c>
      <c r="I885" s="69">
        <v>1.0900000000000001</v>
      </c>
      <c r="J885" s="69">
        <v>1.07</v>
      </c>
      <c r="K885" s="69">
        <v>1.06</v>
      </c>
      <c r="L885" s="69">
        <v>1.05</v>
      </c>
      <c r="M885" s="69">
        <v>1.03</v>
      </c>
      <c r="N885" s="69">
        <v>1.02</v>
      </c>
      <c r="O885" s="69">
        <v>1.01</v>
      </c>
      <c r="P885" s="71">
        <v>1.05</v>
      </c>
      <c r="Q885" s="64"/>
      <c r="R885" s="64"/>
      <c r="S885" s="64"/>
      <c r="T885" s="64"/>
      <c r="U885" s="64"/>
      <c r="V885" s="64"/>
      <c r="W885" s="64"/>
      <c r="X885" s="64"/>
      <c r="Y885" s="64"/>
      <c r="Z885" s="64"/>
    </row>
    <row r="886" spans="1:26" thickBot="1">
      <c r="A886" s="66" t="str">
        <f t="shared" si="40"/>
        <v>Latitude 4010</v>
      </c>
      <c r="B886" s="86">
        <v>40.1</v>
      </c>
      <c r="C886" s="80">
        <v>10</v>
      </c>
      <c r="D886" s="69">
        <v>1.03</v>
      </c>
      <c r="E886" s="69">
        <v>1.06</v>
      </c>
      <c r="F886" s="69">
        <v>1.1000000000000001</v>
      </c>
      <c r="G886" s="69">
        <v>1.1399999999999999</v>
      </c>
      <c r="H886" s="69">
        <v>1.17</v>
      </c>
      <c r="I886" s="69">
        <v>1.1599999999999999</v>
      </c>
      <c r="J886" s="69">
        <v>1.1399999999999999</v>
      </c>
      <c r="K886" s="69">
        <v>1.1100000000000001</v>
      </c>
      <c r="L886" s="69">
        <v>1.08</v>
      </c>
      <c r="M886" s="69">
        <v>1.05</v>
      </c>
      <c r="N886" s="69">
        <v>1.03</v>
      </c>
      <c r="O886" s="69">
        <v>1.02</v>
      </c>
      <c r="P886" s="71">
        <v>1.0900000000000001</v>
      </c>
      <c r="Q886" s="64"/>
      <c r="R886" s="64"/>
      <c r="S886" s="64"/>
      <c r="T886" s="64"/>
      <c r="U886" s="64"/>
      <c r="V886" s="64"/>
      <c r="W886" s="64"/>
      <c r="X886" s="64"/>
      <c r="Y886" s="64"/>
      <c r="Z886" s="64"/>
    </row>
    <row r="887" spans="1:26" thickBot="1">
      <c r="A887" s="66" t="str">
        <f t="shared" si="40"/>
        <v>Latitude 4015</v>
      </c>
      <c r="B887" s="86">
        <v>40.15</v>
      </c>
      <c r="C887" s="80">
        <v>15</v>
      </c>
      <c r="D887" s="69">
        <v>1.04</v>
      </c>
      <c r="E887" s="69">
        <v>1.08</v>
      </c>
      <c r="F887" s="69">
        <v>1.1399999999999999</v>
      </c>
      <c r="G887" s="69">
        <v>1.21</v>
      </c>
      <c r="H887" s="69">
        <v>1.25</v>
      </c>
      <c r="I887" s="69">
        <v>1.24</v>
      </c>
      <c r="J887" s="69">
        <v>1.2</v>
      </c>
      <c r="K887" s="69">
        <v>1.1599999999999999</v>
      </c>
      <c r="L887" s="69">
        <v>1.1200000000000001</v>
      </c>
      <c r="M887" s="69">
        <v>1.07</v>
      </c>
      <c r="N887" s="69">
        <v>1.03</v>
      </c>
      <c r="O887" s="69">
        <v>1.02</v>
      </c>
      <c r="P887" s="71">
        <v>1.1299999999999999</v>
      </c>
      <c r="Q887" s="64"/>
      <c r="R887" s="64"/>
      <c r="S887" s="64"/>
      <c r="T887" s="64"/>
      <c r="U887" s="64"/>
      <c r="V887" s="64"/>
      <c r="W887" s="64"/>
      <c r="X887" s="64"/>
      <c r="Y887" s="64"/>
      <c r="Z887" s="64"/>
    </row>
    <row r="888" spans="1:26" thickBot="1">
      <c r="A888" s="66" t="str">
        <f t="shared" si="40"/>
        <v>Latitude 4020</v>
      </c>
      <c r="B888" s="86">
        <v>40.200000000000003</v>
      </c>
      <c r="C888" s="80">
        <v>20</v>
      </c>
      <c r="D888" s="69">
        <v>1.03</v>
      </c>
      <c r="E888" s="69">
        <v>1.0900000000000001</v>
      </c>
      <c r="F888" s="69">
        <v>1.17</v>
      </c>
      <c r="G888" s="69">
        <v>1.26</v>
      </c>
      <c r="H888" s="69">
        <v>1.32</v>
      </c>
      <c r="I888" s="69">
        <v>1.3</v>
      </c>
      <c r="J888" s="69">
        <v>1.25</v>
      </c>
      <c r="K888" s="69">
        <v>1.2</v>
      </c>
      <c r="L888" s="69">
        <v>1.1399999999999999</v>
      </c>
      <c r="M888" s="69">
        <v>1.08</v>
      </c>
      <c r="N888" s="69">
        <v>1.03</v>
      </c>
      <c r="O888" s="69">
        <v>1.02</v>
      </c>
      <c r="P888" s="71">
        <v>1.1599999999999999</v>
      </c>
      <c r="Q888" s="64"/>
      <c r="R888" s="64"/>
      <c r="S888" s="64"/>
      <c r="T888" s="64"/>
      <c r="U888" s="64"/>
      <c r="V888" s="64"/>
      <c r="W888" s="64"/>
      <c r="X888" s="64"/>
      <c r="Y888" s="64"/>
      <c r="Z888" s="64"/>
    </row>
    <row r="889" spans="1:26" thickBot="1">
      <c r="A889" s="66" t="str">
        <f t="shared" si="40"/>
        <v>Latitude 4025</v>
      </c>
      <c r="B889" s="86">
        <v>40.25</v>
      </c>
      <c r="C889" s="80">
        <v>25</v>
      </c>
      <c r="D889" s="69">
        <v>1.02</v>
      </c>
      <c r="E889" s="69">
        <v>1.0900000000000001</v>
      </c>
      <c r="F889" s="69">
        <v>1.19</v>
      </c>
      <c r="G889" s="69">
        <v>1.3</v>
      </c>
      <c r="H889" s="69">
        <v>1.38</v>
      </c>
      <c r="I889" s="69">
        <v>1.36</v>
      </c>
      <c r="J889" s="69">
        <v>1.3</v>
      </c>
      <c r="K889" s="69">
        <v>1.23</v>
      </c>
      <c r="L889" s="69">
        <v>1.1599999999999999</v>
      </c>
      <c r="M889" s="69">
        <v>1.08</v>
      </c>
      <c r="N889" s="69">
        <v>1.02</v>
      </c>
      <c r="O889" s="69">
        <v>1</v>
      </c>
      <c r="P889" s="71">
        <v>1.18</v>
      </c>
      <c r="Q889" s="64"/>
      <c r="R889" s="64"/>
      <c r="S889" s="64"/>
      <c r="T889" s="64"/>
      <c r="U889" s="64"/>
      <c r="V889" s="64"/>
      <c r="W889" s="64"/>
      <c r="X889" s="64"/>
      <c r="Y889" s="64"/>
      <c r="Z889" s="64"/>
    </row>
    <row r="890" spans="1:26" thickBot="1">
      <c r="A890" s="66" t="str">
        <f t="shared" si="40"/>
        <v>Latitude 4030</v>
      </c>
      <c r="B890" s="86">
        <v>40.299999999999997</v>
      </c>
      <c r="C890" s="80">
        <v>30</v>
      </c>
      <c r="D890" s="69">
        <v>1.01</v>
      </c>
      <c r="E890" s="69">
        <v>1.0900000000000001</v>
      </c>
      <c r="F890" s="69">
        <v>1.2</v>
      </c>
      <c r="G890" s="69">
        <v>1.34</v>
      </c>
      <c r="H890" s="69">
        <v>1.43</v>
      </c>
      <c r="I890" s="69">
        <v>1.41</v>
      </c>
      <c r="J890" s="69">
        <v>1.34</v>
      </c>
      <c r="K890" s="81">
        <v>1.26</v>
      </c>
      <c r="L890" s="69">
        <v>1.17</v>
      </c>
      <c r="M890" s="69">
        <v>1.07</v>
      </c>
      <c r="N890" s="69">
        <v>1.01</v>
      </c>
      <c r="O890" s="69">
        <v>0.98</v>
      </c>
      <c r="P890" s="71">
        <v>1.19</v>
      </c>
      <c r="Q890" s="64"/>
      <c r="R890" s="64"/>
      <c r="S890" s="64"/>
      <c r="T890" s="64"/>
      <c r="U890" s="64"/>
      <c r="V890" s="64"/>
      <c r="W890" s="64"/>
      <c r="X890" s="64"/>
      <c r="Y890" s="64"/>
      <c r="Z890" s="64"/>
    </row>
    <row r="891" spans="1:26" thickBot="1">
      <c r="A891" s="66" t="str">
        <f t="shared" si="40"/>
        <v>Latitude 4035</v>
      </c>
      <c r="B891" s="86">
        <v>40.35</v>
      </c>
      <c r="C891" s="80">
        <v>35</v>
      </c>
      <c r="D891" s="69">
        <v>0.98</v>
      </c>
      <c r="E891" s="69">
        <v>1.07</v>
      </c>
      <c r="F891" s="69">
        <v>1.21</v>
      </c>
      <c r="G891" s="69">
        <v>1.37</v>
      </c>
      <c r="H891" s="69">
        <v>1.47</v>
      </c>
      <c r="I891" s="69">
        <v>1.45</v>
      </c>
      <c r="J891" s="69">
        <v>1.37</v>
      </c>
      <c r="K891" s="69">
        <v>1.28</v>
      </c>
      <c r="L891" s="69">
        <v>1.17</v>
      </c>
      <c r="M891" s="69">
        <v>1.06</v>
      </c>
      <c r="N891" s="69">
        <v>0.98</v>
      </c>
      <c r="O891" s="69">
        <v>0.95</v>
      </c>
      <c r="P891" s="71">
        <v>1.2</v>
      </c>
      <c r="Q891" s="64"/>
      <c r="R891" s="64"/>
      <c r="S891" s="64"/>
      <c r="T891" s="64"/>
      <c r="U891" s="64"/>
      <c r="V891" s="64"/>
      <c r="W891" s="64"/>
      <c r="X891" s="64"/>
      <c r="Y891" s="64"/>
      <c r="Z891" s="64"/>
    </row>
    <row r="892" spans="1:26" thickBot="1">
      <c r="A892" s="66" t="str">
        <f t="shared" si="40"/>
        <v>Latitude 4040</v>
      </c>
      <c r="B892" s="86">
        <v>40.4</v>
      </c>
      <c r="C892" s="80">
        <v>40</v>
      </c>
      <c r="D892" s="69">
        <v>0.95</v>
      </c>
      <c r="E892" s="69">
        <v>1.05</v>
      </c>
      <c r="F892" s="69">
        <v>1.21</v>
      </c>
      <c r="G892" s="69">
        <v>1.39</v>
      </c>
      <c r="H892" s="69">
        <v>1.5</v>
      </c>
      <c r="I892" s="69">
        <v>1.48</v>
      </c>
      <c r="J892" s="69">
        <v>1.39</v>
      </c>
      <c r="K892" s="69">
        <v>1.29</v>
      </c>
      <c r="L892" s="69">
        <v>1.1599999999999999</v>
      </c>
      <c r="M892" s="69">
        <v>1.04</v>
      </c>
      <c r="N892" s="69">
        <v>0.95</v>
      </c>
      <c r="O892" s="69">
        <v>0.92</v>
      </c>
      <c r="P892" s="71">
        <v>1.19</v>
      </c>
      <c r="Q892" s="64"/>
      <c r="R892" s="64"/>
      <c r="S892" s="64"/>
      <c r="T892" s="64"/>
      <c r="U892" s="64"/>
      <c r="V892" s="64"/>
      <c r="W892" s="64"/>
      <c r="X892" s="64"/>
      <c r="Y892" s="64"/>
      <c r="Z892" s="64"/>
    </row>
    <row r="893" spans="1:26" thickBot="1">
      <c r="A893" s="66" t="str">
        <f t="shared" si="40"/>
        <v>Latitude 4045</v>
      </c>
      <c r="B893" s="86">
        <v>40.450000000000003</v>
      </c>
      <c r="C893" s="80">
        <v>45</v>
      </c>
      <c r="D893" s="69">
        <v>0.92</v>
      </c>
      <c r="E893" s="69">
        <v>1.03</v>
      </c>
      <c r="F893" s="69">
        <v>1.2</v>
      </c>
      <c r="G893" s="69">
        <v>1.39</v>
      </c>
      <c r="H893" s="69">
        <v>1.52</v>
      </c>
      <c r="I893" s="69">
        <v>1.5</v>
      </c>
      <c r="J893" s="69">
        <v>1.4</v>
      </c>
      <c r="K893" s="69">
        <v>1.29</v>
      </c>
      <c r="L893" s="69">
        <v>1.1499999999999999</v>
      </c>
      <c r="M893" s="69">
        <v>1.01</v>
      </c>
      <c r="N893" s="69">
        <v>0.91</v>
      </c>
      <c r="O893" s="69">
        <v>0.88</v>
      </c>
      <c r="P893" s="71">
        <v>1.18</v>
      </c>
      <c r="Q893" s="64"/>
      <c r="R893" s="64"/>
      <c r="S893" s="64"/>
      <c r="T893" s="64"/>
      <c r="U893" s="64"/>
      <c r="V893" s="64"/>
      <c r="W893" s="64"/>
      <c r="X893" s="64"/>
      <c r="Y893" s="64"/>
      <c r="Z893" s="64"/>
    </row>
    <row r="894" spans="1:26" thickBot="1">
      <c r="A894" s="66" t="str">
        <f t="shared" si="40"/>
        <v>Latitude 4050</v>
      </c>
      <c r="B894" s="86">
        <v>40.5</v>
      </c>
      <c r="C894" s="80">
        <v>50</v>
      </c>
      <c r="D894" s="69">
        <v>0.87</v>
      </c>
      <c r="E894" s="69">
        <v>0.99</v>
      </c>
      <c r="F894" s="69">
        <v>1.18</v>
      </c>
      <c r="G894" s="69">
        <v>1.39</v>
      </c>
      <c r="H894" s="69">
        <v>1.54</v>
      </c>
      <c r="I894" s="69">
        <v>1.52</v>
      </c>
      <c r="J894" s="69">
        <v>1.41</v>
      </c>
      <c r="K894" s="69">
        <v>1.28</v>
      </c>
      <c r="L894" s="69">
        <v>1.1299999999999999</v>
      </c>
      <c r="M894" s="69">
        <v>0.98</v>
      </c>
      <c r="N894" s="69">
        <v>0.87</v>
      </c>
      <c r="O894" s="69">
        <v>0.83</v>
      </c>
      <c r="P894" s="71">
        <v>1.17</v>
      </c>
      <c r="Q894" s="64"/>
      <c r="R894" s="64"/>
      <c r="S894" s="64"/>
      <c r="T894" s="64"/>
      <c r="U894" s="64"/>
      <c r="V894" s="64"/>
      <c r="W894" s="64"/>
      <c r="X894" s="64"/>
      <c r="Y894" s="64"/>
      <c r="Z894" s="64"/>
    </row>
    <row r="895" spans="1:26" thickBot="1">
      <c r="A895" s="66" t="str">
        <f t="shared" si="40"/>
        <v>Latitude 4055</v>
      </c>
      <c r="B895" s="86">
        <v>40.549999999999997</v>
      </c>
      <c r="C895" s="80">
        <v>55</v>
      </c>
      <c r="D895" s="69">
        <v>0.82</v>
      </c>
      <c r="E895" s="69">
        <v>0.95</v>
      </c>
      <c r="F895" s="69">
        <v>1.1499999999999999</v>
      </c>
      <c r="G895" s="69">
        <v>1.38</v>
      </c>
      <c r="H895" s="69">
        <v>1.54</v>
      </c>
      <c r="I895" s="69">
        <v>1.52</v>
      </c>
      <c r="J895" s="69">
        <v>1.4</v>
      </c>
      <c r="K895" s="69">
        <v>1.27</v>
      </c>
      <c r="L895" s="69">
        <v>1.1000000000000001</v>
      </c>
      <c r="M895" s="69">
        <v>0.94</v>
      </c>
      <c r="N895" s="69">
        <v>0.82</v>
      </c>
      <c r="O895" s="69">
        <v>0.78</v>
      </c>
      <c r="P895" s="71">
        <v>1.1399999999999999</v>
      </c>
      <c r="Q895" s="64"/>
      <c r="R895" s="64"/>
      <c r="S895" s="64"/>
      <c r="T895" s="64"/>
      <c r="U895" s="64"/>
      <c r="V895" s="64"/>
      <c r="W895" s="64"/>
      <c r="X895" s="64"/>
      <c r="Y895" s="64"/>
      <c r="Z895" s="64"/>
    </row>
    <row r="896" spans="1:26" thickBot="1">
      <c r="A896" s="66" t="str">
        <f t="shared" si="40"/>
        <v>Latitude 4060</v>
      </c>
      <c r="B896" s="86">
        <v>40.6</v>
      </c>
      <c r="C896" s="80">
        <v>60</v>
      </c>
      <c r="D896" s="69">
        <v>0.77</v>
      </c>
      <c r="E896" s="69">
        <v>0.9</v>
      </c>
      <c r="F896" s="69">
        <v>1.1200000000000001</v>
      </c>
      <c r="G896" s="69">
        <v>1.36</v>
      </c>
      <c r="H896" s="69">
        <v>1.53</v>
      </c>
      <c r="I896" s="69">
        <v>1.51</v>
      </c>
      <c r="J896" s="69">
        <v>1.39</v>
      </c>
      <c r="K896" s="69">
        <v>1.24</v>
      </c>
      <c r="L896" s="69">
        <v>1.07</v>
      </c>
      <c r="M896" s="69">
        <v>0.89</v>
      </c>
      <c r="N896" s="69">
        <v>0.77</v>
      </c>
      <c r="O896" s="69">
        <v>0.72</v>
      </c>
      <c r="P896" s="71">
        <v>1.1100000000000001</v>
      </c>
      <c r="Q896" s="64"/>
      <c r="R896" s="64"/>
      <c r="S896" s="64"/>
      <c r="T896" s="64"/>
      <c r="U896" s="64"/>
      <c r="V896" s="64"/>
      <c r="W896" s="64"/>
      <c r="X896" s="64"/>
      <c r="Y896" s="64"/>
      <c r="Z896" s="64"/>
    </row>
    <row r="897" spans="1:26" thickBot="1">
      <c r="A897" s="66" t="str">
        <f t="shared" si="40"/>
        <v>Latitude 4065</v>
      </c>
      <c r="B897" s="86">
        <v>40.65</v>
      </c>
      <c r="C897" s="80">
        <v>65</v>
      </c>
      <c r="D897" s="69">
        <v>0.71</v>
      </c>
      <c r="E897" s="69">
        <v>0.85</v>
      </c>
      <c r="F897" s="69">
        <v>1.07</v>
      </c>
      <c r="G897" s="69">
        <v>1.34</v>
      </c>
      <c r="H897" s="69">
        <v>1.51</v>
      </c>
      <c r="I897" s="69">
        <v>1.5</v>
      </c>
      <c r="J897" s="69">
        <v>1.37</v>
      </c>
      <c r="K897" s="69">
        <v>1.21</v>
      </c>
      <c r="L897" s="69">
        <v>1.03</v>
      </c>
      <c r="M897" s="69">
        <v>0.84</v>
      </c>
      <c r="N897" s="69">
        <v>0.71</v>
      </c>
      <c r="O897" s="69">
        <v>0.66</v>
      </c>
      <c r="P897" s="71">
        <v>1.07</v>
      </c>
      <c r="Q897" s="64"/>
      <c r="R897" s="64"/>
      <c r="S897" s="64"/>
      <c r="T897" s="64"/>
      <c r="U897" s="64"/>
      <c r="V897" s="64"/>
      <c r="W897" s="64"/>
      <c r="X897" s="64"/>
      <c r="Y897" s="64"/>
      <c r="Z897" s="64"/>
    </row>
    <row r="898" spans="1:26" thickBot="1">
      <c r="A898" s="66" t="str">
        <f t="shared" si="40"/>
        <v>Latitude 4070</v>
      </c>
      <c r="B898" s="86">
        <v>40.700000000000003</v>
      </c>
      <c r="C898" s="80">
        <v>70</v>
      </c>
      <c r="D898" s="69">
        <v>0.64</v>
      </c>
      <c r="E898" s="69">
        <v>0.79</v>
      </c>
      <c r="F898" s="69">
        <v>1.02</v>
      </c>
      <c r="G898" s="69">
        <v>1.3</v>
      </c>
      <c r="H898" s="69">
        <v>1.49</v>
      </c>
      <c r="I898" s="69">
        <v>1.47</v>
      </c>
      <c r="J898" s="69">
        <v>1.34</v>
      </c>
      <c r="K898" s="69">
        <v>1.17</v>
      </c>
      <c r="L898" s="69">
        <v>0.98</v>
      </c>
      <c r="M898" s="69">
        <v>0.78</v>
      </c>
      <c r="N898" s="69">
        <v>0.64</v>
      </c>
      <c r="O898" s="69">
        <v>0.59</v>
      </c>
      <c r="P898" s="71">
        <v>1.02</v>
      </c>
      <c r="Q898" s="64"/>
      <c r="R898" s="64"/>
      <c r="S898" s="64"/>
      <c r="T898" s="64"/>
      <c r="U898" s="64"/>
      <c r="V898" s="64"/>
      <c r="W898" s="64"/>
      <c r="X898" s="64"/>
      <c r="Y898" s="64"/>
      <c r="Z898" s="64"/>
    </row>
    <row r="899" spans="1:26" thickBot="1">
      <c r="A899" s="66" t="str">
        <f t="shared" si="40"/>
        <v>Latitude 4075</v>
      </c>
      <c r="B899" s="86">
        <v>40.75</v>
      </c>
      <c r="C899" s="80">
        <v>75</v>
      </c>
      <c r="D899" s="69">
        <v>0.56999999999999995</v>
      </c>
      <c r="E899" s="69">
        <v>0.73</v>
      </c>
      <c r="F899" s="69">
        <v>0.97</v>
      </c>
      <c r="G899" s="69">
        <v>1.25</v>
      </c>
      <c r="H899" s="69">
        <v>1.45</v>
      </c>
      <c r="I899" s="69">
        <v>1.44</v>
      </c>
      <c r="J899" s="69">
        <v>1.3</v>
      </c>
      <c r="K899" s="69">
        <v>1.1299999999999999</v>
      </c>
      <c r="L899" s="69">
        <v>0.92</v>
      </c>
      <c r="M899" s="69">
        <v>0.72</v>
      </c>
      <c r="N899" s="69">
        <v>0.56999999999999995</v>
      </c>
      <c r="O899" s="69">
        <v>0.52</v>
      </c>
      <c r="P899" s="71">
        <v>0.96</v>
      </c>
      <c r="Q899" s="64"/>
      <c r="R899" s="64"/>
      <c r="S899" s="64"/>
      <c r="T899" s="64"/>
      <c r="U899" s="64"/>
      <c r="V899" s="64"/>
      <c r="W899" s="64"/>
      <c r="X899" s="64"/>
      <c r="Y899" s="64"/>
      <c r="Z899" s="64"/>
    </row>
    <row r="900" spans="1:26" thickBot="1">
      <c r="A900" s="66" t="str">
        <f t="shared" si="40"/>
        <v>Latitude 4080</v>
      </c>
      <c r="B900" s="86">
        <v>40.799999999999997</v>
      </c>
      <c r="C900" s="80">
        <v>80</v>
      </c>
      <c r="D900" s="69">
        <v>0.5</v>
      </c>
      <c r="E900" s="69">
        <v>0.66</v>
      </c>
      <c r="F900" s="69">
        <v>0.9</v>
      </c>
      <c r="G900" s="69">
        <v>1.2</v>
      </c>
      <c r="H900" s="69">
        <v>1.41</v>
      </c>
      <c r="I900" s="69">
        <v>1.4</v>
      </c>
      <c r="J900" s="69">
        <v>1.25</v>
      </c>
      <c r="K900" s="69">
        <v>1.08</v>
      </c>
      <c r="L900" s="69">
        <v>0.86</v>
      </c>
      <c r="M900" s="69">
        <v>0.65</v>
      </c>
      <c r="N900" s="69">
        <v>0.5</v>
      </c>
      <c r="O900" s="69">
        <v>0.45</v>
      </c>
      <c r="P900" s="71">
        <v>0.91</v>
      </c>
      <c r="Q900" s="64"/>
      <c r="R900" s="64"/>
      <c r="S900" s="64"/>
      <c r="T900" s="64"/>
      <c r="U900" s="64"/>
      <c r="V900" s="64"/>
      <c r="W900" s="64"/>
      <c r="X900" s="64"/>
      <c r="Y900" s="64"/>
      <c r="Z900" s="64"/>
    </row>
    <row r="901" spans="1:26" thickBot="1">
      <c r="A901" s="66" t="str">
        <f t="shared" si="40"/>
        <v>Latitude 4085</v>
      </c>
      <c r="B901" s="86">
        <v>40.85</v>
      </c>
      <c r="C901" s="80">
        <v>85</v>
      </c>
      <c r="D901" s="69">
        <v>0.42</v>
      </c>
      <c r="E901" s="69">
        <v>0.57999999999999996</v>
      </c>
      <c r="F901" s="69">
        <v>0.84</v>
      </c>
      <c r="G901" s="69">
        <v>1.1399999999999999</v>
      </c>
      <c r="H901" s="69">
        <v>1.35</v>
      </c>
      <c r="I901" s="69">
        <v>1.35</v>
      </c>
      <c r="J901" s="69">
        <v>1.2</v>
      </c>
      <c r="K901" s="69">
        <v>1.02</v>
      </c>
      <c r="L901" s="69">
        <v>0.8</v>
      </c>
      <c r="M901" s="69">
        <v>0.57999999999999996</v>
      </c>
      <c r="N901" s="69">
        <v>0.43</v>
      </c>
      <c r="O901" s="69">
        <v>0.37</v>
      </c>
      <c r="P901" s="71">
        <v>0.84</v>
      </c>
      <c r="Q901" s="64"/>
      <c r="R901" s="64"/>
      <c r="S901" s="64"/>
      <c r="T901" s="64"/>
      <c r="U901" s="64"/>
      <c r="V901" s="64"/>
      <c r="W901" s="64"/>
      <c r="X901" s="64"/>
      <c r="Y901" s="64"/>
      <c r="Z901" s="64"/>
    </row>
    <row r="902" spans="1:26" thickBot="1">
      <c r="A902" s="66" t="str">
        <f t="shared" si="40"/>
        <v>Latitude 4090</v>
      </c>
      <c r="B902" s="86">
        <v>40.9</v>
      </c>
      <c r="C902" s="69">
        <v>90</v>
      </c>
      <c r="D902" s="69">
        <v>0.34</v>
      </c>
      <c r="E902" s="69">
        <v>0.5</v>
      </c>
      <c r="F902" s="69">
        <v>0.76</v>
      </c>
      <c r="G902" s="69">
        <v>1.07</v>
      </c>
      <c r="H902" s="69">
        <v>1.29</v>
      </c>
      <c r="I902" s="69">
        <v>1.29</v>
      </c>
      <c r="J902" s="69">
        <v>1.1399999999999999</v>
      </c>
      <c r="K902" s="69">
        <v>0.95</v>
      </c>
      <c r="L902" s="69">
        <v>0.73</v>
      </c>
      <c r="M902" s="69">
        <v>0.5</v>
      </c>
      <c r="N902" s="69">
        <v>0.35</v>
      </c>
      <c r="O902" s="69">
        <v>0.28999999999999998</v>
      </c>
      <c r="P902" s="71">
        <v>0.77</v>
      </c>
      <c r="Q902" s="64"/>
      <c r="R902" s="64"/>
      <c r="S902" s="64"/>
      <c r="T902" s="64"/>
      <c r="U902" s="64"/>
      <c r="V902" s="64"/>
      <c r="W902" s="64"/>
      <c r="X902" s="64"/>
      <c r="Y902" s="64"/>
      <c r="Z902" s="64"/>
    </row>
    <row r="903" spans="1:26" thickBot="1">
      <c r="A903" s="66"/>
      <c r="B903" s="88"/>
      <c r="C903" s="73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66"/>
      <c r="Q903" s="64"/>
      <c r="R903" s="64"/>
      <c r="S903" s="64"/>
      <c r="T903" s="64"/>
      <c r="U903" s="64"/>
      <c r="V903" s="64"/>
      <c r="W903" s="64"/>
      <c r="X903" s="64"/>
      <c r="Y903" s="64"/>
      <c r="Z903" s="64"/>
    </row>
    <row r="904" spans="1:26" thickBot="1">
      <c r="A904" s="66"/>
      <c r="B904" s="88"/>
      <c r="C904" s="73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66"/>
      <c r="Q904" s="64"/>
      <c r="R904" s="64"/>
      <c r="S904" s="64"/>
      <c r="T904" s="64"/>
      <c r="U904" s="64"/>
      <c r="V904" s="64"/>
      <c r="W904" s="64"/>
      <c r="X904" s="64"/>
      <c r="Y904" s="64"/>
      <c r="Z904" s="64"/>
    </row>
    <row r="905" spans="1:26" thickBot="1">
      <c r="A905" s="66"/>
      <c r="B905" s="85" t="s">
        <v>5906</v>
      </c>
      <c r="C905" s="75" t="s">
        <v>5853</v>
      </c>
      <c r="D905" s="75" t="s">
        <v>5827</v>
      </c>
      <c r="E905" s="75" t="s">
        <v>5828</v>
      </c>
      <c r="F905" s="75" t="s">
        <v>5829</v>
      </c>
      <c r="G905" s="75" t="s">
        <v>5830</v>
      </c>
      <c r="H905" s="75" t="s">
        <v>5831</v>
      </c>
      <c r="I905" s="75" t="s">
        <v>5832</v>
      </c>
      <c r="J905" s="75" t="s">
        <v>5833</v>
      </c>
      <c r="K905" s="75" t="s">
        <v>5834</v>
      </c>
      <c r="L905" s="75" t="s">
        <v>5835</v>
      </c>
      <c r="M905" s="75" t="s">
        <v>5836</v>
      </c>
      <c r="N905" s="75" t="s">
        <v>5837</v>
      </c>
      <c r="O905" s="75" t="s">
        <v>5838</v>
      </c>
      <c r="P905" s="74" t="s">
        <v>20</v>
      </c>
      <c r="Q905" s="64"/>
      <c r="R905" s="64"/>
      <c r="S905" s="64"/>
      <c r="T905" s="64"/>
      <c r="U905" s="64"/>
      <c r="V905" s="64"/>
      <c r="W905" s="64"/>
      <c r="X905" s="64"/>
      <c r="Y905" s="64"/>
      <c r="Z905" s="64"/>
    </row>
    <row r="906" spans="1:26" thickBot="1">
      <c r="A906" s="66" t="str">
        <f>$B$905&amp;C906</f>
        <v>Latitude 410</v>
      </c>
      <c r="B906" s="86">
        <v>41</v>
      </c>
      <c r="C906" s="80">
        <v>0</v>
      </c>
      <c r="D906" s="69">
        <v>1</v>
      </c>
      <c r="E906" s="69">
        <v>1</v>
      </c>
      <c r="F906" s="69">
        <v>1</v>
      </c>
      <c r="G906" s="69">
        <v>1</v>
      </c>
      <c r="H906" s="69">
        <v>1</v>
      </c>
      <c r="I906" s="69">
        <v>1</v>
      </c>
      <c r="J906" s="69">
        <v>1</v>
      </c>
      <c r="K906" s="69">
        <v>1</v>
      </c>
      <c r="L906" s="69">
        <v>1</v>
      </c>
      <c r="M906" s="69">
        <v>1</v>
      </c>
      <c r="N906" s="69">
        <v>1</v>
      </c>
      <c r="O906" s="69">
        <v>1</v>
      </c>
      <c r="P906" s="71">
        <v>1</v>
      </c>
      <c r="Q906" s="64"/>
      <c r="R906" s="64"/>
      <c r="S906" s="64"/>
      <c r="T906" s="64"/>
      <c r="U906" s="64"/>
      <c r="V906" s="64"/>
      <c r="W906" s="64"/>
      <c r="X906" s="64"/>
      <c r="Y906" s="64"/>
      <c r="Z906" s="64"/>
    </row>
    <row r="907" spans="1:26" thickBot="1">
      <c r="A907" s="66" t="str">
        <f t="shared" ref="A907:A924" si="41">$B$905&amp;C907</f>
        <v>Latitude 415</v>
      </c>
      <c r="B907" s="86">
        <v>41.5</v>
      </c>
      <c r="C907" s="80">
        <v>5</v>
      </c>
      <c r="D907" s="69">
        <v>1.02</v>
      </c>
      <c r="E907" s="69">
        <v>1.03</v>
      </c>
      <c r="F907" s="69">
        <v>1.05</v>
      </c>
      <c r="G907" s="69">
        <v>1.08</v>
      </c>
      <c r="H907" s="69" t="s">
        <v>5852</v>
      </c>
      <c r="I907" s="69">
        <v>1.0900000000000001</v>
      </c>
      <c r="J907" s="69">
        <v>1.07</v>
      </c>
      <c r="K907" s="69">
        <v>1.06</v>
      </c>
      <c r="L907" s="69">
        <v>1.05</v>
      </c>
      <c r="M907" s="69">
        <v>1.03</v>
      </c>
      <c r="N907" s="69">
        <v>1.02</v>
      </c>
      <c r="O907" s="69">
        <v>1.02</v>
      </c>
      <c r="P907" s="71">
        <v>0.96</v>
      </c>
      <c r="Q907" s="64"/>
      <c r="R907" s="64"/>
      <c r="S907" s="64"/>
      <c r="T907" s="64"/>
      <c r="U907" s="64"/>
      <c r="V907" s="64"/>
      <c r="W907" s="64"/>
      <c r="X907" s="64"/>
      <c r="Y907" s="64"/>
      <c r="Z907" s="64"/>
    </row>
    <row r="908" spans="1:26" thickBot="1">
      <c r="A908" s="66" t="str">
        <f t="shared" si="41"/>
        <v>Latitude 4110</v>
      </c>
      <c r="B908" s="86">
        <v>41.1</v>
      </c>
      <c r="C908" s="80">
        <v>10</v>
      </c>
      <c r="D908" s="69">
        <v>1.03</v>
      </c>
      <c r="E908" s="69">
        <v>1.06</v>
      </c>
      <c r="F908" s="69">
        <v>1.1000000000000001</v>
      </c>
      <c r="G908" s="69">
        <v>1.1499999999999999</v>
      </c>
      <c r="H908" s="69">
        <v>1.18</v>
      </c>
      <c r="I908" s="69">
        <v>1.17</v>
      </c>
      <c r="J908" s="69">
        <v>1.1399999999999999</v>
      </c>
      <c r="K908" s="69">
        <v>1.1200000000000001</v>
      </c>
      <c r="L908" s="69">
        <v>1.0900000000000001</v>
      </c>
      <c r="M908" s="69">
        <v>1.06</v>
      </c>
      <c r="N908" s="69">
        <v>1.03</v>
      </c>
      <c r="O908" s="69">
        <v>1.02</v>
      </c>
      <c r="P908" s="71">
        <v>1.1000000000000001</v>
      </c>
      <c r="Q908" s="64"/>
      <c r="R908" s="64"/>
      <c r="S908" s="64"/>
      <c r="T908" s="64"/>
      <c r="U908" s="64"/>
      <c r="V908" s="64"/>
      <c r="W908" s="64"/>
      <c r="X908" s="64"/>
      <c r="Y908" s="64"/>
      <c r="Z908" s="64"/>
    </row>
    <row r="909" spans="1:26" thickBot="1">
      <c r="A909" s="66" t="str">
        <f t="shared" si="41"/>
        <v>Latitude 4115</v>
      </c>
      <c r="B909" s="86">
        <v>41.15</v>
      </c>
      <c r="C909" s="80">
        <v>15</v>
      </c>
      <c r="D909" s="69">
        <v>1.04</v>
      </c>
      <c r="E909" s="69">
        <v>1.08</v>
      </c>
      <c r="F909" s="69">
        <v>1.1399999999999999</v>
      </c>
      <c r="G909" s="69">
        <v>1.21</v>
      </c>
      <c r="H909" s="69">
        <v>1.26</v>
      </c>
      <c r="I909" s="69">
        <v>1.24</v>
      </c>
      <c r="J909" s="69">
        <v>1.21</v>
      </c>
      <c r="K909" s="69">
        <v>1.17</v>
      </c>
      <c r="L909" s="69">
        <v>1.1200000000000001</v>
      </c>
      <c r="M909" s="69">
        <v>1.07</v>
      </c>
      <c r="N909" s="69">
        <v>1.04</v>
      </c>
      <c r="O909" s="69">
        <v>1.03</v>
      </c>
      <c r="P909" s="71">
        <v>1.1299999999999999</v>
      </c>
      <c r="Q909" s="64"/>
      <c r="R909" s="64"/>
      <c r="S909" s="64"/>
      <c r="T909" s="64"/>
      <c r="U909" s="64"/>
      <c r="V909" s="64"/>
      <c r="W909" s="64"/>
      <c r="X909" s="64"/>
      <c r="Y909" s="64"/>
      <c r="Z909" s="64"/>
    </row>
    <row r="910" spans="1:26" thickBot="1">
      <c r="A910" s="66" t="str">
        <f t="shared" si="41"/>
        <v>Latitude 4120</v>
      </c>
      <c r="B910" s="86">
        <v>41.2</v>
      </c>
      <c r="C910" s="80">
        <v>20</v>
      </c>
      <c r="D910" s="69">
        <v>1.04</v>
      </c>
      <c r="E910" s="69">
        <v>1.0900000000000001</v>
      </c>
      <c r="F910" s="69">
        <v>1.17</v>
      </c>
      <c r="G910" s="69">
        <v>1.27</v>
      </c>
      <c r="H910" s="69">
        <v>1.33</v>
      </c>
      <c r="I910" s="69">
        <v>1.31</v>
      </c>
      <c r="J910" s="69">
        <v>1.26</v>
      </c>
      <c r="K910" s="69">
        <v>1.21</v>
      </c>
      <c r="L910" s="69">
        <v>1.1499999999999999</v>
      </c>
      <c r="M910" s="69">
        <v>1.08</v>
      </c>
      <c r="N910" s="69">
        <v>1.04</v>
      </c>
      <c r="O910" s="69">
        <v>1.02</v>
      </c>
      <c r="P910" s="71">
        <v>1.1599999999999999</v>
      </c>
      <c r="Q910" s="64"/>
      <c r="R910" s="64"/>
      <c r="S910" s="64"/>
      <c r="T910" s="64"/>
      <c r="U910" s="64"/>
      <c r="V910" s="64"/>
      <c r="W910" s="64"/>
      <c r="X910" s="64"/>
      <c r="Y910" s="64"/>
      <c r="Z910" s="64"/>
    </row>
    <row r="911" spans="1:26" thickBot="1">
      <c r="A911" s="66" t="str">
        <f t="shared" si="41"/>
        <v>Latitude 4125</v>
      </c>
      <c r="B911" s="86">
        <v>41.25</v>
      </c>
      <c r="C911" s="80">
        <v>25</v>
      </c>
      <c r="D911" s="69">
        <v>1.03</v>
      </c>
      <c r="E911" s="69">
        <v>1.1000000000000001</v>
      </c>
      <c r="F911" s="69">
        <v>1.2</v>
      </c>
      <c r="G911" s="69">
        <v>1.32</v>
      </c>
      <c r="H911" s="69">
        <v>1.39</v>
      </c>
      <c r="I911" s="69">
        <v>1.37</v>
      </c>
      <c r="J911" s="69">
        <v>1.31</v>
      </c>
      <c r="K911" s="69">
        <v>1.24</v>
      </c>
      <c r="L911" s="69">
        <v>1.17</v>
      </c>
      <c r="M911" s="69">
        <v>1.0900000000000001</v>
      </c>
      <c r="N911" s="69">
        <v>1.03</v>
      </c>
      <c r="O911" s="69">
        <v>1.01</v>
      </c>
      <c r="P911" s="71">
        <v>1.19</v>
      </c>
      <c r="Q911" s="64"/>
      <c r="R911" s="64"/>
      <c r="S911" s="64"/>
      <c r="T911" s="64"/>
      <c r="U911" s="64"/>
      <c r="V911" s="64"/>
      <c r="W911" s="64"/>
      <c r="X911" s="64"/>
      <c r="Y911" s="64"/>
      <c r="Z911" s="64"/>
    </row>
    <row r="912" spans="1:26" thickBot="1">
      <c r="A912" s="66" t="str">
        <f t="shared" si="41"/>
        <v>Latitude 4130</v>
      </c>
      <c r="B912" s="86">
        <v>41.3</v>
      </c>
      <c r="C912" s="80">
        <v>30</v>
      </c>
      <c r="D912" s="69">
        <v>1.02</v>
      </c>
      <c r="E912" s="69">
        <v>1.0900000000000001</v>
      </c>
      <c r="F912" s="69">
        <v>1.21</v>
      </c>
      <c r="G912" s="69">
        <v>1.35</v>
      </c>
      <c r="H912" s="69">
        <v>1.44</v>
      </c>
      <c r="I912" s="69">
        <v>1.42</v>
      </c>
      <c r="J912" s="69">
        <v>1.35</v>
      </c>
      <c r="K912" s="81">
        <v>1.27</v>
      </c>
      <c r="L912" s="69">
        <v>1.18</v>
      </c>
      <c r="M912" s="69">
        <v>1.08</v>
      </c>
      <c r="N912" s="69">
        <v>1.01</v>
      </c>
      <c r="O912" s="69">
        <v>0.99</v>
      </c>
      <c r="P912" s="71">
        <v>1.2</v>
      </c>
      <c r="Q912" s="64"/>
      <c r="R912" s="64"/>
      <c r="S912" s="64"/>
      <c r="T912" s="64"/>
      <c r="U912" s="64"/>
      <c r="V912" s="64"/>
      <c r="W912" s="64"/>
      <c r="X912" s="64"/>
      <c r="Y912" s="64"/>
      <c r="Z912" s="64"/>
    </row>
    <row r="913" spans="1:26" thickBot="1">
      <c r="A913" s="66" t="str">
        <f t="shared" si="41"/>
        <v>Latitude 4135</v>
      </c>
      <c r="B913" s="86">
        <v>41.35</v>
      </c>
      <c r="C913" s="80">
        <v>35</v>
      </c>
      <c r="D913" s="69">
        <v>0.99</v>
      </c>
      <c r="E913" s="69">
        <v>1.08</v>
      </c>
      <c r="F913" s="69">
        <v>1.22</v>
      </c>
      <c r="G913" s="69">
        <v>1.38</v>
      </c>
      <c r="H913" s="69">
        <v>1.49</v>
      </c>
      <c r="I913" s="69">
        <v>1.47</v>
      </c>
      <c r="J913" s="69">
        <v>1.38</v>
      </c>
      <c r="K913" s="69">
        <v>1.29</v>
      </c>
      <c r="L913" s="69">
        <v>1.18</v>
      </c>
      <c r="M913" s="69">
        <v>1.07</v>
      </c>
      <c r="N913" s="69">
        <v>0.99</v>
      </c>
      <c r="O913" s="69">
        <v>0.96</v>
      </c>
      <c r="P913" s="71">
        <v>1.21</v>
      </c>
      <c r="Q913" s="64"/>
      <c r="R913" s="64"/>
      <c r="S913" s="64"/>
      <c r="T913" s="64"/>
      <c r="U913" s="64"/>
      <c r="V913" s="64"/>
      <c r="W913" s="64"/>
      <c r="X913" s="64"/>
      <c r="Y913" s="64"/>
      <c r="Z913" s="64"/>
    </row>
    <row r="914" spans="1:26" thickBot="1">
      <c r="A914" s="66" t="str">
        <f t="shared" si="41"/>
        <v>Latitude 4140</v>
      </c>
      <c r="B914" s="86">
        <v>41.4</v>
      </c>
      <c r="C914" s="80">
        <v>40</v>
      </c>
      <c r="D914" s="69">
        <v>0.96</v>
      </c>
      <c r="E914" s="69">
        <v>1.06</v>
      </c>
      <c r="F914" s="69">
        <v>1.22</v>
      </c>
      <c r="G914" s="69">
        <v>1.4</v>
      </c>
      <c r="H914" s="69">
        <v>1.52</v>
      </c>
      <c r="I914" s="69">
        <v>1.5</v>
      </c>
      <c r="J914" s="69">
        <v>1.4</v>
      </c>
      <c r="K914" s="69">
        <v>1.3</v>
      </c>
      <c r="L914" s="69">
        <v>1.18</v>
      </c>
      <c r="M914" s="69">
        <v>1.05</v>
      </c>
      <c r="N914" s="69">
        <v>0.96</v>
      </c>
      <c r="O914" s="69">
        <v>0.93</v>
      </c>
      <c r="P914" s="71">
        <v>1.21</v>
      </c>
      <c r="Q914" s="64"/>
      <c r="R914" s="64"/>
      <c r="S914" s="64"/>
      <c r="T914" s="64"/>
      <c r="U914" s="64"/>
      <c r="V914" s="64"/>
      <c r="W914" s="64"/>
      <c r="X914" s="64"/>
      <c r="Y914" s="64"/>
      <c r="Z914" s="64"/>
    </row>
    <row r="915" spans="1:26" thickBot="1">
      <c r="A915" s="66" t="str">
        <f t="shared" si="41"/>
        <v>Latitude 4145</v>
      </c>
      <c r="B915" s="86">
        <v>41.45</v>
      </c>
      <c r="C915" s="80">
        <v>45</v>
      </c>
      <c r="D915" s="69">
        <v>0.93</v>
      </c>
      <c r="E915" s="69">
        <v>1.04</v>
      </c>
      <c r="F915" s="69">
        <v>1.21</v>
      </c>
      <c r="G915" s="69">
        <v>1.41</v>
      </c>
      <c r="H915" s="69">
        <v>1.55</v>
      </c>
      <c r="I915" s="69">
        <v>1.52</v>
      </c>
      <c r="J915" s="69">
        <v>1.42</v>
      </c>
      <c r="K915" s="69">
        <v>1.3</v>
      </c>
      <c r="L915" s="69">
        <v>1.1599999999999999</v>
      </c>
      <c r="M915" s="69">
        <v>1.03</v>
      </c>
      <c r="N915" s="69">
        <v>0.93</v>
      </c>
      <c r="O915" s="69">
        <v>0.89</v>
      </c>
      <c r="P915" s="71">
        <v>1.2</v>
      </c>
      <c r="Q915" s="64"/>
      <c r="R915" s="64"/>
      <c r="S915" s="64"/>
      <c r="T915" s="64"/>
      <c r="U915" s="64"/>
      <c r="V915" s="64"/>
      <c r="W915" s="64"/>
      <c r="X915" s="64"/>
      <c r="Y915" s="64"/>
      <c r="Z915" s="64"/>
    </row>
    <row r="916" spans="1:26" thickBot="1">
      <c r="A916" s="66" t="str">
        <f t="shared" si="41"/>
        <v>Latitude 4150</v>
      </c>
      <c r="B916" s="86">
        <v>41.5</v>
      </c>
      <c r="C916" s="80">
        <v>50</v>
      </c>
      <c r="D916" s="69">
        <v>0.88</v>
      </c>
      <c r="E916" s="69">
        <v>1.01</v>
      </c>
      <c r="F916" s="69">
        <v>1.19</v>
      </c>
      <c r="G916" s="69">
        <v>1.41</v>
      </c>
      <c r="H916" s="69">
        <v>1.56</v>
      </c>
      <c r="I916" s="69">
        <v>1.54</v>
      </c>
      <c r="J916" s="69">
        <v>1.42</v>
      </c>
      <c r="K916" s="69">
        <v>1.3</v>
      </c>
      <c r="L916" s="69">
        <v>1.1399999999999999</v>
      </c>
      <c r="M916" s="69">
        <v>0.99</v>
      </c>
      <c r="N916" s="69">
        <v>0.88</v>
      </c>
      <c r="O916" s="69">
        <v>0.84</v>
      </c>
      <c r="P916" s="71">
        <v>1.18</v>
      </c>
      <c r="Q916" s="64"/>
      <c r="R916" s="64"/>
      <c r="S916" s="64"/>
      <c r="T916" s="64"/>
      <c r="U916" s="64"/>
      <c r="V916" s="64"/>
      <c r="W916" s="64"/>
      <c r="X916" s="64"/>
      <c r="Y916" s="64"/>
      <c r="Z916" s="64"/>
    </row>
    <row r="917" spans="1:26" thickBot="1">
      <c r="A917" s="66" t="str">
        <f t="shared" si="41"/>
        <v>Latitude 4155</v>
      </c>
      <c r="B917" s="86">
        <v>41.55</v>
      </c>
      <c r="C917" s="80">
        <v>55</v>
      </c>
      <c r="D917" s="69">
        <v>0.84</v>
      </c>
      <c r="E917" s="69">
        <v>0.97</v>
      </c>
      <c r="F917" s="69">
        <v>1.17</v>
      </c>
      <c r="G917" s="69">
        <v>1.41</v>
      </c>
      <c r="H917" s="69">
        <v>1.57</v>
      </c>
      <c r="I917" s="69">
        <v>1.54</v>
      </c>
      <c r="J917" s="69">
        <v>1.42</v>
      </c>
      <c r="K917" s="69">
        <v>1.28</v>
      </c>
      <c r="L917" s="69">
        <v>1.1200000000000001</v>
      </c>
      <c r="M917" s="69">
        <v>0.95</v>
      </c>
      <c r="N917" s="69">
        <v>0.83</v>
      </c>
      <c r="O917" s="69">
        <v>0.79</v>
      </c>
      <c r="P917" s="71">
        <v>1.1599999999999999</v>
      </c>
      <c r="Q917" s="64"/>
      <c r="R917" s="64"/>
      <c r="S917" s="64"/>
      <c r="T917" s="64"/>
      <c r="U917" s="64"/>
      <c r="V917" s="64"/>
      <c r="W917" s="64"/>
      <c r="X917" s="64"/>
      <c r="Y917" s="64"/>
      <c r="Z917" s="64"/>
    </row>
    <row r="918" spans="1:26" thickBot="1">
      <c r="A918" s="66" t="str">
        <f t="shared" si="41"/>
        <v>Latitude 4160</v>
      </c>
      <c r="B918" s="86">
        <v>41.6</v>
      </c>
      <c r="C918" s="80">
        <v>60</v>
      </c>
      <c r="D918" s="69">
        <v>0.78</v>
      </c>
      <c r="E918" s="69">
        <v>0.92</v>
      </c>
      <c r="F918" s="69">
        <v>1.1399999999999999</v>
      </c>
      <c r="G918" s="69">
        <v>1.39</v>
      </c>
      <c r="H918" s="69">
        <v>1.56</v>
      </c>
      <c r="I918" s="69">
        <v>1.54</v>
      </c>
      <c r="J918" s="69">
        <v>1.41</v>
      </c>
      <c r="K918" s="69">
        <v>1.26</v>
      </c>
      <c r="L918" s="69">
        <v>1.08</v>
      </c>
      <c r="M918" s="69">
        <v>0.91</v>
      </c>
      <c r="N918" s="69">
        <v>0.78</v>
      </c>
      <c r="O918" s="69">
        <v>0.73</v>
      </c>
      <c r="P918" s="71">
        <v>1.1299999999999999</v>
      </c>
      <c r="Q918" s="64"/>
      <c r="R918" s="64"/>
      <c r="S918" s="64"/>
      <c r="T918" s="64"/>
      <c r="U918" s="64"/>
      <c r="V918" s="64"/>
      <c r="W918" s="64"/>
      <c r="X918" s="64"/>
      <c r="Y918" s="64"/>
      <c r="Z918" s="64"/>
    </row>
    <row r="919" spans="1:26" thickBot="1">
      <c r="A919" s="66" t="str">
        <f t="shared" si="41"/>
        <v>Latitude 4165</v>
      </c>
      <c r="B919" s="86">
        <v>41.65</v>
      </c>
      <c r="C919" s="80">
        <v>65</v>
      </c>
      <c r="D919" s="69">
        <v>0.72</v>
      </c>
      <c r="E919" s="69">
        <v>0.87</v>
      </c>
      <c r="F919" s="69">
        <v>1.0900000000000001</v>
      </c>
      <c r="G919" s="69">
        <v>1.36</v>
      </c>
      <c r="H919" s="69">
        <v>1.54</v>
      </c>
      <c r="I919" s="69">
        <v>1.53</v>
      </c>
      <c r="J919" s="69">
        <v>1.39</v>
      </c>
      <c r="K919" s="69">
        <v>1.23</v>
      </c>
      <c r="L919" s="69">
        <v>1.04</v>
      </c>
      <c r="M919" s="69">
        <v>0.85</v>
      </c>
      <c r="N919" s="69">
        <v>0.72</v>
      </c>
      <c r="O919" s="69">
        <v>0.67</v>
      </c>
      <c r="P919" s="71">
        <v>1.08</v>
      </c>
      <c r="Q919" s="64"/>
      <c r="R919" s="64"/>
      <c r="S919" s="64"/>
      <c r="T919" s="64"/>
      <c r="U919" s="64"/>
      <c r="V919" s="64"/>
      <c r="W919" s="64"/>
      <c r="X919" s="64"/>
      <c r="Y919" s="64"/>
      <c r="Z919" s="64"/>
    </row>
    <row r="920" spans="1:26" thickBot="1">
      <c r="A920" s="66" t="str">
        <f t="shared" si="41"/>
        <v>Latitude 4170</v>
      </c>
      <c r="B920" s="86">
        <v>41.7</v>
      </c>
      <c r="C920" s="80">
        <v>70</v>
      </c>
      <c r="D920" s="69">
        <v>0.66</v>
      </c>
      <c r="E920" s="69">
        <v>0.81</v>
      </c>
      <c r="F920" s="69">
        <v>1.04</v>
      </c>
      <c r="G920" s="69">
        <v>1.32</v>
      </c>
      <c r="H920" s="69">
        <v>1.52</v>
      </c>
      <c r="I920" s="69">
        <v>1.5</v>
      </c>
      <c r="J920" s="69">
        <v>1.36</v>
      </c>
      <c r="K920" s="69">
        <v>1.19</v>
      </c>
      <c r="L920" s="69">
        <v>0.99</v>
      </c>
      <c r="M920" s="69">
        <v>0.8</v>
      </c>
      <c r="N920" s="69">
        <v>0.66</v>
      </c>
      <c r="O920" s="69">
        <v>0.61</v>
      </c>
      <c r="P920" s="71">
        <v>1.04</v>
      </c>
      <c r="Q920" s="64"/>
      <c r="R920" s="64"/>
      <c r="S920" s="64"/>
      <c r="T920" s="64"/>
      <c r="U920" s="64"/>
      <c r="V920" s="64"/>
      <c r="W920" s="64"/>
      <c r="X920" s="64"/>
      <c r="Y920" s="64"/>
      <c r="Z920" s="64"/>
    </row>
    <row r="921" spans="1:26" thickBot="1">
      <c r="A921" s="66" t="str">
        <f t="shared" si="41"/>
        <v>Latitude 4175</v>
      </c>
      <c r="B921" s="86">
        <v>41.75</v>
      </c>
      <c r="C921" s="80">
        <v>75</v>
      </c>
      <c r="D921" s="69">
        <v>0.59</v>
      </c>
      <c r="E921" s="69">
        <v>0.74</v>
      </c>
      <c r="F921" s="69">
        <v>0.99</v>
      </c>
      <c r="G921" s="69">
        <v>1.28</v>
      </c>
      <c r="H921" s="69">
        <v>1.48</v>
      </c>
      <c r="I921" s="69">
        <v>1.47</v>
      </c>
      <c r="J921" s="69">
        <v>1.32</v>
      </c>
      <c r="K921" s="69">
        <v>1.1499999999999999</v>
      </c>
      <c r="L921" s="69">
        <v>0.94</v>
      </c>
      <c r="M921" s="69">
        <v>0.73</v>
      </c>
      <c r="N921" s="69">
        <v>0.59</v>
      </c>
      <c r="O921" s="69">
        <v>0.54</v>
      </c>
      <c r="P921" s="71">
        <v>0.99</v>
      </c>
      <c r="Q921" s="64"/>
      <c r="R921" s="64"/>
      <c r="S921" s="64"/>
      <c r="T921" s="64"/>
      <c r="U921" s="64"/>
      <c r="V921" s="64"/>
      <c r="W921" s="64"/>
      <c r="X921" s="64"/>
      <c r="Y921" s="64"/>
      <c r="Z921" s="64"/>
    </row>
    <row r="922" spans="1:26" thickBot="1">
      <c r="A922" s="66" t="str">
        <f t="shared" si="41"/>
        <v>Latitude 4180</v>
      </c>
      <c r="B922" s="86">
        <v>41.8</v>
      </c>
      <c r="C922" s="80">
        <v>80</v>
      </c>
      <c r="D922" s="69">
        <v>0.52</v>
      </c>
      <c r="E922" s="69">
        <v>0.67</v>
      </c>
      <c r="F922" s="69">
        <v>0.93</v>
      </c>
      <c r="G922" s="69">
        <v>1.23</v>
      </c>
      <c r="H922" s="69">
        <v>1.44</v>
      </c>
      <c r="I922" s="69">
        <v>1.43</v>
      </c>
      <c r="J922" s="69">
        <v>1.28</v>
      </c>
      <c r="K922" s="69">
        <v>1.1000000000000001</v>
      </c>
      <c r="L922" s="69">
        <v>0.88</v>
      </c>
      <c r="M922" s="69">
        <v>0.67</v>
      </c>
      <c r="N922" s="69">
        <v>0.52</v>
      </c>
      <c r="O922" s="69">
        <v>0.46</v>
      </c>
      <c r="P922" s="71">
        <v>0.93</v>
      </c>
      <c r="Q922" s="64"/>
      <c r="R922" s="64"/>
      <c r="S922" s="64"/>
      <c r="T922" s="64"/>
      <c r="U922" s="64"/>
      <c r="V922" s="64"/>
      <c r="W922" s="64"/>
      <c r="X922" s="64"/>
      <c r="Y922" s="64"/>
      <c r="Z922" s="64"/>
    </row>
    <row r="923" spans="1:26" thickBot="1">
      <c r="A923" s="66" t="str">
        <f t="shared" si="41"/>
        <v>Latitude 4185</v>
      </c>
      <c r="B923" s="86">
        <v>41.85</v>
      </c>
      <c r="C923" s="80">
        <v>85</v>
      </c>
      <c r="D923" s="69">
        <v>0.44</v>
      </c>
      <c r="E923" s="69">
        <v>0.6</v>
      </c>
      <c r="F923" s="69">
        <v>0.86</v>
      </c>
      <c r="G923" s="69">
        <v>1.1599999999999999</v>
      </c>
      <c r="H923" s="69">
        <v>1.38</v>
      </c>
      <c r="I923" s="69">
        <v>1.38</v>
      </c>
      <c r="J923" s="69">
        <v>1.23</v>
      </c>
      <c r="K923" s="69">
        <v>1.04</v>
      </c>
      <c r="L923" s="69">
        <v>0.82</v>
      </c>
      <c r="M923" s="69">
        <v>0.6</v>
      </c>
      <c r="N923" s="69">
        <v>0.44</v>
      </c>
      <c r="O923" s="69">
        <v>0.39</v>
      </c>
      <c r="P923" s="71">
        <v>0.86</v>
      </c>
      <c r="Q923" s="64"/>
      <c r="R923" s="64"/>
      <c r="S923" s="64"/>
      <c r="T923" s="64"/>
      <c r="U923" s="64"/>
      <c r="V923" s="64"/>
      <c r="W923" s="64"/>
      <c r="X923" s="64"/>
      <c r="Y923" s="64"/>
      <c r="Z923" s="64"/>
    </row>
    <row r="924" spans="1:26" thickBot="1">
      <c r="A924" s="66" t="str">
        <f t="shared" si="41"/>
        <v>Latitude 4190</v>
      </c>
      <c r="B924" s="86">
        <v>41.9</v>
      </c>
      <c r="C924" s="69">
        <v>90</v>
      </c>
      <c r="D924" s="69">
        <v>0.36</v>
      </c>
      <c r="E924" s="69">
        <v>0.52</v>
      </c>
      <c r="F924" s="69">
        <v>0.78</v>
      </c>
      <c r="G924" s="69">
        <v>1.0900000000000001</v>
      </c>
      <c r="H924" s="69">
        <v>1.32</v>
      </c>
      <c r="I924" s="69">
        <v>1.32</v>
      </c>
      <c r="J924" s="69">
        <v>1.17</v>
      </c>
      <c r="K924" s="69">
        <v>0.98</v>
      </c>
      <c r="L924" s="69">
        <v>0.74</v>
      </c>
      <c r="M924" s="69">
        <v>0.52</v>
      </c>
      <c r="N924" s="69">
        <v>0.36</v>
      </c>
      <c r="O924" s="69">
        <v>0.31</v>
      </c>
      <c r="P924" s="71">
        <v>0.79</v>
      </c>
      <c r="Q924" s="64"/>
      <c r="R924" s="64"/>
      <c r="S924" s="64"/>
      <c r="T924" s="64"/>
      <c r="U924" s="64"/>
      <c r="V924" s="64"/>
      <c r="W924" s="64"/>
      <c r="X924" s="64"/>
      <c r="Y924" s="64"/>
      <c r="Z924" s="64"/>
    </row>
    <row r="925" spans="1:26" thickBot="1">
      <c r="A925" s="66"/>
      <c r="B925" s="88"/>
      <c r="C925" s="73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66"/>
      <c r="Q925" s="64"/>
      <c r="R925" s="64"/>
      <c r="S925" s="64"/>
      <c r="T925" s="64"/>
      <c r="U925" s="64"/>
      <c r="V925" s="64"/>
      <c r="W925" s="64"/>
      <c r="X925" s="64"/>
      <c r="Y925" s="64"/>
      <c r="Z925" s="64"/>
    </row>
    <row r="926" spans="1:26" thickBot="1">
      <c r="A926" s="66"/>
      <c r="B926" s="88"/>
      <c r="C926" s="73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66"/>
      <c r="Q926" s="64"/>
      <c r="R926" s="64"/>
      <c r="S926" s="64"/>
      <c r="T926" s="64"/>
      <c r="U926" s="64"/>
      <c r="V926" s="64"/>
      <c r="W926" s="64"/>
      <c r="X926" s="64"/>
      <c r="Y926" s="64"/>
      <c r="Z926" s="64"/>
    </row>
    <row r="927" spans="1:26" thickBot="1">
      <c r="A927" s="66"/>
      <c r="B927" s="85" t="s">
        <v>5907</v>
      </c>
      <c r="C927" s="75" t="s">
        <v>5853</v>
      </c>
      <c r="D927" s="75" t="s">
        <v>5827</v>
      </c>
      <c r="E927" s="75" t="s">
        <v>5828</v>
      </c>
      <c r="F927" s="75" t="s">
        <v>5829</v>
      </c>
      <c r="G927" s="75" t="s">
        <v>5830</v>
      </c>
      <c r="H927" s="75" t="s">
        <v>5831</v>
      </c>
      <c r="I927" s="75" t="s">
        <v>5832</v>
      </c>
      <c r="J927" s="75" t="s">
        <v>5833</v>
      </c>
      <c r="K927" s="75" t="s">
        <v>5834</v>
      </c>
      <c r="L927" s="75" t="s">
        <v>5835</v>
      </c>
      <c r="M927" s="75" t="s">
        <v>5836</v>
      </c>
      <c r="N927" s="75" t="s">
        <v>5837</v>
      </c>
      <c r="O927" s="75" t="s">
        <v>5838</v>
      </c>
      <c r="P927" s="74" t="s">
        <v>20</v>
      </c>
      <c r="Q927" s="64"/>
      <c r="R927" s="64"/>
      <c r="S927" s="64"/>
      <c r="T927" s="64"/>
      <c r="U927" s="64"/>
      <c r="V927" s="64"/>
      <c r="W927" s="64"/>
      <c r="X927" s="64"/>
      <c r="Y927" s="64"/>
      <c r="Z927" s="64"/>
    </row>
    <row r="928" spans="1:26" thickBot="1">
      <c r="A928" s="66" t="str">
        <f>$B$927&amp;C928</f>
        <v>Latitude 420</v>
      </c>
      <c r="B928" s="86">
        <v>42</v>
      </c>
      <c r="C928" s="80">
        <v>0</v>
      </c>
      <c r="D928" s="69">
        <v>1</v>
      </c>
      <c r="E928" s="69">
        <v>1</v>
      </c>
      <c r="F928" s="69">
        <v>1</v>
      </c>
      <c r="G928" s="69">
        <v>1</v>
      </c>
      <c r="H928" s="69">
        <v>1</v>
      </c>
      <c r="I928" s="69">
        <v>1</v>
      </c>
      <c r="J928" s="69">
        <v>1</v>
      </c>
      <c r="K928" s="69">
        <v>1</v>
      </c>
      <c r="L928" s="69">
        <v>1</v>
      </c>
      <c r="M928" s="69">
        <v>1</v>
      </c>
      <c r="N928" s="69">
        <v>1</v>
      </c>
      <c r="O928" s="69">
        <v>1</v>
      </c>
      <c r="P928" s="71">
        <v>1</v>
      </c>
      <c r="Q928" s="64"/>
      <c r="R928" s="64"/>
      <c r="S928" s="64"/>
      <c r="T928" s="64"/>
      <c r="U928" s="64"/>
      <c r="V928" s="64"/>
      <c r="W928" s="64"/>
      <c r="X928" s="64"/>
      <c r="Y928" s="64"/>
      <c r="Z928" s="64"/>
    </row>
    <row r="929" spans="1:26" thickBot="1">
      <c r="A929" s="66" t="str">
        <f t="shared" ref="A929:A946" si="42">$B$927&amp;C929</f>
        <v>Latitude 425</v>
      </c>
      <c r="B929" s="86">
        <v>42.5</v>
      </c>
      <c r="C929" s="80">
        <v>5</v>
      </c>
      <c r="D929" s="69">
        <v>1.02</v>
      </c>
      <c r="E929" s="69">
        <v>1.04</v>
      </c>
      <c r="F929" s="69">
        <v>1.06</v>
      </c>
      <c r="G929" s="69">
        <v>1.08</v>
      </c>
      <c r="H929" s="69">
        <v>1.0900000000000001</v>
      </c>
      <c r="I929" s="69">
        <v>1.0900000000000001</v>
      </c>
      <c r="J929" s="69">
        <v>1.08</v>
      </c>
      <c r="K929" s="69">
        <v>1.06</v>
      </c>
      <c r="L929" s="69">
        <v>1.05</v>
      </c>
      <c r="M929" s="69">
        <v>1.03</v>
      </c>
      <c r="N929" s="69">
        <v>1.02</v>
      </c>
      <c r="O929" s="69">
        <v>1.02</v>
      </c>
      <c r="P929" s="71">
        <v>1.05</v>
      </c>
      <c r="Q929" s="64"/>
      <c r="R929" s="64"/>
      <c r="S929" s="64"/>
      <c r="T929" s="64"/>
      <c r="U929" s="64"/>
      <c r="V929" s="64"/>
      <c r="W929" s="64"/>
      <c r="X929" s="64"/>
      <c r="Y929" s="64"/>
      <c r="Z929" s="64"/>
    </row>
    <row r="930" spans="1:26" thickBot="1">
      <c r="A930" s="66" t="str">
        <f t="shared" si="42"/>
        <v>Latitude 4210</v>
      </c>
      <c r="B930" s="86">
        <v>42.1</v>
      </c>
      <c r="C930" s="80">
        <v>10</v>
      </c>
      <c r="D930" s="69">
        <v>1.04</v>
      </c>
      <c r="E930" s="69">
        <v>1.06</v>
      </c>
      <c r="F930" s="69">
        <v>1.1100000000000001</v>
      </c>
      <c r="G930" s="69">
        <v>1.1499999999999999</v>
      </c>
      <c r="H930" s="69">
        <v>1.18</v>
      </c>
      <c r="I930" s="69">
        <v>1.17</v>
      </c>
      <c r="J930" s="69">
        <v>1.1499999999999999</v>
      </c>
      <c r="K930" s="69">
        <v>1.1200000000000001</v>
      </c>
      <c r="L930" s="69">
        <v>1.0900000000000001</v>
      </c>
      <c r="M930" s="69">
        <v>1.06</v>
      </c>
      <c r="N930" s="69">
        <v>1.04</v>
      </c>
      <c r="O930" s="69">
        <v>1.03</v>
      </c>
      <c r="P930" s="71">
        <v>1.1000000000000001</v>
      </c>
      <c r="Q930" s="64"/>
      <c r="R930" s="64"/>
      <c r="S930" s="64"/>
      <c r="T930" s="64"/>
      <c r="U930" s="64"/>
      <c r="V930" s="64"/>
      <c r="W930" s="64"/>
      <c r="X930" s="64"/>
      <c r="Y930" s="64"/>
      <c r="Z930" s="64"/>
    </row>
    <row r="931" spans="1:26" thickBot="1">
      <c r="A931" s="66" t="str">
        <f t="shared" si="42"/>
        <v>Latitude 4215</v>
      </c>
      <c r="B931" s="86">
        <v>42.15</v>
      </c>
      <c r="C931" s="80">
        <v>15</v>
      </c>
      <c r="D931" s="69">
        <v>1.04</v>
      </c>
      <c r="E931" s="69">
        <v>1.0900000000000001</v>
      </c>
      <c r="F931" s="69">
        <v>1.1499999999999999</v>
      </c>
      <c r="G931" s="69">
        <v>1.22</v>
      </c>
      <c r="H931" s="69">
        <v>1.26</v>
      </c>
      <c r="I931" s="69">
        <v>1.25</v>
      </c>
      <c r="J931" s="69">
        <v>1.21</v>
      </c>
      <c r="K931" s="69">
        <v>1.17</v>
      </c>
      <c r="L931" s="69">
        <v>1.1299999999999999</v>
      </c>
      <c r="M931" s="69">
        <v>1.08</v>
      </c>
      <c r="N931" s="69">
        <v>1.04</v>
      </c>
      <c r="O931" s="69">
        <v>1.03</v>
      </c>
      <c r="P931" s="71">
        <v>1.1399999999999999</v>
      </c>
      <c r="Q931" s="64"/>
      <c r="R931" s="64"/>
      <c r="S931" s="64"/>
      <c r="T931" s="64"/>
      <c r="U931" s="64"/>
      <c r="V931" s="64"/>
      <c r="W931" s="64"/>
      <c r="X931" s="64"/>
      <c r="Y931" s="64"/>
      <c r="Z931" s="64"/>
    </row>
    <row r="932" spans="1:26" thickBot="1">
      <c r="A932" s="66" t="str">
        <f t="shared" si="42"/>
        <v>Latitude 4220</v>
      </c>
      <c r="B932" s="86">
        <v>42.2</v>
      </c>
      <c r="C932" s="80">
        <v>20</v>
      </c>
      <c r="D932" s="69">
        <v>1.05</v>
      </c>
      <c r="E932" s="69">
        <v>1.1000000000000001</v>
      </c>
      <c r="F932" s="69">
        <v>1.18</v>
      </c>
      <c r="G932" s="69">
        <v>1.28</v>
      </c>
      <c r="H932" s="69">
        <v>1.34</v>
      </c>
      <c r="I932" s="69">
        <v>1.32</v>
      </c>
      <c r="J932" s="69">
        <v>1.27</v>
      </c>
      <c r="K932" s="69">
        <v>1.21</v>
      </c>
      <c r="L932" s="69">
        <v>1.1499999999999999</v>
      </c>
      <c r="M932" s="69">
        <v>1.0900000000000001</v>
      </c>
      <c r="N932" s="69">
        <v>1.04</v>
      </c>
      <c r="O932" s="69">
        <v>1.03</v>
      </c>
      <c r="P932" s="71">
        <v>1.17</v>
      </c>
      <c r="Q932" s="64"/>
      <c r="R932" s="64"/>
      <c r="S932" s="64"/>
      <c r="T932" s="64"/>
      <c r="U932" s="64"/>
      <c r="V932" s="64"/>
      <c r="W932" s="64"/>
      <c r="X932" s="64"/>
      <c r="Y932" s="64"/>
      <c r="Z932" s="64"/>
    </row>
    <row r="933" spans="1:26" thickBot="1">
      <c r="A933" s="66" t="str">
        <f t="shared" si="42"/>
        <v>Latitude 4225</v>
      </c>
      <c r="B933" s="86">
        <v>42.25</v>
      </c>
      <c r="C933" s="80">
        <v>25</v>
      </c>
      <c r="D933" s="69">
        <v>1.04</v>
      </c>
      <c r="E933" s="69">
        <v>1.1000000000000001</v>
      </c>
      <c r="F933" s="69">
        <v>1.21</v>
      </c>
      <c r="G933" s="69">
        <v>1.33</v>
      </c>
      <c r="H933" s="69">
        <v>1.4</v>
      </c>
      <c r="I933" s="69">
        <v>1.38</v>
      </c>
      <c r="J933" s="69">
        <v>1.32</v>
      </c>
      <c r="K933" s="69">
        <v>1.25</v>
      </c>
      <c r="L933" s="69">
        <v>1.17</v>
      </c>
      <c r="M933" s="69">
        <v>1.0900000000000001</v>
      </c>
      <c r="N933" s="69">
        <v>1.04</v>
      </c>
      <c r="O933" s="69">
        <v>1.01</v>
      </c>
      <c r="P933" s="71">
        <v>1.2</v>
      </c>
      <c r="Q933" s="64"/>
      <c r="R933" s="64"/>
      <c r="S933" s="64"/>
      <c r="T933" s="64"/>
      <c r="U933" s="64"/>
      <c r="V933" s="64"/>
      <c r="W933" s="64"/>
      <c r="X933" s="64"/>
      <c r="Y933" s="64"/>
      <c r="Z933" s="64"/>
    </row>
    <row r="934" spans="1:26" thickBot="1">
      <c r="A934" s="66" t="str">
        <f t="shared" si="42"/>
        <v>Latitude 4230</v>
      </c>
      <c r="B934" s="86">
        <v>42.3</v>
      </c>
      <c r="C934" s="80">
        <v>30</v>
      </c>
      <c r="D934" s="69">
        <v>1.02</v>
      </c>
      <c r="E934" s="69">
        <v>1.1000000000000001</v>
      </c>
      <c r="F934" s="69">
        <v>1.23</v>
      </c>
      <c r="G934" s="69">
        <v>1.37</v>
      </c>
      <c r="H934" s="69">
        <v>1.46</v>
      </c>
      <c r="I934" s="69">
        <v>1.44</v>
      </c>
      <c r="J934" s="69">
        <v>1.36</v>
      </c>
      <c r="K934" s="81">
        <v>1.28</v>
      </c>
      <c r="L934" s="69">
        <v>1.19</v>
      </c>
      <c r="M934" s="69">
        <v>1.0900000000000001</v>
      </c>
      <c r="N934" s="69">
        <v>1.02</v>
      </c>
      <c r="O934" s="69">
        <v>1</v>
      </c>
      <c r="P934" s="71">
        <v>1.21</v>
      </c>
      <c r="Q934" s="64"/>
      <c r="R934" s="64"/>
      <c r="S934" s="64"/>
      <c r="T934" s="64"/>
      <c r="U934" s="64"/>
      <c r="V934" s="64"/>
      <c r="W934" s="64"/>
      <c r="X934" s="64"/>
      <c r="Y934" s="64"/>
      <c r="Z934" s="64"/>
    </row>
    <row r="935" spans="1:26" thickBot="1">
      <c r="A935" s="66" t="str">
        <f t="shared" si="42"/>
        <v>Latitude 4235</v>
      </c>
      <c r="B935" s="86">
        <v>42.35</v>
      </c>
      <c r="C935" s="80">
        <v>35</v>
      </c>
      <c r="D935" s="69">
        <v>1</v>
      </c>
      <c r="E935" s="69">
        <v>1.0900000000000001</v>
      </c>
      <c r="F935" s="69">
        <v>1.23</v>
      </c>
      <c r="G935" s="69">
        <v>1.4</v>
      </c>
      <c r="H935" s="69">
        <v>1.51</v>
      </c>
      <c r="I935" s="69">
        <v>1.48</v>
      </c>
      <c r="J935" s="69">
        <v>1.39</v>
      </c>
      <c r="K935" s="69">
        <v>1.3</v>
      </c>
      <c r="L935" s="69">
        <v>1.19</v>
      </c>
      <c r="M935" s="69">
        <v>1.08</v>
      </c>
      <c r="N935" s="69">
        <v>1</v>
      </c>
      <c r="O935" s="69">
        <v>0.97</v>
      </c>
      <c r="P935" s="71">
        <v>1.22</v>
      </c>
      <c r="Q935" s="64"/>
      <c r="R935" s="64"/>
      <c r="S935" s="64"/>
      <c r="T935" s="64"/>
      <c r="U935" s="64"/>
      <c r="V935" s="64"/>
      <c r="W935" s="64"/>
      <c r="X935" s="64"/>
      <c r="Y935" s="64"/>
      <c r="Z935" s="64"/>
    </row>
    <row r="936" spans="1:26" thickBot="1">
      <c r="A936" s="66" t="str">
        <f t="shared" si="42"/>
        <v>Latitude 4240</v>
      </c>
      <c r="B936" s="86">
        <v>42.4</v>
      </c>
      <c r="C936" s="80">
        <v>40</v>
      </c>
      <c r="D936" s="69">
        <v>0.97</v>
      </c>
      <c r="E936" s="69">
        <v>1.08</v>
      </c>
      <c r="F936" s="69">
        <v>1.24</v>
      </c>
      <c r="G936" s="69">
        <v>1.42</v>
      </c>
      <c r="H936" s="69">
        <v>1.54</v>
      </c>
      <c r="I936" s="69">
        <v>1.52</v>
      </c>
      <c r="J936" s="69">
        <v>1.42</v>
      </c>
      <c r="K936" s="69">
        <v>1.31</v>
      </c>
      <c r="L936" s="69">
        <v>1.19</v>
      </c>
      <c r="M936" s="69">
        <v>1.06</v>
      </c>
      <c r="N936" s="69">
        <v>0.97</v>
      </c>
      <c r="O936" s="69">
        <v>0.94</v>
      </c>
      <c r="P936" s="71">
        <v>1.22</v>
      </c>
      <c r="Q936" s="64"/>
      <c r="R936" s="64"/>
      <c r="S936" s="64"/>
      <c r="T936" s="64"/>
      <c r="U936" s="64"/>
      <c r="V936" s="64"/>
      <c r="W936" s="64"/>
      <c r="X936" s="64"/>
      <c r="Y936" s="64"/>
      <c r="Z936" s="64"/>
    </row>
    <row r="937" spans="1:26" thickBot="1">
      <c r="A937" s="66" t="str">
        <f t="shared" si="42"/>
        <v>Latitude 4245</v>
      </c>
      <c r="B937" s="86">
        <v>42.45</v>
      </c>
      <c r="C937" s="80">
        <v>45</v>
      </c>
      <c r="D937" s="69">
        <v>0.94</v>
      </c>
      <c r="E937" s="69">
        <v>1.05</v>
      </c>
      <c r="F937" s="69">
        <v>1.23</v>
      </c>
      <c r="G937" s="69">
        <v>1.43</v>
      </c>
      <c r="H937" s="69">
        <v>1.57</v>
      </c>
      <c r="I937" s="69">
        <v>1.54</v>
      </c>
      <c r="J937" s="69">
        <v>1.43</v>
      </c>
      <c r="K937" s="69">
        <v>1.32</v>
      </c>
      <c r="L937" s="69">
        <v>1.18</v>
      </c>
      <c r="M937" s="69">
        <v>1.04</v>
      </c>
      <c r="N937" s="69">
        <v>0.94</v>
      </c>
      <c r="O937" s="69">
        <v>0.9</v>
      </c>
      <c r="P937" s="71">
        <v>1.21</v>
      </c>
      <c r="Q937" s="64"/>
      <c r="R937" s="64"/>
      <c r="S937" s="64"/>
      <c r="T937" s="64"/>
      <c r="U937" s="64"/>
      <c r="V937" s="64"/>
      <c r="W937" s="64"/>
      <c r="X937" s="64"/>
      <c r="Y937" s="64"/>
      <c r="Z937" s="64"/>
    </row>
    <row r="938" spans="1:26" thickBot="1">
      <c r="A938" s="66" t="str">
        <f t="shared" si="42"/>
        <v>Latitude 4250</v>
      </c>
      <c r="B938" s="86">
        <v>42.5</v>
      </c>
      <c r="C938" s="80">
        <v>50</v>
      </c>
      <c r="D938" s="69">
        <v>0.9</v>
      </c>
      <c r="E938" s="69">
        <v>1.02</v>
      </c>
      <c r="F938" s="69">
        <v>1.21</v>
      </c>
      <c r="G938" s="69">
        <v>1.44</v>
      </c>
      <c r="H938" s="69">
        <v>1.59</v>
      </c>
      <c r="I938" s="69">
        <v>1.56</v>
      </c>
      <c r="J938" s="69">
        <v>1.44</v>
      </c>
      <c r="K938" s="69">
        <v>1.31</v>
      </c>
      <c r="L938" s="69">
        <v>1.1599999999999999</v>
      </c>
      <c r="M938" s="69">
        <v>1</v>
      </c>
      <c r="N938" s="69">
        <v>0.89</v>
      </c>
      <c r="O938" s="69">
        <v>0.86</v>
      </c>
      <c r="P938" s="71">
        <v>1.2</v>
      </c>
      <c r="Q938" s="64"/>
      <c r="R938" s="64"/>
      <c r="S938" s="64"/>
      <c r="T938" s="64"/>
      <c r="U938" s="64"/>
      <c r="V938" s="64"/>
      <c r="W938" s="64"/>
      <c r="X938" s="64"/>
      <c r="Y938" s="64"/>
      <c r="Z938" s="64"/>
    </row>
    <row r="939" spans="1:26" thickBot="1">
      <c r="A939" s="66" t="str">
        <f t="shared" si="42"/>
        <v>Latitude 4255</v>
      </c>
      <c r="B939" s="86">
        <v>42.55</v>
      </c>
      <c r="C939" s="80">
        <v>55</v>
      </c>
      <c r="D939" s="69">
        <v>0.85</v>
      </c>
      <c r="E939" s="69">
        <v>0.98</v>
      </c>
      <c r="F939" s="69">
        <v>1.19</v>
      </c>
      <c r="G939" s="69">
        <v>1.43</v>
      </c>
      <c r="H939" s="69">
        <v>1.59</v>
      </c>
      <c r="I939" s="69">
        <v>1.57</v>
      </c>
      <c r="J939" s="69">
        <v>1.44</v>
      </c>
      <c r="K939" s="69">
        <v>1.3</v>
      </c>
      <c r="L939" s="69">
        <v>1.1299999999999999</v>
      </c>
      <c r="M939" s="69">
        <v>0.97</v>
      </c>
      <c r="N939" s="69">
        <v>0.85</v>
      </c>
      <c r="O939" s="69">
        <v>0.8</v>
      </c>
      <c r="P939" s="71">
        <v>1.18</v>
      </c>
      <c r="Q939" s="64"/>
      <c r="R939" s="64"/>
      <c r="S939" s="64"/>
      <c r="T939" s="64"/>
      <c r="U939" s="64"/>
      <c r="V939" s="64"/>
      <c r="W939" s="64"/>
      <c r="X939" s="64"/>
      <c r="Y939" s="64"/>
      <c r="Z939" s="64"/>
    </row>
    <row r="940" spans="1:26" thickBot="1">
      <c r="A940" s="66" t="str">
        <f t="shared" si="42"/>
        <v>Latitude 4260</v>
      </c>
      <c r="B940" s="86">
        <v>42.6</v>
      </c>
      <c r="C940" s="80">
        <v>60</v>
      </c>
      <c r="D940" s="69">
        <v>0.8</v>
      </c>
      <c r="E940" s="69">
        <v>0.93</v>
      </c>
      <c r="F940" s="69">
        <v>1.1499999999999999</v>
      </c>
      <c r="G940" s="69">
        <v>1.41</v>
      </c>
      <c r="H940" s="69">
        <v>1.59</v>
      </c>
      <c r="I940" s="69">
        <v>1.57</v>
      </c>
      <c r="J940" s="69">
        <v>1.43</v>
      </c>
      <c r="K940" s="69">
        <v>1.28</v>
      </c>
      <c r="L940" s="69">
        <v>1.1000000000000001</v>
      </c>
      <c r="M940" s="69">
        <v>0.92</v>
      </c>
      <c r="N940" s="69">
        <v>0.79</v>
      </c>
      <c r="O940" s="69">
        <v>0.75</v>
      </c>
      <c r="P940" s="71">
        <v>1.1399999999999999</v>
      </c>
      <c r="Q940" s="64"/>
      <c r="R940" s="64"/>
      <c r="S940" s="64"/>
      <c r="T940" s="64"/>
      <c r="U940" s="64"/>
      <c r="V940" s="64"/>
      <c r="W940" s="64"/>
      <c r="X940" s="64"/>
      <c r="Y940" s="64"/>
      <c r="Z940" s="64"/>
    </row>
    <row r="941" spans="1:26" thickBot="1">
      <c r="A941" s="66" t="str">
        <f t="shared" si="42"/>
        <v>Latitude 4265</v>
      </c>
      <c r="B941" s="86">
        <v>42.65</v>
      </c>
      <c r="C941" s="80">
        <v>65</v>
      </c>
      <c r="D941" s="69">
        <v>0.74</v>
      </c>
      <c r="E941" s="69">
        <v>0.88</v>
      </c>
      <c r="F941" s="69">
        <v>1.1100000000000001</v>
      </c>
      <c r="G941" s="69">
        <v>1.39</v>
      </c>
      <c r="H941" s="69">
        <v>1.57</v>
      </c>
      <c r="I941" s="69">
        <v>1.55</v>
      </c>
      <c r="J941" s="69">
        <v>1.41</v>
      </c>
      <c r="K941" s="69">
        <v>1.25</v>
      </c>
      <c r="L941" s="69">
        <v>1.06</v>
      </c>
      <c r="M941" s="69">
        <v>0.87</v>
      </c>
      <c r="N941" s="69">
        <v>0.74</v>
      </c>
      <c r="O941" s="69">
        <v>0.69</v>
      </c>
      <c r="P941" s="71">
        <v>1.1100000000000001</v>
      </c>
      <c r="Q941" s="64"/>
      <c r="R941" s="64"/>
      <c r="S941" s="64"/>
      <c r="T941" s="64"/>
      <c r="U941" s="64"/>
      <c r="V941" s="64"/>
      <c r="W941" s="64"/>
      <c r="X941" s="64"/>
      <c r="Y941" s="64"/>
      <c r="Z941" s="64"/>
    </row>
    <row r="942" spans="1:26" thickBot="1">
      <c r="A942" s="66" t="str">
        <f t="shared" si="42"/>
        <v>Latitude 4270</v>
      </c>
      <c r="B942" s="86">
        <v>42.7</v>
      </c>
      <c r="C942" s="80">
        <v>70</v>
      </c>
      <c r="D942" s="69">
        <v>0.67</v>
      </c>
      <c r="E942" s="69">
        <v>0.82</v>
      </c>
      <c r="F942" s="69">
        <v>1.07</v>
      </c>
      <c r="G942" s="69">
        <v>1.35</v>
      </c>
      <c r="H942" s="69">
        <v>1.55</v>
      </c>
      <c r="I942" s="69">
        <v>1.53</v>
      </c>
      <c r="J942" s="69">
        <v>1.38</v>
      </c>
      <c r="K942" s="69">
        <v>1.21</v>
      </c>
      <c r="L942" s="69">
        <v>1.01</v>
      </c>
      <c r="M942" s="69">
        <v>0.81</v>
      </c>
      <c r="N942" s="69">
        <v>0.67</v>
      </c>
      <c r="O942" s="69">
        <v>0.62</v>
      </c>
      <c r="P942" s="71">
        <v>1.06</v>
      </c>
      <c r="Q942" s="64"/>
      <c r="R942" s="64"/>
      <c r="S942" s="64"/>
      <c r="T942" s="64"/>
      <c r="U942" s="64"/>
      <c r="V942" s="64"/>
      <c r="W942" s="64"/>
      <c r="X942" s="64"/>
      <c r="Y942" s="64"/>
      <c r="Z942" s="64"/>
    </row>
    <row r="943" spans="1:26" thickBot="1">
      <c r="A943" s="66" t="str">
        <f t="shared" si="42"/>
        <v>Latitude 4275</v>
      </c>
      <c r="B943" s="86">
        <v>42.75</v>
      </c>
      <c r="C943" s="80">
        <v>75</v>
      </c>
      <c r="D943" s="69">
        <v>0.6</v>
      </c>
      <c r="E943" s="69">
        <v>0.76</v>
      </c>
      <c r="F943" s="69">
        <v>1.01</v>
      </c>
      <c r="G943" s="69">
        <v>1.31</v>
      </c>
      <c r="H943" s="69">
        <v>1.52</v>
      </c>
      <c r="I943" s="69">
        <v>1.5</v>
      </c>
      <c r="J943" s="69">
        <v>1.35</v>
      </c>
      <c r="K943" s="69">
        <v>1.17</v>
      </c>
      <c r="L943" s="69">
        <v>0.96</v>
      </c>
      <c r="M943" s="69">
        <v>0.75</v>
      </c>
      <c r="N943" s="69">
        <v>0.6</v>
      </c>
      <c r="O943" s="69">
        <v>0.55000000000000004</v>
      </c>
      <c r="P943" s="71">
        <v>1.01</v>
      </c>
      <c r="Q943" s="64"/>
      <c r="R943" s="64"/>
      <c r="S943" s="64"/>
      <c r="T943" s="64"/>
      <c r="U943" s="64"/>
      <c r="V943" s="64"/>
      <c r="W943" s="64"/>
      <c r="X943" s="64"/>
      <c r="Y943" s="64"/>
      <c r="Z943" s="64"/>
    </row>
    <row r="944" spans="1:26" thickBot="1">
      <c r="A944" s="66" t="str">
        <f t="shared" si="42"/>
        <v>Latitude 4280</v>
      </c>
      <c r="B944" s="86">
        <v>42.8</v>
      </c>
      <c r="C944" s="80">
        <v>80</v>
      </c>
      <c r="D944" s="69">
        <v>0.53</v>
      </c>
      <c r="E944" s="69">
        <v>0.69</v>
      </c>
      <c r="F944" s="69">
        <v>0.95</v>
      </c>
      <c r="G944" s="69">
        <v>1.25</v>
      </c>
      <c r="H944" s="69">
        <v>1.47</v>
      </c>
      <c r="I944" s="69">
        <v>1.46</v>
      </c>
      <c r="J944" s="69">
        <v>1.3</v>
      </c>
      <c r="K944" s="69">
        <v>1.1200000000000001</v>
      </c>
      <c r="L944" s="69">
        <v>0.9</v>
      </c>
      <c r="M944" s="69">
        <v>0.68</v>
      </c>
      <c r="N944" s="69">
        <v>0.53</v>
      </c>
      <c r="O944" s="69">
        <v>0.48</v>
      </c>
      <c r="P944" s="71">
        <v>0.95</v>
      </c>
      <c r="Q944" s="64"/>
      <c r="R944" s="64"/>
      <c r="S944" s="64"/>
      <c r="T944" s="64"/>
      <c r="U944" s="64"/>
      <c r="V944" s="64"/>
      <c r="W944" s="64"/>
      <c r="X944" s="64"/>
      <c r="Y944" s="64"/>
      <c r="Z944" s="64"/>
    </row>
    <row r="945" spans="1:26" thickBot="1">
      <c r="A945" s="66" t="str">
        <f t="shared" si="42"/>
        <v>Latitude 4285</v>
      </c>
      <c r="B945" s="86">
        <v>42.85</v>
      </c>
      <c r="C945" s="80">
        <v>85</v>
      </c>
      <c r="D945" s="69">
        <v>0.46</v>
      </c>
      <c r="E945" s="69">
        <v>0.62</v>
      </c>
      <c r="F945" s="69">
        <v>0.88</v>
      </c>
      <c r="G945" s="69">
        <v>1.19</v>
      </c>
      <c r="H945" s="69">
        <v>1.42</v>
      </c>
      <c r="I945" s="69">
        <v>1.41</v>
      </c>
      <c r="J945" s="69">
        <v>1.25</v>
      </c>
      <c r="K945" s="69">
        <v>1.06</v>
      </c>
      <c r="L945" s="69">
        <v>0.83</v>
      </c>
      <c r="M945" s="69">
        <v>0.61</v>
      </c>
      <c r="N945" s="69">
        <v>0.46</v>
      </c>
      <c r="O945" s="69">
        <v>0.4</v>
      </c>
      <c r="P945" s="71">
        <v>0.88</v>
      </c>
      <c r="Q945" s="64"/>
      <c r="R945" s="64"/>
      <c r="S945" s="64"/>
      <c r="T945" s="64"/>
      <c r="U945" s="64"/>
      <c r="V945" s="64"/>
      <c r="W945" s="64"/>
      <c r="X945" s="64"/>
      <c r="Y945" s="64"/>
      <c r="Z945" s="64"/>
    </row>
    <row r="946" spans="1:26" thickBot="1">
      <c r="A946" s="66" t="str">
        <f t="shared" si="42"/>
        <v>Latitude 4290</v>
      </c>
      <c r="B946" s="86">
        <v>42.9</v>
      </c>
      <c r="C946" s="69">
        <v>90</v>
      </c>
      <c r="D946" s="69">
        <v>0.38</v>
      </c>
      <c r="E946" s="69">
        <v>0.54</v>
      </c>
      <c r="F946" s="69">
        <v>0.81</v>
      </c>
      <c r="G946" s="69">
        <v>1.1200000000000001</v>
      </c>
      <c r="H946" s="69">
        <v>1.36</v>
      </c>
      <c r="I946" s="69">
        <v>1.35</v>
      </c>
      <c r="J946" s="69">
        <v>1.19</v>
      </c>
      <c r="K946" s="69">
        <v>1</v>
      </c>
      <c r="L946" s="69">
        <v>0.76</v>
      </c>
      <c r="M946" s="69">
        <v>0.54</v>
      </c>
      <c r="N946" s="69">
        <v>0.38</v>
      </c>
      <c r="O946" s="69">
        <v>0.32</v>
      </c>
      <c r="P946" s="71">
        <v>0.81</v>
      </c>
      <c r="Q946" s="64"/>
      <c r="R946" s="64"/>
      <c r="S946" s="64"/>
      <c r="T946" s="64"/>
      <c r="U946" s="64"/>
      <c r="V946" s="64"/>
      <c r="W946" s="64"/>
      <c r="X946" s="64"/>
      <c r="Y946" s="64"/>
      <c r="Z946" s="64"/>
    </row>
    <row r="947" spans="1:26" thickBot="1">
      <c r="A947" s="66"/>
      <c r="B947" s="88"/>
      <c r="C947" s="73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66"/>
      <c r="Q947" s="64"/>
      <c r="R947" s="64"/>
      <c r="S947" s="64"/>
      <c r="T947" s="64"/>
      <c r="U947" s="64"/>
      <c r="V947" s="64"/>
      <c r="W947" s="64"/>
      <c r="X947" s="64"/>
      <c r="Y947" s="64"/>
      <c r="Z947" s="64"/>
    </row>
    <row r="948" spans="1:26" thickBot="1">
      <c r="A948" s="66"/>
      <c r="B948" s="88"/>
      <c r="C948" s="73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66"/>
      <c r="Q948" s="64"/>
      <c r="R948" s="64"/>
      <c r="S948" s="64"/>
      <c r="T948" s="64"/>
      <c r="U948" s="64"/>
      <c r="V948" s="64"/>
      <c r="W948" s="64"/>
      <c r="X948" s="64"/>
      <c r="Y948" s="64"/>
      <c r="Z948" s="64"/>
    </row>
    <row r="949" spans="1:26" thickBot="1">
      <c r="A949" s="66"/>
      <c r="B949" s="85" t="s">
        <v>5908</v>
      </c>
      <c r="C949" s="75" t="s">
        <v>5853</v>
      </c>
      <c r="D949" s="75" t="s">
        <v>5827</v>
      </c>
      <c r="E949" s="75" t="s">
        <v>5828</v>
      </c>
      <c r="F949" s="75" t="s">
        <v>5829</v>
      </c>
      <c r="G949" s="75" t="s">
        <v>5830</v>
      </c>
      <c r="H949" s="75" t="s">
        <v>5831</v>
      </c>
      <c r="I949" s="75" t="s">
        <v>5832</v>
      </c>
      <c r="J949" s="75" t="s">
        <v>5833</v>
      </c>
      <c r="K949" s="75" t="s">
        <v>5834</v>
      </c>
      <c r="L949" s="75" t="s">
        <v>5835</v>
      </c>
      <c r="M949" s="75" t="s">
        <v>5836</v>
      </c>
      <c r="N949" s="75" t="s">
        <v>5837</v>
      </c>
      <c r="O949" s="75" t="s">
        <v>5838</v>
      </c>
      <c r="P949" s="74" t="s">
        <v>20</v>
      </c>
      <c r="Q949" s="64"/>
      <c r="R949" s="64"/>
      <c r="S949" s="64"/>
      <c r="T949" s="64"/>
      <c r="U949" s="64"/>
      <c r="V949" s="64"/>
      <c r="W949" s="64"/>
      <c r="X949" s="64"/>
      <c r="Y949" s="64"/>
      <c r="Z949" s="64"/>
    </row>
    <row r="950" spans="1:26" thickBot="1">
      <c r="A950" s="66" t="str">
        <f>$B$949&amp;C950</f>
        <v>Latitude 430</v>
      </c>
      <c r="B950" s="86">
        <v>43</v>
      </c>
      <c r="C950" s="80">
        <v>0</v>
      </c>
      <c r="D950" s="69">
        <v>1</v>
      </c>
      <c r="E950" s="69">
        <v>1</v>
      </c>
      <c r="F950" s="69">
        <v>1</v>
      </c>
      <c r="G950" s="69">
        <v>1</v>
      </c>
      <c r="H950" s="69">
        <v>1</v>
      </c>
      <c r="I950" s="69">
        <v>1</v>
      </c>
      <c r="J950" s="69">
        <v>1</v>
      </c>
      <c r="K950" s="69">
        <v>1</v>
      </c>
      <c r="L950" s="69">
        <v>1</v>
      </c>
      <c r="M950" s="69">
        <v>1</v>
      </c>
      <c r="N950" s="69">
        <v>1</v>
      </c>
      <c r="O950" s="69">
        <v>1</v>
      </c>
      <c r="P950" s="71">
        <v>1</v>
      </c>
      <c r="Q950" s="64"/>
      <c r="R950" s="64"/>
      <c r="S950" s="64"/>
      <c r="T950" s="64"/>
      <c r="U950" s="64"/>
      <c r="V950" s="64"/>
      <c r="W950" s="64"/>
      <c r="X950" s="64"/>
      <c r="Y950" s="64"/>
      <c r="Z950" s="64"/>
    </row>
    <row r="951" spans="1:26" thickBot="1">
      <c r="A951" s="66" t="str">
        <f t="shared" ref="A951:A968" si="43">$B$949&amp;C951</f>
        <v>Latitude 435</v>
      </c>
      <c r="B951" s="86">
        <v>43.5</v>
      </c>
      <c r="C951" s="80">
        <v>5</v>
      </c>
      <c r="D951" s="69">
        <v>1.02</v>
      </c>
      <c r="E951" s="69">
        <v>1.04</v>
      </c>
      <c r="F951" s="69">
        <v>1.06</v>
      </c>
      <c r="G951" s="69">
        <v>1.08</v>
      </c>
      <c r="H951" s="69">
        <v>1.1000000000000001</v>
      </c>
      <c r="I951" s="69">
        <v>1.0900000000000001</v>
      </c>
      <c r="J951" s="69">
        <v>1.08</v>
      </c>
      <c r="K951" s="69">
        <v>1.07</v>
      </c>
      <c r="L951" s="69">
        <v>1.05</v>
      </c>
      <c r="M951" s="69">
        <v>1.03</v>
      </c>
      <c r="N951" s="69">
        <v>1.02</v>
      </c>
      <c r="O951" s="69">
        <v>1.02</v>
      </c>
      <c r="P951" s="71">
        <v>1.06</v>
      </c>
      <c r="Q951" s="64"/>
      <c r="R951" s="64"/>
      <c r="S951" s="64"/>
      <c r="T951" s="64"/>
      <c r="U951" s="64"/>
      <c r="V951" s="64"/>
      <c r="W951" s="64"/>
      <c r="X951" s="64"/>
      <c r="Y951" s="64"/>
      <c r="Z951" s="64"/>
    </row>
    <row r="952" spans="1:26" thickBot="1">
      <c r="A952" s="66" t="str">
        <f t="shared" si="43"/>
        <v>Latitude 4310</v>
      </c>
      <c r="B952" s="86">
        <v>43.1</v>
      </c>
      <c r="C952" s="80">
        <v>10</v>
      </c>
      <c r="D952" s="69">
        <v>1.04</v>
      </c>
      <c r="E952" s="69">
        <v>1.07</v>
      </c>
      <c r="F952" s="69">
        <v>1.1100000000000001</v>
      </c>
      <c r="G952" s="69">
        <v>1.1599999999999999</v>
      </c>
      <c r="H952" s="69">
        <v>1.19</v>
      </c>
      <c r="I952" s="69">
        <v>1.18</v>
      </c>
      <c r="J952" s="69">
        <v>1.1499999999999999</v>
      </c>
      <c r="K952" s="69">
        <v>1.1200000000000001</v>
      </c>
      <c r="L952" s="69">
        <v>1.0900000000000001</v>
      </c>
      <c r="M952" s="69">
        <v>1.06</v>
      </c>
      <c r="N952" s="69">
        <v>1.04</v>
      </c>
      <c r="O952" s="69">
        <v>1.03</v>
      </c>
      <c r="P952" s="71">
        <v>1.1000000000000001</v>
      </c>
      <c r="Q952" s="64"/>
      <c r="R952" s="64"/>
      <c r="S952" s="64"/>
      <c r="T952" s="64"/>
      <c r="U952" s="64"/>
      <c r="V952" s="64"/>
      <c r="W952" s="64"/>
      <c r="X952" s="64"/>
      <c r="Y952" s="64"/>
      <c r="Z952" s="64"/>
    </row>
    <row r="953" spans="1:26" thickBot="1">
      <c r="A953" s="66" t="str">
        <f t="shared" si="43"/>
        <v>Latitude 4315</v>
      </c>
      <c r="B953" s="86">
        <v>43.15</v>
      </c>
      <c r="C953" s="80">
        <v>15</v>
      </c>
      <c r="D953" s="69">
        <v>1.05</v>
      </c>
      <c r="E953" s="69">
        <v>1.0900000000000001</v>
      </c>
      <c r="F953" s="69">
        <v>1.1499999999999999</v>
      </c>
      <c r="G953" s="69">
        <v>1.23</v>
      </c>
      <c r="H953" s="69">
        <v>1.27</v>
      </c>
      <c r="I953" s="69">
        <v>1.26</v>
      </c>
      <c r="J953" s="69">
        <v>1.22</v>
      </c>
      <c r="K953" s="69">
        <v>1.18</v>
      </c>
      <c r="L953" s="69">
        <v>1.1299999999999999</v>
      </c>
      <c r="M953" s="69">
        <v>1.08</v>
      </c>
      <c r="N953" s="69">
        <v>1.05</v>
      </c>
      <c r="O953" s="69">
        <v>1.03</v>
      </c>
      <c r="P953" s="71">
        <v>1.1499999999999999</v>
      </c>
      <c r="Q953" s="64"/>
      <c r="R953" s="64"/>
      <c r="S953" s="64"/>
      <c r="T953" s="64"/>
      <c r="U953" s="64"/>
      <c r="V953" s="64"/>
      <c r="W953" s="64"/>
      <c r="X953" s="64"/>
      <c r="Y953" s="64"/>
      <c r="Z953" s="64"/>
    </row>
    <row r="954" spans="1:26" thickBot="1">
      <c r="A954" s="66" t="str">
        <f t="shared" si="43"/>
        <v>Latitude 4320</v>
      </c>
      <c r="B954" s="86">
        <v>43.2</v>
      </c>
      <c r="C954" s="80">
        <v>20</v>
      </c>
      <c r="D954" s="69">
        <v>1.05</v>
      </c>
      <c r="E954" s="69">
        <v>1.1000000000000001</v>
      </c>
      <c r="F954" s="69">
        <v>1.19</v>
      </c>
      <c r="G954" s="69">
        <v>1.29</v>
      </c>
      <c r="H954" s="69">
        <v>1.35</v>
      </c>
      <c r="I954" s="69">
        <v>1.33</v>
      </c>
      <c r="J954" s="69">
        <v>1.28</v>
      </c>
      <c r="K954" s="69">
        <v>1.22</v>
      </c>
      <c r="L954" s="69">
        <v>1.1599999999999999</v>
      </c>
      <c r="M954" s="69">
        <v>1.0900000000000001</v>
      </c>
      <c r="N954" s="69">
        <v>1.05</v>
      </c>
      <c r="O954" s="69">
        <v>1.03</v>
      </c>
      <c r="P954" s="71">
        <v>1.18</v>
      </c>
      <c r="Q954" s="64"/>
      <c r="R954" s="64"/>
      <c r="S954" s="64"/>
      <c r="T954" s="64"/>
      <c r="U954" s="64"/>
      <c r="V954" s="64"/>
      <c r="W954" s="64"/>
      <c r="X954" s="64"/>
      <c r="Y954" s="64"/>
      <c r="Z954" s="64"/>
    </row>
    <row r="955" spans="1:26" thickBot="1">
      <c r="A955" s="66" t="str">
        <f t="shared" si="43"/>
        <v>Latitude 4325</v>
      </c>
      <c r="B955" s="86">
        <v>43.25</v>
      </c>
      <c r="C955" s="80">
        <v>25</v>
      </c>
      <c r="D955" s="69">
        <v>1.04</v>
      </c>
      <c r="E955" s="69">
        <v>1.1100000000000001</v>
      </c>
      <c r="F955" s="69">
        <v>1.22</v>
      </c>
      <c r="G955" s="69">
        <v>1.34</v>
      </c>
      <c r="H955" s="69">
        <v>1.42</v>
      </c>
      <c r="I955" s="69">
        <v>1.4</v>
      </c>
      <c r="J955" s="69">
        <v>1.33</v>
      </c>
      <c r="K955" s="69">
        <v>1.26</v>
      </c>
      <c r="L955" s="69">
        <v>1.18</v>
      </c>
      <c r="M955" s="69">
        <v>1.1000000000000001</v>
      </c>
      <c r="N955" s="69">
        <v>1.04</v>
      </c>
      <c r="O955" s="69">
        <v>1.02</v>
      </c>
      <c r="P955" s="71">
        <v>1.21</v>
      </c>
      <c r="Q955" s="64"/>
      <c r="R955" s="64"/>
      <c r="S955" s="64"/>
      <c r="T955" s="64"/>
      <c r="U955" s="64"/>
      <c r="V955" s="64"/>
      <c r="W955" s="64"/>
      <c r="X955" s="64"/>
      <c r="Y955" s="64"/>
      <c r="Z955" s="64"/>
    </row>
    <row r="956" spans="1:26" thickBot="1">
      <c r="A956" s="66" t="str">
        <f t="shared" si="43"/>
        <v>Latitude 4330</v>
      </c>
      <c r="B956" s="86">
        <v>43.3</v>
      </c>
      <c r="C956" s="80">
        <v>30</v>
      </c>
      <c r="D956" s="69">
        <v>1.03</v>
      </c>
      <c r="E956" s="69">
        <v>1.1100000000000001</v>
      </c>
      <c r="F956" s="69">
        <v>1.24</v>
      </c>
      <c r="G956" s="69">
        <v>1.38</v>
      </c>
      <c r="H956" s="69">
        <v>1.48</v>
      </c>
      <c r="I956" s="69">
        <v>1.45</v>
      </c>
      <c r="J956" s="69">
        <v>1.37</v>
      </c>
      <c r="K956" s="81">
        <v>1.29</v>
      </c>
      <c r="L956" s="69">
        <v>1.2</v>
      </c>
      <c r="M956" s="69">
        <v>1.1000000000000001</v>
      </c>
      <c r="N956" s="69">
        <v>1.03</v>
      </c>
      <c r="O956" s="69">
        <v>1</v>
      </c>
      <c r="P956" s="71">
        <v>1.22</v>
      </c>
      <c r="Q956" s="64"/>
      <c r="R956" s="64"/>
      <c r="S956" s="64"/>
      <c r="T956" s="64"/>
      <c r="U956" s="64"/>
      <c r="V956" s="64"/>
      <c r="W956" s="64"/>
      <c r="X956" s="64"/>
      <c r="Y956" s="64"/>
      <c r="Z956" s="64"/>
    </row>
    <row r="957" spans="1:26" thickBot="1">
      <c r="A957" s="66" t="str">
        <f t="shared" si="43"/>
        <v>Latitude 4335</v>
      </c>
      <c r="B957" s="86">
        <v>43.35</v>
      </c>
      <c r="C957" s="80">
        <v>35</v>
      </c>
      <c r="D957" s="69">
        <v>1.01</v>
      </c>
      <c r="E957" s="69">
        <v>1.1000000000000001</v>
      </c>
      <c r="F957" s="69">
        <v>1.25</v>
      </c>
      <c r="G957" s="69">
        <v>1.42</v>
      </c>
      <c r="H957" s="69">
        <v>1.52</v>
      </c>
      <c r="I957" s="69">
        <v>1.5</v>
      </c>
      <c r="J957" s="69">
        <v>1.41</v>
      </c>
      <c r="K957" s="69">
        <v>1.31</v>
      </c>
      <c r="L957" s="69">
        <v>1.2</v>
      </c>
      <c r="M957" s="69">
        <v>1.0900000000000001</v>
      </c>
      <c r="N957" s="69">
        <v>1.01</v>
      </c>
      <c r="O957" s="69">
        <v>0.98</v>
      </c>
      <c r="P957" s="71">
        <v>1.23</v>
      </c>
      <c r="Q957" s="64"/>
      <c r="R957" s="64"/>
      <c r="S957" s="64"/>
      <c r="T957" s="64"/>
      <c r="U957" s="64"/>
      <c r="V957" s="64"/>
      <c r="W957" s="64"/>
      <c r="X957" s="64"/>
      <c r="Y957" s="64"/>
      <c r="Z957" s="64"/>
    </row>
    <row r="958" spans="1:26" thickBot="1">
      <c r="A958" s="66" t="str">
        <f t="shared" si="43"/>
        <v>Latitude 4340</v>
      </c>
      <c r="B958" s="86">
        <v>43.4</v>
      </c>
      <c r="C958" s="80">
        <v>40</v>
      </c>
      <c r="D958" s="69">
        <v>0.98</v>
      </c>
      <c r="E958" s="69">
        <v>1.0900000000000001</v>
      </c>
      <c r="F958" s="69">
        <v>1.25</v>
      </c>
      <c r="G958" s="69">
        <v>1.44</v>
      </c>
      <c r="H958" s="69">
        <v>1.56</v>
      </c>
      <c r="I958" s="69">
        <v>1.54</v>
      </c>
      <c r="J958" s="69">
        <v>1.43</v>
      </c>
      <c r="K958" s="69">
        <v>1.33</v>
      </c>
      <c r="L958" s="69">
        <v>1.2</v>
      </c>
      <c r="M958" s="69">
        <v>1.07</v>
      </c>
      <c r="N958" s="69">
        <v>0.98</v>
      </c>
      <c r="O958" s="69">
        <v>0.95</v>
      </c>
      <c r="P958" s="71">
        <v>1.24</v>
      </c>
      <c r="Q958" s="64"/>
      <c r="R958" s="64"/>
      <c r="S958" s="64"/>
      <c r="T958" s="64"/>
      <c r="U958" s="64"/>
      <c r="V958" s="64"/>
      <c r="W958" s="64"/>
      <c r="X958" s="64"/>
      <c r="Y958" s="64"/>
      <c r="Z958" s="64"/>
    </row>
    <row r="959" spans="1:26" thickBot="1">
      <c r="A959" s="66" t="str">
        <f t="shared" si="43"/>
        <v>Latitude 4345</v>
      </c>
      <c r="B959" s="86">
        <v>43.45</v>
      </c>
      <c r="C959" s="80">
        <v>45</v>
      </c>
      <c r="D959" s="69">
        <v>0.95</v>
      </c>
      <c r="E959" s="69">
        <v>1.06</v>
      </c>
      <c r="F959" s="69">
        <v>1.24</v>
      </c>
      <c r="G959" s="69">
        <v>1.45</v>
      </c>
      <c r="H959" s="69">
        <v>1.59</v>
      </c>
      <c r="I959" s="69">
        <v>1.57</v>
      </c>
      <c r="J959" s="69">
        <v>1.45</v>
      </c>
      <c r="K959" s="69">
        <v>1.33</v>
      </c>
      <c r="L959" s="69">
        <v>1.19</v>
      </c>
      <c r="M959" s="69">
        <v>1.05</v>
      </c>
      <c r="N959" s="69">
        <v>0.95</v>
      </c>
      <c r="O959" s="69">
        <v>0.91</v>
      </c>
      <c r="P959" s="71">
        <v>1.23</v>
      </c>
      <c r="Q959" s="64"/>
      <c r="R959" s="64"/>
      <c r="S959" s="64"/>
      <c r="T959" s="64"/>
      <c r="U959" s="64"/>
      <c r="V959" s="64"/>
      <c r="W959" s="64"/>
      <c r="X959" s="64"/>
      <c r="Y959" s="64"/>
      <c r="Z959" s="64"/>
    </row>
    <row r="960" spans="1:26" thickBot="1">
      <c r="A960" s="66" t="str">
        <f t="shared" si="43"/>
        <v>Latitude 4350</v>
      </c>
      <c r="B960" s="86">
        <v>43.5</v>
      </c>
      <c r="C960" s="80">
        <v>50</v>
      </c>
      <c r="D960" s="69">
        <v>0.91</v>
      </c>
      <c r="E960" s="69">
        <v>1.03</v>
      </c>
      <c r="F960" s="69">
        <v>1.23</v>
      </c>
      <c r="G960" s="69">
        <v>1.46</v>
      </c>
      <c r="H960" s="69">
        <v>1.61</v>
      </c>
      <c r="I960" s="69">
        <v>1.58</v>
      </c>
      <c r="J960" s="69">
        <v>1.46</v>
      </c>
      <c r="K960" s="69">
        <v>1.33</v>
      </c>
      <c r="L960" s="69">
        <v>1.17</v>
      </c>
      <c r="M960" s="69">
        <v>1.02</v>
      </c>
      <c r="N960" s="69">
        <v>0.91</v>
      </c>
      <c r="O960" s="69">
        <v>0.87</v>
      </c>
      <c r="P960" s="71">
        <v>1.22</v>
      </c>
      <c r="Q960" s="64"/>
      <c r="R960" s="64"/>
      <c r="S960" s="64"/>
      <c r="T960" s="64"/>
      <c r="U960" s="64"/>
      <c r="V960" s="64"/>
      <c r="W960" s="64"/>
      <c r="X960" s="64"/>
      <c r="Y960" s="64"/>
      <c r="Z960" s="64"/>
    </row>
    <row r="961" spans="1:26" thickBot="1">
      <c r="A961" s="66" t="str">
        <f t="shared" si="43"/>
        <v>Latitude 4355</v>
      </c>
      <c r="B961" s="86">
        <v>43.55</v>
      </c>
      <c r="C961" s="80">
        <v>55</v>
      </c>
      <c r="D961" s="69">
        <v>0.86</v>
      </c>
      <c r="E961" s="69">
        <v>1</v>
      </c>
      <c r="F961" s="69">
        <v>1.21</v>
      </c>
      <c r="G961" s="69">
        <v>1.45</v>
      </c>
      <c r="H961" s="69">
        <v>1.62</v>
      </c>
      <c r="I961" s="69">
        <v>1.59</v>
      </c>
      <c r="J961" s="69">
        <v>1.46</v>
      </c>
      <c r="K961" s="69">
        <v>1.32</v>
      </c>
      <c r="L961" s="69">
        <v>1.1499999999999999</v>
      </c>
      <c r="M961" s="69">
        <v>0.98</v>
      </c>
      <c r="N961" s="69">
        <v>0.86</v>
      </c>
      <c r="O961" s="69">
        <v>0.82</v>
      </c>
      <c r="P961" s="71">
        <v>1.19</v>
      </c>
      <c r="Q961" s="64"/>
      <c r="R961" s="64"/>
      <c r="S961" s="64"/>
      <c r="T961" s="64"/>
      <c r="U961" s="64"/>
      <c r="V961" s="64"/>
      <c r="W961" s="64"/>
      <c r="X961" s="64"/>
      <c r="Y961" s="64"/>
      <c r="Z961" s="64"/>
    </row>
    <row r="962" spans="1:26" thickBot="1">
      <c r="A962" s="66" t="str">
        <f t="shared" si="43"/>
        <v>Latitude 4360</v>
      </c>
      <c r="B962" s="86">
        <v>43.6</v>
      </c>
      <c r="C962" s="80">
        <v>60</v>
      </c>
      <c r="D962" s="69">
        <v>0.81</v>
      </c>
      <c r="E962" s="69">
        <v>0.95</v>
      </c>
      <c r="F962" s="69">
        <v>1.17</v>
      </c>
      <c r="G962" s="69">
        <v>1.44</v>
      </c>
      <c r="H962" s="69">
        <v>1.62</v>
      </c>
      <c r="I962" s="69">
        <v>1.59</v>
      </c>
      <c r="J962" s="69">
        <v>1.45</v>
      </c>
      <c r="K962" s="69">
        <v>1.3</v>
      </c>
      <c r="L962" s="69">
        <v>1.1200000000000001</v>
      </c>
      <c r="M962" s="69">
        <v>0.94</v>
      </c>
      <c r="N962" s="69">
        <v>0.81</v>
      </c>
      <c r="O962" s="69">
        <v>0.76</v>
      </c>
      <c r="P962" s="71">
        <v>1.1599999999999999</v>
      </c>
      <c r="Q962" s="64"/>
      <c r="R962" s="64"/>
      <c r="S962" s="64"/>
      <c r="T962" s="64"/>
      <c r="U962" s="64"/>
      <c r="V962" s="64"/>
      <c r="W962" s="64"/>
      <c r="X962" s="64"/>
      <c r="Y962" s="64"/>
      <c r="Z962" s="64"/>
    </row>
    <row r="963" spans="1:26" thickBot="1">
      <c r="A963" s="66" t="str">
        <f t="shared" si="43"/>
        <v>Latitude 4365</v>
      </c>
      <c r="B963" s="86">
        <v>43.65</v>
      </c>
      <c r="C963" s="80">
        <v>65</v>
      </c>
      <c r="D963" s="69">
        <v>0.75</v>
      </c>
      <c r="E963" s="69">
        <v>0.9</v>
      </c>
      <c r="F963" s="69">
        <v>1.1299999999999999</v>
      </c>
      <c r="G963" s="69">
        <v>1.41</v>
      </c>
      <c r="H963" s="69">
        <v>1.61</v>
      </c>
      <c r="I963" s="69">
        <v>1.58</v>
      </c>
      <c r="J963" s="69">
        <v>1.43</v>
      </c>
      <c r="K963" s="69">
        <v>1.27</v>
      </c>
      <c r="L963" s="69">
        <v>1.08</v>
      </c>
      <c r="M963" s="69">
        <v>0.89</v>
      </c>
      <c r="N963" s="69">
        <v>0.75</v>
      </c>
      <c r="O963" s="69">
        <v>0.7</v>
      </c>
      <c r="P963" s="71">
        <v>1.1299999999999999</v>
      </c>
      <c r="Q963" s="64"/>
      <c r="R963" s="64"/>
      <c r="S963" s="64"/>
      <c r="T963" s="64"/>
      <c r="U963" s="64"/>
      <c r="V963" s="64"/>
      <c r="W963" s="64"/>
      <c r="X963" s="64"/>
      <c r="Y963" s="64"/>
      <c r="Z963" s="64"/>
    </row>
    <row r="964" spans="1:26" thickBot="1">
      <c r="A964" s="66" t="str">
        <f t="shared" si="43"/>
        <v>Latitude 4370</v>
      </c>
      <c r="B964" s="86">
        <v>43.7</v>
      </c>
      <c r="C964" s="80">
        <v>70</v>
      </c>
      <c r="D964" s="69">
        <v>0.69</v>
      </c>
      <c r="E964" s="69">
        <v>0.84</v>
      </c>
      <c r="F964" s="69">
        <v>1.0900000000000001</v>
      </c>
      <c r="G964" s="69">
        <v>1.38</v>
      </c>
      <c r="H964" s="69">
        <v>1.58</v>
      </c>
      <c r="I964" s="69">
        <v>1.56</v>
      </c>
      <c r="J964" s="69">
        <v>1.41</v>
      </c>
      <c r="K964" s="69">
        <v>1.23</v>
      </c>
      <c r="L964" s="69">
        <v>1.03</v>
      </c>
      <c r="M964" s="69">
        <v>0.83</v>
      </c>
      <c r="N964" s="69">
        <v>0.69</v>
      </c>
      <c r="O964" s="69">
        <v>0.64</v>
      </c>
      <c r="P964" s="71">
        <v>1.08</v>
      </c>
      <c r="Q964" s="64"/>
      <c r="R964" s="64"/>
      <c r="S964" s="64"/>
      <c r="T964" s="64"/>
      <c r="U964" s="64"/>
      <c r="V964" s="64"/>
      <c r="W964" s="64"/>
      <c r="X964" s="64"/>
      <c r="Y964" s="64"/>
      <c r="Z964" s="64"/>
    </row>
    <row r="965" spans="1:26" thickBot="1">
      <c r="A965" s="66" t="str">
        <f t="shared" si="43"/>
        <v>Latitude 4375</v>
      </c>
      <c r="B965" s="86">
        <v>43.75</v>
      </c>
      <c r="C965" s="80">
        <v>75</v>
      </c>
      <c r="D965" s="69">
        <v>0.62</v>
      </c>
      <c r="E965" s="69">
        <v>0.78</v>
      </c>
      <c r="F965" s="69">
        <v>1.03</v>
      </c>
      <c r="G965" s="69">
        <v>1.34</v>
      </c>
      <c r="H965" s="69">
        <v>1.55</v>
      </c>
      <c r="I965" s="69">
        <v>1.53</v>
      </c>
      <c r="J965" s="69">
        <v>1.37</v>
      </c>
      <c r="K965" s="69">
        <v>1.19</v>
      </c>
      <c r="L965" s="69">
        <v>0.98</v>
      </c>
      <c r="M965" s="69">
        <v>0.77</v>
      </c>
      <c r="N965" s="69">
        <v>0.62</v>
      </c>
      <c r="O965" s="69">
        <v>0.56999999999999995</v>
      </c>
      <c r="P965" s="71">
        <v>1.03</v>
      </c>
      <c r="Q965" s="64"/>
      <c r="R965" s="64"/>
      <c r="S965" s="64"/>
      <c r="T965" s="64"/>
      <c r="U965" s="64"/>
      <c r="V965" s="64"/>
      <c r="W965" s="64"/>
      <c r="X965" s="64"/>
      <c r="Y965" s="64"/>
      <c r="Z965" s="64"/>
    </row>
    <row r="966" spans="1:26" thickBot="1">
      <c r="A966" s="66" t="str">
        <f t="shared" si="43"/>
        <v>Latitude 4380</v>
      </c>
      <c r="B966" s="86">
        <v>43.8</v>
      </c>
      <c r="C966" s="80">
        <v>80</v>
      </c>
      <c r="D966" s="69">
        <v>0.55000000000000004</v>
      </c>
      <c r="E966" s="69">
        <v>0.71</v>
      </c>
      <c r="F966" s="69">
        <v>0.97</v>
      </c>
      <c r="G966" s="69">
        <v>1.28</v>
      </c>
      <c r="H966" s="69">
        <v>1.51</v>
      </c>
      <c r="I966" s="69">
        <v>1.49</v>
      </c>
      <c r="J966" s="69">
        <v>1.33</v>
      </c>
      <c r="K966" s="69">
        <v>1.1399999999999999</v>
      </c>
      <c r="L966" s="69">
        <v>0.92</v>
      </c>
      <c r="M966" s="69">
        <v>0.7</v>
      </c>
      <c r="N966" s="69">
        <v>0.55000000000000004</v>
      </c>
      <c r="O966" s="69">
        <v>0.49</v>
      </c>
      <c r="P966" s="71">
        <v>0.97</v>
      </c>
      <c r="Q966" s="64"/>
      <c r="R966" s="64"/>
      <c r="S966" s="64"/>
      <c r="T966" s="64"/>
      <c r="U966" s="64"/>
      <c r="V966" s="64"/>
      <c r="W966" s="64"/>
      <c r="X966" s="64"/>
      <c r="Y966" s="64"/>
      <c r="Z966" s="64"/>
    </row>
    <row r="967" spans="1:26" thickBot="1">
      <c r="A967" s="66" t="str">
        <f t="shared" si="43"/>
        <v>Latitude 4385</v>
      </c>
      <c r="B967" s="86">
        <v>43.85</v>
      </c>
      <c r="C967" s="80">
        <v>85</v>
      </c>
      <c r="D967" s="69">
        <v>0.47</v>
      </c>
      <c r="E967" s="69">
        <v>0.64</v>
      </c>
      <c r="F967" s="69">
        <v>0.9</v>
      </c>
      <c r="G967" s="69">
        <v>1.22</v>
      </c>
      <c r="H967" s="69">
        <v>1.45</v>
      </c>
      <c r="I967" s="69">
        <v>1.44</v>
      </c>
      <c r="J967" s="69">
        <v>1.28</v>
      </c>
      <c r="K967" s="69">
        <v>1.08</v>
      </c>
      <c r="L967" s="69">
        <v>0.85</v>
      </c>
      <c r="M967" s="69">
        <v>0.63</v>
      </c>
      <c r="N967" s="69">
        <v>0.47</v>
      </c>
      <c r="O967" s="69">
        <v>0.42</v>
      </c>
      <c r="P967" s="71">
        <v>0.9</v>
      </c>
      <c r="Q967" s="64"/>
      <c r="R967" s="64"/>
      <c r="S967" s="64"/>
      <c r="T967" s="64"/>
      <c r="U967" s="64"/>
      <c r="V967" s="64"/>
      <c r="W967" s="64"/>
      <c r="X967" s="64"/>
      <c r="Y967" s="64"/>
      <c r="Z967" s="64"/>
    </row>
    <row r="968" spans="1:26" thickBot="1">
      <c r="A968" s="66" t="str">
        <f t="shared" si="43"/>
        <v>Latitude 4390</v>
      </c>
      <c r="B968" s="86">
        <v>43.9</v>
      </c>
      <c r="C968" s="69">
        <v>90</v>
      </c>
      <c r="D968" s="69">
        <v>0.39</v>
      </c>
      <c r="E968" s="69">
        <v>0.56000000000000005</v>
      </c>
      <c r="F968" s="69">
        <v>0.83</v>
      </c>
      <c r="G968" s="69">
        <v>1.1599999999999999</v>
      </c>
      <c r="H968" s="69">
        <v>1.39</v>
      </c>
      <c r="I968" s="69">
        <v>1.38</v>
      </c>
      <c r="J968" s="69">
        <v>1.22</v>
      </c>
      <c r="K968" s="69">
        <v>1.02</v>
      </c>
      <c r="L968" s="69">
        <v>0.78</v>
      </c>
      <c r="M968" s="69">
        <v>0.56000000000000005</v>
      </c>
      <c r="N968" s="69">
        <v>0.4</v>
      </c>
      <c r="O968" s="69">
        <v>0.34</v>
      </c>
      <c r="P968" s="71">
        <v>0.84</v>
      </c>
      <c r="Q968" s="64"/>
      <c r="R968" s="64"/>
      <c r="S968" s="64"/>
      <c r="T968" s="64"/>
      <c r="U968" s="64"/>
      <c r="V968" s="64"/>
      <c r="W968" s="64"/>
      <c r="X968" s="64"/>
      <c r="Y968" s="64"/>
      <c r="Z968" s="64"/>
    </row>
    <row r="969" spans="1:26" thickBot="1">
      <c r="A969" s="66"/>
      <c r="B969" s="88"/>
      <c r="C969" s="73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66"/>
      <c r="Q969" s="64"/>
      <c r="R969" s="64"/>
      <c r="S969" s="64"/>
      <c r="T969" s="64"/>
      <c r="U969" s="64"/>
      <c r="V969" s="64"/>
      <c r="W969" s="64"/>
      <c r="X969" s="64"/>
      <c r="Y969" s="64"/>
      <c r="Z969" s="64"/>
    </row>
    <row r="970" spans="1:26" thickBot="1">
      <c r="A970" s="66"/>
      <c r="B970" s="88"/>
      <c r="C970" s="73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66"/>
      <c r="Q970" s="64"/>
      <c r="R970" s="64"/>
      <c r="S970" s="64"/>
      <c r="T970" s="64"/>
      <c r="U970" s="64"/>
      <c r="V970" s="64"/>
      <c r="W970" s="64"/>
      <c r="X970" s="64"/>
      <c r="Y970" s="64"/>
      <c r="Z970" s="64"/>
    </row>
    <row r="971" spans="1:26" thickBot="1">
      <c r="A971" s="66"/>
      <c r="B971" s="85" t="s">
        <v>5909</v>
      </c>
      <c r="C971" s="75" t="s">
        <v>5853</v>
      </c>
      <c r="D971" s="75" t="s">
        <v>5827</v>
      </c>
      <c r="E971" s="75" t="s">
        <v>5828</v>
      </c>
      <c r="F971" s="75" t="s">
        <v>5829</v>
      </c>
      <c r="G971" s="75" t="s">
        <v>5830</v>
      </c>
      <c r="H971" s="75" t="s">
        <v>5831</v>
      </c>
      <c r="I971" s="75" t="s">
        <v>5832</v>
      </c>
      <c r="J971" s="75" t="s">
        <v>5833</v>
      </c>
      <c r="K971" s="75" t="s">
        <v>5834</v>
      </c>
      <c r="L971" s="75" t="s">
        <v>5835</v>
      </c>
      <c r="M971" s="75" t="s">
        <v>5836</v>
      </c>
      <c r="N971" s="75" t="s">
        <v>5837</v>
      </c>
      <c r="O971" s="75" t="s">
        <v>5838</v>
      </c>
      <c r="P971" s="74" t="s">
        <v>20</v>
      </c>
      <c r="Q971" s="64"/>
      <c r="R971" s="64"/>
      <c r="S971" s="64"/>
      <c r="T971" s="64"/>
      <c r="U971" s="64"/>
      <c r="V971" s="64"/>
      <c r="W971" s="64"/>
      <c r="X971" s="64"/>
      <c r="Y971" s="64"/>
      <c r="Z971" s="64"/>
    </row>
    <row r="972" spans="1:26" thickBot="1">
      <c r="A972" s="66" t="str">
        <f>$B$971&amp;C972</f>
        <v>Latitude 440</v>
      </c>
      <c r="B972" s="86">
        <v>44</v>
      </c>
      <c r="C972" s="80">
        <v>0</v>
      </c>
      <c r="D972" s="69">
        <v>1</v>
      </c>
      <c r="E972" s="69">
        <v>1</v>
      </c>
      <c r="F972" s="69">
        <v>1</v>
      </c>
      <c r="G972" s="69">
        <v>1</v>
      </c>
      <c r="H972" s="69">
        <v>1</v>
      </c>
      <c r="I972" s="69">
        <v>1</v>
      </c>
      <c r="J972" s="69">
        <v>1</v>
      </c>
      <c r="K972" s="69">
        <v>1</v>
      </c>
      <c r="L972" s="69">
        <v>1</v>
      </c>
      <c r="M972" s="69">
        <v>1</v>
      </c>
      <c r="N972" s="69">
        <v>1</v>
      </c>
      <c r="O972" s="69">
        <v>1</v>
      </c>
      <c r="P972" s="71">
        <v>1</v>
      </c>
      <c r="Q972" s="64"/>
      <c r="R972" s="64"/>
      <c r="S972" s="64"/>
      <c r="T972" s="64"/>
      <c r="U972" s="64"/>
      <c r="V972" s="64"/>
      <c r="W972" s="64"/>
      <c r="X972" s="64"/>
      <c r="Y972" s="64"/>
      <c r="Z972" s="64"/>
    </row>
    <row r="973" spans="1:26" thickBot="1">
      <c r="A973" s="66" t="str">
        <f t="shared" ref="A973:A990" si="44">$B$971&amp;C973</f>
        <v>Latitude 445</v>
      </c>
      <c r="B973" s="86">
        <v>44.5</v>
      </c>
      <c r="C973" s="80">
        <v>5</v>
      </c>
      <c r="D973" s="69">
        <v>1.02</v>
      </c>
      <c r="E973" s="69">
        <v>1.04</v>
      </c>
      <c r="F973" s="69">
        <v>1.06</v>
      </c>
      <c r="G973" s="69">
        <v>1.0900000000000001</v>
      </c>
      <c r="H973" s="69">
        <v>1.1000000000000001</v>
      </c>
      <c r="I973" s="69">
        <v>1.1000000000000001</v>
      </c>
      <c r="J973" s="69">
        <v>1.08</v>
      </c>
      <c r="K973" s="69">
        <v>1.07</v>
      </c>
      <c r="L973" s="69">
        <v>1.05</v>
      </c>
      <c r="M973" s="69">
        <v>1.04</v>
      </c>
      <c r="N973" s="69">
        <v>1.02</v>
      </c>
      <c r="O973" s="69">
        <v>1.02</v>
      </c>
      <c r="P973" s="71">
        <v>1.06</v>
      </c>
      <c r="Q973" s="64"/>
      <c r="R973" s="64"/>
      <c r="S973" s="64"/>
      <c r="T973" s="64"/>
      <c r="U973" s="64"/>
      <c r="V973" s="64"/>
      <c r="W973" s="64"/>
      <c r="X973" s="64"/>
      <c r="Y973" s="64"/>
      <c r="Z973" s="64"/>
    </row>
    <row r="974" spans="1:26" thickBot="1">
      <c r="A974" s="66" t="str">
        <f t="shared" si="44"/>
        <v>Latitude 4410</v>
      </c>
      <c r="B974" s="86">
        <v>44.1</v>
      </c>
      <c r="C974" s="80">
        <v>10</v>
      </c>
      <c r="D974" s="69">
        <v>1.04</v>
      </c>
      <c r="E974" s="69">
        <v>1.07</v>
      </c>
      <c r="F974" s="69">
        <v>1.1100000000000001</v>
      </c>
      <c r="G974" s="69">
        <v>1.1599999999999999</v>
      </c>
      <c r="H974" s="69">
        <v>1.19</v>
      </c>
      <c r="I974" s="69">
        <v>1.18</v>
      </c>
      <c r="J974" s="69">
        <v>1.1599999999999999</v>
      </c>
      <c r="K974" s="69">
        <v>1.1299999999999999</v>
      </c>
      <c r="L974" s="69">
        <v>1.1000000000000001</v>
      </c>
      <c r="M974" s="69">
        <v>1.06</v>
      </c>
      <c r="N974" s="69">
        <v>1.04</v>
      </c>
      <c r="O974" s="69">
        <v>1.03</v>
      </c>
      <c r="P974" s="71">
        <v>1.1100000000000001</v>
      </c>
      <c r="Q974" s="64"/>
      <c r="R974" s="64"/>
      <c r="S974" s="64"/>
      <c r="T974" s="64"/>
      <c r="U974" s="64"/>
      <c r="V974" s="64"/>
      <c r="W974" s="64"/>
      <c r="X974" s="64"/>
      <c r="Y974" s="64"/>
      <c r="Z974" s="64"/>
    </row>
    <row r="975" spans="1:26" thickBot="1">
      <c r="A975" s="66" t="str">
        <f t="shared" si="44"/>
        <v>Latitude 4415</v>
      </c>
      <c r="B975" s="86">
        <v>44.15</v>
      </c>
      <c r="C975" s="80">
        <v>15</v>
      </c>
      <c r="D975" s="69">
        <v>1.05</v>
      </c>
      <c r="E975" s="69">
        <v>1.0900000000000001</v>
      </c>
      <c r="F975" s="69">
        <v>1.1599999999999999</v>
      </c>
      <c r="G975" s="69">
        <v>1.23</v>
      </c>
      <c r="H975" s="69">
        <v>1.28</v>
      </c>
      <c r="I975" s="69">
        <v>1.27</v>
      </c>
      <c r="J975" s="69">
        <v>1.22</v>
      </c>
      <c r="K975" s="69">
        <v>1.18</v>
      </c>
      <c r="L975" s="69">
        <v>1.1299999999999999</v>
      </c>
      <c r="M975" s="69">
        <v>1.0900000000000001</v>
      </c>
      <c r="N975" s="69">
        <v>1.05</v>
      </c>
      <c r="O975" s="69">
        <v>1.04</v>
      </c>
      <c r="P975" s="71">
        <v>1.1499999999999999</v>
      </c>
      <c r="Q975" s="64"/>
      <c r="R975" s="64"/>
      <c r="S975" s="64"/>
      <c r="T975" s="64"/>
      <c r="U975" s="64"/>
      <c r="V975" s="64"/>
      <c r="W975" s="64"/>
      <c r="X975" s="64"/>
      <c r="Y975" s="64"/>
      <c r="Z975" s="64"/>
    </row>
    <row r="976" spans="1:26" thickBot="1">
      <c r="A976" s="66" t="str">
        <f t="shared" si="44"/>
        <v>Latitude 4420</v>
      </c>
      <c r="B976" s="86">
        <v>44.2</v>
      </c>
      <c r="C976" s="80">
        <v>20</v>
      </c>
      <c r="D976" s="69">
        <v>1.06</v>
      </c>
      <c r="E976" s="69">
        <v>1.1100000000000001</v>
      </c>
      <c r="F976" s="69">
        <v>1.2</v>
      </c>
      <c r="G976" s="69">
        <v>1.3</v>
      </c>
      <c r="H976" s="69">
        <v>1.36</v>
      </c>
      <c r="I976" s="69">
        <v>1.34</v>
      </c>
      <c r="J976" s="69">
        <v>1.28</v>
      </c>
      <c r="K976" s="69">
        <v>1.23</v>
      </c>
      <c r="L976" s="69">
        <v>1.17</v>
      </c>
      <c r="M976" s="69">
        <v>1.1000000000000001</v>
      </c>
      <c r="N976" s="69">
        <v>1.05</v>
      </c>
      <c r="O976" s="69">
        <v>1.04</v>
      </c>
      <c r="P976" s="71">
        <v>1.19</v>
      </c>
      <c r="Q976" s="64"/>
      <c r="R976" s="64"/>
      <c r="S976" s="64"/>
      <c r="T976" s="64"/>
      <c r="U976" s="64"/>
      <c r="V976" s="64"/>
      <c r="W976" s="64"/>
      <c r="X976" s="64"/>
      <c r="Y976" s="64"/>
      <c r="Z976" s="64"/>
    </row>
    <row r="977" spans="1:26" thickBot="1">
      <c r="A977" s="66" t="str">
        <f t="shared" si="44"/>
        <v>Latitude 4425</v>
      </c>
      <c r="B977" s="86">
        <v>44.25</v>
      </c>
      <c r="C977" s="80">
        <v>25</v>
      </c>
      <c r="D977" s="69">
        <v>1.05</v>
      </c>
      <c r="E977" s="69">
        <v>1.1200000000000001</v>
      </c>
      <c r="F977" s="69">
        <v>1.23</v>
      </c>
      <c r="G977" s="69">
        <v>1.35</v>
      </c>
      <c r="H977" s="69">
        <v>1.43</v>
      </c>
      <c r="I977" s="69">
        <v>1.41</v>
      </c>
      <c r="J977" s="69">
        <v>1.34</v>
      </c>
      <c r="K977" s="69">
        <v>1.27</v>
      </c>
      <c r="L977" s="69">
        <v>1.19</v>
      </c>
      <c r="M977" s="69">
        <v>1.1100000000000001</v>
      </c>
      <c r="N977" s="69">
        <v>1.05</v>
      </c>
      <c r="O977" s="69">
        <v>1.03</v>
      </c>
      <c r="P977" s="71">
        <v>1.22</v>
      </c>
      <c r="Q977" s="64"/>
      <c r="R977" s="64"/>
      <c r="S977" s="64"/>
      <c r="T977" s="64"/>
      <c r="U977" s="64"/>
      <c r="V977" s="64"/>
      <c r="W977" s="64"/>
      <c r="X977" s="64"/>
      <c r="Y977" s="64"/>
      <c r="Z977" s="64"/>
    </row>
    <row r="978" spans="1:26" thickBot="1">
      <c r="A978" s="66" t="str">
        <f t="shared" si="44"/>
        <v>Latitude 4430</v>
      </c>
      <c r="B978" s="86">
        <v>44.3</v>
      </c>
      <c r="C978" s="80">
        <v>30</v>
      </c>
      <c r="D978" s="69">
        <v>1.05</v>
      </c>
      <c r="E978" s="69">
        <v>1.1200000000000001</v>
      </c>
      <c r="F978" s="69">
        <v>1.25</v>
      </c>
      <c r="G978" s="69">
        <v>1.4</v>
      </c>
      <c r="H978" s="69">
        <v>1.49</v>
      </c>
      <c r="I978" s="69">
        <v>1.47</v>
      </c>
      <c r="J978" s="69">
        <v>1.38</v>
      </c>
      <c r="K978" s="81">
        <v>1.3</v>
      </c>
      <c r="L978" s="69">
        <v>1.2</v>
      </c>
      <c r="M978" s="69">
        <v>1.1100000000000001</v>
      </c>
      <c r="N978" s="69">
        <v>1.04</v>
      </c>
      <c r="O978" s="69">
        <v>1.01</v>
      </c>
      <c r="P978" s="71">
        <v>1.24</v>
      </c>
      <c r="Q978" s="64"/>
      <c r="R978" s="64"/>
      <c r="S978" s="64"/>
      <c r="T978" s="64"/>
      <c r="U978" s="64"/>
      <c r="V978" s="64"/>
      <c r="W978" s="64"/>
      <c r="X978" s="64"/>
      <c r="Y978" s="64"/>
      <c r="Z978" s="64"/>
    </row>
    <row r="979" spans="1:26" thickBot="1">
      <c r="A979" s="66" t="str">
        <f t="shared" si="44"/>
        <v>Latitude 4435</v>
      </c>
      <c r="B979" s="86">
        <v>44.35</v>
      </c>
      <c r="C979" s="80">
        <v>35</v>
      </c>
      <c r="D979" s="69">
        <v>1.02</v>
      </c>
      <c r="E979" s="69">
        <v>1.1100000000000001</v>
      </c>
      <c r="F979" s="69">
        <v>1.26</v>
      </c>
      <c r="G979" s="69">
        <v>1.43</v>
      </c>
      <c r="H979" s="69">
        <v>1.54</v>
      </c>
      <c r="I979" s="69">
        <v>1.52</v>
      </c>
      <c r="J979" s="69">
        <v>1.42</v>
      </c>
      <c r="K979" s="69">
        <v>1.32</v>
      </c>
      <c r="L979" s="69">
        <v>1.21</v>
      </c>
      <c r="M979" s="69">
        <v>1.1000000000000001</v>
      </c>
      <c r="N979" s="69">
        <v>1.02</v>
      </c>
      <c r="O979" s="69">
        <v>0.99</v>
      </c>
      <c r="P979" s="71">
        <v>1.25</v>
      </c>
      <c r="Q979" s="64"/>
      <c r="R979" s="64"/>
      <c r="S979" s="64"/>
      <c r="T979" s="64"/>
      <c r="U979" s="64"/>
      <c r="V979" s="64"/>
      <c r="W979" s="64"/>
      <c r="X979" s="64"/>
      <c r="Y979" s="64"/>
      <c r="Z979" s="64"/>
    </row>
    <row r="980" spans="1:26" thickBot="1">
      <c r="A980" s="66" t="str">
        <f t="shared" si="44"/>
        <v>Latitude 4440</v>
      </c>
      <c r="B980" s="86">
        <v>44.4</v>
      </c>
      <c r="C980" s="80">
        <v>40</v>
      </c>
      <c r="D980" s="69">
        <v>1</v>
      </c>
      <c r="E980" s="69">
        <v>1.1000000000000001</v>
      </c>
      <c r="F980" s="69">
        <v>1.26</v>
      </c>
      <c r="G980" s="69">
        <v>1.46</v>
      </c>
      <c r="H980" s="69">
        <v>1.59</v>
      </c>
      <c r="I980" s="69">
        <v>1.56</v>
      </c>
      <c r="J980" s="69">
        <v>1.45</v>
      </c>
      <c r="K980" s="69">
        <v>1.34</v>
      </c>
      <c r="L980" s="69">
        <v>1.21</v>
      </c>
      <c r="M980" s="69">
        <v>1.08</v>
      </c>
      <c r="N980" s="69">
        <v>0.99</v>
      </c>
      <c r="O980" s="69">
        <v>0.96</v>
      </c>
      <c r="P980" s="71">
        <v>1.25</v>
      </c>
      <c r="Q980" s="64"/>
      <c r="R980" s="64"/>
      <c r="S980" s="64"/>
      <c r="T980" s="64"/>
      <c r="U980" s="64"/>
      <c r="V980" s="64"/>
      <c r="W980" s="64"/>
      <c r="X980" s="64"/>
      <c r="Y980" s="64"/>
      <c r="Z980" s="64"/>
    </row>
    <row r="981" spans="1:26" thickBot="1">
      <c r="A981" s="66" t="str">
        <f t="shared" si="44"/>
        <v>Latitude 4445</v>
      </c>
      <c r="B981" s="86">
        <v>44.45</v>
      </c>
      <c r="C981" s="80">
        <v>45</v>
      </c>
      <c r="D981" s="69">
        <v>0.96</v>
      </c>
      <c r="E981" s="69">
        <v>1.08</v>
      </c>
      <c r="F981" s="69">
        <v>1.26</v>
      </c>
      <c r="G981" s="69">
        <v>1.48</v>
      </c>
      <c r="H981" s="69">
        <v>1.62</v>
      </c>
      <c r="I981" s="69">
        <v>1.59</v>
      </c>
      <c r="J981" s="69">
        <v>1.47</v>
      </c>
      <c r="K981" s="69">
        <v>1.35</v>
      </c>
      <c r="L981" s="69">
        <v>1.2</v>
      </c>
      <c r="M981" s="69">
        <v>1.06</v>
      </c>
      <c r="N981" s="69">
        <v>0.96</v>
      </c>
      <c r="O981" s="69">
        <v>0.92</v>
      </c>
      <c r="P981" s="71">
        <v>1.25</v>
      </c>
      <c r="Q981" s="64"/>
      <c r="R981" s="64"/>
      <c r="S981" s="64"/>
      <c r="T981" s="64"/>
      <c r="U981" s="64"/>
      <c r="V981" s="64"/>
      <c r="W981" s="64"/>
      <c r="X981" s="64"/>
      <c r="Y981" s="64"/>
      <c r="Z981" s="64"/>
    </row>
    <row r="982" spans="1:26" thickBot="1">
      <c r="A982" s="66" t="str">
        <f t="shared" si="44"/>
        <v>Latitude 4450</v>
      </c>
      <c r="B982" s="86">
        <v>44.5</v>
      </c>
      <c r="C982" s="80">
        <v>50</v>
      </c>
      <c r="D982" s="69">
        <v>0.92</v>
      </c>
      <c r="E982" s="69">
        <v>1.05</v>
      </c>
      <c r="F982" s="69">
        <v>1.25</v>
      </c>
      <c r="G982" s="69">
        <v>1.48</v>
      </c>
      <c r="H982" s="69">
        <v>1.64</v>
      </c>
      <c r="I982" s="69">
        <v>1.61</v>
      </c>
      <c r="J982" s="69">
        <v>1.48</v>
      </c>
      <c r="K982" s="69">
        <v>1.34</v>
      </c>
      <c r="L982" s="69">
        <v>1.19</v>
      </c>
      <c r="M982" s="69">
        <v>1.03</v>
      </c>
      <c r="N982" s="69">
        <v>0.92</v>
      </c>
      <c r="O982" s="69">
        <v>0.88</v>
      </c>
      <c r="P982" s="71">
        <v>1.23</v>
      </c>
      <c r="Q982" s="64"/>
      <c r="R982" s="64"/>
      <c r="S982" s="64"/>
      <c r="T982" s="64"/>
      <c r="U982" s="64"/>
      <c r="V982" s="64"/>
      <c r="W982" s="64"/>
      <c r="X982" s="64"/>
      <c r="Y982" s="64"/>
      <c r="Z982" s="64"/>
    </row>
    <row r="983" spans="1:26" thickBot="1">
      <c r="A983" s="66" t="str">
        <f t="shared" si="44"/>
        <v>Latitude 4455</v>
      </c>
      <c r="B983" s="86">
        <v>44.55</v>
      </c>
      <c r="C983" s="80">
        <v>55</v>
      </c>
      <c r="D983" s="69">
        <v>0.88</v>
      </c>
      <c r="E983" s="69">
        <v>1.01</v>
      </c>
      <c r="F983" s="69">
        <v>1.22</v>
      </c>
      <c r="G983" s="69">
        <v>1.48</v>
      </c>
      <c r="H983" s="69">
        <v>1.65</v>
      </c>
      <c r="I983" s="69">
        <v>1.62</v>
      </c>
      <c r="J983" s="69">
        <v>1.48</v>
      </c>
      <c r="K983" s="69">
        <v>1.33</v>
      </c>
      <c r="L983" s="69">
        <v>1.1599999999999999</v>
      </c>
      <c r="M983" s="69">
        <v>0.99</v>
      </c>
      <c r="N983" s="69">
        <v>0.87</v>
      </c>
      <c r="O983" s="69">
        <v>0.83</v>
      </c>
      <c r="P983" s="71">
        <v>1.21</v>
      </c>
      <c r="Q983" s="64"/>
      <c r="R983" s="64"/>
      <c r="S983" s="64"/>
      <c r="T983" s="64"/>
      <c r="U983" s="64"/>
      <c r="V983" s="64"/>
      <c r="W983" s="64"/>
      <c r="X983" s="64"/>
      <c r="Y983" s="64"/>
      <c r="Z983" s="64"/>
    </row>
    <row r="984" spans="1:26" thickBot="1">
      <c r="A984" s="66" t="str">
        <f t="shared" si="44"/>
        <v>Latitude 4460</v>
      </c>
      <c r="B984" s="86">
        <v>44.6</v>
      </c>
      <c r="C984" s="80">
        <v>60</v>
      </c>
      <c r="D984" s="69">
        <v>0.82</v>
      </c>
      <c r="E984" s="69">
        <v>0.97</v>
      </c>
      <c r="F984" s="69">
        <v>1.19</v>
      </c>
      <c r="G984" s="69">
        <v>1.47</v>
      </c>
      <c r="H984" s="69">
        <v>1.65</v>
      </c>
      <c r="I984" s="69">
        <v>1.62</v>
      </c>
      <c r="J984" s="69">
        <v>1.47</v>
      </c>
      <c r="K984" s="69">
        <v>1.32</v>
      </c>
      <c r="L984" s="69">
        <v>1.1299999999999999</v>
      </c>
      <c r="M984" s="69">
        <v>0.95</v>
      </c>
      <c r="N984" s="69">
        <v>0.82</v>
      </c>
      <c r="O984" s="69">
        <v>0.78</v>
      </c>
      <c r="P984" s="71">
        <v>1.18</v>
      </c>
      <c r="Q984" s="64"/>
      <c r="R984" s="64"/>
      <c r="S984" s="64"/>
      <c r="T984" s="64"/>
      <c r="U984" s="64"/>
      <c r="V984" s="64"/>
      <c r="W984" s="64"/>
      <c r="X984" s="64"/>
      <c r="Y984" s="64"/>
      <c r="Z984" s="64"/>
    </row>
    <row r="985" spans="1:26" thickBot="1">
      <c r="A985" s="66" t="str">
        <f t="shared" si="44"/>
        <v>Latitude 4465</v>
      </c>
      <c r="B985" s="86">
        <v>44.65</v>
      </c>
      <c r="C985" s="80">
        <v>65</v>
      </c>
      <c r="D985" s="69">
        <v>0.77</v>
      </c>
      <c r="E985" s="69">
        <v>0.92</v>
      </c>
      <c r="F985" s="69">
        <v>1.1599999999999999</v>
      </c>
      <c r="G985" s="69">
        <v>1.44</v>
      </c>
      <c r="H985" s="69">
        <v>1.64</v>
      </c>
      <c r="I985" s="69">
        <v>1.61</v>
      </c>
      <c r="J985" s="69">
        <v>1.46</v>
      </c>
      <c r="K985" s="69">
        <v>1.29</v>
      </c>
      <c r="L985" s="69">
        <v>1.0900000000000001</v>
      </c>
      <c r="M985" s="69">
        <v>0.9</v>
      </c>
      <c r="N985" s="69">
        <v>0.76</v>
      </c>
      <c r="O985" s="69">
        <v>0.72</v>
      </c>
      <c r="P985" s="71">
        <v>1.1499999999999999</v>
      </c>
      <c r="Q985" s="64"/>
      <c r="R985" s="64"/>
      <c r="S985" s="64"/>
      <c r="T985" s="64"/>
      <c r="U985" s="64"/>
      <c r="V985" s="64"/>
      <c r="W985" s="64"/>
      <c r="X985" s="64"/>
      <c r="Y985" s="64"/>
      <c r="Z985" s="64"/>
    </row>
    <row r="986" spans="1:26" thickBot="1">
      <c r="A986" s="66" t="str">
        <f t="shared" si="44"/>
        <v>Latitude 4470</v>
      </c>
      <c r="B986" s="86">
        <v>44.7</v>
      </c>
      <c r="C986" s="80">
        <v>70</v>
      </c>
      <c r="D986" s="69">
        <v>0.7</v>
      </c>
      <c r="E986" s="69">
        <v>0.86</v>
      </c>
      <c r="F986" s="69">
        <v>1.1100000000000001</v>
      </c>
      <c r="G986" s="69">
        <v>1.41</v>
      </c>
      <c r="H986" s="69">
        <v>1.62</v>
      </c>
      <c r="I986" s="69">
        <v>1.59</v>
      </c>
      <c r="J986" s="69">
        <v>1.43</v>
      </c>
      <c r="K986" s="69">
        <v>1.26</v>
      </c>
      <c r="L986" s="69">
        <v>1.05</v>
      </c>
      <c r="M986" s="69">
        <v>0.85</v>
      </c>
      <c r="N986" s="69">
        <v>0.7</v>
      </c>
      <c r="O986" s="69">
        <v>0.65</v>
      </c>
      <c r="P986" s="71">
        <v>1.1000000000000001</v>
      </c>
      <c r="Q986" s="64"/>
      <c r="R986" s="64"/>
      <c r="S986" s="64"/>
      <c r="T986" s="64"/>
      <c r="U986" s="64"/>
      <c r="V986" s="64"/>
      <c r="W986" s="64"/>
      <c r="X986" s="64"/>
      <c r="Y986" s="64"/>
      <c r="Z986" s="64"/>
    </row>
    <row r="987" spans="1:26" thickBot="1">
      <c r="A987" s="66" t="str">
        <f t="shared" si="44"/>
        <v>Latitude 4475</v>
      </c>
      <c r="B987" s="86">
        <v>44.75</v>
      </c>
      <c r="C987" s="80">
        <v>75</v>
      </c>
      <c r="D987" s="69">
        <v>0.64</v>
      </c>
      <c r="E987" s="69">
        <v>0.8</v>
      </c>
      <c r="F987" s="69">
        <v>1.06</v>
      </c>
      <c r="G987" s="69">
        <v>1.37</v>
      </c>
      <c r="H987" s="69">
        <v>1.59</v>
      </c>
      <c r="I987" s="69">
        <v>1.56</v>
      </c>
      <c r="J987" s="69">
        <v>1.4</v>
      </c>
      <c r="K987" s="69">
        <v>1.21</v>
      </c>
      <c r="L987" s="69">
        <v>1</v>
      </c>
      <c r="M987" s="69">
        <v>0.78</v>
      </c>
      <c r="N987" s="69">
        <v>64</v>
      </c>
      <c r="O987" s="69">
        <v>0.57999999999999996</v>
      </c>
      <c r="P987" s="71">
        <v>6.33</v>
      </c>
      <c r="Q987" s="64"/>
      <c r="R987" s="64"/>
      <c r="S987" s="64"/>
      <c r="T987" s="64"/>
      <c r="U987" s="64"/>
      <c r="V987" s="64"/>
      <c r="W987" s="64"/>
      <c r="X987" s="64"/>
      <c r="Y987" s="64"/>
      <c r="Z987" s="64"/>
    </row>
    <row r="988" spans="1:26" thickBot="1">
      <c r="A988" s="66" t="str">
        <f t="shared" si="44"/>
        <v>Latitude 4480</v>
      </c>
      <c r="B988" s="86">
        <v>44.8</v>
      </c>
      <c r="C988" s="80">
        <v>80</v>
      </c>
      <c r="D988" s="69">
        <v>0.56000000000000005</v>
      </c>
      <c r="E988" s="69">
        <v>0.73</v>
      </c>
      <c r="F988" s="69">
        <v>0.99</v>
      </c>
      <c r="G988" s="69">
        <v>1.32</v>
      </c>
      <c r="H988" s="69">
        <v>1.54</v>
      </c>
      <c r="I988" s="69">
        <v>1.52</v>
      </c>
      <c r="J988" s="69">
        <v>1.36</v>
      </c>
      <c r="K988" s="69">
        <v>1.1599999999999999</v>
      </c>
      <c r="L988" s="69">
        <v>0.94</v>
      </c>
      <c r="M988" s="69">
        <v>0.72</v>
      </c>
      <c r="N988" s="69">
        <v>0.56000000000000005</v>
      </c>
      <c r="O988" s="69">
        <v>0.51</v>
      </c>
      <c r="P988" s="71">
        <v>0.99</v>
      </c>
      <c r="Q988" s="64"/>
      <c r="R988" s="64"/>
      <c r="S988" s="64"/>
      <c r="T988" s="64"/>
      <c r="U988" s="64"/>
      <c r="V988" s="64"/>
      <c r="W988" s="64"/>
      <c r="X988" s="64"/>
      <c r="Y988" s="64"/>
      <c r="Z988" s="64"/>
    </row>
    <row r="989" spans="1:26" thickBot="1">
      <c r="A989" s="66" t="str">
        <f t="shared" si="44"/>
        <v>Latitude 4485</v>
      </c>
      <c r="B989" s="86">
        <v>44.85</v>
      </c>
      <c r="C989" s="80">
        <v>85</v>
      </c>
      <c r="D989" s="69">
        <v>0.49</v>
      </c>
      <c r="E989" s="69">
        <v>0.66</v>
      </c>
      <c r="F989" s="69">
        <v>0.93</v>
      </c>
      <c r="G989" s="69">
        <v>1.26</v>
      </c>
      <c r="H989" s="69">
        <v>1.49</v>
      </c>
      <c r="I989" s="69">
        <v>1.48</v>
      </c>
      <c r="J989" s="69">
        <v>1.31</v>
      </c>
      <c r="K989" s="69">
        <v>1.1100000000000001</v>
      </c>
      <c r="L989" s="69">
        <v>0.87</v>
      </c>
      <c r="M989" s="69">
        <v>0.65</v>
      </c>
      <c r="N989" s="69">
        <v>0.49</v>
      </c>
      <c r="O989" s="69">
        <v>0.43</v>
      </c>
      <c r="P989" s="71">
        <v>0.93</v>
      </c>
      <c r="Q989" s="64"/>
      <c r="R989" s="64"/>
      <c r="S989" s="64"/>
      <c r="T989" s="64"/>
      <c r="U989" s="64"/>
      <c r="V989" s="64"/>
      <c r="W989" s="64"/>
      <c r="X989" s="64"/>
      <c r="Y989" s="64"/>
      <c r="Z989" s="64"/>
    </row>
    <row r="990" spans="1:26" thickBot="1">
      <c r="A990" s="66" t="str">
        <f t="shared" si="44"/>
        <v>Latitude 4490</v>
      </c>
      <c r="B990" s="86">
        <v>44.9</v>
      </c>
      <c r="C990" s="69">
        <v>90</v>
      </c>
      <c r="D990" s="69">
        <v>0.41</v>
      </c>
      <c r="E990" s="69">
        <v>0.57999999999999996</v>
      </c>
      <c r="F990" s="69">
        <v>0.85</v>
      </c>
      <c r="G990" s="69">
        <v>1.19</v>
      </c>
      <c r="H990" s="69">
        <v>1.43</v>
      </c>
      <c r="I990" s="69">
        <v>1.42</v>
      </c>
      <c r="J990" s="69">
        <v>1.25</v>
      </c>
      <c r="K990" s="69">
        <v>1.04</v>
      </c>
      <c r="L990" s="69">
        <v>0.8</v>
      </c>
      <c r="M990" s="69">
        <v>0.56999999999999995</v>
      </c>
      <c r="N990" s="69">
        <v>0.41</v>
      </c>
      <c r="O990" s="69">
        <v>0.35</v>
      </c>
      <c r="P990" s="71">
        <v>0.86</v>
      </c>
      <c r="Q990" s="64"/>
      <c r="R990" s="64"/>
      <c r="S990" s="64"/>
      <c r="T990" s="64"/>
      <c r="U990" s="64"/>
      <c r="V990" s="64"/>
      <c r="W990" s="64"/>
      <c r="X990" s="64"/>
      <c r="Y990" s="64"/>
      <c r="Z990" s="64"/>
    </row>
    <row r="991" spans="1:26" thickBot="1">
      <c r="A991" s="66"/>
      <c r="B991" s="87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83"/>
      <c r="Q991" s="64"/>
      <c r="R991" s="64"/>
      <c r="S991" s="64"/>
      <c r="T991" s="64"/>
      <c r="U991" s="64"/>
      <c r="V991" s="64"/>
      <c r="W991" s="64"/>
      <c r="X991" s="64"/>
      <c r="Y991" s="64"/>
      <c r="Z991" s="64"/>
    </row>
    <row r="992" spans="1:26" thickBot="1">
      <c r="A992" s="64"/>
      <c r="B992" s="89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</row>
    <row r="993" spans="1:26" thickBot="1">
      <c r="A993" s="64"/>
      <c r="B993" s="89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</row>
    <row r="994" spans="1:26" thickBot="1">
      <c r="A994" s="64"/>
      <c r="B994" s="89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</row>
    <row r="995" spans="1:26" thickBot="1">
      <c r="A995" s="64"/>
      <c r="B995" s="89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</row>
    <row r="996" spans="1:26" thickBot="1">
      <c r="A996" s="64"/>
      <c r="B996" s="89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</row>
    <row r="997" spans="1:26" thickBot="1">
      <c r="A997" s="64"/>
      <c r="B997" s="89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</row>
    <row r="998" spans="1:26" thickBot="1">
      <c r="A998" s="64"/>
      <c r="B998" s="89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</row>
    <row r="999" spans="1:26" thickBot="1">
      <c r="A999" s="64"/>
      <c r="B999" s="89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</row>
    <row r="1000" spans="1:26" thickBot="1">
      <c r="A1000" s="64"/>
      <c r="B1000" s="89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</row>
  </sheetData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6067E-054D-104F-8029-0A005CFCB74C}">
  <sheetPr codeName="Planilha7">
    <tabColor rgb="FFFF0000"/>
  </sheetPr>
  <dimension ref="C1:G108"/>
  <sheetViews>
    <sheetView workbookViewId="0">
      <pane xSplit="2" ySplit="3" topLeftCell="C4" activePane="bottomRight" state="frozen"/>
      <selection activeCell="S6" sqref="S6"/>
      <selection pane="topRight" activeCell="S6" sqref="S6"/>
      <selection pane="bottomLeft" activeCell="S6" sqref="S6"/>
      <selection pane="bottomRight" activeCell="C12" sqref="C12"/>
    </sheetView>
  </sheetViews>
  <sheetFormatPr defaultColWidth="10.7109375" defaultRowHeight="15.75"/>
  <cols>
    <col min="1" max="1" width="10.7109375" style="9"/>
    <col min="2" max="2" width="8.7109375" style="9" customWidth="1"/>
    <col min="3" max="3" width="25.140625" style="17" bestFit="1" customWidth="1"/>
    <col min="4" max="4" width="20.7109375" style="17" customWidth="1"/>
    <col min="5" max="5" width="25.7109375" style="9" bestFit="1" customWidth="1"/>
    <col min="6" max="6" width="23" style="9" bestFit="1" customWidth="1"/>
    <col min="7" max="7" width="18.7109375" style="9" bestFit="1" customWidth="1"/>
    <col min="8" max="16384" width="10.7109375" style="9"/>
  </cols>
  <sheetData>
    <row r="1" spans="3:7" ht="16.5" thickBot="1"/>
    <row r="2" spans="3:7" ht="16.5" thickTop="1">
      <c r="C2" s="582" t="s">
        <v>3640</v>
      </c>
      <c r="D2" s="582" t="s">
        <v>3646</v>
      </c>
      <c r="E2" s="582" t="s">
        <v>3647</v>
      </c>
      <c r="F2" s="582" t="s">
        <v>3648</v>
      </c>
      <c r="G2" s="582" t="s">
        <v>3649</v>
      </c>
    </row>
    <row r="3" spans="3:7">
      <c r="C3" s="583"/>
      <c r="D3" s="583"/>
      <c r="E3" s="583"/>
      <c r="F3" s="583"/>
      <c r="G3" s="583"/>
    </row>
    <row r="4" spans="3:7">
      <c r="C4" s="18" t="s">
        <v>3650</v>
      </c>
      <c r="D4" s="18" t="s">
        <v>3651</v>
      </c>
      <c r="E4" s="19">
        <v>0.46200000000000002</v>
      </c>
      <c r="F4" s="19">
        <v>0.318</v>
      </c>
      <c r="G4" s="20">
        <v>0.60560999999999998</v>
      </c>
    </row>
    <row r="5" spans="3:7">
      <c r="C5" s="18" t="s">
        <v>3652</v>
      </c>
      <c r="D5" s="18" t="s">
        <v>3653</v>
      </c>
      <c r="E5" s="19">
        <v>0.46200000000000002</v>
      </c>
      <c r="F5" s="19">
        <v>0.31</v>
      </c>
      <c r="G5" s="20">
        <v>0.61373999999999995</v>
      </c>
    </row>
    <row r="6" spans="3:7">
      <c r="C6" s="18" t="s">
        <v>3654</v>
      </c>
      <c r="D6" s="18" t="s">
        <v>3653</v>
      </c>
      <c r="E6" s="19">
        <v>0.47199999999999998</v>
      </c>
      <c r="F6" s="19">
        <v>0.32400000000000001</v>
      </c>
      <c r="G6" s="20">
        <v>0.61970999999999998</v>
      </c>
    </row>
    <row r="7" spans="3:7">
      <c r="C7" s="18" t="s">
        <v>3655</v>
      </c>
      <c r="D7" s="18" t="s">
        <v>3653</v>
      </c>
      <c r="E7" s="19">
        <v>0.51700000000000002</v>
      </c>
      <c r="F7" s="19">
        <v>0.29199999999999998</v>
      </c>
      <c r="G7" s="20">
        <v>0.74180999999999997</v>
      </c>
    </row>
    <row r="8" spans="3:7">
      <c r="C8" s="18" t="s">
        <v>3656</v>
      </c>
      <c r="D8" s="18" t="s">
        <v>3653</v>
      </c>
      <c r="E8" s="19">
        <v>0.56499999999999995</v>
      </c>
      <c r="F8" s="19">
        <v>0.312</v>
      </c>
      <c r="G8" s="20">
        <v>0.81879000000000002</v>
      </c>
    </row>
    <row r="9" spans="3:7">
      <c r="C9" s="18" t="s">
        <v>3657</v>
      </c>
      <c r="D9" s="18" t="s">
        <v>3653</v>
      </c>
      <c r="E9" s="19">
        <v>0.56100000000000005</v>
      </c>
      <c r="F9" s="19">
        <v>0.35399999999999998</v>
      </c>
      <c r="G9" s="20">
        <v>0.88460000000000005</v>
      </c>
    </row>
    <row r="10" spans="3:7">
      <c r="C10" s="18" t="s">
        <v>3658</v>
      </c>
      <c r="D10" s="18" t="s">
        <v>3653</v>
      </c>
      <c r="E10" s="19">
        <v>0.63</v>
      </c>
      <c r="F10" s="19">
        <v>0.34799999999999998</v>
      </c>
      <c r="G10" s="20">
        <v>0.91107000000000005</v>
      </c>
    </row>
    <row r="11" spans="3:7">
      <c r="C11" s="18" t="s">
        <v>3659</v>
      </c>
      <c r="D11" s="18" t="s">
        <v>3660</v>
      </c>
      <c r="E11" s="19">
        <v>0.59499999999999997</v>
      </c>
      <c r="F11" s="19">
        <v>0.373</v>
      </c>
      <c r="G11" s="20">
        <v>0.81786999999999999</v>
      </c>
    </row>
    <row r="12" spans="3:7">
      <c r="C12" s="18" t="s">
        <v>3661</v>
      </c>
      <c r="D12" s="18" t="s">
        <v>3642</v>
      </c>
      <c r="E12" s="19">
        <v>0.54800000000000004</v>
      </c>
      <c r="F12" s="19">
        <v>0.41</v>
      </c>
      <c r="G12" s="20">
        <v>0.85241999999999996</v>
      </c>
    </row>
    <row r="13" spans="3:7">
      <c r="C13" s="18" t="s">
        <v>3662</v>
      </c>
      <c r="D13" s="18" t="s">
        <v>3651</v>
      </c>
      <c r="E13" s="19">
        <v>0.66100000000000003</v>
      </c>
      <c r="F13" s="19">
        <v>0.40400000000000003</v>
      </c>
      <c r="G13" s="20">
        <v>0.91851000000000005</v>
      </c>
    </row>
    <row r="14" spans="3:7">
      <c r="C14" s="18" t="s">
        <v>3663</v>
      </c>
      <c r="D14" s="18" t="s">
        <v>3653</v>
      </c>
      <c r="E14" s="19">
        <v>0.69199999999999995</v>
      </c>
      <c r="F14" s="19">
        <v>0.35199999999999998</v>
      </c>
      <c r="G14" s="20">
        <v>1.0314300000000001</v>
      </c>
    </row>
    <row r="15" spans="3:7">
      <c r="C15" s="18" t="s">
        <v>3664</v>
      </c>
      <c r="D15" s="18" t="s">
        <v>3660</v>
      </c>
      <c r="E15" s="19">
        <v>0.60799999999999998</v>
      </c>
      <c r="F15" s="19">
        <v>0.377</v>
      </c>
      <c r="G15" s="20">
        <v>0.83896000000000004</v>
      </c>
    </row>
    <row r="16" spans="3:7">
      <c r="C16" s="18" t="s">
        <v>3665</v>
      </c>
      <c r="D16" s="18" t="s">
        <v>3666</v>
      </c>
      <c r="E16" s="19">
        <v>0.64900000000000002</v>
      </c>
      <c r="F16" s="19">
        <v>0.39800000000000002</v>
      </c>
      <c r="G16" s="20">
        <v>1.05216</v>
      </c>
    </row>
    <row r="17" spans="3:7">
      <c r="C17" s="18" t="s">
        <v>3667</v>
      </c>
      <c r="D17" s="18" t="s">
        <v>3660</v>
      </c>
      <c r="E17" s="19">
        <v>0.59499999999999997</v>
      </c>
      <c r="F17" s="19">
        <v>0.39300000000000002</v>
      </c>
      <c r="G17" s="20">
        <v>0.79608000000000001</v>
      </c>
    </row>
    <row r="18" spans="3:7">
      <c r="C18" s="18" t="s">
        <v>3668</v>
      </c>
      <c r="D18" s="18" t="s">
        <v>3653</v>
      </c>
      <c r="E18" s="19">
        <v>0.57599999999999996</v>
      </c>
      <c r="F18" s="19">
        <v>0.43</v>
      </c>
      <c r="G18" s="20">
        <v>0.88424000000000003</v>
      </c>
    </row>
    <row r="19" spans="3:7">
      <c r="C19" s="18" t="s">
        <v>3669</v>
      </c>
      <c r="D19" s="18" t="s">
        <v>3660</v>
      </c>
      <c r="E19" s="19">
        <v>0.56100000000000005</v>
      </c>
      <c r="F19" s="19">
        <v>0.44600000000000001</v>
      </c>
      <c r="G19" s="20">
        <v>0.67569999999999997</v>
      </c>
    </row>
    <row r="20" spans="3:7">
      <c r="C20" s="18" t="s">
        <v>3670</v>
      </c>
      <c r="D20" s="18" t="s">
        <v>3653</v>
      </c>
      <c r="E20" s="19">
        <v>0.61899999999999999</v>
      </c>
      <c r="F20" s="19">
        <v>0.42299999999999999</v>
      </c>
      <c r="G20" s="20">
        <v>0.81554000000000004</v>
      </c>
    </row>
    <row r="21" spans="3:7">
      <c r="C21" s="18" t="s">
        <v>3671</v>
      </c>
      <c r="D21" s="18" t="s">
        <v>3672</v>
      </c>
      <c r="E21" s="19">
        <v>0.58099999999999996</v>
      </c>
      <c r="F21" s="19">
        <v>0.39200000000000002</v>
      </c>
      <c r="G21" s="20">
        <v>0.92027000000000003</v>
      </c>
    </row>
    <row r="22" spans="3:7">
      <c r="C22" s="18" t="s">
        <v>3673</v>
      </c>
      <c r="D22" s="18" t="s">
        <v>3642</v>
      </c>
      <c r="E22" s="19">
        <v>0.59799999999999998</v>
      </c>
      <c r="F22" s="19">
        <v>0.41799999999999998</v>
      </c>
      <c r="G22" s="20">
        <v>0.77876000000000001</v>
      </c>
    </row>
    <row r="23" spans="3:7">
      <c r="C23" s="18" t="s">
        <v>3674</v>
      </c>
      <c r="D23" s="18" t="s">
        <v>3653</v>
      </c>
      <c r="E23" s="19">
        <v>0.61199999999999999</v>
      </c>
      <c r="F23" s="19">
        <v>0.42399999999999999</v>
      </c>
      <c r="G23" s="20">
        <v>0.95354000000000005</v>
      </c>
    </row>
    <row r="24" spans="3:7">
      <c r="C24" s="18" t="s">
        <v>3675</v>
      </c>
      <c r="D24" s="18" t="s">
        <v>3651</v>
      </c>
      <c r="E24" s="19">
        <v>0.61</v>
      </c>
      <c r="F24" s="19">
        <v>0.437</v>
      </c>
      <c r="G24" s="20">
        <v>0.94047999999999998</v>
      </c>
    </row>
    <row r="25" spans="3:7">
      <c r="C25" s="18" t="s">
        <v>3676</v>
      </c>
      <c r="D25" s="18" t="s">
        <v>3642</v>
      </c>
      <c r="E25" s="19">
        <v>0.59799999999999998</v>
      </c>
      <c r="F25" s="19">
        <v>0.41899999999999998</v>
      </c>
      <c r="G25" s="20">
        <v>0.92430000000000001</v>
      </c>
    </row>
    <row r="26" spans="3:7">
      <c r="C26" s="18" t="s">
        <v>3677</v>
      </c>
      <c r="D26" s="18" t="s">
        <v>3660</v>
      </c>
      <c r="E26" s="19">
        <v>0.621</v>
      </c>
      <c r="F26" s="19">
        <v>0.436</v>
      </c>
      <c r="G26" s="20">
        <v>0.97911000000000004</v>
      </c>
    </row>
    <row r="27" spans="3:7">
      <c r="C27" s="18" t="s">
        <v>3678</v>
      </c>
      <c r="D27" s="18" t="s">
        <v>3679</v>
      </c>
      <c r="E27" s="19">
        <v>0.67700000000000005</v>
      </c>
      <c r="F27" s="19">
        <v>0.433</v>
      </c>
      <c r="G27" s="20">
        <v>1.0760799999999999</v>
      </c>
    </row>
    <row r="28" spans="3:7">
      <c r="C28" s="18" t="s">
        <v>3680</v>
      </c>
      <c r="D28" s="18" t="s">
        <v>3681</v>
      </c>
      <c r="E28" s="19">
        <v>0.60199999999999998</v>
      </c>
      <c r="F28" s="19">
        <v>0.44400000000000001</v>
      </c>
      <c r="G28" s="20">
        <v>0.93437000000000003</v>
      </c>
    </row>
    <row r="29" spans="3:7">
      <c r="C29" s="18" t="s">
        <v>3682</v>
      </c>
      <c r="D29" s="18" t="s">
        <v>3683</v>
      </c>
      <c r="E29" s="19">
        <v>0.70199999999999996</v>
      </c>
      <c r="F29" s="19">
        <v>0.433</v>
      </c>
      <c r="G29" s="20">
        <v>1.12958</v>
      </c>
    </row>
    <row r="30" spans="3:7">
      <c r="C30" s="18" t="s">
        <v>3684</v>
      </c>
      <c r="D30" s="18" t="s">
        <v>3653</v>
      </c>
      <c r="E30" s="19">
        <v>0.70199999999999996</v>
      </c>
      <c r="F30" s="19">
        <v>0.39200000000000002</v>
      </c>
      <c r="G30" s="20">
        <v>1.0109300000000001</v>
      </c>
    </row>
    <row r="31" spans="3:7">
      <c r="C31" s="18" t="s">
        <v>3685</v>
      </c>
      <c r="D31" s="18" t="s">
        <v>3642</v>
      </c>
      <c r="E31" s="19">
        <v>0.58499999999999996</v>
      </c>
      <c r="F31" s="19">
        <v>0.432</v>
      </c>
      <c r="G31" s="20">
        <v>0.90939000000000003</v>
      </c>
    </row>
    <row r="32" spans="3:7">
      <c r="C32" s="18" t="s">
        <v>3686</v>
      </c>
      <c r="D32" s="18" t="s">
        <v>3660</v>
      </c>
      <c r="E32" s="19">
        <v>0.61899999999999999</v>
      </c>
      <c r="F32" s="19">
        <v>0.40500000000000003</v>
      </c>
      <c r="G32" s="20">
        <v>0.96841999999999995</v>
      </c>
    </row>
    <row r="33" spans="3:7">
      <c r="C33" s="18" t="s">
        <v>3687</v>
      </c>
      <c r="D33" s="18" t="s">
        <v>3642</v>
      </c>
      <c r="E33" s="19">
        <v>0.65</v>
      </c>
      <c r="F33" s="19">
        <v>0.44400000000000001</v>
      </c>
      <c r="G33" s="20">
        <v>1.01786</v>
      </c>
    </row>
    <row r="34" spans="3:7">
      <c r="C34" s="18" t="s">
        <v>3688</v>
      </c>
      <c r="D34" s="18" t="s">
        <v>3689</v>
      </c>
      <c r="E34" s="19">
        <v>0.624</v>
      </c>
      <c r="F34" s="19">
        <v>0.443</v>
      </c>
      <c r="G34" s="20">
        <v>0.97158999999999995</v>
      </c>
    </row>
    <row r="35" spans="3:7">
      <c r="C35" s="18" t="s">
        <v>3690</v>
      </c>
      <c r="D35" s="18" t="s">
        <v>3642</v>
      </c>
      <c r="E35" s="19">
        <v>0.65300000000000002</v>
      </c>
      <c r="F35" s="19">
        <v>0.44800000000000001</v>
      </c>
      <c r="G35" s="20">
        <v>1.0044299999999999</v>
      </c>
    </row>
    <row r="36" spans="3:7">
      <c r="C36" s="18" t="s">
        <v>3691</v>
      </c>
      <c r="D36" s="18" t="s">
        <v>3692</v>
      </c>
      <c r="E36" s="19">
        <v>0.71099999999999997</v>
      </c>
      <c r="F36" s="19">
        <v>0.42899999999999999</v>
      </c>
      <c r="G36" s="20">
        <v>1.14438</v>
      </c>
    </row>
    <row r="37" spans="3:7">
      <c r="C37" s="18" t="s">
        <v>3693</v>
      </c>
      <c r="D37" s="18" t="s">
        <v>3694</v>
      </c>
      <c r="E37" s="19">
        <v>0.76900000000000002</v>
      </c>
      <c r="F37" s="19">
        <v>0.441</v>
      </c>
      <c r="G37" s="20">
        <v>1.1942699999999999</v>
      </c>
    </row>
    <row r="38" spans="3:7">
      <c r="C38" s="18" t="s">
        <v>3695</v>
      </c>
      <c r="D38" s="18" t="s">
        <v>3660</v>
      </c>
      <c r="E38" s="19">
        <v>0.72299999999999998</v>
      </c>
      <c r="F38" s="19">
        <v>0.42399999999999999</v>
      </c>
      <c r="G38" s="20">
        <v>1.1399900000000001</v>
      </c>
    </row>
    <row r="39" spans="3:7">
      <c r="C39" s="18" t="s">
        <v>3696</v>
      </c>
      <c r="D39" s="18" t="s">
        <v>3642</v>
      </c>
      <c r="E39" s="19">
        <v>0.61199999999999999</v>
      </c>
      <c r="F39" s="19">
        <v>0.42199999999999999</v>
      </c>
      <c r="G39" s="20">
        <v>0.94799</v>
      </c>
    </row>
    <row r="40" spans="3:7">
      <c r="C40" s="18" t="s">
        <v>3697</v>
      </c>
      <c r="D40" s="18" t="s">
        <v>3653</v>
      </c>
      <c r="E40" s="19">
        <v>0.68400000000000005</v>
      </c>
      <c r="F40" s="19">
        <v>0.44</v>
      </c>
      <c r="G40" s="20">
        <v>0.92895000000000005</v>
      </c>
    </row>
    <row r="41" spans="3:7">
      <c r="C41" s="18" t="s">
        <v>3698</v>
      </c>
      <c r="D41" s="18" t="s">
        <v>3666</v>
      </c>
      <c r="E41" s="19">
        <v>0.747</v>
      </c>
      <c r="F41" s="19">
        <v>0.438</v>
      </c>
      <c r="G41" s="20">
        <v>1.2051400000000001</v>
      </c>
    </row>
    <row r="42" spans="3:7">
      <c r="C42" s="18" t="s">
        <v>3699</v>
      </c>
      <c r="D42" s="18" t="s">
        <v>3700</v>
      </c>
      <c r="E42" s="19">
        <v>0.72899999999999998</v>
      </c>
      <c r="F42" s="19">
        <v>0.45600000000000002</v>
      </c>
      <c r="G42" s="20">
        <v>1.16658</v>
      </c>
    </row>
    <row r="43" spans="3:7">
      <c r="C43" s="18" t="s">
        <v>3701</v>
      </c>
      <c r="D43" s="18" t="s">
        <v>3642</v>
      </c>
      <c r="E43" s="19">
        <v>0.61599999999999999</v>
      </c>
      <c r="F43" s="19">
        <v>0.45500000000000002</v>
      </c>
      <c r="G43" s="20">
        <v>0.95340999999999998</v>
      </c>
    </row>
    <row r="44" spans="3:7">
      <c r="C44" s="18" t="s">
        <v>3702</v>
      </c>
      <c r="D44" s="18" t="s">
        <v>3679</v>
      </c>
      <c r="E44" s="19">
        <v>0.65900000000000003</v>
      </c>
      <c r="F44" s="19">
        <v>0.46400000000000002</v>
      </c>
      <c r="G44" s="20">
        <v>1.0108299999999999</v>
      </c>
    </row>
    <row r="45" spans="3:7">
      <c r="C45" s="18" t="s">
        <v>3703</v>
      </c>
      <c r="D45" s="18" t="s">
        <v>3653</v>
      </c>
      <c r="E45" s="19">
        <v>0.78700000000000003</v>
      </c>
      <c r="F45" s="19">
        <v>0.39</v>
      </c>
      <c r="G45" s="20">
        <v>1.1852100000000001</v>
      </c>
    </row>
    <row r="46" spans="3:7">
      <c r="C46" s="18" t="s">
        <v>3704</v>
      </c>
      <c r="D46" s="18" t="s">
        <v>3653</v>
      </c>
      <c r="E46" s="19">
        <v>0.70599999999999996</v>
      </c>
      <c r="F46" s="19">
        <v>0.45200000000000001</v>
      </c>
      <c r="G46" s="20">
        <v>0.95903000000000005</v>
      </c>
    </row>
    <row r="47" spans="3:7">
      <c r="C47" s="18" t="s">
        <v>3705</v>
      </c>
      <c r="D47" s="18" t="s">
        <v>3660</v>
      </c>
      <c r="E47" s="19">
        <v>0.78700000000000003</v>
      </c>
      <c r="F47" s="19">
        <v>0.41799999999999998</v>
      </c>
      <c r="G47" s="20">
        <v>1.3991499999999999</v>
      </c>
    </row>
    <row r="48" spans="3:7">
      <c r="C48" s="18" t="s">
        <v>3706</v>
      </c>
      <c r="D48" s="18" t="s">
        <v>3651</v>
      </c>
      <c r="E48" s="19">
        <v>0.54300000000000004</v>
      </c>
      <c r="F48" s="19">
        <v>0.39200000000000002</v>
      </c>
      <c r="G48" s="20">
        <v>1.2910999999999999</v>
      </c>
    </row>
    <row r="49" spans="3:7">
      <c r="C49" s="18" t="s">
        <v>3707</v>
      </c>
      <c r="D49" s="18" t="s">
        <v>3653</v>
      </c>
      <c r="E49" s="19">
        <v>0.80500000000000005</v>
      </c>
      <c r="F49" s="19">
        <v>0.38300000000000001</v>
      </c>
      <c r="G49" s="20">
        <v>1.2279899999999999</v>
      </c>
    </row>
    <row r="50" spans="3:7">
      <c r="C50" s="18" t="s">
        <v>3708</v>
      </c>
      <c r="D50" s="18" t="s">
        <v>3653</v>
      </c>
      <c r="E50" s="19">
        <v>0.75</v>
      </c>
      <c r="F50" s="19">
        <v>0.42699999999999999</v>
      </c>
      <c r="G50" s="20">
        <v>1.07257</v>
      </c>
    </row>
    <row r="51" spans="3:7">
      <c r="C51" s="18" t="s">
        <v>3709</v>
      </c>
      <c r="D51" s="18" t="s">
        <v>3660</v>
      </c>
      <c r="E51" s="19">
        <v>0.68200000000000005</v>
      </c>
      <c r="F51" s="19">
        <v>0.437</v>
      </c>
      <c r="G51" s="20">
        <v>0.92581000000000002</v>
      </c>
    </row>
    <row r="52" spans="3:7">
      <c r="C52" s="18" t="s">
        <v>3710</v>
      </c>
      <c r="D52" s="18" t="s">
        <v>3711</v>
      </c>
      <c r="E52" s="19">
        <v>0.76200000000000001</v>
      </c>
      <c r="F52" s="19">
        <v>0.48099999999999998</v>
      </c>
      <c r="G52" s="20">
        <v>1.19794</v>
      </c>
    </row>
    <row r="53" spans="3:7">
      <c r="C53" s="18" t="s">
        <v>3712</v>
      </c>
      <c r="D53" s="18" t="s">
        <v>3713</v>
      </c>
      <c r="E53" s="19">
        <v>0.81100000000000005</v>
      </c>
      <c r="F53" s="19">
        <v>0.47199999999999998</v>
      </c>
      <c r="G53" s="20">
        <v>1.27705</v>
      </c>
    </row>
    <row r="54" spans="3:7">
      <c r="C54" s="18" t="s">
        <v>3714</v>
      </c>
      <c r="D54" s="18" t="s">
        <v>3660</v>
      </c>
      <c r="E54" s="19">
        <v>0.71699999999999997</v>
      </c>
      <c r="F54" s="19">
        <v>0.443</v>
      </c>
      <c r="G54" s="20">
        <v>1.13679</v>
      </c>
    </row>
    <row r="55" spans="3:7">
      <c r="C55" s="18" t="s">
        <v>3715</v>
      </c>
      <c r="D55" s="18" t="s">
        <v>3660</v>
      </c>
      <c r="E55" s="19">
        <v>0.71</v>
      </c>
      <c r="F55" s="19">
        <v>0.42399999999999999</v>
      </c>
      <c r="G55" s="20">
        <v>0.99634</v>
      </c>
    </row>
    <row r="56" spans="3:7">
      <c r="C56" s="18" t="s">
        <v>3716</v>
      </c>
      <c r="D56" s="18" t="s">
        <v>3689</v>
      </c>
      <c r="E56" s="19">
        <v>0.78500000000000003</v>
      </c>
      <c r="F56" s="19">
        <v>0.45700000000000002</v>
      </c>
      <c r="G56" s="20">
        <v>1.2477</v>
      </c>
    </row>
    <row r="57" spans="3:7">
      <c r="C57" s="18" t="s">
        <v>3717</v>
      </c>
      <c r="D57" s="18" t="s">
        <v>3718</v>
      </c>
      <c r="E57" s="19">
        <v>0.77400000000000002</v>
      </c>
      <c r="F57" s="19">
        <v>0.48199999999999998</v>
      </c>
      <c r="G57" s="20">
        <v>1.2310000000000001</v>
      </c>
    </row>
    <row r="58" spans="3:7">
      <c r="C58" s="18" t="s">
        <v>3719</v>
      </c>
      <c r="D58" s="18" t="s">
        <v>3720</v>
      </c>
      <c r="E58" s="19">
        <v>0.79200000000000004</v>
      </c>
      <c r="F58" s="19">
        <v>0.46300000000000002</v>
      </c>
      <c r="G58" s="20">
        <v>1.2722500000000001</v>
      </c>
    </row>
    <row r="59" spans="3:7">
      <c r="C59" s="18" t="s">
        <v>3721</v>
      </c>
      <c r="D59" s="18" t="s">
        <v>3722</v>
      </c>
      <c r="E59" s="19">
        <v>0.72299999999999998</v>
      </c>
      <c r="F59" s="19">
        <v>0.51</v>
      </c>
      <c r="G59" s="20">
        <v>1.1096999999999999</v>
      </c>
    </row>
    <row r="60" spans="3:7">
      <c r="C60" s="18" t="s">
        <v>3723</v>
      </c>
      <c r="D60" s="18" t="s">
        <v>3653</v>
      </c>
      <c r="E60" s="19">
        <v>0.83499999999999996</v>
      </c>
      <c r="F60" s="19">
        <v>0.39200000000000002</v>
      </c>
      <c r="G60" s="20">
        <v>1.2780199999999999</v>
      </c>
    </row>
    <row r="61" spans="3:7">
      <c r="C61" s="18" t="s">
        <v>3724</v>
      </c>
      <c r="D61" s="18" t="s">
        <v>3642</v>
      </c>
      <c r="E61" s="19">
        <v>0.72099999999999997</v>
      </c>
      <c r="F61" s="19">
        <v>0.46300000000000002</v>
      </c>
      <c r="G61" s="20">
        <v>0.98028000000000004</v>
      </c>
    </row>
    <row r="62" spans="3:7">
      <c r="C62" s="18" t="s">
        <v>3725</v>
      </c>
      <c r="D62" s="18" t="s">
        <v>3726</v>
      </c>
      <c r="E62" s="19">
        <v>0.83899999999999997</v>
      </c>
      <c r="F62" s="19">
        <v>0.48</v>
      </c>
      <c r="G62" s="20">
        <v>1.3318300000000001</v>
      </c>
    </row>
    <row r="63" spans="3:7">
      <c r="C63" s="18" t="s">
        <v>3727</v>
      </c>
      <c r="D63" s="18" t="s">
        <v>3660</v>
      </c>
      <c r="E63" s="19">
        <v>0.64500000000000002</v>
      </c>
      <c r="F63" s="19">
        <v>0.48599999999999999</v>
      </c>
      <c r="G63" s="20">
        <v>1.04373</v>
      </c>
    </row>
    <row r="64" spans="3:7">
      <c r="C64" s="18" t="s">
        <v>3728</v>
      </c>
      <c r="D64" s="18" t="s">
        <v>3642</v>
      </c>
      <c r="E64" s="19">
        <v>0.753</v>
      </c>
      <c r="F64" s="19">
        <v>0.46100000000000002</v>
      </c>
      <c r="G64" s="20">
        <v>1.04427</v>
      </c>
    </row>
    <row r="65" spans="3:7">
      <c r="C65" s="18" t="s">
        <v>3729</v>
      </c>
      <c r="D65" s="18" t="s">
        <v>3642</v>
      </c>
      <c r="E65" s="19">
        <v>0.4</v>
      </c>
      <c r="F65" s="19">
        <v>0.47199999999999998</v>
      </c>
      <c r="G65" s="20">
        <v>0.94696999999999998</v>
      </c>
    </row>
    <row r="66" spans="3:7">
      <c r="C66" s="18" t="s">
        <v>3730</v>
      </c>
      <c r="D66" s="18" t="s">
        <v>3642</v>
      </c>
      <c r="E66" s="19">
        <v>0.71299999999999997</v>
      </c>
      <c r="F66" s="19">
        <v>0.46400000000000002</v>
      </c>
      <c r="G66" s="20">
        <v>0.96199999999999997</v>
      </c>
    </row>
    <row r="67" spans="3:7">
      <c r="C67" s="18" t="s">
        <v>3731</v>
      </c>
      <c r="D67" s="18" t="s">
        <v>3660</v>
      </c>
      <c r="E67" s="19">
        <v>0.67600000000000005</v>
      </c>
      <c r="F67" s="19">
        <v>0.47299999999999998</v>
      </c>
      <c r="G67" s="20">
        <v>1.0551999999999999</v>
      </c>
    </row>
    <row r="68" spans="3:7">
      <c r="C68" s="18" t="s">
        <v>3732</v>
      </c>
      <c r="D68" s="18" t="s">
        <v>3653</v>
      </c>
      <c r="E68" s="19">
        <v>0.85599999999999998</v>
      </c>
      <c r="F68" s="19">
        <v>0.56599999999999995</v>
      </c>
      <c r="G68" s="20">
        <v>0.80567</v>
      </c>
    </row>
    <row r="69" spans="3:7">
      <c r="C69" s="18" t="s">
        <v>3733</v>
      </c>
      <c r="D69" s="18" t="s">
        <v>3660</v>
      </c>
      <c r="E69" s="19">
        <v>0.83799999999999997</v>
      </c>
      <c r="F69" s="19">
        <v>0.46600000000000003</v>
      </c>
      <c r="G69" s="20">
        <v>1.21001</v>
      </c>
    </row>
    <row r="70" spans="3:7">
      <c r="C70" s="18" t="s">
        <v>3734</v>
      </c>
      <c r="D70" s="18" t="s">
        <v>3660</v>
      </c>
      <c r="E70" s="19">
        <v>0.755</v>
      </c>
      <c r="F70" s="19">
        <v>0.41299999999999998</v>
      </c>
      <c r="G70" s="20">
        <v>1.32734</v>
      </c>
    </row>
    <row r="71" spans="3:7">
      <c r="C71" s="18" t="s">
        <v>3735</v>
      </c>
      <c r="D71" s="18" t="s">
        <v>3642</v>
      </c>
      <c r="E71" s="19">
        <v>0.91</v>
      </c>
      <c r="F71" s="19">
        <v>0.43099999999999999</v>
      </c>
      <c r="G71" s="20">
        <v>1.3886000000000001</v>
      </c>
    </row>
    <row r="72" spans="3:7">
      <c r="C72" s="18" t="s">
        <v>3736</v>
      </c>
      <c r="D72" s="18" t="s">
        <v>3660</v>
      </c>
      <c r="E72" s="19">
        <v>0.73099999999999998</v>
      </c>
      <c r="F72" s="19">
        <v>0.48099999999999998</v>
      </c>
      <c r="G72" s="20">
        <v>0.98126999999999998</v>
      </c>
    </row>
    <row r="73" spans="3:7">
      <c r="C73" s="18" t="s">
        <v>3737</v>
      </c>
      <c r="D73" s="18" t="s">
        <v>3653</v>
      </c>
      <c r="E73" s="19">
        <v>0.82699999999999996</v>
      </c>
      <c r="F73" s="19">
        <v>0.46</v>
      </c>
      <c r="G73" s="20">
        <v>1.19356</v>
      </c>
    </row>
    <row r="74" spans="3:7">
      <c r="C74" s="18" t="s">
        <v>3738</v>
      </c>
      <c r="D74" s="18" t="s">
        <v>3739</v>
      </c>
      <c r="E74" s="19">
        <v>0.74399999999999999</v>
      </c>
      <c r="F74" s="19">
        <v>0.52300000000000002</v>
      </c>
      <c r="G74" s="20">
        <v>1.1773899999999999</v>
      </c>
    </row>
    <row r="75" spans="3:7">
      <c r="C75" s="18" t="s">
        <v>3740</v>
      </c>
      <c r="D75" s="18" t="s">
        <v>3672</v>
      </c>
      <c r="E75" s="19">
        <v>0.76400000000000001</v>
      </c>
      <c r="F75" s="19">
        <v>0.50700000000000001</v>
      </c>
      <c r="G75" s="20">
        <v>1.1908300000000001</v>
      </c>
    </row>
    <row r="76" spans="3:7">
      <c r="C76" s="18" t="s">
        <v>3741</v>
      </c>
      <c r="D76" s="18" t="s">
        <v>3651</v>
      </c>
      <c r="E76" s="19">
        <v>0.77</v>
      </c>
      <c r="F76" s="19">
        <v>0.46800000000000003</v>
      </c>
      <c r="G76" s="20">
        <v>1.2144600000000001</v>
      </c>
    </row>
    <row r="77" spans="3:7">
      <c r="C77" s="18" t="s">
        <v>3742</v>
      </c>
      <c r="D77" s="18" t="s">
        <v>3692</v>
      </c>
      <c r="E77" s="19">
        <v>0.81799999999999995</v>
      </c>
      <c r="F77" s="19">
        <v>0.48499999999999999</v>
      </c>
      <c r="G77" s="20">
        <v>1.3168200000000001</v>
      </c>
    </row>
    <row r="78" spans="3:7">
      <c r="C78" s="18" t="s">
        <v>3743</v>
      </c>
      <c r="D78" s="18" t="s">
        <v>3653</v>
      </c>
      <c r="E78" s="19">
        <v>0.92900000000000005</v>
      </c>
      <c r="F78" s="19">
        <v>0.39100000000000001</v>
      </c>
      <c r="G78" s="20">
        <v>1.4655</v>
      </c>
    </row>
    <row r="79" spans="3:7">
      <c r="C79" s="18" t="s">
        <v>3744</v>
      </c>
      <c r="D79" s="18" t="s">
        <v>3672</v>
      </c>
      <c r="E79" s="19">
        <v>0.75900000000000001</v>
      </c>
      <c r="F79" s="19">
        <v>0.51700000000000002</v>
      </c>
      <c r="G79" s="20">
        <v>1.1915199999999999</v>
      </c>
    </row>
    <row r="80" spans="3:7">
      <c r="C80" s="18" t="s">
        <v>3745</v>
      </c>
      <c r="D80" s="18" t="s">
        <v>3642</v>
      </c>
      <c r="E80" s="19">
        <v>0.79700000000000004</v>
      </c>
      <c r="F80" s="19">
        <v>0.502</v>
      </c>
      <c r="G80" s="20">
        <v>1.0918399999999999</v>
      </c>
    </row>
    <row r="81" spans="3:7">
      <c r="C81" s="18" t="s">
        <v>3746</v>
      </c>
      <c r="D81" s="18" t="s">
        <v>3747</v>
      </c>
      <c r="E81" s="19">
        <v>0.871</v>
      </c>
      <c r="F81" s="19">
        <v>0.498</v>
      </c>
      <c r="G81" s="20">
        <v>1.3998900000000001</v>
      </c>
    </row>
    <row r="82" spans="3:7">
      <c r="C82" s="18" t="s">
        <v>3748</v>
      </c>
      <c r="D82" s="18" t="s">
        <v>3660</v>
      </c>
      <c r="E82" s="19">
        <v>0.76400000000000001</v>
      </c>
      <c r="F82" s="19">
        <v>0.48799999999999999</v>
      </c>
      <c r="G82" s="20">
        <v>1.0395000000000001</v>
      </c>
    </row>
    <row r="83" spans="3:7">
      <c r="C83" s="18" t="s">
        <v>3749</v>
      </c>
      <c r="D83" s="18" t="s">
        <v>3642</v>
      </c>
      <c r="E83" s="19">
        <v>0.77700000000000002</v>
      </c>
      <c r="F83" s="19">
        <v>0.48699999999999999</v>
      </c>
      <c r="G83" s="20">
        <v>1.0664899999999999</v>
      </c>
    </row>
    <row r="84" spans="3:7">
      <c r="C84" s="18" t="s">
        <v>3750</v>
      </c>
      <c r="D84" s="18" t="s">
        <v>3653</v>
      </c>
      <c r="E84" s="19">
        <v>0.88900000000000001</v>
      </c>
      <c r="F84" s="19">
        <v>0.44400000000000001</v>
      </c>
      <c r="G84" s="20">
        <v>1.3352200000000001</v>
      </c>
    </row>
    <row r="85" spans="3:7">
      <c r="C85" s="18" t="s">
        <v>3751</v>
      </c>
      <c r="D85" s="18" t="s">
        <v>3752</v>
      </c>
      <c r="E85" s="19">
        <v>0.83299999999999996</v>
      </c>
      <c r="F85" s="19">
        <v>0.52300000000000002</v>
      </c>
      <c r="G85" s="20">
        <v>1.3123800000000001</v>
      </c>
    </row>
    <row r="86" spans="3:7">
      <c r="C86" s="18" t="s">
        <v>3753</v>
      </c>
      <c r="D86" s="18" t="s">
        <v>3653</v>
      </c>
      <c r="E86" s="19">
        <v>0.83299999999999996</v>
      </c>
      <c r="F86" s="19">
        <v>0.51200000000000001</v>
      </c>
      <c r="G86" s="20">
        <v>1.3401799999999999</v>
      </c>
    </row>
    <row r="87" spans="3:7">
      <c r="C87" s="18" t="s">
        <v>3754</v>
      </c>
      <c r="D87" s="18" t="s">
        <v>3660</v>
      </c>
      <c r="E87" s="19">
        <v>0.80300000000000005</v>
      </c>
      <c r="F87" s="19">
        <v>0.46800000000000003</v>
      </c>
      <c r="G87" s="20">
        <v>1.1384700000000001</v>
      </c>
    </row>
    <row r="88" spans="3:7">
      <c r="C88" s="18" t="s">
        <v>3755</v>
      </c>
      <c r="D88" s="18" t="s">
        <v>3756</v>
      </c>
      <c r="E88" s="19">
        <v>0.78600000000000003</v>
      </c>
      <c r="F88" s="19">
        <v>0.51600000000000001</v>
      </c>
      <c r="G88" s="20">
        <v>1.2316800000000001</v>
      </c>
    </row>
    <row r="89" spans="3:7">
      <c r="C89" s="18" t="s">
        <v>3757</v>
      </c>
      <c r="D89" s="18" t="s">
        <v>3758</v>
      </c>
      <c r="E89" s="19">
        <v>0.95</v>
      </c>
      <c r="F89" s="19">
        <v>0.51100000000000001</v>
      </c>
      <c r="G89" s="20">
        <v>1.5402899999999999</v>
      </c>
    </row>
    <row r="90" spans="3:7">
      <c r="C90" s="18" t="s">
        <v>3759</v>
      </c>
      <c r="D90" s="18" t="s">
        <v>3653</v>
      </c>
      <c r="E90" s="19">
        <v>0.81100000000000005</v>
      </c>
      <c r="F90" s="19">
        <v>0.51600000000000001</v>
      </c>
      <c r="G90" s="20">
        <v>1.29793</v>
      </c>
    </row>
    <row r="91" spans="3:7">
      <c r="C91" s="18" t="s">
        <v>3760</v>
      </c>
      <c r="D91" s="18" t="s">
        <v>3653</v>
      </c>
      <c r="E91" s="19">
        <v>0.90300000000000002</v>
      </c>
      <c r="F91" s="19">
        <v>0.47199999999999998</v>
      </c>
      <c r="G91" s="20">
        <v>1.33447</v>
      </c>
    </row>
    <row r="92" spans="3:7">
      <c r="C92" s="18" t="s">
        <v>3644</v>
      </c>
      <c r="D92" s="18" t="s">
        <v>3643</v>
      </c>
      <c r="E92" s="19">
        <v>0.81399999999999995</v>
      </c>
      <c r="F92" s="19">
        <v>0.51400000000000001</v>
      </c>
      <c r="G92" s="20">
        <v>1.30389</v>
      </c>
    </row>
    <row r="93" spans="3:7">
      <c r="C93" s="18" t="s">
        <v>3761</v>
      </c>
      <c r="D93" s="18" t="s">
        <v>3643</v>
      </c>
      <c r="E93" s="19">
        <v>0.80800000000000005</v>
      </c>
      <c r="F93" s="19">
        <v>0.58499999999999996</v>
      </c>
      <c r="G93" s="20">
        <v>1.21221</v>
      </c>
    </row>
    <row r="94" spans="3:7">
      <c r="C94" s="18" t="s">
        <v>3762</v>
      </c>
      <c r="D94" s="18" t="s">
        <v>3653</v>
      </c>
      <c r="E94" s="19">
        <v>0.90400000000000003</v>
      </c>
      <c r="F94" s="19">
        <v>0.48599999999999999</v>
      </c>
      <c r="G94" s="20">
        <v>1.3220499999999999</v>
      </c>
    </row>
    <row r="95" spans="3:7">
      <c r="C95" s="18" t="s">
        <v>3763</v>
      </c>
      <c r="D95" s="18" t="s">
        <v>53</v>
      </c>
      <c r="E95" s="19">
        <v>0.79400000000000004</v>
      </c>
      <c r="F95" s="19">
        <v>0.58299999999999996</v>
      </c>
      <c r="G95" s="20">
        <v>1.17862</v>
      </c>
    </row>
    <row r="96" spans="3:7">
      <c r="C96" s="18" t="s">
        <v>3764</v>
      </c>
      <c r="D96" s="18" t="s">
        <v>3642</v>
      </c>
      <c r="E96" s="19">
        <v>0.91200000000000003</v>
      </c>
      <c r="F96" s="19">
        <v>0.53700000000000003</v>
      </c>
      <c r="G96" s="20">
        <v>1.2871699999999999</v>
      </c>
    </row>
    <row r="97" spans="3:7">
      <c r="C97" s="18" t="s">
        <v>3765</v>
      </c>
      <c r="D97" s="18" t="s">
        <v>3653</v>
      </c>
      <c r="E97" s="19">
        <v>0.94099999999999995</v>
      </c>
      <c r="F97" s="19">
        <v>0.49099999999999999</v>
      </c>
      <c r="G97" s="20">
        <v>1.3906400000000001</v>
      </c>
    </row>
    <row r="98" spans="3:7">
      <c r="C98" s="18" t="s">
        <v>3766</v>
      </c>
      <c r="D98" s="18" t="s">
        <v>3643</v>
      </c>
      <c r="E98" s="19">
        <v>0.83099999999999996</v>
      </c>
      <c r="F98" s="19">
        <v>0.55000000000000004</v>
      </c>
      <c r="G98" s="20">
        <v>1.2800199999999999</v>
      </c>
    </row>
    <row r="99" spans="3:7">
      <c r="C99" s="18" t="s">
        <v>3767</v>
      </c>
      <c r="D99" s="18" t="s">
        <v>3642</v>
      </c>
      <c r="E99" s="19">
        <v>0.81</v>
      </c>
      <c r="F99" s="19">
        <v>0.51300000000000001</v>
      </c>
      <c r="G99" s="20">
        <v>1.10772</v>
      </c>
    </row>
    <row r="100" spans="3:7">
      <c r="C100" s="18" t="s">
        <v>3768</v>
      </c>
      <c r="D100" s="18" t="s">
        <v>3642</v>
      </c>
      <c r="E100" s="19">
        <v>0.82</v>
      </c>
      <c r="F100" s="19">
        <v>0.52200000000000002</v>
      </c>
      <c r="G100" s="20">
        <v>1.1178699999999999</v>
      </c>
    </row>
    <row r="101" spans="3:7">
      <c r="C101" s="18" t="s">
        <v>3769</v>
      </c>
      <c r="D101" s="18" t="s">
        <v>3770</v>
      </c>
      <c r="E101" s="19">
        <v>1.0009999999999999</v>
      </c>
      <c r="F101" s="19">
        <v>0.55600000000000005</v>
      </c>
      <c r="G101" s="20">
        <v>1.5746500000000001</v>
      </c>
    </row>
    <row r="102" spans="3:7">
      <c r="C102" s="18" t="s">
        <v>3771</v>
      </c>
      <c r="D102" s="18" t="s">
        <v>3660</v>
      </c>
      <c r="E102" s="19">
        <v>1.115</v>
      </c>
      <c r="F102" s="19">
        <v>0.53300000000000003</v>
      </c>
      <c r="G102" s="20">
        <v>1.6975800000000001</v>
      </c>
    </row>
    <row r="103" spans="3:7">
      <c r="C103" s="18" t="s">
        <v>3772</v>
      </c>
      <c r="D103" s="18" t="s">
        <v>3642</v>
      </c>
      <c r="E103" s="19">
        <v>1.048</v>
      </c>
      <c r="F103" s="19">
        <v>0.59199999999999997</v>
      </c>
      <c r="G103" s="20">
        <v>1.5036400000000001</v>
      </c>
    </row>
    <row r="104" spans="3:7">
      <c r="C104" s="18" t="s">
        <v>3773</v>
      </c>
      <c r="D104" s="18" t="s">
        <v>3692</v>
      </c>
      <c r="E104" s="19">
        <v>1.1140000000000001</v>
      </c>
      <c r="F104" s="19">
        <v>0.57399999999999995</v>
      </c>
      <c r="G104" s="20">
        <v>1.6536900000000001</v>
      </c>
    </row>
    <row r="105" spans="3:7">
      <c r="C105" s="18" t="s">
        <v>797</v>
      </c>
      <c r="D105" s="18" t="s">
        <v>3643</v>
      </c>
      <c r="E105" s="19">
        <v>1.3009999999999999</v>
      </c>
      <c r="F105" s="19">
        <v>0.64900000000000002</v>
      </c>
      <c r="G105" s="20">
        <v>1.9523299999999999</v>
      </c>
    </row>
    <row r="106" spans="3:7">
      <c r="C106" s="18" t="s">
        <v>3645</v>
      </c>
      <c r="D106" s="18" t="s">
        <v>3643</v>
      </c>
      <c r="E106" s="19">
        <v>1.36</v>
      </c>
      <c r="F106" s="19">
        <v>0.69599999999999995</v>
      </c>
      <c r="G106" s="20">
        <v>2.0227400000000002</v>
      </c>
    </row>
    <row r="107" spans="3:7" ht="16.5" thickBot="1">
      <c r="C107" s="21" t="s">
        <v>3774</v>
      </c>
      <c r="D107" s="21" t="s">
        <v>3643</v>
      </c>
      <c r="E107" s="22">
        <v>1.494</v>
      </c>
      <c r="F107" s="22">
        <v>0.72699999999999998</v>
      </c>
      <c r="G107" s="23">
        <v>2.2615799999999999</v>
      </c>
    </row>
    <row r="108" spans="3:7" ht="16.5" thickTop="1"/>
  </sheetData>
  <mergeCells count="5">
    <mergeCell ref="C2:C3"/>
    <mergeCell ref="D2:D3"/>
    <mergeCell ref="E2:E3"/>
    <mergeCell ref="F2:F3"/>
    <mergeCell ref="G2:G3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>
    <tabColor rgb="FFFF0000"/>
  </sheetPr>
  <dimension ref="A1:S5570"/>
  <sheetViews>
    <sheetView zoomScale="85" zoomScaleNormal="85" workbookViewId="0">
      <pane ySplit="1" topLeftCell="A2" activePane="bottomLeft" state="frozen"/>
      <selection activeCell="S6" sqref="S6"/>
      <selection pane="bottomLeft" activeCell="S6" sqref="S6"/>
    </sheetView>
  </sheetViews>
  <sheetFormatPr defaultColWidth="9.140625" defaultRowHeight="15"/>
  <cols>
    <col min="1" max="1" width="25.7109375" style="5" bestFit="1" customWidth="1"/>
    <col min="2" max="2" width="22" style="5" bestFit="1" customWidth="1"/>
    <col min="3" max="3" width="33.28515625" style="5" bestFit="1" customWidth="1"/>
    <col min="4" max="5" width="8.28515625" style="5" bestFit="1" customWidth="1"/>
    <col min="6" max="6" width="10.7109375" style="5" bestFit="1" customWidth="1"/>
    <col min="7" max="7" width="8.85546875" style="5" customWidth="1"/>
    <col min="8" max="8" width="9.28515625" style="5" customWidth="1"/>
    <col min="9" max="9" width="9.5703125" style="5" customWidth="1"/>
    <col min="10" max="10" width="8.7109375" style="5" customWidth="1"/>
    <col min="11" max="11" width="9.42578125" style="5" customWidth="1"/>
    <col min="12" max="12" width="9.85546875" style="5" customWidth="1"/>
    <col min="13" max="13" width="10" style="5" customWidth="1"/>
    <col min="14" max="14" width="9.42578125" style="5" customWidth="1"/>
    <col min="15" max="15" width="9.140625" style="5" customWidth="1"/>
    <col min="16" max="16" width="9.7109375" style="5" customWidth="1"/>
    <col min="17" max="17" width="9.140625" style="5" customWidth="1"/>
    <col min="18" max="18" width="8.28515625" style="5" customWidth="1"/>
    <col min="19" max="16384" width="9.140625" style="5"/>
  </cols>
  <sheetData>
    <row r="1" spans="1:19" ht="15.75">
      <c r="B1" s="5" t="s">
        <v>57</v>
      </c>
      <c r="C1" s="63" t="s">
        <v>58</v>
      </c>
      <c r="D1" s="63" t="s">
        <v>59</v>
      </c>
      <c r="E1" s="63" t="s">
        <v>60</v>
      </c>
      <c r="F1" s="63" t="s">
        <v>61</v>
      </c>
      <c r="G1" s="63" t="s">
        <v>62</v>
      </c>
      <c r="H1" s="63" t="s">
        <v>63</v>
      </c>
      <c r="I1" s="63" t="s">
        <v>64</v>
      </c>
      <c r="J1" s="63" t="s">
        <v>65</v>
      </c>
      <c r="K1" s="63" t="s">
        <v>66</v>
      </c>
      <c r="L1" s="63" t="s">
        <v>67</v>
      </c>
      <c r="M1" s="63" t="s">
        <v>68</v>
      </c>
      <c r="N1" s="63" t="s">
        <v>69</v>
      </c>
      <c r="O1" s="63" t="s">
        <v>70</v>
      </c>
      <c r="P1" s="63" t="s">
        <v>71</v>
      </c>
      <c r="Q1" s="63" t="s">
        <v>72</v>
      </c>
      <c r="R1" s="63" t="s">
        <v>73</v>
      </c>
      <c r="S1" s="63" t="s">
        <v>5848</v>
      </c>
    </row>
    <row r="2" spans="1:19">
      <c r="A2" s="5" t="str">
        <f>B2&amp;"-"&amp;COUNTIF($B$2:B2,B2)</f>
        <v>ACRE-1</v>
      </c>
      <c r="B2" s="5" t="s">
        <v>74</v>
      </c>
      <c r="C2" s="5" t="s">
        <v>75</v>
      </c>
      <c r="D2" s="6">
        <v>-670531</v>
      </c>
      <c r="E2" s="6">
        <v>-100755</v>
      </c>
      <c r="F2" s="7">
        <v>4.5149999999999997</v>
      </c>
      <c r="G2" s="7">
        <v>4.5209999999999999</v>
      </c>
      <c r="H2" s="7">
        <v>4.5220000000000002</v>
      </c>
      <c r="I2" s="7">
        <v>4.2469999999999999</v>
      </c>
      <c r="J2" s="7">
        <v>4.3710000000000004</v>
      </c>
      <c r="K2" s="7">
        <v>3.96</v>
      </c>
      <c r="L2" s="7">
        <v>4.0839999999999996</v>
      </c>
      <c r="M2" s="7">
        <v>4.2839999999999998</v>
      </c>
      <c r="N2" s="7">
        <v>4.8070000000000004</v>
      </c>
      <c r="O2" s="7">
        <v>4.915</v>
      </c>
      <c r="P2" s="7">
        <v>5.008</v>
      </c>
      <c r="Q2" s="7">
        <v>4.8849999999999998</v>
      </c>
      <c r="R2" s="7">
        <v>4.5739999999999998</v>
      </c>
      <c r="S2" s="7">
        <f>(G2+H2+I2+J2+K2+L2+M2+N2+O2+P2+Q2+R2)/12</f>
        <v>4.5148333333333328</v>
      </c>
    </row>
    <row r="3" spans="1:19">
      <c r="A3" s="5" t="str">
        <f>B3&amp;"-"&amp;COUNTIF($B$2:B3,B3)</f>
        <v>ACRE-2</v>
      </c>
      <c r="B3" s="5" t="s">
        <v>74</v>
      </c>
      <c r="C3" s="5" t="s">
        <v>76</v>
      </c>
      <c r="D3" s="6">
        <v>-695658</v>
      </c>
      <c r="E3" s="6">
        <v>-109394</v>
      </c>
      <c r="F3" s="7">
        <v>4.6150000000000002</v>
      </c>
      <c r="G3" s="7">
        <v>4.6779999999999999</v>
      </c>
      <c r="H3" s="7">
        <v>4.6609999999999996</v>
      </c>
      <c r="I3" s="7">
        <v>4.2309999999999999</v>
      </c>
      <c r="J3" s="7">
        <v>4.532</v>
      </c>
      <c r="K3" s="7">
        <v>3.9169999999999998</v>
      </c>
      <c r="L3" s="7">
        <v>4.0259999999999998</v>
      </c>
      <c r="M3" s="7">
        <v>4.2830000000000004</v>
      </c>
      <c r="N3" s="7">
        <v>4.9470000000000001</v>
      </c>
      <c r="O3" s="7">
        <v>5.1360000000000001</v>
      </c>
      <c r="P3" s="7">
        <v>5.0919999999999996</v>
      </c>
      <c r="Q3" s="7">
        <v>5.1020000000000003</v>
      </c>
      <c r="R3" s="7">
        <v>4.7709999999999999</v>
      </c>
      <c r="S3" s="7">
        <f t="shared" ref="S3:S66" si="0">(G3+H3+I3+J3+K3+L3+M3+N3+O3+P3+Q3+R3)/12</f>
        <v>4.6146666666666674</v>
      </c>
    </row>
    <row r="4" spans="1:19">
      <c r="A4" s="5" t="str">
        <f>B4&amp;"-"&amp;COUNTIF($B$2:B4,B4)</f>
        <v>ACRE-3</v>
      </c>
      <c r="B4" s="5" t="s">
        <v>74</v>
      </c>
      <c r="C4" s="5" t="s">
        <v>77</v>
      </c>
      <c r="D4" s="6">
        <v>-687463</v>
      </c>
      <c r="E4" s="6">
        <v>-110109</v>
      </c>
      <c r="F4" s="7">
        <v>4.62</v>
      </c>
      <c r="G4" s="7">
        <v>4.6550000000000002</v>
      </c>
      <c r="H4" s="7">
        <v>4.6529999999999996</v>
      </c>
      <c r="I4" s="7">
        <v>4.2679999999999998</v>
      </c>
      <c r="J4" s="7">
        <v>4.5659999999999998</v>
      </c>
      <c r="K4" s="7">
        <v>3.9449999999999998</v>
      </c>
      <c r="L4" s="7">
        <v>4.0789999999999997</v>
      </c>
      <c r="M4" s="7">
        <v>4.2850000000000001</v>
      </c>
      <c r="N4" s="7">
        <v>4.8579999999999997</v>
      </c>
      <c r="O4" s="7">
        <v>5.1020000000000003</v>
      </c>
      <c r="P4" s="7">
        <v>5.1050000000000004</v>
      </c>
      <c r="Q4" s="7">
        <v>5.1020000000000003</v>
      </c>
      <c r="R4" s="7">
        <v>4.7709999999999999</v>
      </c>
      <c r="S4" s="7">
        <f t="shared" si="0"/>
        <v>4.6157500000000011</v>
      </c>
    </row>
    <row r="5" spans="1:19">
      <c r="A5" s="5" t="str">
        <f>B5&amp;"-"&amp;COUNTIF($B$2:B5,B5)</f>
        <v>ACRE-4</v>
      </c>
      <c r="B5" s="5" t="s">
        <v>74</v>
      </c>
      <c r="C5" s="5" t="s">
        <v>78</v>
      </c>
      <c r="D5" s="6">
        <v>-679523</v>
      </c>
      <c r="E5" s="6">
        <v>-9834</v>
      </c>
      <c r="F5" s="7">
        <v>4.5670000000000002</v>
      </c>
      <c r="G5" s="7">
        <v>4.5010000000000003</v>
      </c>
      <c r="H5" s="7">
        <v>4.6210000000000004</v>
      </c>
      <c r="I5" s="7">
        <v>4.2309999999999999</v>
      </c>
      <c r="J5" s="7">
        <v>4.4009999999999998</v>
      </c>
      <c r="K5" s="7">
        <v>4.0110000000000001</v>
      </c>
      <c r="L5" s="7">
        <v>4.1109999999999998</v>
      </c>
      <c r="M5" s="7">
        <v>4.3159999999999998</v>
      </c>
      <c r="N5" s="7">
        <v>4.8849999999999998</v>
      </c>
      <c r="O5" s="7">
        <v>5.0309999999999997</v>
      </c>
      <c r="P5" s="7">
        <v>5.1310000000000002</v>
      </c>
      <c r="Q5" s="7">
        <v>4.9889999999999999</v>
      </c>
      <c r="R5" s="7">
        <v>4.58</v>
      </c>
      <c r="S5" s="7">
        <f t="shared" si="0"/>
        <v>4.567333333333333</v>
      </c>
    </row>
    <row r="6" spans="1:19">
      <c r="A6" s="5" t="str">
        <f>B6&amp;"-"&amp;COUNTIF($B$2:B6,B6)</f>
        <v>ACRE-5</v>
      </c>
      <c r="B6" s="5" t="s">
        <v>74</v>
      </c>
      <c r="C6" s="5" t="s">
        <v>79</v>
      </c>
      <c r="D6" s="6">
        <v>-676768</v>
      </c>
      <c r="E6" s="6">
        <v>-105749</v>
      </c>
      <c r="F6" s="7">
        <v>4.5419999999999998</v>
      </c>
      <c r="G6" s="7">
        <v>4.4859999999999998</v>
      </c>
      <c r="H6" s="7">
        <v>4.5270000000000001</v>
      </c>
      <c r="I6" s="7">
        <v>4.2640000000000002</v>
      </c>
      <c r="J6" s="7">
        <v>4.3949999999999996</v>
      </c>
      <c r="K6" s="7">
        <v>3.9569999999999999</v>
      </c>
      <c r="L6" s="7">
        <v>3.9830000000000001</v>
      </c>
      <c r="M6" s="7">
        <v>4.2279999999999998</v>
      </c>
      <c r="N6" s="7">
        <v>4.8230000000000004</v>
      </c>
      <c r="O6" s="7">
        <v>5.07</v>
      </c>
      <c r="P6" s="7">
        <v>5.1379999999999999</v>
      </c>
      <c r="Q6" s="7">
        <v>4.952</v>
      </c>
      <c r="R6" s="7">
        <v>4.6769999999999996</v>
      </c>
      <c r="S6" s="7">
        <f t="shared" si="0"/>
        <v>4.541666666666667</v>
      </c>
    </row>
    <row r="7" spans="1:19">
      <c r="A7" s="5" t="str">
        <f>B7&amp;"-"&amp;COUNTIF($B$2:B7,B7)</f>
        <v>ACRE-6</v>
      </c>
      <c r="B7" s="5" t="s">
        <v>74</v>
      </c>
      <c r="C7" s="5" t="s">
        <v>80</v>
      </c>
      <c r="D7" s="6">
        <v>-726761</v>
      </c>
      <c r="E7" s="6">
        <v>-7628</v>
      </c>
      <c r="F7" s="7">
        <v>4.6630000000000003</v>
      </c>
      <c r="G7" s="7">
        <v>4.7380000000000004</v>
      </c>
      <c r="H7" s="7">
        <v>4.9020000000000001</v>
      </c>
      <c r="I7" s="7">
        <v>4.2480000000000002</v>
      </c>
      <c r="J7" s="7">
        <v>4.4550000000000001</v>
      </c>
      <c r="K7" s="7">
        <v>4.2850000000000001</v>
      </c>
      <c r="L7" s="7">
        <v>4.1639999999999997</v>
      </c>
      <c r="M7" s="7">
        <v>4.3630000000000004</v>
      </c>
      <c r="N7" s="7">
        <v>4.9960000000000004</v>
      </c>
      <c r="O7" s="7">
        <v>5.1349999999999998</v>
      </c>
      <c r="P7" s="7">
        <v>5.024</v>
      </c>
      <c r="Q7" s="7">
        <v>4.95</v>
      </c>
      <c r="R7" s="7">
        <v>4.7009999999999996</v>
      </c>
      <c r="S7" s="7">
        <f t="shared" si="0"/>
        <v>4.6634166666666674</v>
      </c>
    </row>
    <row r="8" spans="1:19">
      <c r="A8" s="5" t="str">
        <f>B8&amp;"-"&amp;COUNTIF($B$2:B8,B8)</f>
        <v>ACRE-7</v>
      </c>
      <c r="B8" s="5" t="s">
        <v>74</v>
      </c>
      <c r="C8" s="5" t="s">
        <v>81</v>
      </c>
      <c r="D8" s="6">
        <v>-687442</v>
      </c>
      <c r="E8" s="6">
        <v>-110293</v>
      </c>
      <c r="F8" s="7">
        <v>4.62</v>
      </c>
      <c r="G8" s="7">
        <v>4.6550000000000002</v>
      </c>
      <c r="H8" s="7">
        <v>4.6529999999999996</v>
      </c>
      <c r="I8" s="7">
        <v>4.2679999999999998</v>
      </c>
      <c r="J8" s="7">
        <v>4.5659999999999998</v>
      </c>
      <c r="K8" s="7">
        <v>3.9449999999999998</v>
      </c>
      <c r="L8" s="7">
        <v>4.0789999999999997</v>
      </c>
      <c r="M8" s="7">
        <v>4.2850000000000001</v>
      </c>
      <c r="N8" s="7">
        <v>4.8579999999999997</v>
      </c>
      <c r="O8" s="7">
        <v>5.1020000000000003</v>
      </c>
      <c r="P8" s="7">
        <v>5.1050000000000004</v>
      </c>
      <c r="Q8" s="7">
        <v>5.157</v>
      </c>
      <c r="R8" s="7">
        <v>4.7709999999999999</v>
      </c>
      <c r="S8" s="7">
        <f t="shared" si="0"/>
        <v>4.6203333333333338</v>
      </c>
    </row>
    <row r="9" spans="1:19">
      <c r="A9" s="5" t="str">
        <f>B9&amp;"-"&amp;COUNTIF($B$2:B9,B9)</f>
        <v>ACRE-8</v>
      </c>
      <c r="B9" s="5" t="s">
        <v>74</v>
      </c>
      <c r="C9" s="5" t="s">
        <v>82</v>
      </c>
      <c r="D9" s="6">
        <v>-703537</v>
      </c>
      <c r="E9" s="6">
        <v>-81635</v>
      </c>
      <c r="F9" s="7">
        <v>4.5570000000000004</v>
      </c>
      <c r="G9" s="7">
        <v>4.5049999999999999</v>
      </c>
      <c r="H9" s="7">
        <v>4.806</v>
      </c>
      <c r="I9" s="7">
        <v>4.2110000000000003</v>
      </c>
      <c r="J9" s="7">
        <v>4.3840000000000003</v>
      </c>
      <c r="K9" s="7">
        <v>3.9929999999999999</v>
      </c>
      <c r="L9" s="7">
        <v>4.0880000000000001</v>
      </c>
      <c r="M9" s="7">
        <v>4.2750000000000004</v>
      </c>
      <c r="N9" s="7">
        <v>4.9509999999999996</v>
      </c>
      <c r="O9" s="7">
        <v>5.09</v>
      </c>
      <c r="P9" s="7">
        <v>5.09</v>
      </c>
      <c r="Q9" s="7">
        <v>4.7850000000000001</v>
      </c>
      <c r="R9" s="7">
        <v>4.5030000000000001</v>
      </c>
      <c r="S9" s="7">
        <f t="shared" si="0"/>
        <v>4.5567500000000001</v>
      </c>
    </row>
    <row r="10" spans="1:19">
      <c r="A10" s="5" t="str">
        <f>B10&amp;"-"&amp;COUNTIF($B$2:B10,B10)</f>
        <v>ACRE-9</v>
      </c>
      <c r="B10" s="5" t="s">
        <v>74</v>
      </c>
      <c r="C10" s="5" t="s">
        <v>83</v>
      </c>
      <c r="D10" s="6">
        <v>-719482</v>
      </c>
      <c r="E10" s="6">
        <v>-91969</v>
      </c>
      <c r="F10" s="7">
        <v>4.6399999999999997</v>
      </c>
      <c r="G10" s="7">
        <v>4.6849999999999996</v>
      </c>
      <c r="H10" s="7">
        <v>4.8040000000000003</v>
      </c>
      <c r="I10" s="7">
        <v>4.1180000000000003</v>
      </c>
      <c r="J10" s="7">
        <v>4.4939999999999998</v>
      </c>
      <c r="K10" s="7">
        <v>4.1319999999999997</v>
      </c>
      <c r="L10" s="7">
        <v>4.1509999999999998</v>
      </c>
      <c r="M10" s="7">
        <v>4.367</v>
      </c>
      <c r="N10" s="7">
        <v>5.0469999999999997</v>
      </c>
      <c r="O10" s="7">
        <v>5.1740000000000004</v>
      </c>
      <c r="P10" s="7">
        <v>5.0380000000000003</v>
      </c>
      <c r="Q10" s="7">
        <v>5.0060000000000002</v>
      </c>
      <c r="R10" s="7">
        <v>4.6689999999999996</v>
      </c>
      <c r="S10" s="7">
        <f t="shared" si="0"/>
        <v>4.640416666666666</v>
      </c>
    </row>
    <row r="11" spans="1:19">
      <c r="A11" s="5" t="str">
        <f>B11&amp;"-"&amp;COUNTIF($B$2:B11,B11)</f>
        <v>ACRE-10</v>
      </c>
      <c r="B11" s="5" t="s">
        <v>74</v>
      </c>
      <c r="C11" s="5" t="s">
        <v>84</v>
      </c>
      <c r="D11" s="6">
        <v>-729002</v>
      </c>
      <c r="E11" s="6">
        <v>-7617</v>
      </c>
      <c r="F11" s="7">
        <v>4.7030000000000003</v>
      </c>
      <c r="G11" s="7">
        <v>4.7519999999999998</v>
      </c>
      <c r="H11" s="7">
        <v>4.9029999999999996</v>
      </c>
      <c r="I11" s="7">
        <v>4.335</v>
      </c>
      <c r="J11" s="7">
        <v>4.4960000000000004</v>
      </c>
      <c r="K11" s="7">
        <v>4.2789999999999999</v>
      </c>
      <c r="L11" s="7">
        <v>4.173</v>
      </c>
      <c r="M11" s="7">
        <v>4.3230000000000004</v>
      </c>
      <c r="N11" s="7">
        <v>5.0949999999999998</v>
      </c>
      <c r="O11" s="7">
        <v>5.2</v>
      </c>
      <c r="P11" s="7">
        <v>5.1150000000000002</v>
      </c>
      <c r="Q11" s="7">
        <v>5.0049999999999999</v>
      </c>
      <c r="R11" s="7">
        <v>4.7590000000000003</v>
      </c>
      <c r="S11" s="7">
        <f t="shared" si="0"/>
        <v>4.7029166666666669</v>
      </c>
    </row>
    <row r="12" spans="1:19">
      <c r="A12" s="5" t="str">
        <f>B12&amp;"-"&amp;COUNTIF($B$2:B12,B12)</f>
        <v>ACRE-11</v>
      </c>
      <c r="B12" s="5" t="s">
        <v>74</v>
      </c>
      <c r="C12" s="5" t="s">
        <v>85</v>
      </c>
      <c r="D12" s="6">
        <v>-692684</v>
      </c>
      <c r="E12" s="6">
        <v>-88333</v>
      </c>
      <c r="F12" s="7">
        <v>4.5549999999999997</v>
      </c>
      <c r="G12" s="7">
        <v>4.4580000000000002</v>
      </c>
      <c r="H12" s="7">
        <v>4.702</v>
      </c>
      <c r="I12" s="7">
        <v>4.22</v>
      </c>
      <c r="J12" s="7">
        <v>4.375</v>
      </c>
      <c r="K12" s="7">
        <v>3.9670000000000001</v>
      </c>
      <c r="L12" s="7">
        <v>4.1040000000000001</v>
      </c>
      <c r="M12" s="7">
        <v>4.3810000000000002</v>
      </c>
      <c r="N12" s="7">
        <v>5.0140000000000002</v>
      </c>
      <c r="O12" s="7">
        <v>5.12</v>
      </c>
      <c r="P12" s="7">
        <v>5.0030000000000001</v>
      </c>
      <c r="Q12" s="7">
        <v>4.8019999999999996</v>
      </c>
      <c r="R12" s="7">
        <v>4.5149999999999997</v>
      </c>
      <c r="S12" s="7">
        <f t="shared" si="0"/>
        <v>4.5550833333333332</v>
      </c>
    </row>
    <row r="13" spans="1:19">
      <c r="A13" s="5" t="str">
        <f>B13&amp;"-"&amp;COUNTIF($B$2:B13,B13)</f>
        <v>ACRE-12</v>
      </c>
      <c r="B13" s="5" t="s">
        <v>74</v>
      </c>
      <c r="C13" s="5" t="s">
        <v>86</v>
      </c>
      <c r="D13" s="6">
        <v>-728002</v>
      </c>
      <c r="E13" s="6">
        <v>-89394</v>
      </c>
      <c r="F13" s="7">
        <v>4.7050000000000001</v>
      </c>
      <c r="G13" s="7">
        <v>4.7169999999999996</v>
      </c>
      <c r="H13" s="7">
        <v>4.931</v>
      </c>
      <c r="I13" s="7">
        <v>4.1779999999999999</v>
      </c>
      <c r="J13" s="7">
        <v>4.5140000000000002</v>
      </c>
      <c r="K13" s="7">
        <v>4.2610000000000001</v>
      </c>
      <c r="L13" s="7">
        <v>4.149</v>
      </c>
      <c r="M13" s="7">
        <v>4.3570000000000002</v>
      </c>
      <c r="N13" s="7">
        <v>5.0629999999999997</v>
      </c>
      <c r="O13" s="7">
        <v>5.3330000000000002</v>
      </c>
      <c r="P13" s="7">
        <v>5.149</v>
      </c>
      <c r="Q13" s="7">
        <v>5.0670000000000002</v>
      </c>
      <c r="R13" s="7">
        <v>4.7409999999999997</v>
      </c>
      <c r="S13" s="7">
        <f t="shared" si="0"/>
        <v>4.7050000000000001</v>
      </c>
    </row>
    <row r="14" spans="1:19">
      <c r="A14" s="5" t="str">
        <f>B14&amp;"-"&amp;COUNTIF($B$2:B14,B14)</f>
        <v>ACRE-13</v>
      </c>
      <c r="B14" s="5" t="s">
        <v>74</v>
      </c>
      <c r="C14" s="5" t="s">
        <v>87</v>
      </c>
      <c r="D14" s="6">
        <v>-67186</v>
      </c>
      <c r="E14" s="6">
        <v>-103257</v>
      </c>
      <c r="F14" s="7">
        <v>4.5229999999999997</v>
      </c>
      <c r="G14" s="7">
        <v>4.476</v>
      </c>
      <c r="H14" s="7">
        <v>4.49</v>
      </c>
      <c r="I14" s="7">
        <v>4.266</v>
      </c>
      <c r="J14" s="7">
        <v>4.3849999999999998</v>
      </c>
      <c r="K14" s="7">
        <v>3.968</v>
      </c>
      <c r="L14" s="7">
        <v>4.093</v>
      </c>
      <c r="M14" s="7">
        <v>4.3</v>
      </c>
      <c r="N14" s="7">
        <v>4.8289999999999997</v>
      </c>
      <c r="O14" s="7">
        <v>4.8529999999999998</v>
      </c>
      <c r="P14" s="7">
        <v>5.0730000000000004</v>
      </c>
      <c r="Q14" s="7">
        <v>4.9169999999999998</v>
      </c>
      <c r="R14" s="7">
        <v>4.6260000000000003</v>
      </c>
      <c r="S14" s="7">
        <f t="shared" si="0"/>
        <v>4.5230000000000006</v>
      </c>
    </row>
    <row r="15" spans="1:19">
      <c r="A15" s="5" t="str">
        <f>B15&amp;"-"&amp;COUNTIF($B$2:B15,B15)</f>
        <v>ACRE-14</v>
      </c>
      <c r="B15" s="5" t="s">
        <v>74</v>
      </c>
      <c r="C15" s="5" t="s">
        <v>88</v>
      </c>
      <c r="D15" s="6">
        <v>-675408</v>
      </c>
      <c r="E15" s="6">
        <v>-95942</v>
      </c>
      <c r="F15" s="7">
        <v>4.5469999999999997</v>
      </c>
      <c r="G15" s="7">
        <v>4.4109999999999996</v>
      </c>
      <c r="H15" s="7">
        <v>4.5490000000000004</v>
      </c>
      <c r="I15" s="7">
        <v>4.2779999999999996</v>
      </c>
      <c r="J15" s="7">
        <v>4.3760000000000003</v>
      </c>
      <c r="K15" s="7">
        <v>3.9750000000000001</v>
      </c>
      <c r="L15" s="7">
        <v>4.1219999999999999</v>
      </c>
      <c r="M15" s="7">
        <v>4.3330000000000002</v>
      </c>
      <c r="N15" s="7">
        <v>4.9459999999999997</v>
      </c>
      <c r="O15" s="7">
        <v>5.01</v>
      </c>
      <c r="P15" s="7">
        <v>5.0640000000000001</v>
      </c>
      <c r="Q15" s="7">
        <v>4.9139999999999997</v>
      </c>
      <c r="R15" s="7">
        <v>4.5890000000000004</v>
      </c>
      <c r="S15" s="7">
        <f t="shared" si="0"/>
        <v>4.54725</v>
      </c>
    </row>
    <row r="16" spans="1:19">
      <c r="A16" s="5" t="str">
        <f>B16&amp;"-"&amp;COUNTIF($B$2:B16,B16)</f>
        <v>ACRE-15</v>
      </c>
      <c r="B16" s="5" t="s">
        <v>74</v>
      </c>
      <c r="C16" s="5" t="s">
        <v>89</v>
      </c>
      <c r="D16" s="6">
        <v>-727542</v>
      </c>
      <c r="E16" s="6">
        <v>-82636</v>
      </c>
      <c r="F16" s="7">
        <v>4.7309999999999999</v>
      </c>
      <c r="G16" s="7">
        <v>4.7789999999999999</v>
      </c>
      <c r="H16" s="7">
        <v>4.8869999999999996</v>
      </c>
      <c r="I16" s="7">
        <v>4.2569999999999997</v>
      </c>
      <c r="J16" s="7">
        <v>4.5369999999999999</v>
      </c>
      <c r="K16" s="7">
        <v>4.3010000000000002</v>
      </c>
      <c r="L16" s="7">
        <v>4.1840000000000002</v>
      </c>
      <c r="M16" s="7">
        <v>4.4189999999999996</v>
      </c>
      <c r="N16" s="7">
        <v>5.1239999999999997</v>
      </c>
      <c r="O16" s="7">
        <v>5.306</v>
      </c>
      <c r="P16" s="7">
        <v>5.14</v>
      </c>
      <c r="Q16" s="7">
        <v>5.056</v>
      </c>
      <c r="R16" s="7">
        <v>4.7789999999999999</v>
      </c>
      <c r="S16" s="7">
        <f t="shared" si="0"/>
        <v>4.7307500000000005</v>
      </c>
    </row>
    <row r="17" spans="1:19">
      <c r="A17" s="5" t="str">
        <f>B17&amp;"-"&amp;COUNTIF($B$2:B17,B17)</f>
        <v>ACRE-16</v>
      </c>
      <c r="B17" s="5" t="s">
        <v>74</v>
      </c>
      <c r="C17" s="5" t="s">
        <v>90</v>
      </c>
      <c r="D17" s="6">
        <v>-678253</v>
      </c>
      <c r="E17" s="6">
        <v>-99758</v>
      </c>
      <c r="F17" s="7">
        <v>4.5599999999999996</v>
      </c>
      <c r="G17" s="7">
        <v>4.47</v>
      </c>
      <c r="H17" s="7">
        <v>4.6079999999999997</v>
      </c>
      <c r="I17" s="7">
        <v>4.2160000000000002</v>
      </c>
      <c r="J17" s="7">
        <v>4.4139999999999997</v>
      </c>
      <c r="K17" s="7">
        <v>3.9460000000000002</v>
      </c>
      <c r="L17" s="7">
        <v>4.0880000000000001</v>
      </c>
      <c r="M17" s="7">
        <v>4.2629999999999999</v>
      </c>
      <c r="N17" s="7">
        <v>4.8659999999999997</v>
      </c>
      <c r="O17" s="7">
        <v>5.1040000000000001</v>
      </c>
      <c r="P17" s="7">
        <v>5.1050000000000004</v>
      </c>
      <c r="Q17" s="7">
        <v>5.0350000000000001</v>
      </c>
      <c r="R17" s="7">
        <v>4.6059999999999999</v>
      </c>
      <c r="S17" s="7">
        <f t="shared" si="0"/>
        <v>4.560083333333333</v>
      </c>
    </row>
    <row r="18" spans="1:19">
      <c r="A18" s="5" t="str">
        <f>B18&amp;"-"&amp;COUNTIF($B$2:B18,B18)</f>
        <v>ACRE-17</v>
      </c>
      <c r="B18" s="5" t="s">
        <v>74</v>
      </c>
      <c r="C18" s="5" t="s">
        <v>91</v>
      </c>
      <c r="D18" s="6">
        <v>-726505</v>
      </c>
      <c r="E18" s="6">
        <v>-77342</v>
      </c>
      <c r="F18" s="7">
        <v>4.68</v>
      </c>
      <c r="G18" s="7">
        <v>4.7549999999999999</v>
      </c>
      <c r="H18" s="7">
        <v>4.923</v>
      </c>
      <c r="I18" s="7">
        <v>4.2430000000000003</v>
      </c>
      <c r="J18" s="7">
        <v>4.49</v>
      </c>
      <c r="K18" s="7">
        <v>4.2779999999999996</v>
      </c>
      <c r="L18" s="7">
        <v>4.1840000000000002</v>
      </c>
      <c r="M18" s="7">
        <v>4.3390000000000004</v>
      </c>
      <c r="N18" s="7">
        <v>5.0490000000000004</v>
      </c>
      <c r="O18" s="7">
        <v>5.2080000000000002</v>
      </c>
      <c r="P18" s="7">
        <v>5.0279999999999996</v>
      </c>
      <c r="Q18" s="7">
        <v>4.9569999999999999</v>
      </c>
      <c r="R18" s="7">
        <v>4.7080000000000002</v>
      </c>
      <c r="S18" s="7">
        <f t="shared" si="0"/>
        <v>4.6801666666666666</v>
      </c>
    </row>
    <row r="19" spans="1:19">
      <c r="A19" s="5" t="str">
        <f>B19&amp;"-"&amp;COUNTIF($B$2:B19,B19)</f>
        <v>ACRE-18</v>
      </c>
      <c r="B19" s="5" t="s">
        <v>74</v>
      </c>
      <c r="C19" s="5" t="s">
        <v>92</v>
      </c>
      <c r="D19" s="6">
        <v>-704907</v>
      </c>
      <c r="E19" s="6">
        <v>-94469</v>
      </c>
      <c r="F19" s="7">
        <v>4.5910000000000002</v>
      </c>
      <c r="G19" s="7">
        <v>4.585</v>
      </c>
      <c r="H19" s="7">
        <v>4.6980000000000004</v>
      </c>
      <c r="I19" s="7">
        <v>4.1840000000000002</v>
      </c>
      <c r="J19" s="7">
        <v>4.4340000000000002</v>
      </c>
      <c r="K19" s="7">
        <v>4.0869999999999997</v>
      </c>
      <c r="L19" s="7">
        <v>4.1059999999999999</v>
      </c>
      <c r="M19" s="7">
        <v>4.3719999999999999</v>
      </c>
      <c r="N19" s="7">
        <v>5.0279999999999996</v>
      </c>
      <c r="O19" s="7">
        <v>5.0709999999999997</v>
      </c>
      <c r="P19" s="7">
        <v>5.0060000000000002</v>
      </c>
      <c r="Q19" s="7">
        <v>4.9450000000000003</v>
      </c>
      <c r="R19" s="7">
        <v>4.58</v>
      </c>
      <c r="S19" s="7">
        <f t="shared" si="0"/>
        <v>4.591333333333333</v>
      </c>
    </row>
    <row r="20" spans="1:19">
      <c r="A20" s="5" t="str">
        <f>B20&amp;"-"&amp;COUNTIF($B$2:B20,B20)</f>
        <v>ACRE-19</v>
      </c>
      <c r="B20" s="5" t="s">
        <v>74</v>
      </c>
      <c r="C20" s="5" t="s">
        <v>93</v>
      </c>
      <c r="D20" s="6">
        <v>-686718</v>
      </c>
      <c r="E20" s="6">
        <v>-90639</v>
      </c>
      <c r="F20" s="7">
        <v>4.5389999999999997</v>
      </c>
      <c r="G20" s="7">
        <v>4.4790000000000001</v>
      </c>
      <c r="H20" s="7">
        <v>4.6189999999999998</v>
      </c>
      <c r="I20" s="7">
        <v>4.2859999999999996</v>
      </c>
      <c r="J20" s="7">
        <v>4.3019999999999996</v>
      </c>
      <c r="K20" s="7">
        <v>3.9590000000000001</v>
      </c>
      <c r="L20" s="7">
        <v>4.0810000000000004</v>
      </c>
      <c r="M20" s="7">
        <v>4.3029999999999999</v>
      </c>
      <c r="N20" s="7">
        <v>4.9400000000000004</v>
      </c>
      <c r="O20" s="7">
        <v>5.0350000000000001</v>
      </c>
      <c r="P20" s="7">
        <v>5.008</v>
      </c>
      <c r="Q20" s="7">
        <v>4.8819999999999997</v>
      </c>
      <c r="R20" s="7">
        <v>4.5730000000000004</v>
      </c>
      <c r="S20" s="7">
        <f t="shared" si="0"/>
        <v>4.5389166666666672</v>
      </c>
    </row>
    <row r="21" spans="1:19">
      <c r="A21" s="5" t="str">
        <f>B21&amp;"-"&amp;COUNTIF($B$2:B21,B21)</f>
        <v>ACRE-20</v>
      </c>
      <c r="B21" s="5" t="s">
        <v>74</v>
      </c>
      <c r="C21" s="5" t="s">
        <v>94</v>
      </c>
      <c r="D21" s="6">
        <v>-677367</v>
      </c>
      <c r="E21" s="6">
        <v>-101501</v>
      </c>
      <c r="F21" s="7">
        <v>4.5579999999999998</v>
      </c>
      <c r="G21" s="7">
        <v>4.4829999999999997</v>
      </c>
      <c r="H21" s="7">
        <v>4.5940000000000003</v>
      </c>
      <c r="I21" s="7">
        <v>4.218</v>
      </c>
      <c r="J21" s="7">
        <v>4.4169999999999998</v>
      </c>
      <c r="K21" s="7">
        <v>3.9430000000000001</v>
      </c>
      <c r="L21" s="7">
        <v>4.0880000000000001</v>
      </c>
      <c r="M21" s="7">
        <v>4.2709999999999999</v>
      </c>
      <c r="N21" s="7">
        <v>4.8739999999999997</v>
      </c>
      <c r="O21" s="7">
        <v>5.0970000000000004</v>
      </c>
      <c r="P21" s="7">
        <v>5.1369999999999996</v>
      </c>
      <c r="Q21" s="7">
        <v>4.9669999999999996</v>
      </c>
      <c r="R21" s="7">
        <v>4.6109999999999998</v>
      </c>
      <c r="S21" s="7">
        <f t="shared" si="0"/>
        <v>4.5583333333333336</v>
      </c>
    </row>
    <row r="22" spans="1:19">
      <c r="A22" s="5" t="str">
        <f>B22&amp;"-"&amp;COUNTIF($B$2:B22,B22)</f>
        <v>ACRE-21</v>
      </c>
      <c r="B22" s="5" t="s">
        <v>74</v>
      </c>
      <c r="C22" s="5" t="s">
        <v>95</v>
      </c>
      <c r="D22" s="6">
        <v>-707726</v>
      </c>
      <c r="E22" s="6">
        <v>-81574</v>
      </c>
      <c r="F22" s="7">
        <v>4.6020000000000003</v>
      </c>
      <c r="G22" s="7">
        <v>4.5549999999999997</v>
      </c>
      <c r="H22" s="7">
        <v>4.8040000000000003</v>
      </c>
      <c r="I22" s="7">
        <v>4.2359999999999998</v>
      </c>
      <c r="J22" s="7">
        <v>4.3970000000000002</v>
      </c>
      <c r="K22" s="7">
        <v>4.0880000000000001</v>
      </c>
      <c r="L22" s="7">
        <v>4.1150000000000002</v>
      </c>
      <c r="M22" s="7">
        <v>4.3410000000000002</v>
      </c>
      <c r="N22" s="7">
        <v>5.0049999999999999</v>
      </c>
      <c r="O22" s="7">
        <v>5.1929999999999996</v>
      </c>
      <c r="P22" s="7">
        <v>5.1180000000000003</v>
      </c>
      <c r="Q22" s="7">
        <v>4.843</v>
      </c>
      <c r="R22" s="7">
        <v>4.5330000000000004</v>
      </c>
      <c r="S22" s="7">
        <f t="shared" si="0"/>
        <v>4.6023333333333341</v>
      </c>
    </row>
    <row r="23" spans="1:19">
      <c r="A23" s="5" t="str">
        <f>B23&amp;"-"&amp;COUNTIF($B$2:B23,B23)</f>
        <v>ACRE-22</v>
      </c>
      <c r="B23" s="5" t="s">
        <v>74</v>
      </c>
      <c r="C23" s="5" t="s">
        <v>96</v>
      </c>
      <c r="D23" s="6">
        <v>-684973</v>
      </c>
      <c r="E23" s="6">
        <v>-10652</v>
      </c>
      <c r="F23" s="7">
        <v>4.6070000000000002</v>
      </c>
      <c r="G23" s="7">
        <v>4.6289999999999996</v>
      </c>
      <c r="H23" s="7">
        <v>4.5860000000000003</v>
      </c>
      <c r="I23" s="7">
        <v>4.2809999999999997</v>
      </c>
      <c r="J23" s="7">
        <v>4.5780000000000003</v>
      </c>
      <c r="K23" s="7">
        <v>3.9620000000000002</v>
      </c>
      <c r="L23" s="7">
        <v>4.125</v>
      </c>
      <c r="M23" s="7">
        <v>4.3319999999999999</v>
      </c>
      <c r="N23" s="7">
        <v>4.8940000000000001</v>
      </c>
      <c r="O23" s="7">
        <v>5.0679999999999996</v>
      </c>
      <c r="P23" s="7">
        <v>5.0709999999999997</v>
      </c>
      <c r="Q23" s="7">
        <v>5.077</v>
      </c>
      <c r="R23" s="7">
        <v>4.6859999999999999</v>
      </c>
      <c r="S23" s="7">
        <f t="shared" si="0"/>
        <v>4.6074166666666665</v>
      </c>
    </row>
    <row r="24" spans="1:19">
      <c r="A24" s="5" t="str">
        <f>B24&amp;"-"&amp;COUNTIF($B$2:B24,B24)</f>
        <v>ALAGOAS-1</v>
      </c>
      <c r="B24" s="5" t="s">
        <v>97</v>
      </c>
      <c r="C24" s="5" t="s">
        <v>98</v>
      </c>
      <c r="D24" s="6">
        <v>-364343</v>
      </c>
      <c r="E24" s="6">
        <v>-104064</v>
      </c>
      <c r="F24" s="7">
        <v>5.4409999999999998</v>
      </c>
      <c r="G24" s="7">
        <v>6.1509999999999998</v>
      </c>
      <c r="H24" s="7">
        <v>6.1689999999999996</v>
      </c>
      <c r="I24" s="7">
        <v>6.0590000000000002</v>
      </c>
      <c r="J24" s="7">
        <v>5.0389999999999997</v>
      </c>
      <c r="K24" s="7">
        <v>4.3659999999999997</v>
      </c>
      <c r="L24" s="7">
        <v>4.1059999999999999</v>
      </c>
      <c r="M24" s="7">
        <v>4.1580000000000004</v>
      </c>
      <c r="N24" s="7">
        <v>4.8550000000000004</v>
      </c>
      <c r="O24" s="7">
        <v>5.5350000000000001</v>
      </c>
      <c r="P24" s="7">
        <v>6.0170000000000003</v>
      </c>
      <c r="Q24" s="7">
        <v>6.3579999999999997</v>
      </c>
      <c r="R24" s="7">
        <v>6.4729999999999999</v>
      </c>
      <c r="S24" s="7">
        <f t="shared" si="0"/>
        <v>5.4405000000000001</v>
      </c>
    </row>
    <row r="25" spans="1:19">
      <c r="A25" s="5" t="str">
        <f>B25&amp;"-"&amp;COUNTIF($B$2:B25,B25)</f>
        <v>ALAGOAS-2</v>
      </c>
      <c r="B25" s="5" t="s">
        <v>97</v>
      </c>
      <c r="C25" s="5" t="s">
        <v>99</v>
      </c>
      <c r="D25" s="6">
        <v>-365822</v>
      </c>
      <c r="E25" s="6">
        <v>-102879</v>
      </c>
      <c r="F25" s="7">
        <v>5.3380000000000001</v>
      </c>
      <c r="G25" s="7">
        <v>6.0970000000000004</v>
      </c>
      <c r="H25" s="7">
        <v>5.9470000000000001</v>
      </c>
      <c r="I25" s="7">
        <v>5.891</v>
      </c>
      <c r="J25" s="7">
        <v>5.0449999999999999</v>
      </c>
      <c r="K25" s="7">
        <v>4.298</v>
      </c>
      <c r="L25" s="7">
        <v>4.0419999999999998</v>
      </c>
      <c r="M25" s="7">
        <v>4.1100000000000003</v>
      </c>
      <c r="N25" s="7">
        <v>4.7220000000000004</v>
      </c>
      <c r="O25" s="7">
        <v>5.4420000000000002</v>
      </c>
      <c r="P25" s="7">
        <v>5.8609999999999998</v>
      </c>
      <c r="Q25" s="7">
        <v>6.2969999999999997</v>
      </c>
      <c r="R25" s="7">
        <v>6.3120000000000003</v>
      </c>
      <c r="S25" s="7">
        <f t="shared" si="0"/>
        <v>5.3386666666666676</v>
      </c>
    </row>
    <row r="26" spans="1:19">
      <c r="A26" s="5" t="str">
        <f>B26&amp;"-"&amp;COUNTIF($B$2:B26,B26)</f>
        <v>ALAGOAS-3</v>
      </c>
      <c r="B26" s="5" t="s">
        <v>97</v>
      </c>
      <c r="C26" s="5" t="s">
        <v>100</v>
      </c>
      <c r="D26" s="6">
        <v>-363031</v>
      </c>
      <c r="E26" s="6">
        <v>-102939</v>
      </c>
      <c r="F26" s="7">
        <v>5.4390000000000001</v>
      </c>
      <c r="G26" s="7">
        <v>6.2569999999999997</v>
      </c>
      <c r="H26" s="7">
        <v>6.2119999999999997</v>
      </c>
      <c r="I26" s="7">
        <v>6.0510000000000002</v>
      </c>
      <c r="J26" s="7">
        <v>5.04</v>
      </c>
      <c r="K26" s="7">
        <v>4.3639999999999999</v>
      </c>
      <c r="L26" s="7">
        <v>4.0309999999999997</v>
      </c>
      <c r="M26" s="7">
        <v>4.1420000000000003</v>
      </c>
      <c r="N26" s="7">
        <v>4.7850000000000001</v>
      </c>
      <c r="O26" s="7">
        <v>5.5229999999999997</v>
      </c>
      <c r="P26" s="7">
        <v>6.0270000000000001</v>
      </c>
      <c r="Q26" s="7">
        <v>6.3460000000000001</v>
      </c>
      <c r="R26" s="7">
        <v>6.4880000000000004</v>
      </c>
      <c r="S26" s="7">
        <f t="shared" si="0"/>
        <v>5.4388333333333341</v>
      </c>
    </row>
    <row r="27" spans="1:19">
      <c r="A27" s="5" t="str">
        <f>B27&amp;"-"&amp;COUNTIF($B$2:B27,B27)</f>
        <v>ALAGOAS-4</v>
      </c>
      <c r="B27" s="5" t="s">
        <v>97</v>
      </c>
      <c r="C27" s="5" t="s">
        <v>101</v>
      </c>
      <c r="D27" s="6">
        <v>-368379</v>
      </c>
      <c r="E27" s="6">
        <v>-101853</v>
      </c>
      <c r="F27" s="7">
        <v>5.4340000000000002</v>
      </c>
      <c r="G27" s="7">
        <v>6.3330000000000002</v>
      </c>
      <c r="H27" s="7">
        <v>6.1180000000000003</v>
      </c>
      <c r="I27" s="7">
        <v>5.9960000000000004</v>
      </c>
      <c r="J27" s="7">
        <v>5.2389999999999999</v>
      </c>
      <c r="K27" s="7">
        <v>4.3490000000000002</v>
      </c>
      <c r="L27" s="7">
        <v>4.101</v>
      </c>
      <c r="M27" s="7">
        <v>4.1509999999999998</v>
      </c>
      <c r="N27" s="7">
        <v>4.7160000000000002</v>
      </c>
      <c r="O27" s="7">
        <v>5.5380000000000003</v>
      </c>
      <c r="P27" s="7">
        <v>5.9029999999999996</v>
      </c>
      <c r="Q27" s="7">
        <v>6.3490000000000002</v>
      </c>
      <c r="R27" s="7">
        <v>6.4080000000000004</v>
      </c>
      <c r="S27" s="7">
        <f t="shared" si="0"/>
        <v>5.433416666666667</v>
      </c>
    </row>
    <row r="28" spans="1:19">
      <c r="A28" s="5" t="str">
        <f>B28&amp;"-"&amp;COUNTIF($B$2:B28,B28)</f>
        <v>ALAGOAS-5</v>
      </c>
      <c r="B28" s="5" t="s">
        <v>97</v>
      </c>
      <c r="C28" s="5" t="s">
        <v>102</v>
      </c>
      <c r="D28" s="6">
        <v>-369019</v>
      </c>
      <c r="E28" s="6">
        <v>-101215</v>
      </c>
      <c r="F28" s="7">
        <v>5.399</v>
      </c>
      <c r="G28" s="7">
        <v>6.2210000000000001</v>
      </c>
      <c r="H28" s="7">
        <v>6.0069999999999997</v>
      </c>
      <c r="I28" s="7">
        <v>5.9320000000000004</v>
      </c>
      <c r="J28" s="7">
        <v>5.2050000000000001</v>
      </c>
      <c r="K28" s="7">
        <v>4.3630000000000004</v>
      </c>
      <c r="L28" s="7">
        <v>4.1230000000000002</v>
      </c>
      <c r="M28" s="7">
        <v>4.1849999999999996</v>
      </c>
      <c r="N28" s="7">
        <v>4.7729999999999997</v>
      </c>
      <c r="O28" s="7">
        <v>5.5519999999999996</v>
      </c>
      <c r="P28" s="7">
        <v>5.8520000000000003</v>
      </c>
      <c r="Q28" s="7">
        <v>6.2910000000000004</v>
      </c>
      <c r="R28" s="7">
        <v>6.2839999999999998</v>
      </c>
      <c r="S28" s="7">
        <f t="shared" si="0"/>
        <v>5.399</v>
      </c>
    </row>
    <row r="29" spans="1:19">
      <c r="A29" s="5" t="str">
        <f>B29&amp;"-"&amp;COUNTIF($B$2:B29,B29)</f>
        <v>ALAGOAS-6</v>
      </c>
      <c r="B29" s="5" t="s">
        <v>97</v>
      </c>
      <c r="C29" s="5" t="s">
        <v>103</v>
      </c>
      <c r="D29" s="6">
        <v>-368133</v>
      </c>
      <c r="E29" s="6">
        <v>-100571</v>
      </c>
      <c r="F29" s="7">
        <v>5.3209999999999997</v>
      </c>
      <c r="G29" s="7">
        <v>6.069</v>
      </c>
      <c r="H29" s="7">
        <v>5.9039999999999999</v>
      </c>
      <c r="I29" s="7">
        <v>5.7990000000000004</v>
      </c>
      <c r="J29" s="7">
        <v>5.1440000000000001</v>
      </c>
      <c r="K29" s="7">
        <v>4.3140000000000001</v>
      </c>
      <c r="L29" s="7">
        <v>4.0979999999999999</v>
      </c>
      <c r="M29" s="7">
        <v>4.1589999999999998</v>
      </c>
      <c r="N29" s="7">
        <v>4.7359999999999998</v>
      </c>
      <c r="O29" s="7">
        <v>5.4649999999999999</v>
      </c>
      <c r="P29" s="7">
        <v>5.7629999999999999</v>
      </c>
      <c r="Q29" s="7">
        <v>6.2060000000000004</v>
      </c>
      <c r="R29" s="7">
        <v>6.2009999999999996</v>
      </c>
      <c r="S29" s="7">
        <f t="shared" si="0"/>
        <v>5.3214999999999995</v>
      </c>
    </row>
    <row r="30" spans="1:19">
      <c r="A30" s="5" t="str">
        <f>B30&amp;"-"&amp;COUNTIF($B$2:B30,B30)</f>
        <v>ALAGOAS-7</v>
      </c>
      <c r="B30" s="5" t="s">
        <v>97</v>
      </c>
      <c r="C30" s="5" t="s">
        <v>104</v>
      </c>
      <c r="D30" s="6">
        <v>-366571</v>
      </c>
      <c r="E30" s="6">
        <v>-101284</v>
      </c>
      <c r="F30" s="7">
        <v>5.2649999999999997</v>
      </c>
      <c r="G30" s="7">
        <v>5.9790000000000001</v>
      </c>
      <c r="H30" s="7">
        <v>5.8479999999999999</v>
      </c>
      <c r="I30" s="7">
        <v>5.7910000000000004</v>
      </c>
      <c r="J30" s="7">
        <v>5.008</v>
      </c>
      <c r="K30" s="7">
        <v>4.2519999999999998</v>
      </c>
      <c r="L30" s="7">
        <v>4.0369999999999999</v>
      </c>
      <c r="M30" s="7">
        <v>4.085</v>
      </c>
      <c r="N30" s="7">
        <v>4.6349999999999998</v>
      </c>
      <c r="O30" s="7">
        <v>5.3879999999999999</v>
      </c>
      <c r="P30" s="7">
        <v>5.7489999999999997</v>
      </c>
      <c r="Q30" s="7">
        <v>6.2130000000000001</v>
      </c>
      <c r="R30" s="7">
        <v>6.1890000000000001</v>
      </c>
      <c r="S30" s="7">
        <f t="shared" si="0"/>
        <v>5.2645</v>
      </c>
    </row>
    <row r="31" spans="1:19">
      <c r="A31" s="5" t="str">
        <f>B31&amp;"-"&amp;COUNTIF($B$2:B31,B31)</f>
        <v>ALAGOAS-8</v>
      </c>
      <c r="B31" s="5" t="s">
        <v>97</v>
      </c>
      <c r="C31" s="5" t="s">
        <v>105</v>
      </c>
      <c r="D31" s="6">
        <v>-36172</v>
      </c>
      <c r="E31" s="6">
        <v>-101281</v>
      </c>
      <c r="F31" s="7">
        <v>5.4619999999999997</v>
      </c>
      <c r="G31" s="7">
        <v>6.1260000000000003</v>
      </c>
      <c r="H31" s="7">
        <v>6.1829999999999998</v>
      </c>
      <c r="I31" s="7">
        <v>5.9960000000000004</v>
      </c>
      <c r="J31" s="7">
        <v>5.1520000000000001</v>
      </c>
      <c r="K31" s="7">
        <v>4.4400000000000004</v>
      </c>
      <c r="L31" s="7">
        <v>4.1269999999999998</v>
      </c>
      <c r="M31" s="7">
        <v>4.2220000000000004</v>
      </c>
      <c r="N31" s="7">
        <v>4.9050000000000002</v>
      </c>
      <c r="O31" s="7">
        <v>5.577</v>
      </c>
      <c r="P31" s="7">
        <v>6.0209999999999999</v>
      </c>
      <c r="Q31" s="7">
        <v>6.3440000000000003</v>
      </c>
      <c r="R31" s="7">
        <v>6.4539999999999997</v>
      </c>
      <c r="S31" s="7">
        <f t="shared" si="0"/>
        <v>5.46225</v>
      </c>
    </row>
    <row r="32" spans="1:19">
      <c r="A32" s="5" t="str">
        <f>B32&amp;"-"&amp;COUNTIF($B$2:B32,B32)</f>
        <v>ALAGOAS-9</v>
      </c>
      <c r="B32" s="5" t="s">
        <v>97</v>
      </c>
      <c r="C32" s="5" t="s">
        <v>106</v>
      </c>
      <c r="D32" s="6">
        <v>-370025</v>
      </c>
      <c r="E32" s="6">
        <v>-99628</v>
      </c>
      <c r="F32" s="7">
        <v>5.4630000000000001</v>
      </c>
      <c r="G32" s="7">
        <v>6.2889999999999997</v>
      </c>
      <c r="H32" s="7">
        <v>6.0510000000000002</v>
      </c>
      <c r="I32" s="7">
        <v>5.9989999999999997</v>
      </c>
      <c r="J32" s="7">
        <v>5.2759999999999998</v>
      </c>
      <c r="K32" s="7">
        <v>4.383</v>
      </c>
      <c r="L32" s="7">
        <v>4.141</v>
      </c>
      <c r="M32" s="7">
        <v>4.2140000000000004</v>
      </c>
      <c r="N32" s="7">
        <v>4.867</v>
      </c>
      <c r="O32" s="7">
        <v>5.694</v>
      </c>
      <c r="P32" s="7">
        <v>5.93</v>
      </c>
      <c r="Q32" s="7">
        <v>6.3789999999999996</v>
      </c>
      <c r="R32" s="7">
        <v>6.3280000000000003</v>
      </c>
      <c r="S32" s="7">
        <f t="shared" si="0"/>
        <v>5.462583333333332</v>
      </c>
    </row>
    <row r="33" spans="1:19">
      <c r="A33" s="5" t="str">
        <f>B33&amp;"-"&amp;COUNTIF($B$2:B33,B33)</f>
        <v>ALAGOAS-10</v>
      </c>
      <c r="B33" s="5" t="s">
        <v>97</v>
      </c>
      <c r="C33" s="5" t="s">
        <v>107</v>
      </c>
      <c r="D33" s="6">
        <v>-367929</v>
      </c>
      <c r="E33" s="6">
        <v>-99559</v>
      </c>
      <c r="F33" s="7">
        <v>5.2519999999999998</v>
      </c>
      <c r="G33" s="7">
        <v>5.9109999999999996</v>
      </c>
      <c r="H33" s="7">
        <v>5.8109999999999999</v>
      </c>
      <c r="I33" s="7">
        <v>5.7729999999999997</v>
      </c>
      <c r="J33" s="7">
        <v>5.03</v>
      </c>
      <c r="K33" s="7">
        <v>4.2279999999999998</v>
      </c>
      <c r="L33" s="7">
        <v>4.0010000000000003</v>
      </c>
      <c r="M33" s="7">
        <v>4.0720000000000001</v>
      </c>
      <c r="N33" s="7">
        <v>4.6280000000000001</v>
      </c>
      <c r="O33" s="7">
        <v>5.4119999999999999</v>
      </c>
      <c r="P33" s="7">
        <v>5.7469999999999999</v>
      </c>
      <c r="Q33" s="7">
        <v>6.21</v>
      </c>
      <c r="R33" s="7">
        <v>6.1950000000000003</v>
      </c>
      <c r="S33" s="7">
        <f t="shared" si="0"/>
        <v>5.2515000000000001</v>
      </c>
    </row>
    <row r="34" spans="1:19">
      <c r="A34" s="5" t="str">
        <f>B34&amp;"-"&amp;COUNTIF($B$2:B34,B34)</f>
        <v>ALAGOAS-11</v>
      </c>
      <c r="B34" s="5" t="s">
        <v>97</v>
      </c>
      <c r="C34" s="5" t="s">
        <v>108</v>
      </c>
      <c r="D34" s="6">
        <v>-360145</v>
      </c>
      <c r="E34" s="6">
        <v>-100137</v>
      </c>
      <c r="F34" s="7">
        <v>5.4550000000000001</v>
      </c>
      <c r="G34" s="7">
        <v>6.133</v>
      </c>
      <c r="H34" s="7">
        <v>6.1779999999999999</v>
      </c>
      <c r="I34" s="7">
        <v>6.0519999999999996</v>
      </c>
      <c r="J34" s="7">
        <v>5.1769999999999996</v>
      </c>
      <c r="K34" s="7">
        <v>4.3949999999999996</v>
      </c>
      <c r="L34" s="7">
        <v>4.0750000000000002</v>
      </c>
      <c r="M34" s="7">
        <v>4.1680000000000001</v>
      </c>
      <c r="N34" s="7">
        <v>4.8390000000000004</v>
      </c>
      <c r="O34" s="7">
        <v>5.5819999999999999</v>
      </c>
      <c r="P34" s="7">
        <v>6.0449999999999999</v>
      </c>
      <c r="Q34" s="7">
        <v>6.3339999999999996</v>
      </c>
      <c r="R34" s="7">
        <v>6.4880000000000004</v>
      </c>
      <c r="S34" s="7">
        <f t="shared" si="0"/>
        <v>5.4554999999999998</v>
      </c>
    </row>
    <row r="35" spans="1:19">
      <c r="A35" s="5" t="str">
        <f>B35&amp;"-"&amp;COUNTIF($B$2:B35,B35)</f>
        <v>ALAGOAS-12</v>
      </c>
      <c r="B35" s="5" t="s">
        <v>97</v>
      </c>
      <c r="C35" s="5" t="s">
        <v>109</v>
      </c>
      <c r="D35" s="6">
        <v>-368319</v>
      </c>
      <c r="E35" s="6">
        <v>-98845</v>
      </c>
      <c r="F35" s="7">
        <v>5.29</v>
      </c>
      <c r="G35" s="7">
        <v>6.01</v>
      </c>
      <c r="H35" s="7">
        <v>5.8150000000000004</v>
      </c>
      <c r="I35" s="7">
        <v>5.843</v>
      </c>
      <c r="J35" s="7">
        <v>5.0910000000000002</v>
      </c>
      <c r="K35" s="7">
        <v>4.266</v>
      </c>
      <c r="L35" s="7">
        <v>3.992</v>
      </c>
      <c r="M35" s="7">
        <v>4.0979999999999999</v>
      </c>
      <c r="N35" s="7">
        <v>4.6820000000000004</v>
      </c>
      <c r="O35" s="7">
        <v>5.4610000000000003</v>
      </c>
      <c r="P35" s="7">
        <v>5.774</v>
      </c>
      <c r="Q35" s="7">
        <v>6.2469999999999999</v>
      </c>
      <c r="R35" s="7">
        <v>6.2050000000000001</v>
      </c>
      <c r="S35" s="7">
        <f t="shared" si="0"/>
        <v>5.2903333333333338</v>
      </c>
    </row>
    <row r="36" spans="1:19">
      <c r="A36" s="5" t="str">
        <f>B36&amp;"-"&amp;COUNTIF($B$2:B36,B36)</f>
        <v>ALAGOAS-13</v>
      </c>
      <c r="B36" s="5" t="s">
        <v>97</v>
      </c>
      <c r="C36" s="5" t="s">
        <v>110</v>
      </c>
      <c r="D36" s="6">
        <v>-36679</v>
      </c>
      <c r="E36" s="6">
        <v>-98986</v>
      </c>
      <c r="F36" s="7">
        <v>5.2460000000000004</v>
      </c>
      <c r="G36" s="7">
        <v>5.9660000000000002</v>
      </c>
      <c r="H36" s="7">
        <v>5.7880000000000003</v>
      </c>
      <c r="I36" s="7">
        <v>5.7619999999999996</v>
      </c>
      <c r="J36" s="7">
        <v>5.0620000000000003</v>
      </c>
      <c r="K36" s="7">
        <v>4.2640000000000002</v>
      </c>
      <c r="L36" s="7">
        <v>3.9590000000000001</v>
      </c>
      <c r="M36" s="7">
        <v>4.0250000000000004</v>
      </c>
      <c r="N36" s="7">
        <v>4.5999999999999996</v>
      </c>
      <c r="O36" s="7">
        <v>5.4020000000000001</v>
      </c>
      <c r="P36" s="7">
        <v>5.6959999999999997</v>
      </c>
      <c r="Q36" s="7">
        <v>6.2169999999999996</v>
      </c>
      <c r="R36" s="7">
        <v>6.2089999999999996</v>
      </c>
      <c r="S36" s="7">
        <f t="shared" si="0"/>
        <v>5.2458333333333336</v>
      </c>
    </row>
    <row r="37" spans="1:19">
      <c r="A37" s="5" t="str">
        <f>B37&amp;"-"&amp;COUNTIF($B$2:B37,B37)</f>
        <v>ALAGOAS-14</v>
      </c>
      <c r="B37" s="5" t="s">
        <v>97</v>
      </c>
      <c r="C37" s="5" t="s">
        <v>111</v>
      </c>
      <c r="D37" s="6">
        <v>-365501</v>
      </c>
      <c r="E37" s="6">
        <v>-99319</v>
      </c>
      <c r="F37" s="7">
        <v>5.258</v>
      </c>
      <c r="G37" s="7">
        <v>6.0229999999999997</v>
      </c>
      <c r="H37" s="7">
        <v>5.8109999999999999</v>
      </c>
      <c r="I37" s="7">
        <v>5.8040000000000003</v>
      </c>
      <c r="J37" s="7">
        <v>5.0609999999999999</v>
      </c>
      <c r="K37" s="7">
        <v>4.2930000000000001</v>
      </c>
      <c r="L37" s="7">
        <v>3.9910000000000001</v>
      </c>
      <c r="M37" s="7">
        <v>3.9689999999999999</v>
      </c>
      <c r="N37" s="7">
        <v>4.6420000000000003</v>
      </c>
      <c r="O37" s="7">
        <v>5.3680000000000003</v>
      </c>
      <c r="P37" s="7">
        <v>5.7110000000000003</v>
      </c>
      <c r="Q37" s="7">
        <v>6.2210000000000001</v>
      </c>
      <c r="R37" s="7">
        <v>6.2050000000000001</v>
      </c>
      <c r="S37" s="7">
        <f t="shared" si="0"/>
        <v>5.2582500000000003</v>
      </c>
    </row>
    <row r="38" spans="1:19">
      <c r="A38" s="5" t="str">
        <f>B38&amp;"-"&amp;COUNTIF($B$2:B38,B38)</f>
        <v>ALAGOAS-15</v>
      </c>
      <c r="B38" s="5" t="s">
        <v>97</v>
      </c>
      <c r="C38" s="5" t="s">
        <v>112</v>
      </c>
      <c r="D38" s="6">
        <v>-364806</v>
      </c>
      <c r="E38" s="6">
        <v>-99074</v>
      </c>
      <c r="F38" s="7">
        <v>5.2370000000000001</v>
      </c>
      <c r="G38" s="7">
        <v>5.9989999999999997</v>
      </c>
      <c r="H38" s="7">
        <v>5.806</v>
      </c>
      <c r="I38" s="7">
        <v>5.8040000000000003</v>
      </c>
      <c r="J38" s="7">
        <v>5.069</v>
      </c>
      <c r="K38" s="7">
        <v>4.2709999999999999</v>
      </c>
      <c r="L38" s="7">
        <v>3.9340000000000002</v>
      </c>
      <c r="M38" s="7">
        <v>3.9750000000000001</v>
      </c>
      <c r="N38" s="7">
        <v>4.556</v>
      </c>
      <c r="O38" s="7">
        <v>5.3540000000000001</v>
      </c>
      <c r="P38" s="7">
        <v>5.681</v>
      </c>
      <c r="Q38" s="7">
        <v>6.1929999999999996</v>
      </c>
      <c r="R38" s="7">
        <v>6.2</v>
      </c>
      <c r="S38" s="7">
        <f t="shared" si="0"/>
        <v>5.2368333333333332</v>
      </c>
    </row>
    <row r="39" spans="1:19">
      <c r="A39" s="5" t="str">
        <f>B39&amp;"-"&amp;COUNTIF($B$2:B39,B39)</f>
        <v>ALAGOAS-16</v>
      </c>
      <c r="B39" s="5" t="s">
        <v>97</v>
      </c>
      <c r="C39" s="5" t="s">
        <v>113</v>
      </c>
      <c r="D39" s="6">
        <v>-36358</v>
      </c>
      <c r="E39" s="6">
        <v>-99094</v>
      </c>
      <c r="F39" s="7">
        <v>5.23</v>
      </c>
      <c r="G39" s="7">
        <v>5.9610000000000003</v>
      </c>
      <c r="H39" s="7">
        <v>5.8079999999999998</v>
      </c>
      <c r="I39" s="7">
        <v>5.8109999999999999</v>
      </c>
      <c r="J39" s="7">
        <v>5.0380000000000003</v>
      </c>
      <c r="K39" s="7">
        <v>4.282</v>
      </c>
      <c r="L39" s="7">
        <v>3.93</v>
      </c>
      <c r="M39" s="7">
        <v>3.9889999999999999</v>
      </c>
      <c r="N39" s="7">
        <v>4.5810000000000004</v>
      </c>
      <c r="O39" s="7">
        <v>5.3140000000000001</v>
      </c>
      <c r="P39" s="7">
        <v>5.6639999999999997</v>
      </c>
      <c r="Q39" s="7">
        <v>6.1959999999999997</v>
      </c>
      <c r="R39" s="7">
        <v>6.1849999999999996</v>
      </c>
      <c r="S39" s="7">
        <f t="shared" si="0"/>
        <v>5.229916666666667</v>
      </c>
    </row>
    <row r="40" spans="1:19">
      <c r="A40" s="5" t="str">
        <f>B40&amp;"-"&amp;COUNTIF($B$2:B40,B40)</f>
        <v>ALAGOAS-17</v>
      </c>
      <c r="B40" s="5" t="s">
        <v>97</v>
      </c>
      <c r="C40" s="5" t="s">
        <v>114</v>
      </c>
      <c r="D40" s="6">
        <v>-372773</v>
      </c>
      <c r="E40" s="6">
        <v>-98232</v>
      </c>
      <c r="F40" s="7">
        <v>5.3739999999999997</v>
      </c>
      <c r="G40" s="7">
        <v>6.1059999999999999</v>
      </c>
      <c r="H40" s="7">
        <v>5.9480000000000004</v>
      </c>
      <c r="I40" s="7">
        <v>5.9029999999999996</v>
      </c>
      <c r="J40" s="7">
        <v>5.2110000000000003</v>
      </c>
      <c r="K40" s="7">
        <v>4.3600000000000003</v>
      </c>
      <c r="L40" s="7">
        <v>4.0659999999999998</v>
      </c>
      <c r="M40" s="7">
        <v>4.1539999999999999</v>
      </c>
      <c r="N40" s="7">
        <v>4.7869999999999999</v>
      </c>
      <c r="O40" s="7">
        <v>5.56</v>
      </c>
      <c r="P40" s="7">
        <v>5.8040000000000003</v>
      </c>
      <c r="Q40" s="7">
        <v>6.3410000000000002</v>
      </c>
      <c r="R40" s="7">
        <v>6.25</v>
      </c>
      <c r="S40" s="7">
        <f t="shared" si="0"/>
        <v>5.3741666666666674</v>
      </c>
    </row>
    <row r="41" spans="1:19">
      <c r="A41" s="5" t="str">
        <f>B41&amp;"-"&amp;COUNTIF($B$2:B41,B41)</f>
        <v>ALAGOAS-18</v>
      </c>
      <c r="B41" s="5" t="s">
        <v>97</v>
      </c>
      <c r="C41" s="5" t="s">
        <v>115</v>
      </c>
      <c r="D41" s="6">
        <v>-367401</v>
      </c>
      <c r="E41" s="6">
        <v>-98294</v>
      </c>
      <c r="F41" s="7">
        <v>5.3159999999999998</v>
      </c>
      <c r="G41" s="7">
        <v>6.0650000000000004</v>
      </c>
      <c r="H41" s="7">
        <v>5.84</v>
      </c>
      <c r="I41" s="7">
        <v>5.8550000000000004</v>
      </c>
      <c r="J41" s="7">
        <v>5.1130000000000004</v>
      </c>
      <c r="K41" s="7">
        <v>4.2489999999999997</v>
      </c>
      <c r="L41" s="7">
        <v>3.9769999999999999</v>
      </c>
      <c r="M41" s="7">
        <v>4.12</v>
      </c>
      <c r="N41" s="7">
        <v>4.6829999999999998</v>
      </c>
      <c r="O41" s="7">
        <v>5.45</v>
      </c>
      <c r="P41" s="7">
        <v>5.8209999999999997</v>
      </c>
      <c r="Q41" s="7">
        <v>6.3239999999999998</v>
      </c>
      <c r="R41" s="7">
        <v>6.29</v>
      </c>
      <c r="S41" s="7">
        <f t="shared" si="0"/>
        <v>5.3155833333333335</v>
      </c>
    </row>
    <row r="42" spans="1:19">
      <c r="A42" s="5" t="str">
        <f>B42&amp;"-"&amp;COUNTIF($B$2:B42,B42)</f>
        <v>ALAGOAS-19</v>
      </c>
      <c r="B42" s="5" t="s">
        <v>97</v>
      </c>
      <c r="C42" s="5" t="s">
        <v>116</v>
      </c>
      <c r="D42" s="6">
        <v>-366618</v>
      </c>
      <c r="E42" s="6">
        <v>-97553</v>
      </c>
      <c r="F42" s="7">
        <v>5.2880000000000003</v>
      </c>
      <c r="G42" s="7">
        <v>6.0469999999999997</v>
      </c>
      <c r="H42" s="7">
        <v>5.8170000000000002</v>
      </c>
      <c r="I42" s="7">
        <v>5.8330000000000002</v>
      </c>
      <c r="J42" s="7">
        <v>5.0960000000000001</v>
      </c>
      <c r="K42" s="7">
        <v>4.2460000000000004</v>
      </c>
      <c r="L42" s="7">
        <v>3.9580000000000002</v>
      </c>
      <c r="M42" s="7">
        <v>4.0720000000000001</v>
      </c>
      <c r="N42" s="7">
        <v>4.6440000000000001</v>
      </c>
      <c r="O42" s="7">
        <v>5.4039999999999999</v>
      </c>
      <c r="P42" s="7">
        <v>5.7640000000000002</v>
      </c>
      <c r="Q42" s="7">
        <v>6.2850000000000001</v>
      </c>
      <c r="R42" s="7">
        <v>6.2889999999999997</v>
      </c>
      <c r="S42" s="7">
        <f t="shared" si="0"/>
        <v>5.2879166666666677</v>
      </c>
    </row>
    <row r="43" spans="1:19">
      <c r="A43" s="5" t="str">
        <f>B43&amp;"-"&amp;COUNTIF($B$2:B43,B43)</f>
        <v>ALAGOAS-20</v>
      </c>
      <c r="B43" s="5" t="s">
        <v>97</v>
      </c>
      <c r="C43" s="5" t="s">
        <v>117</v>
      </c>
      <c r="D43" s="6">
        <v>-363528</v>
      </c>
      <c r="E43" s="6">
        <v>-97849</v>
      </c>
      <c r="F43" s="7">
        <v>5.2380000000000004</v>
      </c>
      <c r="G43" s="7">
        <v>5.96</v>
      </c>
      <c r="H43" s="7">
        <v>5.8319999999999999</v>
      </c>
      <c r="I43" s="7">
        <v>5.843</v>
      </c>
      <c r="J43" s="7">
        <v>5.0540000000000003</v>
      </c>
      <c r="K43" s="7">
        <v>4.2389999999999999</v>
      </c>
      <c r="L43" s="7">
        <v>3.8929999999999998</v>
      </c>
      <c r="M43" s="7">
        <v>4.0289999999999999</v>
      </c>
      <c r="N43" s="7">
        <v>4.57</v>
      </c>
      <c r="O43" s="7">
        <v>5.3120000000000003</v>
      </c>
      <c r="P43" s="7">
        <v>5.6890000000000001</v>
      </c>
      <c r="Q43" s="7">
        <v>6.1790000000000003</v>
      </c>
      <c r="R43" s="7">
        <v>6.2610000000000001</v>
      </c>
      <c r="S43" s="7">
        <f t="shared" si="0"/>
        <v>5.2384166666666667</v>
      </c>
    </row>
    <row r="44" spans="1:19">
      <c r="A44" s="5" t="str">
        <f>B44&amp;"-"&amp;COUNTIF($B$2:B44,B44)</f>
        <v>ALAGOAS-21</v>
      </c>
      <c r="B44" s="5" t="s">
        <v>97</v>
      </c>
      <c r="C44" s="5" t="s">
        <v>118</v>
      </c>
      <c r="D44" s="6">
        <v>-360974</v>
      </c>
      <c r="E44" s="6">
        <v>-97834</v>
      </c>
      <c r="F44" s="7">
        <v>5.319</v>
      </c>
      <c r="G44" s="7">
        <v>6.0110000000000001</v>
      </c>
      <c r="H44" s="7">
        <v>5.976</v>
      </c>
      <c r="I44" s="7">
        <v>5.9450000000000003</v>
      </c>
      <c r="J44" s="7">
        <v>5.0259999999999998</v>
      </c>
      <c r="K44" s="7">
        <v>4.3230000000000004</v>
      </c>
      <c r="L44" s="7">
        <v>3.9630000000000001</v>
      </c>
      <c r="M44" s="7">
        <v>4.05</v>
      </c>
      <c r="N44" s="7">
        <v>4.6109999999999998</v>
      </c>
      <c r="O44" s="7">
        <v>5.4379999999999997</v>
      </c>
      <c r="P44" s="7">
        <v>5.8440000000000003</v>
      </c>
      <c r="Q44" s="7">
        <v>6.3259999999999996</v>
      </c>
      <c r="R44" s="7">
        <v>6.3109999999999999</v>
      </c>
      <c r="S44" s="7">
        <f t="shared" si="0"/>
        <v>5.3186666666666671</v>
      </c>
    </row>
    <row r="45" spans="1:19">
      <c r="A45" s="5" t="str">
        <f>B45&amp;"-"&amp;COUNTIF($B$2:B45,B45)</f>
        <v>ALAGOAS-22</v>
      </c>
      <c r="B45" s="5" t="s">
        <v>97</v>
      </c>
      <c r="C45" s="5" t="s">
        <v>119</v>
      </c>
      <c r="D45" s="6">
        <v>-35906</v>
      </c>
      <c r="E45" s="6">
        <v>-98389</v>
      </c>
      <c r="F45" s="7">
        <v>5.3979999999999997</v>
      </c>
      <c r="G45" s="7">
        <v>6.125</v>
      </c>
      <c r="H45" s="7">
        <v>6.1050000000000004</v>
      </c>
      <c r="I45" s="7">
        <v>6.0209999999999999</v>
      </c>
      <c r="J45" s="7">
        <v>5.1369999999999996</v>
      </c>
      <c r="K45" s="7">
        <v>4.3639999999999999</v>
      </c>
      <c r="L45" s="7">
        <v>3.9929999999999999</v>
      </c>
      <c r="M45" s="7">
        <v>4.1589999999999998</v>
      </c>
      <c r="N45" s="7">
        <v>4.7679999999999998</v>
      </c>
      <c r="O45" s="7">
        <v>5.4960000000000004</v>
      </c>
      <c r="P45" s="7">
        <v>5.9059999999999997</v>
      </c>
      <c r="Q45" s="7">
        <v>6.3220000000000001</v>
      </c>
      <c r="R45" s="7">
        <v>6.3819999999999997</v>
      </c>
      <c r="S45" s="7">
        <f t="shared" si="0"/>
        <v>5.3981666666666674</v>
      </c>
    </row>
    <row r="46" spans="1:19">
      <c r="A46" s="5" t="str">
        <f>B46&amp;"-"&amp;COUNTIF($B$2:B46,B46)</f>
        <v>ALAGOAS-23</v>
      </c>
      <c r="B46" s="5" t="s">
        <v>97</v>
      </c>
      <c r="C46" s="5" t="s">
        <v>120</v>
      </c>
      <c r="D46" s="6">
        <v>-359785</v>
      </c>
      <c r="E46" s="6">
        <v>-98355</v>
      </c>
      <c r="F46" s="7">
        <v>5.3979999999999997</v>
      </c>
      <c r="G46" s="7">
        <v>6.125</v>
      </c>
      <c r="H46" s="7">
        <v>6.1050000000000004</v>
      </c>
      <c r="I46" s="7">
        <v>6.0209999999999999</v>
      </c>
      <c r="J46" s="7">
        <v>5.1369999999999996</v>
      </c>
      <c r="K46" s="7">
        <v>4.3639999999999999</v>
      </c>
      <c r="L46" s="7">
        <v>3.9929999999999999</v>
      </c>
      <c r="M46" s="7">
        <v>4.1589999999999998</v>
      </c>
      <c r="N46" s="7">
        <v>4.7679999999999998</v>
      </c>
      <c r="O46" s="7">
        <v>5.4960000000000004</v>
      </c>
      <c r="P46" s="7">
        <v>5.9059999999999997</v>
      </c>
      <c r="Q46" s="7">
        <v>6.3220000000000001</v>
      </c>
      <c r="R46" s="7">
        <v>6.3819999999999997</v>
      </c>
      <c r="S46" s="7">
        <f t="shared" si="0"/>
        <v>5.3981666666666674</v>
      </c>
    </row>
    <row r="47" spans="1:19">
      <c r="A47" s="5" t="str">
        <f>B47&amp;"-"&amp;COUNTIF($B$2:B47,B47)</f>
        <v>ALAGOAS-24</v>
      </c>
      <c r="B47" s="5" t="s">
        <v>97</v>
      </c>
      <c r="C47" s="5" t="s">
        <v>121</v>
      </c>
      <c r="D47" s="6">
        <v>-374407</v>
      </c>
      <c r="E47" s="6">
        <v>-97415</v>
      </c>
      <c r="F47" s="7">
        <v>5.4470000000000001</v>
      </c>
      <c r="G47" s="7">
        <v>6.2009999999999996</v>
      </c>
      <c r="H47" s="7">
        <v>6.0709999999999997</v>
      </c>
      <c r="I47" s="7">
        <v>5.984</v>
      </c>
      <c r="J47" s="7">
        <v>5.3259999999999996</v>
      </c>
      <c r="K47" s="7">
        <v>4.4349999999999996</v>
      </c>
      <c r="L47" s="7">
        <v>4.13</v>
      </c>
      <c r="M47" s="7">
        <v>4.2220000000000004</v>
      </c>
      <c r="N47" s="7">
        <v>4.8479999999999999</v>
      </c>
      <c r="O47" s="7">
        <v>5.5679999999999996</v>
      </c>
      <c r="P47" s="7">
        <v>5.8630000000000004</v>
      </c>
      <c r="Q47" s="7">
        <v>6.4249999999999998</v>
      </c>
      <c r="R47" s="7">
        <v>6.2869999999999999</v>
      </c>
      <c r="S47" s="7">
        <f t="shared" si="0"/>
        <v>5.4466666666666663</v>
      </c>
    </row>
    <row r="48" spans="1:19">
      <c r="A48" s="5" t="str">
        <f>B48&amp;"-"&amp;COUNTIF($B$2:B48,B48)</f>
        <v>ALAGOAS-25</v>
      </c>
      <c r="B48" s="5" t="s">
        <v>97</v>
      </c>
      <c r="C48" s="5" t="s">
        <v>122</v>
      </c>
      <c r="D48" s="6">
        <v>-373386</v>
      </c>
      <c r="E48" s="6">
        <v>-96725</v>
      </c>
      <c r="F48" s="7">
        <v>5.3410000000000002</v>
      </c>
      <c r="G48" s="7">
        <v>6.07</v>
      </c>
      <c r="H48" s="7">
        <v>5.9009999999999998</v>
      </c>
      <c r="I48" s="7">
        <v>5.8979999999999997</v>
      </c>
      <c r="J48" s="7">
        <v>5.19</v>
      </c>
      <c r="K48" s="7">
        <v>4.3890000000000002</v>
      </c>
      <c r="L48" s="7">
        <v>4.0119999999999996</v>
      </c>
      <c r="M48" s="7">
        <v>4.1280000000000001</v>
      </c>
      <c r="N48" s="7">
        <v>4.6689999999999996</v>
      </c>
      <c r="O48" s="7">
        <v>5.4669999999999996</v>
      </c>
      <c r="P48" s="7">
        <v>5.758</v>
      </c>
      <c r="Q48" s="7">
        <v>6.367</v>
      </c>
      <c r="R48" s="7">
        <v>6.2409999999999997</v>
      </c>
      <c r="S48" s="7">
        <f t="shared" si="0"/>
        <v>5.3408333333333333</v>
      </c>
    </row>
    <row r="49" spans="1:19">
      <c r="A49" s="5" t="str">
        <f>B49&amp;"-"&amp;COUNTIF($B$2:B49,B49)</f>
        <v>ALAGOAS-26</v>
      </c>
      <c r="B49" s="5" t="s">
        <v>97</v>
      </c>
      <c r="C49" s="5" t="s">
        <v>123</v>
      </c>
      <c r="D49" s="6">
        <v>-371279</v>
      </c>
      <c r="E49" s="6">
        <v>-96735</v>
      </c>
      <c r="F49" s="7">
        <v>5.3090000000000002</v>
      </c>
      <c r="G49" s="7">
        <v>6.0670000000000002</v>
      </c>
      <c r="H49" s="7">
        <v>5.7850000000000001</v>
      </c>
      <c r="I49" s="7">
        <v>5.8109999999999999</v>
      </c>
      <c r="J49" s="7">
        <v>5.1520000000000001</v>
      </c>
      <c r="K49" s="7">
        <v>4.2789999999999999</v>
      </c>
      <c r="L49" s="7">
        <v>3.9750000000000001</v>
      </c>
      <c r="M49" s="7">
        <v>4.0970000000000004</v>
      </c>
      <c r="N49" s="7">
        <v>4.7240000000000002</v>
      </c>
      <c r="O49" s="7">
        <v>5.5039999999999996</v>
      </c>
      <c r="P49" s="7">
        <v>5.7309999999999999</v>
      </c>
      <c r="Q49" s="7">
        <v>6.3230000000000004</v>
      </c>
      <c r="R49" s="7">
        <v>6.2610000000000001</v>
      </c>
      <c r="S49" s="7">
        <f t="shared" si="0"/>
        <v>5.3090833333333336</v>
      </c>
    </row>
    <row r="50" spans="1:19">
      <c r="A50" s="5" t="str">
        <f>B50&amp;"-"&amp;COUNTIF($B$2:B50,B50)</f>
        <v>ALAGOAS-27</v>
      </c>
      <c r="B50" s="5" t="s">
        <v>97</v>
      </c>
      <c r="C50" s="5" t="s">
        <v>124</v>
      </c>
      <c r="D50" s="6">
        <v>-370017</v>
      </c>
      <c r="E50" s="6">
        <v>-96593</v>
      </c>
      <c r="F50" s="7">
        <v>5.2690000000000001</v>
      </c>
      <c r="G50" s="7">
        <v>6.0289999999999999</v>
      </c>
      <c r="H50" s="7">
        <v>5.7309999999999999</v>
      </c>
      <c r="I50" s="7">
        <v>5.7830000000000004</v>
      </c>
      <c r="J50" s="7">
        <v>5.08</v>
      </c>
      <c r="K50" s="7">
        <v>4.2370000000000001</v>
      </c>
      <c r="L50" s="7">
        <v>3.972</v>
      </c>
      <c r="M50" s="7">
        <v>4.05</v>
      </c>
      <c r="N50" s="7">
        <v>4.6459999999999999</v>
      </c>
      <c r="O50" s="7">
        <v>5.4269999999999996</v>
      </c>
      <c r="P50" s="7">
        <v>5.7110000000000003</v>
      </c>
      <c r="Q50" s="7">
        <v>6.3559999999999999</v>
      </c>
      <c r="R50" s="7">
        <v>6.2060000000000004</v>
      </c>
      <c r="S50" s="7">
        <f t="shared" si="0"/>
        <v>5.2690000000000001</v>
      </c>
    </row>
    <row r="51" spans="1:19">
      <c r="A51" s="5" t="str">
        <f>B51&amp;"-"&amp;COUNTIF($B$2:B51,B51)</f>
        <v>ALAGOAS-28</v>
      </c>
      <c r="B51" s="5" t="s">
        <v>97</v>
      </c>
      <c r="C51" s="5" t="s">
        <v>125</v>
      </c>
      <c r="D51" s="6">
        <v>-365034</v>
      </c>
      <c r="E51" s="6">
        <v>-97407</v>
      </c>
      <c r="F51" s="7">
        <v>5.29</v>
      </c>
      <c r="G51" s="7">
        <v>6.0019999999999998</v>
      </c>
      <c r="H51" s="7">
        <v>5.8090000000000002</v>
      </c>
      <c r="I51" s="7">
        <v>5.8250000000000002</v>
      </c>
      <c r="J51" s="7">
        <v>5.09</v>
      </c>
      <c r="K51" s="7">
        <v>4.2430000000000003</v>
      </c>
      <c r="L51" s="7">
        <v>3.9409999999999998</v>
      </c>
      <c r="M51" s="7">
        <v>4.04</v>
      </c>
      <c r="N51" s="7">
        <v>4.6609999999999996</v>
      </c>
      <c r="O51" s="7">
        <v>5.4509999999999996</v>
      </c>
      <c r="P51" s="7">
        <v>5.7619999999999996</v>
      </c>
      <c r="Q51" s="7">
        <v>6.3579999999999997</v>
      </c>
      <c r="R51" s="7">
        <v>6.3019999999999996</v>
      </c>
      <c r="S51" s="7">
        <f t="shared" si="0"/>
        <v>5.2903333333333338</v>
      </c>
    </row>
    <row r="52" spans="1:19">
      <c r="A52" s="5" t="str">
        <f>B52&amp;"-"&amp;COUNTIF($B$2:B52,B52)</f>
        <v>ALAGOAS-29</v>
      </c>
      <c r="B52" s="5" t="s">
        <v>97</v>
      </c>
      <c r="C52" s="5" t="s">
        <v>126</v>
      </c>
      <c r="D52" s="6">
        <v>-363081</v>
      </c>
      <c r="E52" s="6">
        <v>-96853</v>
      </c>
      <c r="F52" s="7">
        <v>5.234</v>
      </c>
      <c r="G52" s="7">
        <v>5.9279999999999999</v>
      </c>
      <c r="H52" s="7">
        <v>5.819</v>
      </c>
      <c r="I52" s="7">
        <v>5.7939999999999996</v>
      </c>
      <c r="J52" s="7">
        <v>5.0579999999999998</v>
      </c>
      <c r="K52" s="7">
        <v>4.2</v>
      </c>
      <c r="L52" s="7">
        <v>3.903</v>
      </c>
      <c r="M52" s="7">
        <v>3.9620000000000002</v>
      </c>
      <c r="N52" s="7">
        <v>4.5510000000000002</v>
      </c>
      <c r="O52" s="7">
        <v>5.3810000000000002</v>
      </c>
      <c r="P52" s="7">
        <v>5.702</v>
      </c>
      <c r="Q52" s="7">
        <v>6.2359999999999998</v>
      </c>
      <c r="R52" s="7">
        <v>6.2750000000000004</v>
      </c>
      <c r="S52" s="7">
        <f t="shared" si="0"/>
        <v>5.2340833333333334</v>
      </c>
    </row>
    <row r="53" spans="1:19">
      <c r="A53" s="5" t="str">
        <f>B53&amp;"-"&amp;COUNTIF($B$2:B53,B53)</f>
        <v>ALAGOAS-30</v>
      </c>
      <c r="B53" s="5" t="s">
        <v>97</v>
      </c>
      <c r="C53" s="5" t="s">
        <v>127</v>
      </c>
      <c r="D53" s="6">
        <v>-35897</v>
      </c>
      <c r="E53" s="6">
        <v>-97101</v>
      </c>
      <c r="F53" s="7">
        <v>5.4509999999999996</v>
      </c>
      <c r="G53" s="7">
        <v>6.1470000000000002</v>
      </c>
      <c r="H53" s="7">
        <v>6.1029999999999998</v>
      </c>
      <c r="I53" s="7">
        <v>6.0330000000000004</v>
      </c>
      <c r="J53" s="7">
        <v>5.1829999999999998</v>
      </c>
      <c r="K53" s="7">
        <v>4.4009999999999998</v>
      </c>
      <c r="L53" s="7">
        <v>4.0659999999999998</v>
      </c>
      <c r="M53" s="7">
        <v>4.2160000000000002</v>
      </c>
      <c r="N53" s="7">
        <v>4.8929999999999998</v>
      </c>
      <c r="O53" s="7">
        <v>5.5970000000000004</v>
      </c>
      <c r="P53" s="7">
        <v>6.0039999999999996</v>
      </c>
      <c r="Q53" s="7">
        <v>6.3550000000000004</v>
      </c>
      <c r="R53" s="7">
        <v>6.415</v>
      </c>
      <c r="S53" s="7">
        <f t="shared" si="0"/>
        <v>5.4510833333333339</v>
      </c>
    </row>
    <row r="54" spans="1:19">
      <c r="A54" s="5" t="str">
        <f>B54&amp;"-"&amp;COUNTIF($B$2:B54,B54)</f>
        <v>ALAGOAS-31</v>
      </c>
      <c r="B54" s="5" t="s">
        <v>97</v>
      </c>
      <c r="C54" s="5" t="s">
        <v>128</v>
      </c>
      <c r="D54" s="6">
        <v>-357018</v>
      </c>
      <c r="E54" s="6">
        <v>-96607</v>
      </c>
      <c r="F54" s="7">
        <v>5.5229999999999997</v>
      </c>
      <c r="G54" s="7">
        <v>6.173</v>
      </c>
      <c r="H54" s="7">
        <v>6.1609999999999996</v>
      </c>
      <c r="I54" s="7">
        <v>6.101</v>
      </c>
      <c r="J54" s="7">
        <v>5.2549999999999999</v>
      </c>
      <c r="K54" s="7">
        <v>4.4459999999999997</v>
      </c>
      <c r="L54" s="7">
        <v>4.1399999999999997</v>
      </c>
      <c r="M54" s="7">
        <v>4.3010000000000002</v>
      </c>
      <c r="N54" s="7">
        <v>5.0119999999999996</v>
      </c>
      <c r="O54" s="7">
        <v>5.7350000000000003</v>
      </c>
      <c r="P54" s="7">
        <v>6.0359999999999996</v>
      </c>
      <c r="Q54" s="7">
        <v>6.4059999999999997</v>
      </c>
      <c r="R54" s="7">
        <v>6.51</v>
      </c>
      <c r="S54" s="7">
        <f t="shared" si="0"/>
        <v>5.5229999999999997</v>
      </c>
    </row>
    <row r="55" spans="1:19">
      <c r="A55" s="5" t="str">
        <f>B55&amp;"-"&amp;COUNTIF($B$2:B55,B55)</f>
        <v>ALAGOAS-32</v>
      </c>
      <c r="B55" s="5" t="s">
        <v>97</v>
      </c>
      <c r="C55" s="5" t="s">
        <v>129</v>
      </c>
      <c r="D55" s="6">
        <v>-377598</v>
      </c>
      <c r="E55" s="6">
        <v>-96089</v>
      </c>
      <c r="F55" s="7">
        <v>5.4690000000000003</v>
      </c>
      <c r="G55" s="7">
        <v>6.3120000000000003</v>
      </c>
      <c r="H55" s="7">
        <v>6.0590000000000002</v>
      </c>
      <c r="I55" s="7">
        <v>5.9649999999999999</v>
      </c>
      <c r="J55" s="7">
        <v>5.3239999999999998</v>
      </c>
      <c r="K55" s="7">
        <v>4.47</v>
      </c>
      <c r="L55" s="7">
        <v>4.0659999999999998</v>
      </c>
      <c r="M55" s="7">
        <v>4.1980000000000004</v>
      </c>
      <c r="N55" s="7">
        <v>4.8339999999999996</v>
      </c>
      <c r="O55" s="7">
        <v>5.6580000000000004</v>
      </c>
      <c r="P55" s="7">
        <v>5.9580000000000002</v>
      </c>
      <c r="Q55" s="7">
        <v>6.4260000000000002</v>
      </c>
      <c r="R55" s="7">
        <v>6.3570000000000002</v>
      </c>
      <c r="S55" s="7">
        <f t="shared" si="0"/>
        <v>5.468916666666666</v>
      </c>
    </row>
    <row r="56" spans="1:19">
      <c r="A56" s="5" t="str">
        <f>B56&amp;"-"&amp;COUNTIF($B$2:B56,B56)</f>
        <v>ALAGOAS-33</v>
      </c>
      <c r="B56" s="5" t="s">
        <v>97</v>
      </c>
      <c r="C56" s="5" t="s">
        <v>130</v>
      </c>
      <c r="D56" s="6">
        <v>-373834</v>
      </c>
      <c r="E56" s="6">
        <v>-95581</v>
      </c>
      <c r="F56" s="7">
        <v>5.4050000000000002</v>
      </c>
      <c r="G56" s="7">
        <v>6.1589999999999998</v>
      </c>
      <c r="H56" s="7">
        <v>5.9710000000000001</v>
      </c>
      <c r="I56" s="7">
        <v>5.9489999999999998</v>
      </c>
      <c r="J56" s="7">
        <v>5.2720000000000002</v>
      </c>
      <c r="K56" s="7">
        <v>4.3579999999999997</v>
      </c>
      <c r="L56" s="7">
        <v>4.0119999999999996</v>
      </c>
      <c r="M56" s="7">
        <v>4.1630000000000003</v>
      </c>
      <c r="N56" s="7">
        <v>4.7370000000000001</v>
      </c>
      <c r="O56" s="7">
        <v>5.5380000000000003</v>
      </c>
      <c r="P56" s="7">
        <v>5.9189999999999996</v>
      </c>
      <c r="Q56" s="7">
        <v>6.4829999999999997</v>
      </c>
      <c r="R56" s="7">
        <v>6.298</v>
      </c>
      <c r="S56" s="7">
        <f t="shared" si="0"/>
        <v>5.4049166666666659</v>
      </c>
    </row>
    <row r="57" spans="1:19">
      <c r="A57" s="5" t="str">
        <f>B57&amp;"-"&amp;COUNTIF($B$2:B57,B57)</f>
        <v>ALAGOAS-34</v>
      </c>
      <c r="B57" s="5" t="s">
        <v>97</v>
      </c>
      <c r="C57" s="5" t="s">
        <v>131</v>
      </c>
      <c r="D57" s="6">
        <v>-372079</v>
      </c>
      <c r="E57" s="6">
        <v>-96359</v>
      </c>
      <c r="F57" s="7">
        <v>5.36</v>
      </c>
      <c r="G57" s="7">
        <v>6.1040000000000001</v>
      </c>
      <c r="H57" s="7">
        <v>5.8819999999999997</v>
      </c>
      <c r="I57" s="7">
        <v>5.92</v>
      </c>
      <c r="J57" s="7">
        <v>5.2229999999999999</v>
      </c>
      <c r="K57" s="7">
        <v>4.3550000000000004</v>
      </c>
      <c r="L57" s="7">
        <v>3.9790000000000001</v>
      </c>
      <c r="M57" s="7">
        <v>4.1239999999999997</v>
      </c>
      <c r="N57" s="7">
        <v>4.68</v>
      </c>
      <c r="O57" s="7">
        <v>5.4690000000000003</v>
      </c>
      <c r="P57" s="7">
        <v>5.85</v>
      </c>
      <c r="Q57" s="7">
        <v>6.4619999999999997</v>
      </c>
      <c r="R57" s="7">
        <v>6.2679999999999998</v>
      </c>
      <c r="S57" s="7">
        <f t="shared" si="0"/>
        <v>5.3596666666666666</v>
      </c>
    </row>
    <row r="58" spans="1:19">
      <c r="A58" s="5" t="str">
        <f>B58&amp;"-"&amp;COUNTIF($B$2:B58,B58)</f>
        <v>ALAGOAS-35</v>
      </c>
      <c r="B58" s="5" t="s">
        <v>97</v>
      </c>
      <c r="C58" s="5" t="s">
        <v>132</v>
      </c>
      <c r="D58" s="6">
        <v>-372508</v>
      </c>
      <c r="E58" s="6">
        <v>-9604</v>
      </c>
      <c r="F58" s="7">
        <v>5.36</v>
      </c>
      <c r="G58" s="7">
        <v>6.1040000000000001</v>
      </c>
      <c r="H58" s="7">
        <v>5.8819999999999997</v>
      </c>
      <c r="I58" s="7">
        <v>5.92</v>
      </c>
      <c r="J58" s="7">
        <v>5.2229999999999999</v>
      </c>
      <c r="K58" s="7">
        <v>4.3550000000000004</v>
      </c>
      <c r="L58" s="7">
        <v>3.9790000000000001</v>
      </c>
      <c r="M58" s="7">
        <v>4.1239999999999997</v>
      </c>
      <c r="N58" s="7">
        <v>4.68</v>
      </c>
      <c r="O58" s="7">
        <v>5.4690000000000003</v>
      </c>
      <c r="P58" s="7">
        <v>5.85</v>
      </c>
      <c r="Q58" s="7">
        <v>6.4619999999999997</v>
      </c>
      <c r="R58" s="7">
        <v>6.2679999999999998</v>
      </c>
      <c r="S58" s="7">
        <f t="shared" si="0"/>
        <v>5.3596666666666666</v>
      </c>
    </row>
    <row r="59" spans="1:19">
      <c r="A59" s="5" t="str">
        <f>B59&amp;"-"&amp;COUNTIF($B$2:B59,B59)</f>
        <v>ALAGOAS-36</v>
      </c>
      <c r="B59" s="5" t="s">
        <v>97</v>
      </c>
      <c r="C59" s="5" t="s">
        <v>133</v>
      </c>
      <c r="D59" s="5" t="s">
        <v>134</v>
      </c>
      <c r="E59" s="6">
        <v>-96182</v>
      </c>
      <c r="F59" s="7">
        <v>5.3890000000000002</v>
      </c>
      <c r="G59" s="7">
        <v>6.1180000000000003</v>
      </c>
      <c r="H59" s="7">
        <v>5.8490000000000002</v>
      </c>
      <c r="I59" s="7">
        <v>5.9729999999999999</v>
      </c>
      <c r="J59" s="7">
        <v>5.2350000000000003</v>
      </c>
      <c r="K59" s="7">
        <v>4.3159999999999998</v>
      </c>
      <c r="L59" s="7">
        <v>3.9820000000000002</v>
      </c>
      <c r="M59" s="7">
        <v>4.1399999999999997</v>
      </c>
      <c r="N59" s="7">
        <v>4.7279999999999998</v>
      </c>
      <c r="O59" s="7">
        <v>5.5890000000000004</v>
      </c>
      <c r="P59" s="7">
        <v>5.9130000000000003</v>
      </c>
      <c r="Q59" s="7">
        <v>6.423</v>
      </c>
      <c r="R59" s="7">
        <v>6.3959999999999999</v>
      </c>
      <c r="S59" s="7">
        <f t="shared" si="0"/>
        <v>5.3885000000000005</v>
      </c>
    </row>
    <row r="60" spans="1:19">
      <c r="A60" s="5" t="str">
        <f>B60&amp;"-"&amp;COUNTIF($B$2:B60,B60)</f>
        <v>ALAGOAS-37</v>
      </c>
      <c r="B60" s="5" t="s">
        <v>97</v>
      </c>
      <c r="C60" s="5" t="s">
        <v>135</v>
      </c>
      <c r="D60" s="6">
        <v>-365848</v>
      </c>
      <c r="E60" s="6">
        <v>-96339</v>
      </c>
      <c r="F60" s="7">
        <v>5.3390000000000004</v>
      </c>
      <c r="G60" s="7">
        <v>6.1</v>
      </c>
      <c r="H60" s="7">
        <v>5.907</v>
      </c>
      <c r="I60" s="7">
        <v>5.8769999999999998</v>
      </c>
      <c r="J60" s="7">
        <v>5.1289999999999996</v>
      </c>
      <c r="K60" s="7">
        <v>4.2569999999999997</v>
      </c>
      <c r="L60" s="7">
        <v>3.91</v>
      </c>
      <c r="M60" s="7">
        <v>4.0250000000000004</v>
      </c>
      <c r="N60" s="7">
        <v>4.649</v>
      </c>
      <c r="O60" s="7">
        <v>5.5129999999999999</v>
      </c>
      <c r="P60" s="7">
        <v>5.8609999999999998</v>
      </c>
      <c r="Q60" s="7">
        <v>6.4219999999999997</v>
      </c>
      <c r="R60" s="7">
        <v>6.4249999999999998</v>
      </c>
      <c r="S60" s="7">
        <f t="shared" si="0"/>
        <v>5.3395833333333327</v>
      </c>
    </row>
    <row r="61" spans="1:19">
      <c r="A61" s="5" t="str">
        <f>B61&amp;"-"&amp;COUNTIF($B$2:B61,B61)</f>
        <v>ALAGOAS-38</v>
      </c>
      <c r="B61" s="5" t="s">
        <v>97</v>
      </c>
      <c r="C61" s="5" t="s">
        <v>136</v>
      </c>
      <c r="D61" s="6">
        <v>-364907</v>
      </c>
      <c r="E61" s="6">
        <v>-95709</v>
      </c>
      <c r="F61" s="7">
        <v>5.2469999999999999</v>
      </c>
      <c r="G61" s="7">
        <v>5.9889999999999999</v>
      </c>
      <c r="H61" s="7">
        <v>5.835</v>
      </c>
      <c r="I61" s="7">
        <v>5.7770000000000001</v>
      </c>
      <c r="J61" s="7">
        <v>5.1150000000000002</v>
      </c>
      <c r="K61" s="7">
        <v>4.1980000000000004</v>
      </c>
      <c r="L61" s="7">
        <v>3.8340000000000001</v>
      </c>
      <c r="M61" s="7">
        <v>3.9249999999999998</v>
      </c>
      <c r="N61" s="7">
        <v>4.5510000000000002</v>
      </c>
      <c r="O61" s="7">
        <v>5.3769999999999998</v>
      </c>
      <c r="P61" s="7">
        <v>5.718</v>
      </c>
      <c r="Q61" s="7">
        <v>6.3310000000000004</v>
      </c>
      <c r="R61" s="7">
        <v>6.3140000000000001</v>
      </c>
      <c r="S61" s="7">
        <f t="shared" si="0"/>
        <v>5.2470000000000008</v>
      </c>
    </row>
    <row r="62" spans="1:19">
      <c r="A62" s="5" t="str">
        <f>B62&amp;"-"&amp;COUNTIF($B$2:B62,B62)</f>
        <v>ALAGOAS-39</v>
      </c>
      <c r="B62" s="5" t="s">
        <v>97</v>
      </c>
      <c r="C62" s="5" t="s">
        <v>137</v>
      </c>
      <c r="D62" s="6">
        <v>-364931</v>
      </c>
      <c r="E62" s="6">
        <v>-96457</v>
      </c>
      <c r="F62" s="7">
        <v>5.2469999999999999</v>
      </c>
      <c r="G62" s="7">
        <v>5.9889999999999999</v>
      </c>
      <c r="H62" s="7">
        <v>5.835</v>
      </c>
      <c r="I62" s="7">
        <v>5.7770000000000001</v>
      </c>
      <c r="J62" s="7">
        <v>5.1150000000000002</v>
      </c>
      <c r="K62" s="7">
        <v>4.1980000000000004</v>
      </c>
      <c r="L62" s="7">
        <v>3.8340000000000001</v>
      </c>
      <c r="M62" s="7">
        <v>3.9249999999999998</v>
      </c>
      <c r="N62" s="7">
        <v>4.5510000000000002</v>
      </c>
      <c r="O62" s="7">
        <v>5.3769999999999998</v>
      </c>
      <c r="P62" s="7">
        <v>5.718</v>
      </c>
      <c r="Q62" s="7">
        <v>6.3310000000000004</v>
      </c>
      <c r="R62" s="7">
        <v>6.3140000000000001</v>
      </c>
      <c r="S62" s="7">
        <f t="shared" si="0"/>
        <v>5.2470000000000008</v>
      </c>
    </row>
    <row r="63" spans="1:19">
      <c r="A63" s="5" t="str">
        <f>B63&amp;"-"&amp;COUNTIF($B$2:B63,B63)</f>
        <v>ALAGOAS-40</v>
      </c>
      <c r="B63" s="5" t="s">
        <v>97</v>
      </c>
      <c r="C63" s="5" t="s">
        <v>138</v>
      </c>
      <c r="D63" s="6">
        <v>-363048</v>
      </c>
      <c r="E63" s="6">
        <v>-9584</v>
      </c>
      <c r="F63" s="7">
        <v>5.2329999999999997</v>
      </c>
      <c r="G63" s="7">
        <v>5.9580000000000002</v>
      </c>
      <c r="H63" s="7">
        <v>5.7990000000000004</v>
      </c>
      <c r="I63" s="7">
        <v>5.7720000000000002</v>
      </c>
      <c r="J63" s="7">
        <v>5.0810000000000004</v>
      </c>
      <c r="K63" s="7">
        <v>4.1980000000000004</v>
      </c>
      <c r="L63" s="7">
        <v>3.8319999999999999</v>
      </c>
      <c r="M63" s="7">
        <v>3.9239999999999999</v>
      </c>
      <c r="N63" s="7">
        <v>4.532</v>
      </c>
      <c r="O63" s="7">
        <v>5.3929999999999998</v>
      </c>
      <c r="P63" s="7">
        <v>5.7290000000000001</v>
      </c>
      <c r="Q63" s="7">
        <v>6.2949999999999999</v>
      </c>
      <c r="R63" s="7">
        <v>6.2830000000000004</v>
      </c>
      <c r="S63" s="7">
        <f t="shared" si="0"/>
        <v>5.2330000000000005</v>
      </c>
    </row>
    <row r="64" spans="1:19">
      <c r="A64" s="5" t="str">
        <f>B64&amp;"-"&amp;COUNTIF($B$2:B64,B64)</f>
        <v>ALAGOAS-41</v>
      </c>
      <c r="B64" s="5" t="s">
        <v>97</v>
      </c>
      <c r="C64" s="5" t="s">
        <v>139</v>
      </c>
      <c r="D64" s="6">
        <v>-362128</v>
      </c>
      <c r="E64" s="6">
        <v>-96435</v>
      </c>
      <c r="F64" s="7">
        <v>5.1470000000000002</v>
      </c>
      <c r="G64" s="7">
        <v>5.84</v>
      </c>
      <c r="H64" s="7">
        <v>5.6970000000000001</v>
      </c>
      <c r="I64" s="7">
        <v>5.7510000000000003</v>
      </c>
      <c r="J64" s="7">
        <v>4.9809999999999999</v>
      </c>
      <c r="K64" s="7">
        <v>4.1440000000000001</v>
      </c>
      <c r="L64" s="7">
        <v>3.7730000000000001</v>
      </c>
      <c r="M64" s="7">
        <v>3.8809999999999998</v>
      </c>
      <c r="N64" s="7">
        <v>4.431</v>
      </c>
      <c r="O64" s="7">
        <v>5.3029999999999999</v>
      </c>
      <c r="P64" s="7">
        <v>5.6059999999999999</v>
      </c>
      <c r="Q64" s="7">
        <v>6.1980000000000004</v>
      </c>
      <c r="R64" s="7">
        <v>6.1539999999999999</v>
      </c>
      <c r="S64" s="7">
        <f t="shared" si="0"/>
        <v>5.1465833333333322</v>
      </c>
    </row>
    <row r="65" spans="1:19">
      <c r="A65" s="5" t="str">
        <f>B65&amp;"-"&amp;COUNTIF($B$2:B65,B65)</f>
        <v>ALAGOAS-42</v>
      </c>
      <c r="B65" s="5" t="s">
        <v>97</v>
      </c>
      <c r="C65" s="5" t="s">
        <v>140</v>
      </c>
      <c r="D65" s="6">
        <v>-359546</v>
      </c>
      <c r="E65" s="6">
        <v>-96018</v>
      </c>
      <c r="F65" s="7">
        <v>5.3070000000000004</v>
      </c>
      <c r="G65" s="7">
        <v>5.9770000000000003</v>
      </c>
      <c r="H65" s="7">
        <v>5.9180000000000001</v>
      </c>
      <c r="I65" s="7">
        <v>5.8769999999999998</v>
      </c>
      <c r="J65" s="7">
        <v>5.0970000000000004</v>
      </c>
      <c r="K65" s="7">
        <v>4.3129999999999997</v>
      </c>
      <c r="L65" s="7">
        <v>3.984</v>
      </c>
      <c r="M65" s="7">
        <v>4.1020000000000003</v>
      </c>
      <c r="N65" s="7">
        <v>4.7050000000000001</v>
      </c>
      <c r="O65" s="7">
        <v>5.4939999999999998</v>
      </c>
      <c r="P65" s="7">
        <v>5.76</v>
      </c>
      <c r="Q65" s="7">
        <v>6.2380000000000004</v>
      </c>
      <c r="R65" s="7">
        <v>6.22</v>
      </c>
      <c r="S65" s="7">
        <f t="shared" si="0"/>
        <v>5.3070833333333329</v>
      </c>
    </row>
    <row r="66" spans="1:19">
      <c r="A66" s="5" t="str">
        <f>B66&amp;"-"&amp;COUNTIF($B$2:B66,B66)</f>
        <v>ALAGOAS-43</v>
      </c>
      <c r="B66" s="5" t="s">
        <v>97</v>
      </c>
      <c r="C66" s="5" t="s">
        <v>141</v>
      </c>
      <c r="D66" s="6">
        <v>-35823</v>
      </c>
      <c r="E66" s="6">
        <v>-95695</v>
      </c>
      <c r="F66" s="7">
        <v>5.36</v>
      </c>
      <c r="G66" s="7">
        <v>6.0469999999999997</v>
      </c>
      <c r="H66" s="7">
        <v>6.0149999999999997</v>
      </c>
      <c r="I66" s="7">
        <v>5.95</v>
      </c>
      <c r="J66" s="7">
        <v>5.0869999999999997</v>
      </c>
      <c r="K66" s="7">
        <v>4.306</v>
      </c>
      <c r="L66" s="7">
        <v>4.008</v>
      </c>
      <c r="M66" s="7">
        <v>4.1369999999999996</v>
      </c>
      <c r="N66" s="7">
        <v>4.7610000000000001</v>
      </c>
      <c r="O66" s="7">
        <v>5.5149999999999997</v>
      </c>
      <c r="P66" s="7">
        <v>5.875</v>
      </c>
      <c r="Q66" s="7">
        <v>6.3070000000000004</v>
      </c>
      <c r="R66" s="7">
        <v>6.31</v>
      </c>
      <c r="S66" s="7">
        <f t="shared" si="0"/>
        <v>5.3598333333333334</v>
      </c>
    </row>
    <row r="67" spans="1:19">
      <c r="A67" s="5" t="str">
        <f>B67&amp;"-"&amp;COUNTIF($B$2:B67,B67)</f>
        <v>ALAGOAS-44</v>
      </c>
      <c r="B67" s="5" t="s">
        <v>97</v>
      </c>
      <c r="C67" s="5" t="s">
        <v>142</v>
      </c>
      <c r="D67" s="6">
        <v>-358235</v>
      </c>
      <c r="E67" s="6">
        <v>-96041</v>
      </c>
      <c r="F67" s="7">
        <v>5.36</v>
      </c>
      <c r="G67" s="7">
        <v>6.0469999999999997</v>
      </c>
      <c r="H67" s="7">
        <v>6.0149999999999997</v>
      </c>
      <c r="I67" s="7">
        <v>5.95</v>
      </c>
      <c r="J67" s="7">
        <v>5.0869999999999997</v>
      </c>
      <c r="K67" s="7">
        <v>4.306</v>
      </c>
      <c r="L67" s="7">
        <v>4.008</v>
      </c>
      <c r="M67" s="7">
        <v>4.1369999999999996</v>
      </c>
      <c r="N67" s="7">
        <v>4.7610000000000001</v>
      </c>
      <c r="O67" s="7">
        <v>5.5149999999999997</v>
      </c>
      <c r="P67" s="7">
        <v>5.875</v>
      </c>
      <c r="Q67" s="7">
        <v>6.3070000000000004</v>
      </c>
      <c r="R67" s="7">
        <v>6.31</v>
      </c>
      <c r="S67" s="7">
        <f t="shared" ref="S67:S130" si="1">(G67+H67+I67+J67+K67+L67+M67+N67+O67+P67+Q67+R67)/12</f>
        <v>5.3598333333333334</v>
      </c>
    </row>
    <row r="68" spans="1:19">
      <c r="A68" s="5" t="str">
        <f>B68&amp;"-"&amp;COUNTIF($B$2:B68,B68)</f>
        <v>ALAGOAS-45</v>
      </c>
      <c r="B68" s="5" t="s">
        <v>97</v>
      </c>
      <c r="C68" s="5" t="s">
        <v>143</v>
      </c>
      <c r="D68" s="6">
        <v>-357997</v>
      </c>
      <c r="E68" s="6">
        <v>-96376</v>
      </c>
      <c r="F68" s="7">
        <v>5.36</v>
      </c>
      <c r="G68" s="7">
        <v>6.0469999999999997</v>
      </c>
      <c r="H68" s="7">
        <v>6.0149999999999997</v>
      </c>
      <c r="I68" s="7">
        <v>5.95</v>
      </c>
      <c r="J68" s="7">
        <v>5.0869999999999997</v>
      </c>
      <c r="K68" s="7">
        <v>4.306</v>
      </c>
      <c r="L68" s="7">
        <v>4.008</v>
      </c>
      <c r="M68" s="7">
        <v>4.1369999999999996</v>
      </c>
      <c r="N68" s="7">
        <v>4.7610000000000001</v>
      </c>
      <c r="O68" s="7">
        <v>5.5149999999999997</v>
      </c>
      <c r="P68" s="7">
        <v>5.875</v>
      </c>
      <c r="Q68" s="7">
        <v>6.3070000000000004</v>
      </c>
      <c r="R68" s="7">
        <v>6.31</v>
      </c>
      <c r="S68" s="7">
        <f t="shared" si="1"/>
        <v>5.3598333333333334</v>
      </c>
    </row>
    <row r="69" spans="1:19">
      <c r="A69" s="5" t="str">
        <f>B69&amp;"-"&amp;COUNTIF($B$2:B69,B69)</f>
        <v>ALAGOAS-46</v>
      </c>
      <c r="B69" s="5" t="s">
        <v>97</v>
      </c>
      <c r="C69" s="5" t="s">
        <v>144</v>
      </c>
      <c r="D69" s="6">
        <v>-37827</v>
      </c>
      <c r="E69" s="6">
        <v>-95037</v>
      </c>
      <c r="F69" s="7">
        <v>5.484</v>
      </c>
      <c r="G69" s="7">
        <v>6.3159999999999998</v>
      </c>
      <c r="H69" s="7">
        <v>6.0839999999999996</v>
      </c>
      <c r="I69" s="7">
        <v>5.9779999999999998</v>
      </c>
      <c r="J69" s="7">
        <v>5.3289999999999997</v>
      </c>
      <c r="K69" s="7">
        <v>4.468</v>
      </c>
      <c r="L69" s="7">
        <v>4.0789999999999997</v>
      </c>
      <c r="M69" s="7">
        <v>4.194</v>
      </c>
      <c r="N69" s="7">
        <v>4.8440000000000003</v>
      </c>
      <c r="O69" s="7">
        <v>5.6840000000000002</v>
      </c>
      <c r="P69" s="7">
        <v>5.9580000000000002</v>
      </c>
      <c r="Q69" s="7">
        <v>6.4859999999999998</v>
      </c>
      <c r="R69" s="7">
        <v>6.3849999999999998</v>
      </c>
      <c r="S69" s="7">
        <f t="shared" si="1"/>
        <v>5.4837499999999997</v>
      </c>
    </row>
    <row r="70" spans="1:19">
      <c r="A70" s="5" t="str">
        <f>B70&amp;"-"&amp;COUNTIF($B$2:B70,B70)</f>
        <v>ALAGOAS-47</v>
      </c>
      <c r="B70" s="5" t="s">
        <v>97</v>
      </c>
      <c r="C70" s="5" t="s">
        <v>145</v>
      </c>
      <c r="D70" s="6">
        <v>-374579</v>
      </c>
      <c r="E70" s="6">
        <v>-94703</v>
      </c>
      <c r="F70" s="7">
        <v>5.423</v>
      </c>
      <c r="G70" s="7">
        <v>6.1680000000000001</v>
      </c>
      <c r="H70" s="7">
        <v>6.0030000000000001</v>
      </c>
      <c r="I70" s="7">
        <v>5.9429999999999996</v>
      </c>
      <c r="J70" s="7">
        <v>5.2549999999999999</v>
      </c>
      <c r="K70" s="7">
        <v>4.38</v>
      </c>
      <c r="L70" s="7">
        <v>4.0129999999999999</v>
      </c>
      <c r="M70" s="7">
        <v>4.1449999999999996</v>
      </c>
      <c r="N70" s="7">
        <v>4.7750000000000004</v>
      </c>
      <c r="O70" s="7">
        <v>5.6130000000000004</v>
      </c>
      <c r="P70" s="7">
        <v>5.9539999999999997</v>
      </c>
      <c r="Q70" s="7">
        <v>6.4850000000000003</v>
      </c>
      <c r="R70" s="7">
        <v>6.343</v>
      </c>
      <c r="S70" s="7">
        <f t="shared" si="1"/>
        <v>5.4230833333333335</v>
      </c>
    </row>
    <row r="71" spans="1:19">
      <c r="A71" s="5" t="str">
        <f>B71&amp;"-"&amp;COUNTIF($B$2:B71,B71)</f>
        <v>ALAGOAS-48</v>
      </c>
      <c r="B71" s="5" t="s">
        <v>97</v>
      </c>
      <c r="C71" s="5" t="s">
        <v>146</v>
      </c>
      <c r="D71" s="6">
        <v>-373759</v>
      </c>
      <c r="E71" s="6">
        <v>-94837</v>
      </c>
      <c r="F71" s="7">
        <v>5.4340000000000002</v>
      </c>
      <c r="G71" s="7">
        <v>6.1390000000000002</v>
      </c>
      <c r="H71" s="7">
        <v>5.9619999999999997</v>
      </c>
      <c r="I71" s="7">
        <v>5.9870000000000001</v>
      </c>
      <c r="J71" s="7">
        <v>5.3029999999999999</v>
      </c>
      <c r="K71" s="7">
        <v>4.3840000000000003</v>
      </c>
      <c r="L71" s="7">
        <v>4.0129999999999999</v>
      </c>
      <c r="M71" s="7">
        <v>4.1379999999999999</v>
      </c>
      <c r="N71" s="7">
        <v>4.7809999999999997</v>
      </c>
      <c r="O71" s="7">
        <v>5.63</v>
      </c>
      <c r="P71" s="7">
        <v>5.98</v>
      </c>
      <c r="Q71" s="7">
        <v>6.5469999999999997</v>
      </c>
      <c r="R71" s="7">
        <v>6.3390000000000004</v>
      </c>
      <c r="S71" s="7">
        <f t="shared" si="1"/>
        <v>5.4335833333333339</v>
      </c>
    </row>
    <row r="72" spans="1:19">
      <c r="A72" s="5" t="str">
        <f>B72&amp;"-"&amp;COUNTIF($B$2:B72,B72)</f>
        <v>ALAGOAS-49</v>
      </c>
      <c r="B72" s="5" t="s">
        <v>97</v>
      </c>
      <c r="C72" s="5" t="s">
        <v>147</v>
      </c>
      <c r="D72" s="6">
        <v>-372958</v>
      </c>
      <c r="E72" s="6">
        <v>-95335</v>
      </c>
      <c r="F72" s="7">
        <v>5.415</v>
      </c>
      <c r="G72" s="7">
        <v>6.141</v>
      </c>
      <c r="H72" s="7">
        <v>5.9379999999999997</v>
      </c>
      <c r="I72" s="7">
        <v>6.01</v>
      </c>
      <c r="J72" s="7">
        <v>5.27</v>
      </c>
      <c r="K72" s="7">
        <v>4.375</v>
      </c>
      <c r="L72" s="7">
        <v>3.992</v>
      </c>
      <c r="M72" s="7">
        <v>4.1079999999999997</v>
      </c>
      <c r="N72" s="7">
        <v>4.7279999999999998</v>
      </c>
      <c r="O72" s="7">
        <v>5.5720000000000001</v>
      </c>
      <c r="P72" s="7">
        <v>5.9550000000000001</v>
      </c>
      <c r="Q72" s="7">
        <v>6.5419999999999998</v>
      </c>
      <c r="R72" s="7">
        <v>6.3470000000000004</v>
      </c>
      <c r="S72" s="7">
        <f t="shared" si="1"/>
        <v>5.4148333333333332</v>
      </c>
    </row>
    <row r="73" spans="1:19">
      <c r="A73" s="5" t="str">
        <f>B73&amp;"-"&amp;COUNTIF($B$2:B73,B73)</f>
        <v>ALAGOAS-50</v>
      </c>
      <c r="B73" s="5" t="s">
        <v>97</v>
      </c>
      <c r="C73" s="5" t="s">
        <v>148</v>
      </c>
      <c r="D73" s="6">
        <v>-371912</v>
      </c>
      <c r="E73" s="6">
        <v>-95181</v>
      </c>
      <c r="F73" s="7">
        <v>5.3840000000000003</v>
      </c>
      <c r="G73" s="7">
        <v>6.18</v>
      </c>
      <c r="H73" s="7">
        <v>5.9219999999999997</v>
      </c>
      <c r="I73" s="7">
        <v>5.9720000000000004</v>
      </c>
      <c r="J73" s="7">
        <v>5.1980000000000004</v>
      </c>
      <c r="K73" s="7">
        <v>4.3410000000000002</v>
      </c>
      <c r="L73" s="7">
        <v>3.9649999999999999</v>
      </c>
      <c r="M73" s="7">
        <v>4.0860000000000003</v>
      </c>
      <c r="N73" s="7">
        <v>4.6609999999999996</v>
      </c>
      <c r="O73" s="7">
        <v>5.5069999999999997</v>
      </c>
      <c r="P73" s="7">
        <v>5.9359999999999999</v>
      </c>
      <c r="Q73" s="7">
        <v>6.5019999999999998</v>
      </c>
      <c r="R73" s="7">
        <v>6.3390000000000004</v>
      </c>
      <c r="S73" s="7">
        <f t="shared" si="1"/>
        <v>5.3840833333333338</v>
      </c>
    </row>
    <row r="74" spans="1:19">
      <c r="A74" s="5" t="str">
        <f>B74&amp;"-"&amp;COUNTIF($B$2:B74,B74)</f>
        <v>ALAGOAS-51</v>
      </c>
      <c r="B74" s="5" t="s">
        <v>97</v>
      </c>
      <c r="C74" s="5" t="s">
        <v>149</v>
      </c>
      <c r="D74" s="6">
        <v>-369869</v>
      </c>
      <c r="E74" s="6">
        <v>-95339</v>
      </c>
      <c r="F74" s="7">
        <v>5.3609999999999998</v>
      </c>
      <c r="G74" s="7">
        <v>6.1269999999999998</v>
      </c>
      <c r="H74" s="7">
        <v>5.8280000000000003</v>
      </c>
      <c r="I74" s="7">
        <v>5.9169999999999998</v>
      </c>
      <c r="J74" s="7">
        <v>5.1929999999999996</v>
      </c>
      <c r="K74" s="7">
        <v>4.3159999999999998</v>
      </c>
      <c r="L74" s="7">
        <v>3.956</v>
      </c>
      <c r="M74" s="7">
        <v>4.0940000000000003</v>
      </c>
      <c r="N74" s="7">
        <v>4.6689999999999996</v>
      </c>
      <c r="O74" s="7">
        <v>5.5030000000000001</v>
      </c>
      <c r="P74" s="7">
        <v>5.8929999999999998</v>
      </c>
      <c r="Q74" s="7">
        <v>6.468</v>
      </c>
      <c r="R74" s="7">
        <v>6.37</v>
      </c>
      <c r="S74" s="7">
        <f t="shared" si="1"/>
        <v>5.3611666666666666</v>
      </c>
    </row>
    <row r="75" spans="1:19">
      <c r="A75" s="5" t="str">
        <f>B75&amp;"-"&amp;COUNTIF($B$2:B75,B75)</f>
        <v>ALAGOAS-52</v>
      </c>
      <c r="B75" s="5" t="s">
        <v>97</v>
      </c>
      <c r="C75" s="5" t="s">
        <v>150</v>
      </c>
      <c r="D75" s="6">
        <v>-366375</v>
      </c>
      <c r="E75" s="6">
        <v>-95381</v>
      </c>
      <c r="F75" s="7">
        <v>5.3639999999999999</v>
      </c>
      <c r="G75" s="7">
        <v>6.0780000000000003</v>
      </c>
      <c r="H75" s="7">
        <v>5.8609999999999998</v>
      </c>
      <c r="I75" s="7">
        <v>5.9189999999999996</v>
      </c>
      <c r="J75" s="7">
        <v>5.194</v>
      </c>
      <c r="K75" s="7">
        <v>4.3099999999999996</v>
      </c>
      <c r="L75" s="7">
        <v>3.95</v>
      </c>
      <c r="M75" s="7">
        <v>4.0730000000000004</v>
      </c>
      <c r="N75" s="7">
        <v>4.7030000000000003</v>
      </c>
      <c r="O75" s="7">
        <v>5.5389999999999997</v>
      </c>
      <c r="P75" s="7">
        <v>5.883</v>
      </c>
      <c r="Q75" s="7">
        <v>6.47</v>
      </c>
      <c r="R75" s="7">
        <v>6.3860000000000001</v>
      </c>
      <c r="S75" s="7">
        <f t="shared" si="1"/>
        <v>5.363833333333333</v>
      </c>
    </row>
    <row r="76" spans="1:19">
      <c r="A76" s="5" t="str">
        <f>B76&amp;"-"&amp;COUNTIF($B$2:B76,B76)</f>
        <v>ALAGOAS-53</v>
      </c>
      <c r="B76" s="5" t="s">
        <v>97</v>
      </c>
      <c r="C76" s="5" t="s">
        <v>151</v>
      </c>
      <c r="D76" s="6">
        <v>-364334</v>
      </c>
      <c r="E76" s="6">
        <v>-95348</v>
      </c>
      <c r="F76" s="7">
        <v>5.2850000000000001</v>
      </c>
      <c r="G76" s="7">
        <v>5.992</v>
      </c>
      <c r="H76" s="7">
        <v>5.84</v>
      </c>
      <c r="I76" s="7">
        <v>5.8159999999999998</v>
      </c>
      <c r="J76" s="7">
        <v>5.1079999999999997</v>
      </c>
      <c r="K76" s="7">
        <v>4.2469999999999999</v>
      </c>
      <c r="L76" s="7">
        <v>3.84</v>
      </c>
      <c r="M76" s="7">
        <v>3.9409999999999998</v>
      </c>
      <c r="N76" s="7">
        <v>4.5910000000000002</v>
      </c>
      <c r="O76" s="7">
        <v>5.4640000000000004</v>
      </c>
      <c r="P76" s="7">
        <v>5.8259999999999996</v>
      </c>
      <c r="Q76" s="7">
        <v>6.4260000000000002</v>
      </c>
      <c r="R76" s="7">
        <v>6.3289999999999997</v>
      </c>
      <c r="S76" s="7">
        <f t="shared" si="1"/>
        <v>5.2850000000000001</v>
      </c>
    </row>
    <row r="77" spans="1:19">
      <c r="A77" s="5" t="str">
        <f>B77&amp;"-"&amp;COUNTIF($B$2:B77,B77)</f>
        <v>ALAGOAS-54</v>
      </c>
      <c r="B77" s="5" t="s">
        <v>97</v>
      </c>
      <c r="C77" s="5" t="s">
        <v>152</v>
      </c>
      <c r="D77" s="6">
        <v>-362921</v>
      </c>
      <c r="E77" s="6">
        <v>-94743</v>
      </c>
      <c r="F77" s="7">
        <v>5.1429999999999998</v>
      </c>
      <c r="G77" s="7">
        <v>5.8140000000000001</v>
      </c>
      <c r="H77" s="7">
        <v>5.734</v>
      </c>
      <c r="I77" s="7">
        <v>5.7480000000000002</v>
      </c>
      <c r="J77" s="7">
        <v>5.0140000000000002</v>
      </c>
      <c r="K77" s="7">
        <v>4.1660000000000004</v>
      </c>
      <c r="L77" s="7">
        <v>3.7509999999999999</v>
      </c>
      <c r="M77" s="7">
        <v>3.8849999999999998</v>
      </c>
      <c r="N77" s="7">
        <v>4.431</v>
      </c>
      <c r="O77" s="7">
        <v>5.2830000000000004</v>
      </c>
      <c r="P77" s="7">
        <v>5.6230000000000002</v>
      </c>
      <c r="Q77" s="7">
        <v>6.1580000000000004</v>
      </c>
      <c r="R77" s="7">
        <v>6.1130000000000004</v>
      </c>
      <c r="S77" s="7">
        <f t="shared" si="1"/>
        <v>5.1433333333333335</v>
      </c>
    </row>
    <row r="78" spans="1:19">
      <c r="A78" s="5" t="str">
        <f>B78&amp;"-"&amp;COUNTIF($B$2:B78,B78)</f>
        <v>ALAGOAS-55</v>
      </c>
      <c r="B78" s="5" t="s">
        <v>97</v>
      </c>
      <c r="C78" s="5" t="s">
        <v>153</v>
      </c>
      <c r="D78" s="6">
        <v>-360088</v>
      </c>
      <c r="E78" s="6">
        <v>-95123</v>
      </c>
      <c r="F78" s="7">
        <v>5.2119999999999997</v>
      </c>
      <c r="G78" s="7">
        <v>5.8730000000000002</v>
      </c>
      <c r="H78" s="7">
        <v>5.7939999999999996</v>
      </c>
      <c r="I78" s="7">
        <v>5.7930000000000001</v>
      </c>
      <c r="J78" s="7">
        <v>5.0990000000000002</v>
      </c>
      <c r="K78" s="7">
        <v>4.2450000000000001</v>
      </c>
      <c r="L78" s="7">
        <v>3.92</v>
      </c>
      <c r="M78" s="7">
        <v>4.0030000000000001</v>
      </c>
      <c r="N78" s="7">
        <v>4.5789999999999997</v>
      </c>
      <c r="O78" s="7">
        <v>5.3789999999999996</v>
      </c>
      <c r="P78" s="7">
        <v>5.6120000000000001</v>
      </c>
      <c r="Q78" s="7">
        <v>6.1150000000000002</v>
      </c>
      <c r="R78" s="7">
        <v>6.1319999999999997</v>
      </c>
      <c r="S78" s="7">
        <f t="shared" si="1"/>
        <v>5.2120000000000006</v>
      </c>
    </row>
    <row r="79" spans="1:19">
      <c r="A79" s="5" t="str">
        <f>B79&amp;"-"&amp;COUNTIF($B$2:B79,B79)</f>
        <v>ALAGOAS-56</v>
      </c>
      <c r="B79" s="5" t="s">
        <v>97</v>
      </c>
      <c r="C79" s="5" t="s">
        <v>154</v>
      </c>
      <c r="D79" s="6">
        <v>-358397</v>
      </c>
      <c r="E79" s="6">
        <v>-94783</v>
      </c>
      <c r="F79" s="7">
        <v>5.2430000000000003</v>
      </c>
      <c r="G79" s="7">
        <v>5.8970000000000002</v>
      </c>
      <c r="H79" s="7">
        <v>5.8689999999999998</v>
      </c>
      <c r="I79" s="7">
        <v>5.8259999999999996</v>
      </c>
      <c r="J79" s="7">
        <v>5.0279999999999996</v>
      </c>
      <c r="K79" s="7">
        <v>4.2160000000000002</v>
      </c>
      <c r="L79" s="7">
        <v>3.9550000000000001</v>
      </c>
      <c r="M79" s="7">
        <v>4.0549999999999997</v>
      </c>
      <c r="N79" s="7">
        <v>4.6390000000000002</v>
      </c>
      <c r="O79" s="7">
        <v>5.399</v>
      </c>
      <c r="P79" s="7">
        <v>5.694</v>
      </c>
      <c r="Q79" s="7">
        <v>6.1859999999999999</v>
      </c>
      <c r="R79" s="7">
        <v>6.1509999999999998</v>
      </c>
      <c r="S79" s="7">
        <f t="shared" si="1"/>
        <v>5.2429166666666669</v>
      </c>
    </row>
    <row r="80" spans="1:19">
      <c r="A80" s="5" t="str">
        <f>B80&amp;"-"&amp;COUNTIF($B$2:B80,B80)</f>
        <v>ALAGOAS-57</v>
      </c>
      <c r="B80" s="5" t="s">
        <v>97</v>
      </c>
      <c r="C80" s="5" t="s">
        <v>155</v>
      </c>
      <c r="D80" s="6">
        <v>-355523</v>
      </c>
      <c r="E80" s="6">
        <v>-94636</v>
      </c>
      <c r="F80" s="7">
        <v>5.5460000000000003</v>
      </c>
      <c r="G80" s="7">
        <v>6.1660000000000004</v>
      </c>
      <c r="H80" s="7">
        <v>6.1479999999999997</v>
      </c>
      <c r="I80" s="7">
        <v>6.157</v>
      </c>
      <c r="J80" s="7">
        <v>5.2519999999999998</v>
      </c>
      <c r="K80" s="7">
        <v>4.4779999999999998</v>
      </c>
      <c r="L80" s="7">
        <v>4.165</v>
      </c>
      <c r="M80" s="7">
        <v>4.3040000000000003</v>
      </c>
      <c r="N80" s="7">
        <v>5.0069999999999997</v>
      </c>
      <c r="O80" s="7">
        <v>5.798</v>
      </c>
      <c r="P80" s="7">
        <v>6.0960000000000001</v>
      </c>
      <c r="Q80" s="7">
        <v>6.49</v>
      </c>
      <c r="R80" s="7">
        <v>6.4939999999999998</v>
      </c>
      <c r="S80" s="7">
        <f t="shared" si="1"/>
        <v>5.5462500000000006</v>
      </c>
    </row>
    <row r="81" spans="1:19">
      <c r="A81" s="5" t="str">
        <f>B81&amp;"-"&amp;COUNTIF($B$2:B81,B81)</f>
        <v>ALAGOAS-58</v>
      </c>
      <c r="B81" s="5" t="s">
        <v>97</v>
      </c>
      <c r="C81" s="5" t="s">
        <v>156</v>
      </c>
      <c r="D81" s="6">
        <v>-37999</v>
      </c>
      <c r="E81" s="6">
        <v>-93858</v>
      </c>
      <c r="F81" s="7">
        <v>5.4669999999999996</v>
      </c>
      <c r="G81" s="7">
        <v>6.3170000000000002</v>
      </c>
      <c r="H81" s="7">
        <v>6.0640000000000001</v>
      </c>
      <c r="I81" s="7">
        <v>5.9610000000000003</v>
      </c>
      <c r="J81" s="7">
        <v>5.2779999999999996</v>
      </c>
      <c r="K81" s="7">
        <v>4.4370000000000003</v>
      </c>
      <c r="L81" s="7">
        <v>4.0220000000000002</v>
      </c>
      <c r="M81" s="7">
        <v>4.1609999999999996</v>
      </c>
      <c r="N81" s="7">
        <v>4.78</v>
      </c>
      <c r="O81" s="7">
        <v>5.6859999999999999</v>
      </c>
      <c r="P81" s="7">
        <v>5.9930000000000003</v>
      </c>
      <c r="Q81" s="7">
        <v>6.5110000000000001</v>
      </c>
      <c r="R81" s="7">
        <v>6.3890000000000002</v>
      </c>
      <c r="S81" s="7">
        <f t="shared" si="1"/>
        <v>5.4665833333333333</v>
      </c>
    </row>
    <row r="82" spans="1:19">
      <c r="A82" s="5" t="str">
        <f>B82&amp;"-"&amp;COUNTIF($B$2:B82,B82)</f>
        <v>ALAGOAS-59</v>
      </c>
      <c r="B82" s="5" t="s">
        <v>97</v>
      </c>
      <c r="C82" s="5" t="s">
        <v>157</v>
      </c>
      <c r="D82" s="6">
        <v>-372483</v>
      </c>
      <c r="E82" s="6">
        <v>-93704</v>
      </c>
      <c r="F82" s="7">
        <v>5.4619999999999997</v>
      </c>
      <c r="G82" s="7">
        <v>6.2060000000000004</v>
      </c>
      <c r="H82" s="7">
        <v>5.9960000000000004</v>
      </c>
      <c r="I82" s="7">
        <v>6.0609999999999999</v>
      </c>
      <c r="J82" s="7">
        <v>5.3049999999999997</v>
      </c>
      <c r="K82" s="7">
        <v>4.4130000000000003</v>
      </c>
      <c r="L82" s="7">
        <v>4.0110000000000001</v>
      </c>
      <c r="M82" s="7">
        <v>4.1340000000000003</v>
      </c>
      <c r="N82" s="7">
        <v>4.76</v>
      </c>
      <c r="O82" s="7">
        <v>5.6159999999999997</v>
      </c>
      <c r="P82" s="7">
        <v>6.0519999999999996</v>
      </c>
      <c r="Q82" s="7">
        <v>6.5670000000000002</v>
      </c>
      <c r="R82" s="7">
        <v>6.4219999999999997</v>
      </c>
      <c r="S82" s="7">
        <f t="shared" si="1"/>
        <v>5.4619166666666672</v>
      </c>
    </row>
    <row r="83" spans="1:19">
      <c r="A83" s="5" t="str">
        <f>B83&amp;"-"&amp;COUNTIF($B$2:B83,B83)</f>
        <v>ALAGOAS-60</v>
      </c>
      <c r="B83" s="5" t="s">
        <v>97</v>
      </c>
      <c r="C83" s="5" t="s">
        <v>158</v>
      </c>
      <c r="D83" s="6">
        <v>-370896</v>
      </c>
      <c r="E83" s="6">
        <v>-93874</v>
      </c>
      <c r="F83" s="7">
        <v>5.415</v>
      </c>
      <c r="G83" s="7">
        <v>6.1849999999999996</v>
      </c>
      <c r="H83" s="7">
        <v>5.9240000000000004</v>
      </c>
      <c r="I83" s="7">
        <v>5.9550000000000001</v>
      </c>
      <c r="J83" s="7">
        <v>5.2389999999999999</v>
      </c>
      <c r="K83" s="7">
        <v>4.3810000000000002</v>
      </c>
      <c r="L83" s="7">
        <v>3.964</v>
      </c>
      <c r="M83" s="7">
        <v>4.1189999999999998</v>
      </c>
      <c r="N83" s="7">
        <v>4.7439999999999998</v>
      </c>
      <c r="O83" s="7">
        <v>5.5949999999999998</v>
      </c>
      <c r="P83" s="7">
        <v>5.9790000000000001</v>
      </c>
      <c r="Q83" s="7">
        <v>6.4870000000000001</v>
      </c>
      <c r="R83" s="7">
        <v>6.4119999999999999</v>
      </c>
      <c r="S83" s="7">
        <f t="shared" si="1"/>
        <v>5.4153333333333329</v>
      </c>
    </row>
    <row r="84" spans="1:19">
      <c r="A84" s="5" t="str">
        <f>B84&amp;"-"&amp;COUNTIF($B$2:B84,B84)</f>
        <v>ALAGOAS-61</v>
      </c>
      <c r="B84" s="5" t="s">
        <v>97</v>
      </c>
      <c r="C84" s="5" t="s">
        <v>159</v>
      </c>
      <c r="D84" s="6">
        <v>-369914</v>
      </c>
      <c r="E84" s="6">
        <v>-94016</v>
      </c>
      <c r="F84" s="7">
        <v>5.3810000000000002</v>
      </c>
      <c r="G84" s="7">
        <v>6.101</v>
      </c>
      <c r="H84" s="7">
        <v>5.8810000000000002</v>
      </c>
      <c r="I84" s="7">
        <v>5.9130000000000003</v>
      </c>
      <c r="J84" s="7">
        <v>5.1829999999999998</v>
      </c>
      <c r="K84" s="7">
        <v>4.3550000000000004</v>
      </c>
      <c r="L84" s="7">
        <v>3.9489999999999998</v>
      </c>
      <c r="M84" s="7">
        <v>4.1130000000000004</v>
      </c>
      <c r="N84" s="7">
        <v>4.7069999999999999</v>
      </c>
      <c r="O84" s="7">
        <v>5.57</v>
      </c>
      <c r="P84" s="7">
        <v>5.9290000000000003</v>
      </c>
      <c r="Q84" s="7">
        <v>6.4720000000000004</v>
      </c>
      <c r="R84" s="7">
        <v>6.399</v>
      </c>
      <c r="S84" s="7">
        <f t="shared" si="1"/>
        <v>5.3810000000000002</v>
      </c>
    </row>
    <row r="85" spans="1:19">
      <c r="A85" s="5" t="str">
        <f>B85&amp;"-"&amp;COUNTIF($B$2:B85,B85)</f>
        <v>ALAGOAS-62</v>
      </c>
      <c r="B85" s="5" t="s">
        <v>97</v>
      </c>
      <c r="C85" s="5" t="s">
        <v>160</v>
      </c>
      <c r="D85" s="5" t="s">
        <v>161</v>
      </c>
      <c r="E85" s="6">
        <v>-9389</v>
      </c>
      <c r="F85" s="7">
        <v>5.4470000000000001</v>
      </c>
      <c r="G85" s="7">
        <v>6.1219999999999999</v>
      </c>
      <c r="H85" s="7">
        <v>5.9470000000000001</v>
      </c>
      <c r="I85" s="7">
        <v>5.9720000000000004</v>
      </c>
      <c r="J85" s="7">
        <v>5.2590000000000003</v>
      </c>
      <c r="K85" s="7">
        <v>4.3550000000000004</v>
      </c>
      <c r="L85" s="7">
        <v>3.9710000000000001</v>
      </c>
      <c r="M85" s="7">
        <v>4.1159999999999997</v>
      </c>
      <c r="N85" s="7">
        <v>4.8070000000000004</v>
      </c>
      <c r="O85" s="7">
        <v>5.7210000000000001</v>
      </c>
      <c r="P85" s="7">
        <v>6.0410000000000004</v>
      </c>
      <c r="Q85" s="7">
        <v>6.5880000000000001</v>
      </c>
      <c r="R85" s="7">
        <v>6.468</v>
      </c>
      <c r="S85" s="7">
        <f t="shared" si="1"/>
        <v>5.4472500000000004</v>
      </c>
    </row>
    <row r="86" spans="1:19">
      <c r="A86" s="5" t="str">
        <f>B86&amp;"-"&amp;COUNTIF($B$2:B86,B86)</f>
        <v>ALAGOAS-63</v>
      </c>
      <c r="B86" s="5" t="s">
        <v>97</v>
      </c>
      <c r="C86" s="5" t="s">
        <v>162</v>
      </c>
      <c r="D86" s="6">
        <v>-366324</v>
      </c>
      <c r="E86" s="6">
        <v>-94113</v>
      </c>
      <c r="F86" s="7">
        <v>5.3840000000000003</v>
      </c>
      <c r="G86" s="7">
        <v>6.048</v>
      </c>
      <c r="H86" s="7">
        <v>5.875</v>
      </c>
      <c r="I86" s="7">
        <v>5.923</v>
      </c>
      <c r="J86" s="7">
        <v>5.2160000000000002</v>
      </c>
      <c r="K86" s="7">
        <v>4.32</v>
      </c>
      <c r="L86" s="7">
        <v>3.9279999999999999</v>
      </c>
      <c r="M86" s="7">
        <v>4.0640000000000001</v>
      </c>
      <c r="N86" s="7">
        <v>4.7439999999999998</v>
      </c>
      <c r="O86" s="7">
        <v>5.61</v>
      </c>
      <c r="P86" s="7">
        <v>5.9610000000000003</v>
      </c>
      <c r="Q86" s="7">
        <v>6.52</v>
      </c>
      <c r="R86" s="7">
        <v>6.3970000000000002</v>
      </c>
      <c r="S86" s="7">
        <f t="shared" si="1"/>
        <v>5.3838333333333344</v>
      </c>
    </row>
    <row r="87" spans="1:19">
      <c r="A87" s="5" t="str">
        <f>B87&amp;"-"&amp;COUNTIF($B$2:B87,B87)</f>
        <v>ALAGOAS-64</v>
      </c>
      <c r="B87" s="5" t="s">
        <v>97</v>
      </c>
      <c r="C87" s="5" t="s">
        <v>163</v>
      </c>
      <c r="D87" s="6">
        <v>-363884</v>
      </c>
      <c r="E87" s="6">
        <v>-94478</v>
      </c>
      <c r="F87" s="7">
        <v>5.234</v>
      </c>
      <c r="G87" s="7">
        <v>5.9219999999999997</v>
      </c>
      <c r="H87" s="7">
        <v>5.8369999999999997</v>
      </c>
      <c r="I87" s="7">
        <v>5.8129999999999997</v>
      </c>
      <c r="J87" s="7">
        <v>5.0750000000000002</v>
      </c>
      <c r="K87" s="7">
        <v>4.22</v>
      </c>
      <c r="L87" s="7">
        <v>3.77</v>
      </c>
      <c r="M87" s="7">
        <v>3.9079999999999999</v>
      </c>
      <c r="N87" s="7">
        <v>4.5170000000000003</v>
      </c>
      <c r="O87" s="7">
        <v>5.3979999999999997</v>
      </c>
      <c r="P87" s="7">
        <v>5.7370000000000001</v>
      </c>
      <c r="Q87" s="7">
        <v>6.3479999999999999</v>
      </c>
      <c r="R87" s="7">
        <v>6.2629999999999999</v>
      </c>
      <c r="S87" s="7">
        <f t="shared" si="1"/>
        <v>5.2339999999999991</v>
      </c>
    </row>
    <row r="88" spans="1:19">
      <c r="A88" s="5" t="str">
        <f>B88&amp;"-"&amp;COUNTIF($B$2:B88,B88)</f>
        <v>ALAGOAS-65</v>
      </c>
      <c r="B88" s="5" t="s">
        <v>97</v>
      </c>
      <c r="C88" s="5" t="s">
        <v>164</v>
      </c>
      <c r="D88" s="6">
        <v>-363759</v>
      </c>
      <c r="E88" s="6">
        <v>-93705</v>
      </c>
      <c r="F88" s="7">
        <v>5.234</v>
      </c>
      <c r="G88" s="7">
        <v>5.9219999999999997</v>
      </c>
      <c r="H88" s="7">
        <v>5.8369999999999997</v>
      </c>
      <c r="I88" s="7">
        <v>5.8129999999999997</v>
      </c>
      <c r="J88" s="7">
        <v>5.0750000000000002</v>
      </c>
      <c r="K88" s="7">
        <v>4.22</v>
      </c>
      <c r="L88" s="7">
        <v>3.77</v>
      </c>
      <c r="M88" s="7">
        <v>3.9079999999999999</v>
      </c>
      <c r="N88" s="7">
        <v>4.5170000000000003</v>
      </c>
      <c r="O88" s="7">
        <v>5.3979999999999997</v>
      </c>
      <c r="P88" s="7">
        <v>5.7370000000000001</v>
      </c>
      <c r="Q88" s="7">
        <v>6.3479999999999999</v>
      </c>
      <c r="R88" s="7">
        <v>6.2629999999999999</v>
      </c>
      <c r="S88" s="7">
        <f t="shared" si="1"/>
        <v>5.2339999999999991</v>
      </c>
    </row>
    <row r="89" spans="1:19">
      <c r="A89" s="5" t="str">
        <f>B89&amp;"-"&amp;COUNTIF($B$2:B89,B89)</f>
        <v>ALAGOAS-66</v>
      </c>
      <c r="B89" s="5" t="s">
        <v>97</v>
      </c>
      <c r="C89" s="5" t="s">
        <v>165</v>
      </c>
      <c r="D89" s="6">
        <v>-362423</v>
      </c>
      <c r="E89" s="6">
        <v>-93719</v>
      </c>
      <c r="F89" s="7">
        <v>5.1929999999999996</v>
      </c>
      <c r="G89" s="7">
        <v>5.8559999999999999</v>
      </c>
      <c r="H89" s="7">
        <v>5.82</v>
      </c>
      <c r="I89" s="7">
        <v>5.7889999999999997</v>
      </c>
      <c r="J89" s="7">
        <v>5.0919999999999996</v>
      </c>
      <c r="K89" s="7">
        <v>4.1900000000000004</v>
      </c>
      <c r="L89" s="7">
        <v>3.7709999999999999</v>
      </c>
      <c r="M89" s="7">
        <v>3.9159999999999999</v>
      </c>
      <c r="N89" s="7">
        <v>4.4790000000000001</v>
      </c>
      <c r="O89" s="7">
        <v>5.3250000000000002</v>
      </c>
      <c r="P89" s="7">
        <v>5.6680000000000001</v>
      </c>
      <c r="Q89" s="7">
        <v>6.2270000000000003</v>
      </c>
      <c r="R89" s="7">
        <v>6.1829999999999998</v>
      </c>
      <c r="S89" s="7">
        <f t="shared" si="1"/>
        <v>5.1929999999999996</v>
      </c>
    </row>
    <row r="90" spans="1:19">
      <c r="A90" s="5" t="str">
        <f>B90&amp;"-"&amp;COUNTIF($B$2:B90,B90)</f>
        <v>ALAGOAS-67</v>
      </c>
      <c r="B90" s="5" t="s">
        <v>97</v>
      </c>
      <c r="C90" s="5" t="s">
        <v>166</v>
      </c>
      <c r="D90" s="6">
        <v>-361562</v>
      </c>
      <c r="E90" s="6">
        <v>-93998</v>
      </c>
      <c r="F90" s="7">
        <v>5.109</v>
      </c>
      <c r="G90" s="7">
        <v>5.758</v>
      </c>
      <c r="H90" s="7">
        <v>5.67</v>
      </c>
      <c r="I90" s="7">
        <v>5.681</v>
      </c>
      <c r="J90" s="7">
        <v>5.0670000000000002</v>
      </c>
      <c r="K90" s="7">
        <v>4.194</v>
      </c>
      <c r="L90" s="7">
        <v>3.786</v>
      </c>
      <c r="M90" s="7">
        <v>3.8780000000000001</v>
      </c>
      <c r="N90" s="7">
        <v>4.4139999999999997</v>
      </c>
      <c r="O90" s="7">
        <v>5.2370000000000001</v>
      </c>
      <c r="P90" s="7">
        <v>5.4980000000000002</v>
      </c>
      <c r="Q90" s="7">
        <v>6.085</v>
      </c>
      <c r="R90" s="7">
        <v>6.0339999999999998</v>
      </c>
      <c r="S90" s="7">
        <f t="shared" si="1"/>
        <v>5.1085000000000003</v>
      </c>
    </row>
    <row r="91" spans="1:19">
      <c r="A91" s="5" t="str">
        <f>B91&amp;"-"&amp;COUNTIF($B$2:B91,B91)</f>
        <v>ALAGOAS-68</v>
      </c>
      <c r="B91" s="5" t="s">
        <v>97</v>
      </c>
      <c r="C91" s="5" t="s">
        <v>167</v>
      </c>
      <c r="D91" s="6">
        <v>-360829</v>
      </c>
      <c r="E91" s="6">
        <v>-94155</v>
      </c>
      <c r="F91" s="7">
        <v>5.1529999999999996</v>
      </c>
      <c r="G91" s="7">
        <v>5.7779999999999996</v>
      </c>
      <c r="H91" s="7">
        <v>5.673</v>
      </c>
      <c r="I91" s="7">
        <v>5.7359999999999998</v>
      </c>
      <c r="J91" s="7">
        <v>5.048</v>
      </c>
      <c r="K91" s="7">
        <v>4.2009999999999996</v>
      </c>
      <c r="L91" s="7">
        <v>3.8359999999999999</v>
      </c>
      <c r="M91" s="7">
        <v>3.923</v>
      </c>
      <c r="N91" s="7">
        <v>4.4969999999999999</v>
      </c>
      <c r="O91" s="7">
        <v>5.3339999999999996</v>
      </c>
      <c r="P91" s="7">
        <v>5.5830000000000002</v>
      </c>
      <c r="Q91" s="7">
        <v>6.1369999999999996</v>
      </c>
      <c r="R91" s="7">
        <v>6.0910000000000002</v>
      </c>
      <c r="S91" s="7">
        <f t="shared" si="1"/>
        <v>5.153083333333333</v>
      </c>
    </row>
    <row r="92" spans="1:19">
      <c r="A92" s="5" t="str">
        <f>B92&amp;"-"&amp;COUNTIF($B$2:B92,B92)</f>
        <v>ALAGOAS-69</v>
      </c>
      <c r="B92" s="5" t="s">
        <v>97</v>
      </c>
      <c r="C92" s="5" t="s">
        <v>168</v>
      </c>
      <c r="D92" s="6">
        <v>-358395</v>
      </c>
      <c r="E92" s="6">
        <v>-93943</v>
      </c>
      <c r="F92" s="7">
        <v>5.2190000000000003</v>
      </c>
      <c r="G92" s="7">
        <v>5.8710000000000004</v>
      </c>
      <c r="H92" s="7">
        <v>5.8330000000000002</v>
      </c>
      <c r="I92" s="7">
        <v>5.8410000000000002</v>
      </c>
      <c r="J92" s="7">
        <v>5.0570000000000004</v>
      </c>
      <c r="K92" s="7">
        <v>4.2320000000000002</v>
      </c>
      <c r="L92" s="7">
        <v>3.895</v>
      </c>
      <c r="M92" s="7">
        <v>4.0019999999999998</v>
      </c>
      <c r="N92" s="7">
        <v>4.5730000000000004</v>
      </c>
      <c r="O92" s="7">
        <v>5.3879999999999999</v>
      </c>
      <c r="P92" s="7">
        <v>5.6710000000000003</v>
      </c>
      <c r="Q92" s="7">
        <v>6.1609999999999996</v>
      </c>
      <c r="R92" s="7">
        <v>6.1070000000000002</v>
      </c>
      <c r="S92" s="7">
        <f t="shared" si="1"/>
        <v>5.2192499999999997</v>
      </c>
    </row>
    <row r="93" spans="1:19">
      <c r="A93" s="5" t="str">
        <f>B93&amp;"-"&amp;COUNTIF($B$2:B93,B93)</f>
        <v>ALAGOAS-70</v>
      </c>
      <c r="B93" s="5" t="s">
        <v>97</v>
      </c>
      <c r="C93" s="5" t="s">
        <v>169</v>
      </c>
      <c r="D93" s="6">
        <v>-355104</v>
      </c>
      <c r="E93" s="6">
        <v>-94027</v>
      </c>
      <c r="F93" s="7">
        <v>5.4340000000000002</v>
      </c>
      <c r="G93" s="7">
        <v>6.085</v>
      </c>
      <c r="H93" s="7">
        <v>6.032</v>
      </c>
      <c r="I93" s="7">
        <v>6.1050000000000004</v>
      </c>
      <c r="J93" s="7">
        <v>5.18</v>
      </c>
      <c r="K93" s="7">
        <v>4.4139999999999997</v>
      </c>
      <c r="L93" s="7">
        <v>4.0819999999999999</v>
      </c>
      <c r="M93" s="7">
        <v>4.194</v>
      </c>
      <c r="N93" s="7">
        <v>4.8579999999999997</v>
      </c>
      <c r="O93" s="7">
        <v>5.5549999999999997</v>
      </c>
      <c r="P93" s="7">
        <v>5.923</v>
      </c>
      <c r="Q93" s="7">
        <v>6.3810000000000002</v>
      </c>
      <c r="R93" s="7">
        <v>6.4029999999999996</v>
      </c>
      <c r="S93" s="7">
        <f t="shared" si="1"/>
        <v>5.4343333333333339</v>
      </c>
    </row>
    <row r="94" spans="1:19">
      <c r="A94" s="5" t="str">
        <f>B94&amp;"-"&amp;COUNTIF($B$2:B94,B94)</f>
        <v>ALAGOAS-71</v>
      </c>
      <c r="B94" s="5" t="s">
        <v>97</v>
      </c>
      <c r="C94" s="5" t="s">
        <v>170</v>
      </c>
      <c r="D94" s="6">
        <v>-379991</v>
      </c>
      <c r="E94" s="6">
        <v>-92568</v>
      </c>
      <c r="F94" s="7">
        <v>5.524</v>
      </c>
      <c r="G94" s="7">
        <v>6.3150000000000004</v>
      </c>
      <c r="H94" s="7">
        <v>6.1150000000000002</v>
      </c>
      <c r="I94" s="7">
        <v>5.9829999999999997</v>
      </c>
      <c r="J94" s="7">
        <v>5.3639999999999999</v>
      </c>
      <c r="K94" s="7">
        <v>4.5309999999999997</v>
      </c>
      <c r="L94" s="7">
        <v>4.0250000000000004</v>
      </c>
      <c r="M94" s="7">
        <v>4.226</v>
      </c>
      <c r="N94" s="7">
        <v>4.8499999999999996</v>
      </c>
      <c r="O94" s="7">
        <v>5.7770000000000001</v>
      </c>
      <c r="P94" s="7">
        <v>6.0860000000000003</v>
      </c>
      <c r="Q94" s="7">
        <v>6.5960000000000001</v>
      </c>
      <c r="R94" s="7">
        <v>6.4180000000000001</v>
      </c>
      <c r="S94" s="7">
        <f t="shared" si="1"/>
        <v>5.5238333333333332</v>
      </c>
    </row>
    <row r="95" spans="1:19">
      <c r="A95" s="5" t="str">
        <f>B95&amp;"-"&amp;COUNTIF($B$2:B95,B95)</f>
        <v>ALAGOAS-72</v>
      </c>
      <c r="B95" s="5" t="s">
        <v>97</v>
      </c>
      <c r="C95" s="5" t="s">
        <v>171</v>
      </c>
      <c r="D95" s="6">
        <v>-379383</v>
      </c>
      <c r="E95" s="6">
        <v>-92624</v>
      </c>
      <c r="F95" s="7">
        <v>5.4710000000000001</v>
      </c>
      <c r="G95" s="7">
        <v>6.2720000000000002</v>
      </c>
      <c r="H95" s="7">
        <v>6.0529999999999999</v>
      </c>
      <c r="I95" s="7">
        <v>5.9960000000000004</v>
      </c>
      <c r="J95" s="7">
        <v>5.2949999999999999</v>
      </c>
      <c r="K95" s="7">
        <v>4.4530000000000003</v>
      </c>
      <c r="L95" s="7">
        <v>3.9820000000000002</v>
      </c>
      <c r="M95" s="7">
        <v>4.09</v>
      </c>
      <c r="N95" s="7">
        <v>4.8049999999999997</v>
      </c>
      <c r="O95" s="7">
        <v>5.7160000000000002</v>
      </c>
      <c r="P95" s="7">
        <v>6.0279999999999996</v>
      </c>
      <c r="Q95" s="7">
        <v>6.5759999999999996</v>
      </c>
      <c r="R95" s="7">
        <v>6.3879999999999999</v>
      </c>
      <c r="S95" s="7">
        <f t="shared" si="1"/>
        <v>5.4711666666666678</v>
      </c>
    </row>
    <row r="96" spans="1:19">
      <c r="A96" s="5" t="str">
        <f>B96&amp;"-"&amp;COUNTIF($B$2:B96,B96)</f>
        <v>ALAGOAS-73</v>
      </c>
      <c r="B96" s="5" t="s">
        <v>97</v>
      </c>
      <c r="C96" s="5" t="s">
        <v>172</v>
      </c>
      <c r="D96" s="6">
        <v>-372848</v>
      </c>
      <c r="E96" s="6">
        <v>-93049</v>
      </c>
      <c r="F96" s="7">
        <v>5.4550000000000001</v>
      </c>
      <c r="G96" s="7">
        <v>6.1740000000000004</v>
      </c>
      <c r="H96" s="7">
        <v>5.9550000000000001</v>
      </c>
      <c r="I96" s="7">
        <v>6.0049999999999999</v>
      </c>
      <c r="J96" s="7">
        <v>5.3019999999999996</v>
      </c>
      <c r="K96" s="7">
        <v>4.3970000000000002</v>
      </c>
      <c r="L96" s="7">
        <v>3.956</v>
      </c>
      <c r="M96" s="7">
        <v>4.1760000000000002</v>
      </c>
      <c r="N96" s="7">
        <v>4.7350000000000003</v>
      </c>
      <c r="O96" s="7">
        <v>5.7539999999999996</v>
      </c>
      <c r="P96" s="7">
        <v>6.0839999999999996</v>
      </c>
      <c r="Q96" s="7">
        <v>6.5529999999999999</v>
      </c>
      <c r="R96" s="7">
        <v>6.367</v>
      </c>
      <c r="S96" s="7">
        <f t="shared" si="1"/>
        <v>5.4548333333333332</v>
      </c>
    </row>
    <row r="97" spans="1:19">
      <c r="A97" s="5" t="str">
        <f>B97&amp;"-"&amp;COUNTIF($B$2:B97,B97)</f>
        <v>ALAGOAS-74</v>
      </c>
      <c r="B97" s="5" t="s">
        <v>97</v>
      </c>
      <c r="C97" s="5" t="s">
        <v>173</v>
      </c>
      <c r="D97" s="6">
        <v>-36866</v>
      </c>
      <c r="E97" s="6">
        <v>-93078</v>
      </c>
      <c r="F97" s="7">
        <v>5.4050000000000002</v>
      </c>
      <c r="G97" s="7">
        <v>6.0839999999999996</v>
      </c>
      <c r="H97" s="7">
        <v>5.9240000000000004</v>
      </c>
      <c r="I97" s="7">
        <v>5.9169999999999998</v>
      </c>
      <c r="J97" s="7">
        <v>5.2640000000000002</v>
      </c>
      <c r="K97" s="7">
        <v>4.3739999999999997</v>
      </c>
      <c r="L97" s="7">
        <v>3.9510000000000001</v>
      </c>
      <c r="M97" s="7">
        <v>4.085</v>
      </c>
      <c r="N97" s="7">
        <v>4.7279999999999998</v>
      </c>
      <c r="O97" s="7">
        <v>5.6310000000000002</v>
      </c>
      <c r="P97" s="7">
        <v>6</v>
      </c>
      <c r="Q97" s="7">
        <v>6.48</v>
      </c>
      <c r="R97" s="7">
        <v>6.4160000000000004</v>
      </c>
      <c r="S97" s="7">
        <f t="shared" si="1"/>
        <v>5.4044999999999996</v>
      </c>
    </row>
    <row r="98" spans="1:19">
      <c r="A98" s="5" t="str">
        <f>B98&amp;"-"&amp;COUNTIF($B$2:B98,B98)</f>
        <v>ALAGOAS-75</v>
      </c>
      <c r="B98" s="5" t="s">
        <v>97</v>
      </c>
      <c r="C98" s="5" t="s">
        <v>174</v>
      </c>
      <c r="D98" s="6">
        <v>-364695</v>
      </c>
      <c r="E98" s="6">
        <v>-93204</v>
      </c>
      <c r="F98" s="7">
        <v>5.2729999999999997</v>
      </c>
      <c r="G98" s="7">
        <v>5.9550000000000001</v>
      </c>
      <c r="H98" s="7">
        <v>5.8609999999999998</v>
      </c>
      <c r="I98" s="7">
        <v>5.8339999999999996</v>
      </c>
      <c r="J98" s="7">
        <v>5.181</v>
      </c>
      <c r="K98" s="7">
        <v>4.2460000000000004</v>
      </c>
      <c r="L98" s="7">
        <v>3.754</v>
      </c>
      <c r="M98" s="7">
        <v>3.9079999999999999</v>
      </c>
      <c r="N98" s="7">
        <v>4.5359999999999996</v>
      </c>
      <c r="O98" s="7">
        <v>5.4379999999999997</v>
      </c>
      <c r="P98" s="7">
        <v>5.8280000000000003</v>
      </c>
      <c r="Q98" s="7">
        <v>6.4329999999999998</v>
      </c>
      <c r="R98" s="7">
        <v>6.3010000000000002</v>
      </c>
      <c r="S98" s="7">
        <f t="shared" si="1"/>
        <v>5.2729166666666671</v>
      </c>
    </row>
    <row r="99" spans="1:19">
      <c r="A99" s="5" t="str">
        <f>B99&amp;"-"&amp;COUNTIF($B$2:B99,B99)</f>
        <v>ALAGOAS-76</v>
      </c>
      <c r="B99" s="5" t="s">
        <v>97</v>
      </c>
      <c r="C99" s="5" t="s">
        <v>175</v>
      </c>
      <c r="D99" s="6">
        <v>-362986</v>
      </c>
      <c r="E99" s="6">
        <v>-9256</v>
      </c>
      <c r="F99" s="7">
        <v>5.1740000000000004</v>
      </c>
      <c r="G99" s="7">
        <v>5.8760000000000003</v>
      </c>
      <c r="H99" s="7">
        <v>5.766</v>
      </c>
      <c r="I99" s="7">
        <v>5.7460000000000004</v>
      </c>
      <c r="J99" s="7">
        <v>5.0869999999999997</v>
      </c>
      <c r="K99" s="7">
        <v>4.1970000000000001</v>
      </c>
      <c r="L99" s="7">
        <v>3.7349999999999999</v>
      </c>
      <c r="M99" s="7">
        <v>3.8279999999999998</v>
      </c>
      <c r="N99" s="7">
        <v>4.4690000000000003</v>
      </c>
      <c r="O99" s="7">
        <v>5.3</v>
      </c>
      <c r="P99" s="7">
        <v>5.6310000000000002</v>
      </c>
      <c r="Q99" s="7">
        <v>6.2539999999999996</v>
      </c>
      <c r="R99" s="7">
        <v>6.2030000000000003</v>
      </c>
      <c r="S99" s="7">
        <f t="shared" si="1"/>
        <v>5.1743333333333332</v>
      </c>
    </row>
    <row r="100" spans="1:19">
      <c r="A100" s="5" t="str">
        <f>B100&amp;"-"&amp;COUNTIF($B$2:B100,B100)</f>
        <v>ALAGOAS-77</v>
      </c>
      <c r="B100" s="5" t="s">
        <v>97</v>
      </c>
      <c r="C100" s="5" t="s">
        <v>176</v>
      </c>
      <c r="D100" s="6">
        <v>-359431</v>
      </c>
      <c r="E100" s="6">
        <v>-93073</v>
      </c>
      <c r="F100" s="7">
        <v>5.1879999999999997</v>
      </c>
      <c r="G100" s="7">
        <v>5.8140000000000001</v>
      </c>
      <c r="H100" s="7">
        <v>5.8230000000000004</v>
      </c>
      <c r="I100" s="7">
        <v>5.8259999999999996</v>
      </c>
      <c r="J100" s="7">
        <v>5.0759999999999996</v>
      </c>
      <c r="K100" s="7">
        <v>4.1820000000000004</v>
      </c>
      <c r="L100" s="7">
        <v>3.847</v>
      </c>
      <c r="M100" s="7">
        <v>3.9049999999999998</v>
      </c>
      <c r="N100" s="7">
        <v>4.5659999999999998</v>
      </c>
      <c r="O100" s="7">
        <v>5.3540000000000001</v>
      </c>
      <c r="P100" s="7">
        <v>5.6429999999999998</v>
      </c>
      <c r="Q100" s="7">
        <v>6.1239999999999997</v>
      </c>
      <c r="R100" s="7">
        <v>6.09</v>
      </c>
      <c r="S100" s="7">
        <f t="shared" si="1"/>
        <v>5.1875000000000009</v>
      </c>
    </row>
    <row r="101" spans="1:19">
      <c r="A101" s="5" t="str">
        <f>B101&amp;"-"&amp;COUNTIF($B$2:B101,B101)</f>
        <v>ALAGOAS-78</v>
      </c>
      <c r="B101" s="5" t="s">
        <v>97</v>
      </c>
      <c r="C101" s="5" t="s">
        <v>177</v>
      </c>
      <c r="D101" s="6">
        <v>-357142</v>
      </c>
      <c r="E101" s="6">
        <v>-92732</v>
      </c>
      <c r="F101" s="7">
        <v>5.1130000000000004</v>
      </c>
      <c r="G101" s="7">
        <v>5.7160000000000002</v>
      </c>
      <c r="H101" s="7">
        <v>5.7069999999999999</v>
      </c>
      <c r="I101" s="7">
        <v>5.7290000000000001</v>
      </c>
      <c r="J101" s="7">
        <v>4.9969999999999999</v>
      </c>
      <c r="K101" s="7">
        <v>4.1379999999999999</v>
      </c>
      <c r="L101" s="7">
        <v>3.83</v>
      </c>
      <c r="M101" s="7">
        <v>3.9289999999999998</v>
      </c>
      <c r="N101" s="7">
        <v>4.4729999999999999</v>
      </c>
      <c r="O101" s="7">
        <v>5.2629999999999999</v>
      </c>
      <c r="P101" s="7">
        <v>5.5039999999999996</v>
      </c>
      <c r="Q101" s="7">
        <v>6.0620000000000003</v>
      </c>
      <c r="R101" s="7">
        <v>6.008</v>
      </c>
      <c r="S101" s="7">
        <f t="shared" si="1"/>
        <v>5.1129999999999995</v>
      </c>
    </row>
    <row r="102" spans="1:19">
      <c r="A102" s="5" t="str">
        <f>B102&amp;"-"&amp;COUNTIF($B$2:B102,B102)</f>
        <v>ALAGOAS-79</v>
      </c>
      <c r="B102" s="5" t="s">
        <v>97</v>
      </c>
      <c r="C102" s="5" t="s">
        <v>178</v>
      </c>
      <c r="D102" s="6">
        <v>-355608</v>
      </c>
      <c r="E102" s="6">
        <v>-93186</v>
      </c>
      <c r="F102" s="7">
        <v>5.33</v>
      </c>
      <c r="G102" s="7">
        <v>5.9870000000000001</v>
      </c>
      <c r="H102" s="7">
        <v>5.9219999999999997</v>
      </c>
      <c r="I102" s="7">
        <v>5.9880000000000004</v>
      </c>
      <c r="J102" s="7">
        <v>5.1150000000000002</v>
      </c>
      <c r="K102" s="7">
        <v>4.3360000000000003</v>
      </c>
      <c r="L102" s="7">
        <v>4.08</v>
      </c>
      <c r="M102" s="7">
        <v>4.1070000000000002</v>
      </c>
      <c r="N102" s="7">
        <v>4.7960000000000003</v>
      </c>
      <c r="O102" s="7">
        <v>5.4690000000000003</v>
      </c>
      <c r="P102" s="7">
        <v>5.7370000000000001</v>
      </c>
      <c r="Q102" s="7">
        <v>6.19</v>
      </c>
      <c r="R102" s="7">
        <v>6.2320000000000002</v>
      </c>
      <c r="S102" s="7">
        <f t="shared" si="1"/>
        <v>5.3299166666666666</v>
      </c>
    </row>
    <row r="103" spans="1:19">
      <c r="A103" s="5" t="str">
        <f>B103&amp;"-"&amp;COUNTIF($B$2:B103,B103)</f>
        <v>ALAGOAS-80</v>
      </c>
      <c r="B103" s="5" t="s">
        <v>97</v>
      </c>
      <c r="C103" s="5" t="s">
        <v>179</v>
      </c>
      <c r="D103" s="6">
        <v>-353765</v>
      </c>
      <c r="E103" s="6">
        <v>-92654</v>
      </c>
      <c r="F103" s="7">
        <v>5.5949999999999998</v>
      </c>
      <c r="G103" s="7">
        <v>6.2729999999999997</v>
      </c>
      <c r="H103" s="7">
        <v>6.1180000000000003</v>
      </c>
      <c r="I103" s="7">
        <v>6.2380000000000004</v>
      </c>
      <c r="J103" s="7">
        <v>5.3330000000000002</v>
      </c>
      <c r="K103" s="7">
        <v>4.5110000000000001</v>
      </c>
      <c r="L103" s="7">
        <v>4.1959999999999997</v>
      </c>
      <c r="M103" s="7">
        <v>4.3460000000000001</v>
      </c>
      <c r="N103" s="7">
        <v>5.0919999999999996</v>
      </c>
      <c r="O103" s="7">
        <v>5.819</v>
      </c>
      <c r="P103" s="7">
        <v>6.133</v>
      </c>
      <c r="Q103" s="7">
        <v>6.5250000000000004</v>
      </c>
      <c r="R103" s="7">
        <v>6.5570000000000004</v>
      </c>
      <c r="S103" s="7">
        <f t="shared" si="1"/>
        <v>5.5950833333333341</v>
      </c>
    </row>
    <row r="104" spans="1:19">
      <c r="A104" s="5" t="str">
        <f>B104&amp;"-"&amp;COUNTIF($B$2:B104,B104)</f>
        <v>ALAGOAS-81</v>
      </c>
      <c r="B104" s="5" t="s">
        <v>97</v>
      </c>
      <c r="C104" s="5" t="s">
        <v>180</v>
      </c>
      <c r="D104" s="6">
        <v>-377512</v>
      </c>
      <c r="E104" s="6">
        <v>-92264</v>
      </c>
      <c r="F104" s="7">
        <v>5.5250000000000004</v>
      </c>
      <c r="G104" s="7">
        <v>6.36</v>
      </c>
      <c r="H104" s="7">
        <v>6.1239999999999997</v>
      </c>
      <c r="I104" s="7">
        <v>6.0570000000000004</v>
      </c>
      <c r="J104" s="7">
        <v>5.343</v>
      </c>
      <c r="K104" s="7">
        <v>4.4459999999999997</v>
      </c>
      <c r="L104" s="7">
        <v>3.9470000000000001</v>
      </c>
      <c r="M104" s="7">
        <v>4.1159999999999997</v>
      </c>
      <c r="N104" s="7">
        <v>4.8419999999999996</v>
      </c>
      <c r="O104" s="7">
        <v>5.7569999999999997</v>
      </c>
      <c r="P104" s="7">
        <v>6.1749999999999998</v>
      </c>
      <c r="Q104" s="7">
        <v>6.67</v>
      </c>
      <c r="R104" s="7">
        <v>6.47</v>
      </c>
      <c r="S104" s="7">
        <f t="shared" si="1"/>
        <v>5.5255833333333335</v>
      </c>
    </row>
    <row r="105" spans="1:19">
      <c r="A105" s="5" t="str">
        <f>B105&amp;"-"&amp;COUNTIF($B$2:B105,B105)</f>
        <v>ALAGOAS-82</v>
      </c>
      <c r="B105" s="5" t="s">
        <v>97</v>
      </c>
      <c r="C105" s="5" t="s">
        <v>181</v>
      </c>
      <c r="D105" s="6">
        <v>-373559</v>
      </c>
      <c r="E105" s="6">
        <v>-91593</v>
      </c>
      <c r="F105" s="7">
        <v>5.4870000000000001</v>
      </c>
      <c r="G105" s="7">
        <v>6.2210000000000001</v>
      </c>
      <c r="H105" s="7">
        <v>6.0289999999999999</v>
      </c>
      <c r="I105" s="7">
        <v>6.0220000000000002</v>
      </c>
      <c r="J105" s="7">
        <v>5.3049999999999997</v>
      </c>
      <c r="K105" s="7">
        <v>4.4039999999999999</v>
      </c>
      <c r="L105" s="7">
        <v>4.01</v>
      </c>
      <c r="M105" s="7">
        <v>4.2160000000000002</v>
      </c>
      <c r="N105" s="7">
        <v>4.8239999999999998</v>
      </c>
      <c r="O105" s="7">
        <v>5.7450000000000001</v>
      </c>
      <c r="P105" s="7">
        <v>6.141</v>
      </c>
      <c r="Q105" s="7">
        <v>6.5110000000000001</v>
      </c>
      <c r="R105" s="7">
        <v>6.4169999999999998</v>
      </c>
      <c r="S105" s="7">
        <f t="shared" si="1"/>
        <v>5.4870833333333335</v>
      </c>
    </row>
    <row r="106" spans="1:19">
      <c r="A106" s="5" t="str">
        <f>B106&amp;"-"&amp;COUNTIF($B$2:B106,B106)</f>
        <v>ALAGOAS-83</v>
      </c>
      <c r="B106" s="5" t="s">
        <v>97</v>
      </c>
      <c r="C106" s="5" t="s">
        <v>182</v>
      </c>
      <c r="D106" s="6">
        <v>-373527</v>
      </c>
      <c r="E106" s="6">
        <v>-92309</v>
      </c>
      <c r="F106" s="7">
        <v>5.4870000000000001</v>
      </c>
      <c r="G106" s="7">
        <v>6.2210000000000001</v>
      </c>
      <c r="H106" s="7">
        <v>6.0289999999999999</v>
      </c>
      <c r="I106" s="7">
        <v>6.0220000000000002</v>
      </c>
      <c r="J106" s="7">
        <v>5.3049999999999997</v>
      </c>
      <c r="K106" s="7">
        <v>4.4039999999999999</v>
      </c>
      <c r="L106" s="7">
        <v>4.01</v>
      </c>
      <c r="M106" s="7">
        <v>4.2160000000000002</v>
      </c>
      <c r="N106" s="7">
        <v>4.8239999999999998</v>
      </c>
      <c r="O106" s="7">
        <v>5.7450000000000001</v>
      </c>
      <c r="P106" s="7">
        <v>6.141</v>
      </c>
      <c r="Q106" s="7">
        <v>6.5110000000000001</v>
      </c>
      <c r="R106" s="7">
        <v>6.4169999999999998</v>
      </c>
      <c r="S106" s="7">
        <f t="shared" si="1"/>
        <v>5.4870833333333335</v>
      </c>
    </row>
    <row r="107" spans="1:19">
      <c r="A107" s="5" t="str">
        <f>B107&amp;"-"&amp;COUNTIF($B$2:B107,B107)</f>
        <v>ALAGOAS-84</v>
      </c>
      <c r="B107" s="5" t="s">
        <v>97</v>
      </c>
      <c r="C107" s="5" t="s">
        <v>183</v>
      </c>
      <c r="D107" s="6">
        <v>-362209</v>
      </c>
      <c r="E107" s="6">
        <v>-91705</v>
      </c>
      <c r="F107" s="7">
        <v>5.13</v>
      </c>
      <c r="G107" s="7">
        <v>5.843</v>
      </c>
      <c r="H107" s="7">
        <v>5.7240000000000002</v>
      </c>
      <c r="I107" s="7">
        <v>5.6959999999999997</v>
      </c>
      <c r="J107" s="7">
        <v>5.0919999999999996</v>
      </c>
      <c r="K107" s="7">
        <v>4.165</v>
      </c>
      <c r="L107" s="7">
        <v>3.6869999999999998</v>
      </c>
      <c r="M107" s="7">
        <v>3.79</v>
      </c>
      <c r="N107" s="7">
        <v>4.3609999999999998</v>
      </c>
      <c r="O107" s="7">
        <v>5.27</v>
      </c>
      <c r="P107" s="7">
        <v>5.6</v>
      </c>
      <c r="Q107" s="7">
        <v>6.1639999999999997</v>
      </c>
      <c r="R107" s="7">
        <v>6.165</v>
      </c>
      <c r="S107" s="7">
        <f t="shared" si="1"/>
        <v>5.1297500000000005</v>
      </c>
    </row>
    <row r="108" spans="1:19">
      <c r="A108" s="5" t="str">
        <f>B108&amp;"-"&amp;COUNTIF($B$2:B108,B108)</f>
        <v>ALAGOAS-85</v>
      </c>
      <c r="B108" s="5" t="s">
        <v>97</v>
      </c>
      <c r="C108" s="5" t="s">
        <v>184</v>
      </c>
      <c r="D108" s="6">
        <v>-360226</v>
      </c>
      <c r="E108" s="6">
        <v>-91596</v>
      </c>
      <c r="F108" s="7">
        <v>5.1710000000000003</v>
      </c>
      <c r="G108" s="7">
        <v>5.7809999999999997</v>
      </c>
      <c r="H108" s="7">
        <v>5.7549999999999999</v>
      </c>
      <c r="I108" s="7">
        <v>5.7249999999999996</v>
      </c>
      <c r="J108" s="7">
        <v>5.0789999999999997</v>
      </c>
      <c r="K108" s="7">
        <v>4.2169999999999996</v>
      </c>
      <c r="L108" s="7">
        <v>3.8140000000000001</v>
      </c>
      <c r="M108" s="7">
        <v>3.8929999999999998</v>
      </c>
      <c r="N108" s="7">
        <v>4.5049999999999999</v>
      </c>
      <c r="O108" s="7">
        <v>5.3920000000000003</v>
      </c>
      <c r="P108" s="7">
        <v>5.6429999999999998</v>
      </c>
      <c r="Q108" s="7">
        <v>6.1390000000000002</v>
      </c>
      <c r="R108" s="7">
        <v>6.1079999999999997</v>
      </c>
      <c r="S108" s="7">
        <f t="shared" si="1"/>
        <v>5.1709166666666668</v>
      </c>
    </row>
    <row r="109" spans="1:19">
      <c r="A109" s="5" t="str">
        <f>B109&amp;"-"&amp;COUNTIF($B$2:B109,B109)</f>
        <v>ALAGOAS-86</v>
      </c>
      <c r="B109" s="5" t="s">
        <v>97</v>
      </c>
      <c r="C109" s="5" t="s">
        <v>185</v>
      </c>
      <c r="D109" s="6">
        <v>-360164</v>
      </c>
      <c r="E109" s="6">
        <v>-92339</v>
      </c>
      <c r="F109" s="7">
        <v>5.1710000000000003</v>
      </c>
      <c r="G109" s="7">
        <v>5.7809999999999997</v>
      </c>
      <c r="H109" s="7">
        <v>5.7549999999999999</v>
      </c>
      <c r="I109" s="7">
        <v>5.7249999999999996</v>
      </c>
      <c r="J109" s="7">
        <v>5.0789999999999997</v>
      </c>
      <c r="K109" s="7">
        <v>4.2169999999999996</v>
      </c>
      <c r="L109" s="7">
        <v>3.8140000000000001</v>
      </c>
      <c r="M109" s="7">
        <v>3.8929999999999998</v>
      </c>
      <c r="N109" s="7">
        <v>4.5049999999999999</v>
      </c>
      <c r="O109" s="7">
        <v>5.3920000000000003</v>
      </c>
      <c r="P109" s="7">
        <v>5.6429999999999998</v>
      </c>
      <c r="Q109" s="7">
        <v>6.1390000000000002</v>
      </c>
      <c r="R109" s="7">
        <v>6.1079999999999997</v>
      </c>
      <c r="S109" s="7">
        <f t="shared" si="1"/>
        <v>5.1709166666666668</v>
      </c>
    </row>
    <row r="110" spans="1:19">
      <c r="A110" s="5" t="str">
        <f>B110&amp;"-"&amp;COUNTIF($B$2:B110,B110)</f>
        <v>ALAGOAS-87</v>
      </c>
      <c r="B110" s="5" t="s">
        <v>97</v>
      </c>
      <c r="C110" s="5" t="s">
        <v>186</v>
      </c>
      <c r="D110" s="6">
        <v>-355246</v>
      </c>
      <c r="E110" s="6">
        <v>-91548</v>
      </c>
      <c r="F110" s="7">
        <v>5.2210000000000001</v>
      </c>
      <c r="G110" s="7">
        <v>5.9</v>
      </c>
      <c r="H110" s="7">
        <v>5.774</v>
      </c>
      <c r="I110" s="7">
        <v>5.8460000000000001</v>
      </c>
      <c r="J110" s="7">
        <v>4.99</v>
      </c>
      <c r="K110" s="7">
        <v>4.3</v>
      </c>
      <c r="L110" s="7">
        <v>3.9620000000000002</v>
      </c>
      <c r="M110" s="7">
        <v>4.0380000000000003</v>
      </c>
      <c r="N110" s="7">
        <v>4.6559999999999997</v>
      </c>
      <c r="O110" s="7">
        <v>5.3680000000000003</v>
      </c>
      <c r="P110" s="7">
        <v>5.617</v>
      </c>
      <c r="Q110" s="7">
        <v>6.0919999999999996</v>
      </c>
      <c r="R110" s="7">
        <v>6.1040000000000001</v>
      </c>
      <c r="S110" s="7">
        <f t="shared" si="1"/>
        <v>5.2205833333333329</v>
      </c>
    </row>
    <row r="111" spans="1:19">
      <c r="A111" s="5" t="str">
        <f>B111&amp;"-"&amp;COUNTIF($B$2:B111,B111)</f>
        <v>ALAGOAS-88</v>
      </c>
      <c r="B111" s="5" t="s">
        <v>97</v>
      </c>
      <c r="C111" s="5" t="s">
        <v>187</v>
      </c>
      <c r="D111" s="6">
        <v>-354882</v>
      </c>
      <c r="E111" s="6">
        <v>-92396</v>
      </c>
      <c r="F111" s="7">
        <v>5.2839999999999998</v>
      </c>
      <c r="G111" s="7">
        <v>5.968</v>
      </c>
      <c r="H111" s="7">
        <v>5.8220000000000001</v>
      </c>
      <c r="I111" s="7">
        <v>5.9329999999999998</v>
      </c>
      <c r="J111" s="7">
        <v>5.0039999999999996</v>
      </c>
      <c r="K111" s="7">
        <v>4.3179999999999996</v>
      </c>
      <c r="L111" s="7">
        <v>3.9820000000000002</v>
      </c>
      <c r="M111" s="7">
        <v>4.0819999999999999</v>
      </c>
      <c r="N111" s="7">
        <v>4.718</v>
      </c>
      <c r="O111" s="7">
        <v>5.423</v>
      </c>
      <c r="P111" s="7">
        <v>5.7480000000000002</v>
      </c>
      <c r="Q111" s="7">
        <v>6.2009999999999996</v>
      </c>
      <c r="R111" s="7">
        <v>6.2130000000000001</v>
      </c>
      <c r="S111" s="7">
        <f t="shared" si="1"/>
        <v>5.2843333333333335</v>
      </c>
    </row>
    <row r="112" spans="1:19">
      <c r="A112" s="5" t="str">
        <f>B112&amp;"-"&amp;COUNTIF($B$2:B112,B112)</f>
        <v>ALAGOAS-89</v>
      </c>
      <c r="B112" s="5" t="s">
        <v>97</v>
      </c>
      <c r="C112" s="5" t="s">
        <v>188</v>
      </c>
      <c r="D112" s="6">
        <v>-353052</v>
      </c>
      <c r="E112" s="6">
        <v>-91605</v>
      </c>
      <c r="F112" s="7">
        <v>5.4180000000000001</v>
      </c>
      <c r="G112" s="7">
        <v>6.024</v>
      </c>
      <c r="H112" s="7">
        <v>5.9850000000000003</v>
      </c>
      <c r="I112" s="7">
        <v>6.1180000000000003</v>
      </c>
      <c r="J112" s="7">
        <v>5.133</v>
      </c>
      <c r="K112" s="7">
        <v>4.399</v>
      </c>
      <c r="L112" s="7">
        <v>4.1379999999999999</v>
      </c>
      <c r="M112" s="7">
        <v>4.2009999999999996</v>
      </c>
      <c r="N112" s="7">
        <v>4.9480000000000004</v>
      </c>
      <c r="O112" s="7">
        <v>5.5869999999999997</v>
      </c>
      <c r="P112" s="7">
        <v>5.9279999999999999</v>
      </c>
      <c r="Q112" s="7">
        <v>6.2919999999999998</v>
      </c>
      <c r="R112" s="7">
        <v>6.2670000000000003</v>
      </c>
      <c r="S112" s="7">
        <f t="shared" si="1"/>
        <v>5.418333333333333</v>
      </c>
    </row>
    <row r="113" spans="1:19">
      <c r="A113" s="5" t="str">
        <f>B113&amp;"-"&amp;COUNTIF($B$2:B113,B113)</f>
        <v>ALAGOAS-90</v>
      </c>
      <c r="B113" s="5" t="s">
        <v>97</v>
      </c>
      <c r="C113" s="5" t="s">
        <v>189</v>
      </c>
      <c r="D113" s="6">
        <v>-377312</v>
      </c>
      <c r="E113" s="6">
        <v>-91192</v>
      </c>
      <c r="F113" s="7">
        <v>5.617</v>
      </c>
      <c r="G113" s="7">
        <v>6.423</v>
      </c>
      <c r="H113" s="7">
        <v>6.1429999999999998</v>
      </c>
      <c r="I113" s="7">
        <v>6.0960000000000001</v>
      </c>
      <c r="J113" s="7">
        <v>5.4320000000000004</v>
      </c>
      <c r="K113" s="7">
        <v>4.5629999999999997</v>
      </c>
      <c r="L113" s="7">
        <v>4.0579999999999998</v>
      </c>
      <c r="M113" s="7">
        <v>4.2290000000000001</v>
      </c>
      <c r="N113" s="7">
        <v>5.0110000000000001</v>
      </c>
      <c r="O113" s="7">
        <v>5.9320000000000004</v>
      </c>
      <c r="P113" s="7">
        <v>6.2759999999999998</v>
      </c>
      <c r="Q113" s="7">
        <v>6.6950000000000003</v>
      </c>
      <c r="R113" s="7">
        <v>6.5469999999999997</v>
      </c>
      <c r="S113" s="7">
        <f t="shared" si="1"/>
        <v>5.6170833333333343</v>
      </c>
    </row>
    <row r="114" spans="1:19">
      <c r="A114" s="5" t="str">
        <f>B114&amp;"-"&amp;COUNTIF($B$2:B114,B114)</f>
        <v>ALAGOAS-91</v>
      </c>
      <c r="B114" s="5" t="s">
        <v>97</v>
      </c>
      <c r="C114" s="5" t="s">
        <v>190</v>
      </c>
      <c r="D114" s="6">
        <v>-376028</v>
      </c>
      <c r="E114" s="6">
        <v>-91164</v>
      </c>
      <c r="F114" s="7">
        <v>5.5309999999999997</v>
      </c>
      <c r="G114" s="7">
        <v>6.3170000000000002</v>
      </c>
      <c r="H114" s="7">
        <v>6.077</v>
      </c>
      <c r="I114" s="7">
        <v>6.0869999999999997</v>
      </c>
      <c r="J114" s="7">
        <v>5.391</v>
      </c>
      <c r="K114" s="7">
        <v>4.47</v>
      </c>
      <c r="L114" s="7">
        <v>3.9649999999999999</v>
      </c>
      <c r="M114" s="7">
        <v>4.1479999999999997</v>
      </c>
      <c r="N114" s="7">
        <v>4.7809999999999997</v>
      </c>
      <c r="O114" s="7">
        <v>5.758</v>
      </c>
      <c r="P114" s="7">
        <v>6.1849999999999996</v>
      </c>
      <c r="Q114" s="7">
        <v>6.7030000000000003</v>
      </c>
      <c r="R114" s="7">
        <v>6.492</v>
      </c>
      <c r="S114" s="7">
        <f t="shared" si="1"/>
        <v>5.5311666666666675</v>
      </c>
    </row>
    <row r="115" spans="1:19">
      <c r="A115" s="5" t="str">
        <f>B115&amp;"-"&amp;COUNTIF($B$2:B115,B115)</f>
        <v>ALAGOAS-92</v>
      </c>
      <c r="B115" s="5" t="s">
        <v>97</v>
      </c>
      <c r="C115" s="5" t="s">
        <v>191</v>
      </c>
      <c r="D115" s="6">
        <v>-357477</v>
      </c>
      <c r="E115" s="6">
        <v>-91332</v>
      </c>
      <c r="F115" s="7">
        <v>4.9829999999999997</v>
      </c>
      <c r="G115" s="7">
        <v>5.5289999999999999</v>
      </c>
      <c r="H115" s="7">
        <v>5.5449999999999999</v>
      </c>
      <c r="I115" s="7">
        <v>5.6340000000000003</v>
      </c>
      <c r="J115" s="7">
        <v>4.915</v>
      </c>
      <c r="K115" s="7">
        <v>4.0890000000000004</v>
      </c>
      <c r="L115" s="7">
        <v>3.7730000000000001</v>
      </c>
      <c r="M115" s="7">
        <v>3.7930000000000001</v>
      </c>
      <c r="N115" s="7">
        <v>4.3879999999999999</v>
      </c>
      <c r="O115" s="7">
        <v>5.141</v>
      </c>
      <c r="P115" s="7">
        <v>5.3289999999999997</v>
      </c>
      <c r="Q115" s="7">
        <v>5.8739999999999997</v>
      </c>
      <c r="R115" s="7">
        <v>5.782</v>
      </c>
      <c r="S115" s="7">
        <f t="shared" si="1"/>
        <v>4.9826666666666668</v>
      </c>
    </row>
    <row r="116" spans="1:19">
      <c r="A116" s="5" t="str">
        <f>B116&amp;"-"&amp;COUNTIF($B$2:B116,B116)</f>
        <v>ALAGOAS-93</v>
      </c>
      <c r="B116" s="5" t="s">
        <v>97</v>
      </c>
      <c r="C116" s="5" t="s">
        <v>192</v>
      </c>
      <c r="D116" s="6">
        <v>-353989</v>
      </c>
      <c r="E116" s="6">
        <v>-90524</v>
      </c>
      <c r="F116" s="7">
        <v>5.35</v>
      </c>
      <c r="G116" s="7">
        <v>5.9569999999999999</v>
      </c>
      <c r="H116" s="7">
        <v>5.9169999999999998</v>
      </c>
      <c r="I116" s="7">
        <v>6.0439999999999996</v>
      </c>
      <c r="J116" s="7">
        <v>5.0549999999999997</v>
      </c>
      <c r="K116" s="7">
        <v>4.3559999999999999</v>
      </c>
      <c r="L116" s="7">
        <v>4.085</v>
      </c>
      <c r="M116" s="7">
        <v>4.1280000000000001</v>
      </c>
      <c r="N116" s="7">
        <v>4.8570000000000002</v>
      </c>
      <c r="O116" s="7">
        <v>5.4779999999999998</v>
      </c>
      <c r="P116" s="7">
        <v>5.8369999999999997</v>
      </c>
      <c r="Q116" s="7">
        <v>6.24</v>
      </c>
      <c r="R116" s="7">
        <v>6.24</v>
      </c>
      <c r="S116" s="7">
        <f t="shared" si="1"/>
        <v>5.3494999999999999</v>
      </c>
    </row>
    <row r="117" spans="1:19">
      <c r="A117" s="5" t="str">
        <f>B117&amp;"-"&amp;COUNTIF($B$2:B117,B117)</f>
        <v>ALAGOAS-94</v>
      </c>
      <c r="B117" s="5" t="s">
        <v>97</v>
      </c>
      <c r="C117" s="5" t="s">
        <v>193</v>
      </c>
      <c r="D117" s="6">
        <v>-352637</v>
      </c>
      <c r="E117" s="6">
        <v>-90879</v>
      </c>
      <c r="F117" s="7">
        <v>5.5179999999999998</v>
      </c>
      <c r="G117" s="7">
        <v>6.1239999999999997</v>
      </c>
      <c r="H117" s="7">
        <v>6.0430000000000001</v>
      </c>
      <c r="I117" s="7">
        <v>6.202</v>
      </c>
      <c r="J117" s="7">
        <v>5.2279999999999998</v>
      </c>
      <c r="K117" s="7">
        <v>4.4690000000000003</v>
      </c>
      <c r="L117" s="7">
        <v>4.2009999999999996</v>
      </c>
      <c r="M117" s="7">
        <v>4.2770000000000001</v>
      </c>
      <c r="N117" s="7">
        <v>5.0430000000000001</v>
      </c>
      <c r="O117" s="7">
        <v>5.72</v>
      </c>
      <c r="P117" s="7">
        <v>6.13</v>
      </c>
      <c r="Q117" s="7">
        <v>6.3780000000000001</v>
      </c>
      <c r="R117" s="7">
        <v>6.4059999999999997</v>
      </c>
      <c r="S117" s="7">
        <f t="shared" si="1"/>
        <v>5.518416666666667</v>
      </c>
    </row>
    <row r="118" spans="1:19">
      <c r="A118" s="5" t="str">
        <f>B118&amp;"-"&amp;COUNTIF($B$2:B118,B118)</f>
        <v>ALAGOAS-95</v>
      </c>
      <c r="B118" s="5" t="s">
        <v>97</v>
      </c>
      <c r="C118" s="5" t="s">
        <v>194</v>
      </c>
      <c r="D118" s="6">
        <v>-360518</v>
      </c>
      <c r="E118" s="6">
        <v>-90132</v>
      </c>
      <c r="F118" s="7">
        <v>5.08</v>
      </c>
      <c r="G118" s="7">
        <v>5.718</v>
      </c>
      <c r="H118" s="7">
        <v>5.63</v>
      </c>
      <c r="I118" s="7">
        <v>5.6340000000000003</v>
      </c>
      <c r="J118" s="7">
        <v>5.0199999999999996</v>
      </c>
      <c r="K118" s="7">
        <v>4.1680000000000001</v>
      </c>
      <c r="L118" s="7">
        <v>3.7229999999999999</v>
      </c>
      <c r="M118" s="7">
        <v>3.798</v>
      </c>
      <c r="N118" s="7">
        <v>4.4340000000000002</v>
      </c>
      <c r="O118" s="7">
        <v>5.2670000000000003</v>
      </c>
      <c r="P118" s="7">
        <v>5.4980000000000002</v>
      </c>
      <c r="Q118" s="7">
        <v>6.0730000000000004</v>
      </c>
      <c r="R118" s="7">
        <v>5.9930000000000003</v>
      </c>
      <c r="S118" s="7">
        <f t="shared" si="1"/>
        <v>5.0796666666666663</v>
      </c>
    </row>
    <row r="119" spans="1:19">
      <c r="A119" s="5" t="str">
        <f>B119&amp;"-"&amp;COUNTIF($B$2:B119,B119)</f>
        <v>ALAGOAS-96</v>
      </c>
      <c r="B119" s="5" t="s">
        <v>97</v>
      </c>
      <c r="C119" s="5" t="s">
        <v>195</v>
      </c>
      <c r="D119" s="6">
        <v>-359376</v>
      </c>
      <c r="E119" s="6">
        <v>-89787</v>
      </c>
      <c r="F119" s="7">
        <v>5.1529999999999996</v>
      </c>
      <c r="G119" s="7">
        <v>5.8540000000000001</v>
      </c>
      <c r="H119" s="7">
        <v>5.8090000000000002</v>
      </c>
      <c r="I119" s="7">
        <v>5.758</v>
      </c>
      <c r="J119" s="7">
        <v>5.048</v>
      </c>
      <c r="K119" s="7">
        <v>4.1269999999999998</v>
      </c>
      <c r="L119" s="7">
        <v>3.6829999999999998</v>
      </c>
      <c r="M119" s="7">
        <v>3.7949999999999999</v>
      </c>
      <c r="N119" s="7">
        <v>4.4509999999999996</v>
      </c>
      <c r="O119" s="7">
        <v>5.3550000000000004</v>
      </c>
      <c r="P119" s="7">
        <v>5.6509999999999998</v>
      </c>
      <c r="Q119" s="7">
        <v>6.1870000000000003</v>
      </c>
      <c r="R119" s="7">
        <v>6.1210000000000004</v>
      </c>
      <c r="S119" s="7">
        <f t="shared" si="1"/>
        <v>5.153249999999999</v>
      </c>
    </row>
    <row r="120" spans="1:19">
      <c r="A120" s="5" t="str">
        <f>B120&amp;"-"&amp;COUNTIF($B$2:B120,B120)</f>
        <v>ALAGOAS-97</v>
      </c>
      <c r="B120" s="5" t="s">
        <v>97</v>
      </c>
      <c r="C120" s="5" t="s">
        <v>196</v>
      </c>
      <c r="D120" s="6">
        <v>-35227</v>
      </c>
      <c r="E120" s="6">
        <v>-90079</v>
      </c>
      <c r="F120" s="7">
        <v>5.3520000000000003</v>
      </c>
      <c r="G120" s="7">
        <v>5.9580000000000002</v>
      </c>
      <c r="H120" s="7">
        <v>5.9370000000000003</v>
      </c>
      <c r="I120" s="7">
        <v>6.0439999999999996</v>
      </c>
      <c r="J120" s="7">
        <v>5.1059999999999999</v>
      </c>
      <c r="K120" s="7">
        <v>4.3979999999999997</v>
      </c>
      <c r="L120" s="7">
        <v>4.1070000000000002</v>
      </c>
      <c r="M120" s="7">
        <v>4.1639999999999997</v>
      </c>
      <c r="N120" s="7">
        <v>4.8840000000000003</v>
      </c>
      <c r="O120" s="7">
        <v>5.4660000000000002</v>
      </c>
      <c r="P120" s="7">
        <v>5.8319999999999999</v>
      </c>
      <c r="Q120" s="7">
        <v>6.1429999999999998</v>
      </c>
      <c r="R120" s="7">
        <v>6.1890000000000001</v>
      </c>
      <c r="S120" s="7">
        <f t="shared" si="1"/>
        <v>5.3523333333333341</v>
      </c>
    </row>
    <row r="121" spans="1:19">
      <c r="A121" s="5" t="str">
        <f>B121&amp;"-"&amp;COUNTIF($B$2:B121,B121)</f>
        <v>ALAGOAS-98</v>
      </c>
      <c r="B121" s="5" t="s">
        <v>97</v>
      </c>
      <c r="C121" s="5" t="s">
        <v>197</v>
      </c>
      <c r="D121" s="6">
        <v>-357217</v>
      </c>
      <c r="E121" s="6">
        <v>-89185</v>
      </c>
      <c r="F121" s="7">
        <v>5.008</v>
      </c>
      <c r="G121" s="7">
        <v>5.5739999999999998</v>
      </c>
      <c r="H121" s="7">
        <v>5.6</v>
      </c>
      <c r="I121" s="7">
        <v>5.5979999999999999</v>
      </c>
      <c r="J121" s="7">
        <v>4.9189999999999996</v>
      </c>
      <c r="K121" s="7">
        <v>4.1440000000000001</v>
      </c>
      <c r="L121" s="7">
        <v>3.7490000000000001</v>
      </c>
      <c r="M121" s="7">
        <v>3.82</v>
      </c>
      <c r="N121" s="7">
        <v>4.4130000000000003</v>
      </c>
      <c r="O121" s="7">
        <v>5.17</v>
      </c>
      <c r="P121" s="7">
        <v>5.4109999999999996</v>
      </c>
      <c r="Q121" s="7">
        <v>5.8540000000000001</v>
      </c>
      <c r="R121" s="7">
        <v>5.8390000000000004</v>
      </c>
      <c r="S121" s="7">
        <f t="shared" si="1"/>
        <v>5.0075833333333328</v>
      </c>
    </row>
    <row r="122" spans="1:19">
      <c r="A122" s="5" t="str">
        <f>B122&amp;"-"&amp;COUNTIF($B$2:B122,B122)</f>
        <v>ALAGOAS-99</v>
      </c>
      <c r="B122" s="5" t="s">
        <v>97</v>
      </c>
      <c r="C122" s="5" t="s">
        <v>198</v>
      </c>
      <c r="D122" s="6">
        <v>-356643</v>
      </c>
      <c r="E122" s="6">
        <v>-89423</v>
      </c>
      <c r="F122" s="7">
        <v>5.0819999999999999</v>
      </c>
      <c r="G122" s="7">
        <v>5.6609999999999996</v>
      </c>
      <c r="H122" s="7">
        <v>5.6349999999999998</v>
      </c>
      <c r="I122" s="7">
        <v>5.6390000000000002</v>
      </c>
      <c r="J122" s="7">
        <v>4.984</v>
      </c>
      <c r="K122" s="7">
        <v>4.1970000000000001</v>
      </c>
      <c r="L122" s="7">
        <v>3.88</v>
      </c>
      <c r="M122" s="7">
        <v>3.9119999999999999</v>
      </c>
      <c r="N122" s="7">
        <v>4.5330000000000004</v>
      </c>
      <c r="O122" s="7">
        <v>5.2670000000000003</v>
      </c>
      <c r="P122" s="7">
        <v>5.5129999999999999</v>
      </c>
      <c r="Q122" s="7">
        <v>5.9279999999999999</v>
      </c>
      <c r="R122" s="7">
        <v>5.8369999999999997</v>
      </c>
      <c r="S122" s="7">
        <f t="shared" si="1"/>
        <v>5.0821666666666658</v>
      </c>
    </row>
    <row r="123" spans="1:19">
      <c r="A123" s="5" t="str">
        <f>B123&amp;"-"&amp;COUNTIF($B$2:B123,B123)</f>
        <v>ALAGOAS-100</v>
      </c>
      <c r="B123" s="5" t="s">
        <v>97</v>
      </c>
      <c r="C123" s="5" t="s">
        <v>199</v>
      </c>
      <c r="D123" s="6">
        <v>-355538</v>
      </c>
      <c r="E123" s="6">
        <v>-89415</v>
      </c>
      <c r="F123" s="7">
        <v>5.1470000000000002</v>
      </c>
      <c r="G123" s="7">
        <v>5.7210000000000001</v>
      </c>
      <c r="H123" s="7">
        <v>5.6630000000000003</v>
      </c>
      <c r="I123" s="7">
        <v>5.7309999999999999</v>
      </c>
      <c r="J123" s="7">
        <v>5.0060000000000002</v>
      </c>
      <c r="K123" s="7">
        <v>4.2450000000000001</v>
      </c>
      <c r="L123" s="7">
        <v>3.94</v>
      </c>
      <c r="M123" s="7">
        <v>3.976</v>
      </c>
      <c r="N123" s="7">
        <v>4.5940000000000003</v>
      </c>
      <c r="O123" s="7">
        <v>5.3520000000000003</v>
      </c>
      <c r="P123" s="7">
        <v>5.6050000000000004</v>
      </c>
      <c r="Q123" s="7">
        <v>5.992</v>
      </c>
      <c r="R123" s="7">
        <v>5.9459999999999997</v>
      </c>
      <c r="S123" s="7">
        <f t="shared" si="1"/>
        <v>5.1475833333333343</v>
      </c>
    </row>
    <row r="124" spans="1:19">
      <c r="A124" s="5" t="str">
        <f>B124&amp;"-"&amp;COUNTIF($B$2:B124,B124)</f>
        <v>ALAGOAS-101</v>
      </c>
      <c r="B124" s="5" t="s">
        <v>97</v>
      </c>
      <c r="C124" s="5" t="s">
        <v>200</v>
      </c>
      <c r="D124" s="6">
        <v>-355688</v>
      </c>
      <c r="E124" s="6">
        <v>-88477</v>
      </c>
      <c r="F124" s="7">
        <v>5.1550000000000002</v>
      </c>
      <c r="G124" s="7">
        <v>5.6859999999999999</v>
      </c>
      <c r="H124" s="7">
        <v>5.6479999999999997</v>
      </c>
      <c r="I124" s="7">
        <v>5.7350000000000003</v>
      </c>
      <c r="J124" s="7">
        <v>5.008</v>
      </c>
      <c r="K124" s="7">
        <v>4.2320000000000002</v>
      </c>
      <c r="L124" s="7">
        <v>3.93</v>
      </c>
      <c r="M124" s="7">
        <v>3.9609999999999999</v>
      </c>
      <c r="N124" s="7">
        <v>4.6079999999999997</v>
      </c>
      <c r="O124" s="7">
        <v>5.3970000000000002</v>
      </c>
      <c r="P124" s="7">
        <v>5.633</v>
      </c>
      <c r="Q124" s="7">
        <v>6.0579999999999998</v>
      </c>
      <c r="R124" s="7">
        <v>5.9669999999999996</v>
      </c>
      <c r="S124" s="7">
        <f t="shared" si="1"/>
        <v>5.1552499999999997</v>
      </c>
    </row>
    <row r="125" spans="1:19">
      <c r="A125" s="5" t="str">
        <f>B125&amp;"-"&amp;COUNTIF($B$2:B125,B125)</f>
        <v>ALAGOAS-102</v>
      </c>
      <c r="B125" s="5" t="s">
        <v>97</v>
      </c>
      <c r="C125" s="5" t="s">
        <v>201</v>
      </c>
      <c r="D125" s="6">
        <v>-354594</v>
      </c>
      <c r="E125" s="6">
        <v>-88399</v>
      </c>
      <c r="F125" s="7">
        <v>5.1849999999999996</v>
      </c>
      <c r="G125" s="7">
        <v>5.7060000000000004</v>
      </c>
      <c r="H125" s="7">
        <v>5.6909999999999998</v>
      </c>
      <c r="I125" s="7">
        <v>5.7539999999999996</v>
      </c>
      <c r="J125" s="7">
        <v>5.0119999999999996</v>
      </c>
      <c r="K125" s="7">
        <v>4.2359999999999998</v>
      </c>
      <c r="L125" s="7">
        <v>3.9710000000000001</v>
      </c>
      <c r="M125" s="7">
        <v>3.996</v>
      </c>
      <c r="N125" s="7">
        <v>4.6399999999999997</v>
      </c>
      <c r="O125" s="7">
        <v>5.4359999999999999</v>
      </c>
      <c r="P125" s="7">
        <v>5.6630000000000003</v>
      </c>
      <c r="Q125" s="7">
        <v>6.1130000000000004</v>
      </c>
      <c r="R125" s="7">
        <v>5.9980000000000002</v>
      </c>
      <c r="S125" s="7">
        <f t="shared" si="1"/>
        <v>5.1846666666666668</v>
      </c>
    </row>
    <row r="126" spans="1:19">
      <c r="A126" s="5" t="str">
        <f>B126&amp;"-"&amp;COUNTIF($B$2:B126,B126)</f>
        <v>AMAPA-1</v>
      </c>
      <c r="B126" s="5" t="s">
        <v>202</v>
      </c>
      <c r="C126" s="5" t="s">
        <v>203</v>
      </c>
      <c r="D126" s="6">
        <v>-50796</v>
      </c>
      <c r="E126" s="6">
        <v>20523</v>
      </c>
      <c r="F126" s="7">
        <v>4.7919999999999998</v>
      </c>
      <c r="G126" s="7">
        <v>4.2560000000000002</v>
      </c>
      <c r="H126" s="7">
        <v>4.117</v>
      </c>
      <c r="I126" s="7">
        <v>4.1100000000000003</v>
      </c>
      <c r="J126" s="7">
        <v>4.1710000000000003</v>
      </c>
      <c r="K126" s="7">
        <v>4.5810000000000004</v>
      </c>
      <c r="L126" s="7">
        <v>4.8330000000000002</v>
      </c>
      <c r="M126" s="7">
        <v>5.1050000000000004</v>
      </c>
      <c r="N126" s="7">
        <v>5.4770000000000003</v>
      </c>
      <c r="O126" s="7">
        <v>5.5439999999999996</v>
      </c>
      <c r="P126" s="7">
        <v>5.44</v>
      </c>
      <c r="Q126" s="7">
        <v>5.2110000000000003</v>
      </c>
      <c r="R126" s="7">
        <v>4.6550000000000002</v>
      </c>
      <c r="S126" s="7">
        <f t="shared" si="1"/>
        <v>4.7916666666666661</v>
      </c>
    </row>
    <row r="127" spans="1:19">
      <c r="A127" s="5" t="str">
        <f>B127&amp;"-"&amp;COUNTIF($B$2:B127,B127)</f>
        <v>AMAPA-2</v>
      </c>
      <c r="B127" s="5" t="s">
        <v>202</v>
      </c>
      <c r="C127" s="5" t="s">
        <v>204</v>
      </c>
      <c r="D127" s="6">
        <v>-509505</v>
      </c>
      <c r="E127" s="6">
        <v>24947</v>
      </c>
      <c r="F127" s="7">
        <v>4.7729999999999997</v>
      </c>
      <c r="G127" s="7">
        <v>4.1349999999999998</v>
      </c>
      <c r="H127" s="7">
        <v>4.0369999999999999</v>
      </c>
      <c r="I127" s="7">
        <v>4.0679999999999996</v>
      </c>
      <c r="J127" s="7">
        <v>4.2</v>
      </c>
      <c r="K127" s="7">
        <v>4.6020000000000003</v>
      </c>
      <c r="L127" s="7">
        <v>4.9189999999999996</v>
      </c>
      <c r="M127" s="7">
        <v>5.1749999999999998</v>
      </c>
      <c r="N127" s="7">
        <v>5.4880000000000004</v>
      </c>
      <c r="O127" s="7">
        <v>5.5339999999999998</v>
      </c>
      <c r="P127" s="7">
        <v>5.4349999999999996</v>
      </c>
      <c r="Q127" s="7">
        <v>5.1779999999999999</v>
      </c>
      <c r="R127" s="7">
        <v>4.51</v>
      </c>
      <c r="S127" s="7">
        <f t="shared" si="1"/>
        <v>4.7734166666666669</v>
      </c>
    </row>
    <row r="128" spans="1:19">
      <c r="A128" s="5" t="str">
        <f>B128&amp;"-"&amp;COUNTIF($B$2:B128,B128)</f>
        <v>AMAPA-3</v>
      </c>
      <c r="B128" s="5" t="s">
        <v>202</v>
      </c>
      <c r="C128" s="5" t="s">
        <v>205</v>
      </c>
      <c r="D128" s="6">
        <v>-50798</v>
      </c>
      <c r="E128" s="5" t="s">
        <v>206</v>
      </c>
      <c r="F128" s="7">
        <v>4.7190000000000003</v>
      </c>
      <c r="G128" s="7">
        <v>4.3010000000000002</v>
      </c>
      <c r="H128" s="7">
        <v>4.0149999999999997</v>
      </c>
      <c r="I128" s="7">
        <v>3.931</v>
      </c>
      <c r="J128" s="7">
        <v>4.0149999999999997</v>
      </c>
      <c r="K128" s="7">
        <v>4.4379999999999997</v>
      </c>
      <c r="L128" s="7">
        <v>4.7930000000000001</v>
      </c>
      <c r="M128" s="7">
        <v>5.03</v>
      </c>
      <c r="N128" s="7">
        <v>5.4249999999999998</v>
      </c>
      <c r="O128" s="7">
        <v>5.5129999999999999</v>
      </c>
      <c r="P128" s="7">
        <v>5.45</v>
      </c>
      <c r="Q128" s="7">
        <v>5.2</v>
      </c>
      <c r="R128" s="7">
        <v>4.5170000000000003</v>
      </c>
      <c r="S128" s="7">
        <f t="shared" si="1"/>
        <v>4.7190000000000003</v>
      </c>
    </row>
    <row r="129" spans="1:19">
      <c r="A129" s="5" t="str">
        <f>B129&amp;"-"&amp;COUNTIF($B$2:B129,B129)</f>
        <v>AMAPA-4</v>
      </c>
      <c r="B129" s="5" t="s">
        <v>202</v>
      </c>
      <c r="C129" s="5" t="s">
        <v>207</v>
      </c>
      <c r="D129" s="6">
        <v>-511799</v>
      </c>
      <c r="E129" s="5" t="s">
        <v>208</v>
      </c>
      <c r="F129" s="7">
        <v>4.6879999999999997</v>
      </c>
      <c r="G129" s="7">
        <v>4.2300000000000004</v>
      </c>
      <c r="H129" s="7">
        <v>4.0039999999999996</v>
      </c>
      <c r="I129" s="7">
        <v>4.0469999999999997</v>
      </c>
      <c r="J129" s="7">
        <v>4.0890000000000004</v>
      </c>
      <c r="K129" s="7">
        <v>4.4279999999999999</v>
      </c>
      <c r="L129" s="7">
        <v>4.6840000000000002</v>
      </c>
      <c r="M129" s="7">
        <v>4.8879999999999999</v>
      </c>
      <c r="N129" s="7">
        <v>5.3570000000000002</v>
      </c>
      <c r="O129" s="7">
        <v>5.4770000000000003</v>
      </c>
      <c r="P129" s="7">
        <v>5.4359999999999999</v>
      </c>
      <c r="Q129" s="7">
        <v>5.149</v>
      </c>
      <c r="R129" s="7">
        <v>4.4649999999999999</v>
      </c>
      <c r="S129" s="7">
        <f t="shared" si="1"/>
        <v>4.6878333333333329</v>
      </c>
    </row>
    <row r="130" spans="1:19">
      <c r="A130" s="5" t="str">
        <f>B130&amp;"-"&amp;COUNTIF($B$2:B130,B130)</f>
        <v>AMAPA-5</v>
      </c>
      <c r="B130" s="5" t="s">
        <v>202</v>
      </c>
      <c r="C130" s="5" t="s">
        <v>209</v>
      </c>
      <c r="D130" s="6">
        <v>-506991</v>
      </c>
      <c r="E130" s="5" t="s">
        <v>210</v>
      </c>
      <c r="F130" s="7">
        <v>4.7350000000000003</v>
      </c>
      <c r="G130" s="7">
        <v>4.3040000000000003</v>
      </c>
      <c r="H130" s="7">
        <v>4.0419999999999998</v>
      </c>
      <c r="I130" s="7">
        <v>3.9769999999999999</v>
      </c>
      <c r="J130" s="7">
        <v>3.99</v>
      </c>
      <c r="K130" s="7">
        <v>4.45</v>
      </c>
      <c r="L130" s="7">
        <v>4.8230000000000004</v>
      </c>
      <c r="M130" s="7">
        <v>5.0469999999999997</v>
      </c>
      <c r="N130" s="7">
        <v>5.4610000000000003</v>
      </c>
      <c r="O130" s="7">
        <v>5.5179999999999998</v>
      </c>
      <c r="P130" s="7">
        <v>5.4480000000000004</v>
      </c>
      <c r="Q130" s="7">
        <v>5.133</v>
      </c>
      <c r="R130" s="7">
        <v>4.6230000000000002</v>
      </c>
      <c r="S130" s="7">
        <f t="shared" si="1"/>
        <v>4.7346666666666666</v>
      </c>
    </row>
    <row r="131" spans="1:19">
      <c r="A131" s="5" t="str">
        <f>B131&amp;"-"&amp;COUNTIF($B$2:B131,B131)</f>
        <v>AMAPA-6</v>
      </c>
      <c r="B131" s="5" t="s">
        <v>202</v>
      </c>
      <c r="C131" s="5" t="s">
        <v>211</v>
      </c>
      <c r="D131" s="6">
        <v>-525227</v>
      </c>
      <c r="E131" s="5" t="s">
        <v>212</v>
      </c>
      <c r="F131" s="7">
        <v>4.6580000000000004</v>
      </c>
      <c r="G131" s="7">
        <v>4.3520000000000003</v>
      </c>
      <c r="H131" s="7">
        <v>4.3490000000000002</v>
      </c>
      <c r="I131" s="7">
        <v>4.3630000000000004</v>
      </c>
      <c r="J131" s="7">
        <v>4.3559999999999999</v>
      </c>
      <c r="K131" s="7">
        <v>4.524</v>
      </c>
      <c r="L131" s="7">
        <v>4.6950000000000003</v>
      </c>
      <c r="M131" s="7">
        <v>4.7220000000000004</v>
      </c>
      <c r="N131" s="7">
        <v>5.03</v>
      </c>
      <c r="O131" s="7">
        <v>5.1180000000000003</v>
      </c>
      <c r="P131" s="7">
        <v>5.0629999999999997</v>
      </c>
      <c r="Q131" s="7">
        <v>4.8929999999999998</v>
      </c>
      <c r="R131" s="7">
        <v>4.431</v>
      </c>
      <c r="S131" s="7">
        <f t="shared" ref="S131:S194" si="2">(G131+H131+I131+J131+K131+L131+M131+N131+O131+P131+Q131+R131)/12</f>
        <v>4.6580000000000004</v>
      </c>
    </row>
    <row r="132" spans="1:19">
      <c r="A132" s="5" t="str">
        <f>B132&amp;"-"&amp;COUNTIF($B$2:B132,B132)</f>
        <v>AMAPA-7</v>
      </c>
      <c r="B132" s="5" t="s">
        <v>202</v>
      </c>
      <c r="C132" s="5" t="s">
        <v>213</v>
      </c>
      <c r="D132" s="6">
        <v>-510702</v>
      </c>
      <c r="E132" s="5" t="s">
        <v>214</v>
      </c>
      <c r="F132" s="7">
        <v>4.944</v>
      </c>
      <c r="G132" s="7">
        <v>4.7140000000000004</v>
      </c>
      <c r="H132" s="7">
        <v>4.3170000000000002</v>
      </c>
      <c r="I132" s="7">
        <v>4.2320000000000002</v>
      </c>
      <c r="J132" s="7">
        <v>4.2859999999999996</v>
      </c>
      <c r="K132" s="7">
        <v>4.71</v>
      </c>
      <c r="L132" s="7">
        <v>4.9729999999999999</v>
      </c>
      <c r="M132" s="7">
        <v>5.09</v>
      </c>
      <c r="N132" s="7">
        <v>5.4770000000000003</v>
      </c>
      <c r="O132" s="7">
        <v>5.6180000000000003</v>
      </c>
      <c r="P132" s="7">
        <v>5.4829999999999997</v>
      </c>
      <c r="Q132" s="7">
        <v>5.4560000000000004</v>
      </c>
      <c r="R132" s="7">
        <v>4.9800000000000004</v>
      </c>
      <c r="S132" s="7">
        <f t="shared" si="2"/>
        <v>4.9446666666666674</v>
      </c>
    </row>
    <row r="133" spans="1:19">
      <c r="A133" s="5" t="str">
        <f>B133&amp;"-"&amp;COUNTIF($B$2:B133,B133)</f>
        <v>AMAPA-8</v>
      </c>
      <c r="B133" s="5" t="s">
        <v>202</v>
      </c>
      <c r="C133" s="5" t="s">
        <v>215</v>
      </c>
      <c r="D133" s="6">
        <v>-512895</v>
      </c>
      <c r="E133" s="5" t="s">
        <v>216</v>
      </c>
      <c r="F133" s="7">
        <v>4.8449999999999998</v>
      </c>
      <c r="G133" s="7">
        <v>4.5659999999999998</v>
      </c>
      <c r="H133" s="7">
        <v>4.2450000000000001</v>
      </c>
      <c r="I133" s="7">
        <v>4.2080000000000002</v>
      </c>
      <c r="J133" s="7">
        <v>4.2290000000000001</v>
      </c>
      <c r="K133" s="7">
        <v>4.6349999999999998</v>
      </c>
      <c r="L133" s="7">
        <v>4.9050000000000002</v>
      </c>
      <c r="M133" s="7">
        <v>5.0739999999999998</v>
      </c>
      <c r="N133" s="7">
        <v>5.3070000000000004</v>
      </c>
      <c r="O133" s="7">
        <v>5.4909999999999997</v>
      </c>
      <c r="P133" s="7">
        <v>5.4009999999999998</v>
      </c>
      <c r="Q133" s="7">
        <v>5.2880000000000003</v>
      </c>
      <c r="R133" s="7">
        <v>4.7919999999999998</v>
      </c>
      <c r="S133" s="7">
        <f t="shared" si="2"/>
        <v>4.8450833333333341</v>
      </c>
    </row>
    <row r="134" spans="1:19">
      <c r="A134" s="5" t="str">
        <f>B134&amp;"-"&amp;COUNTIF($B$2:B134,B134)</f>
        <v>AMAPA-9</v>
      </c>
      <c r="B134" s="5" t="s">
        <v>202</v>
      </c>
      <c r="C134" s="5" t="s">
        <v>217</v>
      </c>
      <c r="D134" s="6">
        <v>-518335</v>
      </c>
      <c r="E134" s="6">
        <v>38404</v>
      </c>
      <c r="F134" s="7">
        <v>4.7050000000000001</v>
      </c>
      <c r="G134" s="7">
        <v>4.0140000000000002</v>
      </c>
      <c r="H134" s="7">
        <v>4.0389999999999997</v>
      </c>
      <c r="I134" s="7">
        <v>3.9569999999999999</v>
      </c>
      <c r="J134" s="7">
        <v>4.4470000000000001</v>
      </c>
      <c r="K134" s="7">
        <v>4.3899999999999997</v>
      </c>
      <c r="L134" s="7">
        <v>4.657</v>
      </c>
      <c r="M134" s="7">
        <v>5.0019999999999998</v>
      </c>
      <c r="N134" s="7">
        <v>5.423</v>
      </c>
      <c r="O134" s="7">
        <v>5.7270000000000003</v>
      </c>
      <c r="P134" s="7">
        <v>5.4320000000000004</v>
      </c>
      <c r="Q134" s="7">
        <v>5.1120000000000001</v>
      </c>
      <c r="R134" s="7">
        <v>4.2539999999999996</v>
      </c>
      <c r="S134" s="7">
        <f t="shared" si="2"/>
        <v>4.7045000000000003</v>
      </c>
    </row>
    <row r="135" spans="1:19">
      <c r="A135" s="5" t="str">
        <f>B135&amp;"-"&amp;COUNTIF($B$2:B135,B135)</f>
        <v>AMAPA-10</v>
      </c>
      <c r="B135" s="5" t="s">
        <v>202</v>
      </c>
      <c r="C135" s="5" t="s">
        <v>218</v>
      </c>
      <c r="D135" s="6">
        <v>-519507</v>
      </c>
      <c r="E135" s="5" t="s">
        <v>219</v>
      </c>
      <c r="F135" s="7">
        <v>4.5579999999999998</v>
      </c>
      <c r="G135" s="7">
        <v>4.1550000000000002</v>
      </c>
      <c r="H135" s="7">
        <v>4.0270000000000001</v>
      </c>
      <c r="I135" s="7">
        <v>4.0830000000000002</v>
      </c>
      <c r="J135" s="7">
        <v>4.1470000000000002</v>
      </c>
      <c r="K135" s="7">
        <v>4.3810000000000002</v>
      </c>
      <c r="L135" s="7">
        <v>4.5090000000000003</v>
      </c>
      <c r="M135" s="7">
        <v>4.68</v>
      </c>
      <c r="N135" s="7">
        <v>5.0380000000000003</v>
      </c>
      <c r="O135" s="7">
        <v>5.2889999999999997</v>
      </c>
      <c r="P135" s="7">
        <v>5.1280000000000001</v>
      </c>
      <c r="Q135" s="7">
        <v>4.9349999999999996</v>
      </c>
      <c r="R135" s="7">
        <v>4.3209999999999997</v>
      </c>
      <c r="S135" s="7">
        <f t="shared" si="2"/>
        <v>4.5577499999999995</v>
      </c>
    </row>
    <row r="136" spans="1:19">
      <c r="A136" s="5" t="str">
        <f>B136&amp;"-"&amp;COUNTIF($B$2:B136,B136)</f>
        <v>AMAPA-11</v>
      </c>
      <c r="B136" s="5" t="s">
        <v>202</v>
      </c>
      <c r="C136" s="5" t="s">
        <v>220</v>
      </c>
      <c r="D136" s="6">
        <v>-514041</v>
      </c>
      <c r="E136" s="5" t="s">
        <v>221</v>
      </c>
      <c r="F136" s="7">
        <v>4.548</v>
      </c>
      <c r="G136" s="7">
        <v>4.1689999999999996</v>
      </c>
      <c r="H136" s="7">
        <v>4.0439999999999996</v>
      </c>
      <c r="I136" s="7">
        <v>4.0419999999999998</v>
      </c>
      <c r="J136" s="7">
        <v>4.0679999999999996</v>
      </c>
      <c r="K136" s="7">
        <v>4.3259999999999996</v>
      </c>
      <c r="L136" s="7">
        <v>4.5309999999999997</v>
      </c>
      <c r="M136" s="7">
        <v>4.68</v>
      </c>
      <c r="N136" s="7">
        <v>5.0590000000000002</v>
      </c>
      <c r="O136" s="7">
        <v>5.2969999999999997</v>
      </c>
      <c r="P136" s="7">
        <v>5.1379999999999999</v>
      </c>
      <c r="Q136" s="7">
        <v>4.8979999999999997</v>
      </c>
      <c r="R136" s="7">
        <v>4.3230000000000004</v>
      </c>
      <c r="S136" s="7">
        <f t="shared" si="2"/>
        <v>4.5479166666666666</v>
      </c>
    </row>
    <row r="137" spans="1:19">
      <c r="A137" s="5" t="str">
        <f>B137&amp;"-"&amp;COUNTIF($B$2:B137,B137)</f>
        <v>AMAPA-12</v>
      </c>
      <c r="B137" s="5" t="s">
        <v>202</v>
      </c>
      <c r="C137" s="5" t="s">
        <v>222</v>
      </c>
      <c r="D137" s="6">
        <v>-507839</v>
      </c>
      <c r="E137" s="6">
        <v>17448</v>
      </c>
      <c r="F137" s="7">
        <v>4.6470000000000002</v>
      </c>
      <c r="G137" s="7">
        <v>4.2060000000000004</v>
      </c>
      <c r="H137" s="7">
        <v>3.9540000000000002</v>
      </c>
      <c r="I137" s="7">
        <v>3.9220000000000002</v>
      </c>
      <c r="J137" s="7">
        <v>3.9329999999999998</v>
      </c>
      <c r="K137" s="7">
        <v>4.3449999999999998</v>
      </c>
      <c r="L137" s="7">
        <v>4.5529999999999999</v>
      </c>
      <c r="M137" s="7">
        <v>4.8630000000000004</v>
      </c>
      <c r="N137" s="7">
        <v>5.2469999999999999</v>
      </c>
      <c r="O137" s="7">
        <v>5.5369999999999999</v>
      </c>
      <c r="P137" s="7">
        <v>5.4459999999999997</v>
      </c>
      <c r="Q137" s="7">
        <v>5.2350000000000003</v>
      </c>
      <c r="R137" s="7">
        <v>4.5279999999999996</v>
      </c>
      <c r="S137" s="7">
        <f t="shared" si="2"/>
        <v>4.6474166666666656</v>
      </c>
    </row>
    <row r="138" spans="1:19">
      <c r="A138" s="5" t="str">
        <f>B138&amp;"-"&amp;COUNTIF($B$2:B138,B138)</f>
        <v>AMAPA-13</v>
      </c>
      <c r="B138" s="5" t="s">
        <v>202</v>
      </c>
      <c r="C138" s="5" t="s">
        <v>223</v>
      </c>
      <c r="D138" s="6">
        <v>-511733</v>
      </c>
      <c r="E138" s="5" t="s">
        <v>224</v>
      </c>
      <c r="F138" s="7">
        <v>4.8319999999999999</v>
      </c>
      <c r="G138" s="7">
        <v>4.5309999999999997</v>
      </c>
      <c r="H138" s="7">
        <v>4.1909999999999998</v>
      </c>
      <c r="I138" s="7">
        <v>4.117</v>
      </c>
      <c r="J138" s="7">
        <v>4.17</v>
      </c>
      <c r="K138" s="7">
        <v>4.6269999999999998</v>
      </c>
      <c r="L138" s="7">
        <v>4.9020000000000001</v>
      </c>
      <c r="M138" s="7">
        <v>4.9909999999999997</v>
      </c>
      <c r="N138" s="7">
        <v>5.37</v>
      </c>
      <c r="O138" s="7">
        <v>5.5629999999999997</v>
      </c>
      <c r="P138" s="7">
        <v>5.407</v>
      </c>
      <c r="Q138" s="7">
        <v>5.3339999999999996</v>
      </c>
      <c r="R138" s="7">
        <v>4.7850000000000001</v>
      </c>
      <c r="S138" s="7">
        <f t="shared" si="2"/>
        <v>4.8323333333333336</v>
      </c>
    </row>
    <row r="139" spans="1:19">
      <c r="A139" s="5" t="str">
        <f>B139&amp;"-"&amp;COUNTIF($B$2:B139,B139)</f>
        <v>AMAPA-14</v>
      </c>
      <c r="B139" s="5" t="s">
        <v>202</v>
      </c>
      <c r="C139" s="5" t="s">
        <v>225</v>
      </c>
      <c r="D139" s="6">
        <v>-52004</v>
      </c>
      <c r="E139" s="5" t="s">
        <v>226</v>
      </c>
      <c r="F139" s="7">
        <v>4.5750000000000002</v>
      </c>
      <c r="G139" s="7">
        <v>4.1779999999999999</v>
      </c>
      <c r="H139" s="7">
        <v>4.0090000000000003</v>
      </c>
      <c r="I139" s="7">
        <v>4.1029999999999998</v>
      </c>
      <c r="J139" s="7">
        <v>4.1749999999999998</v>
      </c>
      <c r="K139" s="7">
        <v>4.383</v>
      </c>
      <c r="L139" s="7">
        <v>4.4809999999999999</v>
      </c>
      <c r="M139" s="7">
        <v>4.6760000000000002</v>
      </c>
      <c r="N139" s="7">
        <v>5.0279999999999996</v>
      </c>
      <c r="O139" s="7">
        <v>5.33</v>
      </c>
      <c r="P139" s="7">
        <v>5.2110000000000003</v>
      </c>
      <c r="Q139" s="7">
        <v>4.9450000000000003</v>
      </c>
      <c r="R139" s="7">
        <v>4.3819999999999997</v>
      </c>
      <c r="S139" s="7">
        <f t="shared" si="2"/>
        <v>4.5750833333333327</v>
      </c>
    </row>
    <row r="140" spans="1:19">
      <c r="A140" s="5" t="str">
        <f>B140&amp;"-"&amp;COUNTIF($B$2:B140,B140)</f>
        <v>AMAPA-15</v>
      </c>
      <c r="B140" s="5" t="s">
        <v>202</v>
      </c>
      <c r="C140" s="5" t="s">
        <v>227</v>
      </c>
      <c r="D140" s="6">
        <v>-509091</v>
      </c>
      <c r="E140" s="6">
        <v>15062</v>
      </c>
      <c r="F140" s="7">
        <v>4.5949999999999998</v>
      </c>
      <c r="G140" s="7">
        <v>4.1379999999999999</v>
      </c>
      <c r="H140" s="7">
        <v>3.9159999999999999</v>
      </c>
      <c r="I140" s="7">
        <v>3.9409999999999998</v>
      </c>
      <c r="J140" s="7">
        <v>3.952</v>
      </c>
      <c r="K140" s="7">
        <v>4.3470000000000004</v>
      </c>
      <c r="L140" s="7">
        <v>4.6239999999999997</v>
      </c>
      <c r="M140" s="7">
        <v>4.8689999999999998</v>
      </c>
      <c r="N140" s="7">
        <v>5.2539999999999996</v>
      </c>
      <c r="O140" s="7">
        <v>5.4020000000000001</v>
      </c>
      <c r="P140" s="7">
        <v>5.2670000000000003</v>
      </c>
      <c r="Q140" s="7">
        <v>5.1139999999999999</v>
      </c>
      <c r="R140" s="7">
        <v>4.3179999999999996</v>
      </c>
      <c r="S140" s="7">
        <f t="shared" si="2"/>
        <v>4.5951666666666666</v>
      </c>
    </row>
    <row r="141" spans="1:19">
      <c r="A141" s="5" t="str">
        <f>B141&amp;"-"&amp;COUNTIF($B$2:B141,B141)</f>
        <v>AMAPA-16</v>
      </c>
      <c r="B141" s="5" t="s">
        <v>202</v>
      </c>
      <c r="C141" s="5" t="s">
        <v>228</v>
      </c>
      <c r="D141" s="6">
        <v>-524255</v>
      </c>
      <c r="E141" s="5" t="s">
        <v>229</v>
      </c>
      <c r="F141" s="7">
        <v>4.6669999999999998</v>
      </c>
      <c r="G141" s="7">
        <v>4.444</v>
      </c>
      <c r="H141" s="7">
        <v>4.3090000000000002</v>
      </c>
      <c r="I141" s="7">
        <v>4.3330000000000002</v>
      </c>
      <c r="J141" s="7">
        <v>4.3380000000000001</v>
      </c>
      <c r="K141" s="7">
        <v>4.5439999999999996</v>
      </c>
      <c r="L141" s="7">
        <v>4.6710000000000003</v>
      </c>
      <c r="M141" s="7">
        <v>4.7450000000000001</v>
      </c>
      <c r="N141" s="7">
        <v>5.0090000000000003</v>
      </c>
      <c r="O141" s="7">
        <v>5.0979999999999999</v>
      </c>
      <c r="P141" s="7">
        <v>5.0759999999999996</v>
      </c>
      <c r="Q141" s="7">
        <v>4.93</v>
      </c>
      <c r="R141" s="7">
        <v>4.5</v>
      </c>
      <c r="S141" s="7">
        <f t="shared" si="2"/>
        <v>4.6664166666666667</v>
      </c>
    </row>
    <row r="142" spans="1:19">
      <c r="A142" s="5" t="str">
        <f>B142&amp;"-"&amp;COUNTIF($B$2:B142,B142)</f>
        <v>AMAZONAS-1</v>
      </c>
      <c r="B142" s="5" t="s">
        <v>230</v>
      </c>
      <c r="C142" s="5" t="s">
        <v>231</v>
      </c>
      <c r="D142" s="6">
        <v>-648011</v>
      </c>
      <c r="E142" s="6">
        <v>-32277</v>
      </c>
      <c r="F142" s="7">
        <v>4.5529999999999999</v>
      </c>
      <c r="G142" s="7">
        <v>4.3120000000000003</v>
      </c>
      <c r="H142" s="7">
        <v>4.5730000000000004</v>
      </c>
      <c r="I142" s="7">
        <v>4.5179999999999998</v>
      </c>
      <c r="J142" s="7">
        <v>4.3010000000000002</v>
      </c>
      <c r="K142" s="7">
        <v>3.9990000000000001</v>
      </c>
      <c r="L142" s="7">
        <v>4.2759999999999998</v>
      </c>
      <c r="M142" s="7">
        <v>4.3639999999999999</v>
      </c>
      <c r="N142" s="7">
        <v>4.9630000000000001</v>
      </c>
      <c r="O142" s="7">
        <v>5.0350000000000001</v>
      </c>
      <c r="P142" s="7">
        <v>5.0170000000000003</v>
      </c>
      <c r="Q142" s="7">
        <v>4.7750000000000004</v>
      </c>
      <c r="R142" s="7">
        <v>4.5030000000000001</v>
      </c>
      <c r="S142" s="7">
        <f t="shared" si="2"/>
        <v>4.5529999999999999</v>
      </c>
    </row>
    <row r="143" spans="1:19">
      <c r="A143" s="5" t="str">
        <f>B143&amp;"-"&amp;COUNTIF($B$2:B143,B143)</f>
        <v>AMAZONAS-2</v>
      </c>
      <c r="B143" s="5" t="s">
        <v>230</v>
      </c>
      <c r="C143" s="5" t="s">
        <v>232</v>
      </c>
      <c r="D143" s="6">
        <v>-681995</v>
      </c>
      <c r="E143" s="6">
        <v>-33632</v>
      </c>
      <c r="F143" s="7">
        <v>4.5270000000000001</v>
      </c>
      <c r="G143" s="7">
        <v>4.3460000000000001</v>
      </c>
      <c r="H143" s="7">
        <v>4.71</v>
      </c>
      <c r="I143" s="7">
        <v>4.5110000000000001</v>
      </c>
      <c r="J143" s="7">
        <v>4.3620000000000001</v>
      </c>
      <c r="K143" s="7">
        <v>3.972</v>
      </c>
      <c r="L143" s="7">
        <v>4.1630000000000003</v>
      </c>
      <c r="M143" s="7">
        <v>4.1139999999999999</v>
      </c>
      <c r="N143" s="7">
        <v>4.8520000000000003</v>
      </c>
      <c r="O143" s="7">
        <v>5.048</v>
      </c>
      <c r="P143" s="7">
        <v>5.016</v>
      </c>
      <c r="Q143" s="7">
        <v>4.7720000000000002</v>
      </c>
      <c r="R143" s="7">
        <v>4.4569999999999999</v>
      </c>
      <c r="S143" s="7">
        <f t="shared" si="2"/>
        <v>4.5269166666666667</v>
      </c>
    </row>
    <row r="144" spans="1:19">
      <c r="A144" s="5" t="str">
        <f>B144&amp;"-"&amp;COUNTIF($B$2:B144,B144)</f>
        <v>AMAZONAS-3</v>
      </c>
      <c r="B144" s="5" t="s">
        <v>230</v>
      </c>
      <c r="C144" s="5" t="s">
        <v>233</v>
      </c>
      <c r="D144" s="6">
        <v>-613968</v>
      </c>
      <c r="E144" s="6">
        <v>-35674</v>
      </c>
      <c r="F144" s="7">
        <v>4.5279999999999996</v>
      </c>
      <c r="G144" s="7">
        <v>4.2140000000000004</v>
      </c>
      <c r="H144" s="7">
        <v>4.2869999999999999</v>
      </c>
      <c r="I144" s="7">
        <v>4.3689999999999998</v>
      </c>
      <c r="J144" s="7">
        <v>4.077</v>
      </c>
      <c r="K144" s="7">
        <v>4.0220000000000002</v>
      </c>
      <c r="L144" s="7">
        <v>4.5049999999999999</v>
      </c>
      <c r="M144" s="7">
        <v>4.5330000000000004</v>
      </c>
      <c r="N144" s="7">
        <v>5.1520000000000001</v>
      </c>
      <c r="O144" s="7">
        <v>5.08</v>
      </c>
      <c r="P144" s="7">
        <v>5.0090000000000003</v>
      </c>
      <c r="Q144" s="7">
        <v>4.7519999999999998</v>
      </c>
      <c r="R144" s="7">
        <v>4.3369999999999997</v>
      </c>
      <c r="S144" s="7">
        <f t="shared" si="2"/>
        <v>4.5280833333333339</v>
      </c>
    </row>
    <row r="145" spans="1:19">
      <c r="A145" s="5" t="str">
        <f>B145&amp;"-"&amp;COUNTIF($B$2:B145,B145)</f>
        <v>AMAZONAS-4</v>
      </c>
      <c r="B145" s="5" t="s">
        <v>230</v>
      </c>
      <c r="C145" s="5" t="s">
        <v>234</v>
      </c>
      <c r="D145" s="6">
        <v>-616579</v>
      </c>
      <c r="E145" s="6">
        <v>-37464</v>
      </c>
      <c r="F145" s="7">
        <v>4.4630000000000001</v>
      </c>
      <c r="G145" s="7">
        <v>4.1340000000000003</v>
      </c>
      <c r="H145" s="7">
        <v>4.2709999999999999</v>
      </c>
      <c r="I145" s="7">
        <v>4.3159999999999998</v>
      </c>
      <c r="J145" s="7">
        <v>4.0309999999999997</v>
      </c>
      <c r="K145" s="7">
        <v>3.9580000000000002</v>
      </c>
      <c r="L145" s="7">
        <v>4.3639999999999999</v>
      </c>
      <c r="M145" s="7">
        <v>4.49</v>
      </c>
      <c r="N145" s="7">
        <v>5.0839999999999996</v>
      </c>
      <c r="O145" s="7">
        <v>4.9939999999999998</v>
      </c>
      <c r="P145" s="7">
        <v>4.9260000000000002</v>
      </c>
      <c r="Q145" s="7">
        <v>4.6669999999999998</v>
      </c>
      <c r="R145" s="7">
        <v>4.3179999999999996</v>
      </c>
      <c r="S145" s="7">
        <f t="shared" si="2"/>
        <v>4.4627499999999998</v>
      </c>
    </row>
    <row r="146" spans="1:19">
      <c r="A146" s="5" t="str">
        <f>B146&amp;"-"&amp;COUNTIF($B$2:B146,B146)</f>
        <v>AMAZONAS-5</v>
      </c>
      <c r="B146" s="5" t="s">
        <v>230</v>
      </c>
      <c r="C146" s="5" t="s">
        <v>235</v>
      </c>
      <c r="D146" s="6">
        <v>-598852</v>
      </c>
      <c r="E146" s="6">
        <v>-71984</v>
      </c>
      <c r="F146" s="7">
        <v>4.4329999999999998</v>
      </c>
      <c r="G146" s="7">
        <v>4.0620000000000003</v>
      </c>
      <c r="H146" s="7">
        <v>4.3579999999999997</v>
      </c>
      <c r="I146" s="7">
        <v>4.298</v>
      </c>
      <c r="J146" s="7">
        <v>4.0410000000000004</v>
      </c>
      <c r="K146" s="7">
        <v>3.9620000000000002</v>
      </c>
      <c r="L146" s="7">
        <v>4.4809999999999999</v>
      </c>
      <c r="M146" s="7">
        <v>4.5419999999999998</v>
      </c>
      <c r="N146" s="7">
        <v>4.96</v>
      </c>
      <c r="O146" s="7">
        <v>4.7309999999999999</v>
      </c>
      <c r="P146" s="7">
        <v>4.7649999999999997</v>
      </c>
      <c r="Q146" s="7">
        <v>4.6470000000000002</v>
      </c>
      <c r="R146" s="7">
        <v>4.351</v>
      </c>
      <c r="S146" s="7">
        <f t="shared" si="2"/>
        <v>4.4331666666666667</v>
      </c>
    </row>
    <row r="147" spans="1:19">
      <c r="A147" s="5" t="str">
        <f>B147&amp;"-"&amp;COUNTIF($B$2:B147,B147)</f>
        <v>AMAZONAS-6</v>
      </c>
      <c r="B147" s="5" t="s">
        <v>230</v>
      </c>
      <c r="C147" s="5" t="s">
        <v>236</v>
      </c>
      <c r="D147" s="6">
        <v>-701911</v>
      </c>
      <c r="E147" s="6">
        <v>-43678</v>
      </c>
      <c r="F147" s="7">
        <v>4.5119999999999996</v>
      </c>
      <c r="G147" s="7">
        <v>4.335</v>
      </c>
      <c r="H147" s="7">
        <v>4.6740000000000004</v>
      </c>
      <c r="I147" s="7">
        <v>4.492</v>
      </c>
      <c r="J147" s="7">
        <v>4.3879999999999999</v>
      </c>
      <c r="K147" s="7">
        <v>3.984</v>
      </c>
      <c r="L147" s="7">
        <v>4.1139999999999999</v>
      </c>
      <c r="M147" s="7">
        <v>4.0819999999999999</v>
      </c>
      <c r="N147" s="7">
        <v>4.7969999999999997</v>
      </c>
      <c r="O147" s="7">
        <v>5.085</v>
      </c>
      <c r="P147" s="7">
        <v>4.9059999999999997</v>
      </c>
      <c r="Q147" s="7">
        <v>4.8449999999999998</v>
      </c>
      <c r="R147" s="7">
        <v>4.4409999999999998</v>
      </c>
      <c r="S147" s="7">
        <f t="shared" si="2"/>
        <v>4.511916666666667</v>
      </c>
    </row>
    <row r="148" spans="1:19">
      <c r="A148" s="5" t="str">
        <f>B148&amp;"-"&amp;COUNTIF($B$2:B148,B148)</f>
        <v>AMAZONAS-7</v>
      </c>
      <c r="B148" s="5" t="s">
        <v>230</v>
      </c>
      <c r="C148" s="5" t="s">
        <v>237</v>
      </c>
      <c r="D148" s="6">
        <v>-59126</v>
      </c>
      <c r="E148" s="6">
        <v>-35861</v>
      </c>
      <c r="F148" s="7">
        <v>4.4329999999999998</v>
      </c>
      <c r="G148" s="7">
        <v>4.0469999999999997</v>
      </c>
      <c r="H148" s="7">
        <v>4.2110000000000003</v>
      </c>
      <c r="I148" s="7">
        <v>4.1139999999999999</v>
      </c>
      <c r="J148" s="7">
        <v>3.8769999999999998</v>
      </c>
      <c r="K148" s="7">
        <v>3.9689999999999999</v>
      </c>
      <c r="L148" s="7">
        <v>4.359</v>
      </c>
      <c r="M148" s="7">
        <v>4.3920000000000003</v>
      </c>
      <c r="N148" s="7">
        <v>5.0339999999999998</v>
      </c>
      <c r="O148" s="7">
        <v>5.1369999999999996</v>
      </c>
      <c r="P148" s="7">
        <v>4.9820000000000002</v>
      </c>
      <c r="Q148" s="7">
        <v>4.7830000000000004</v>
      </c>
      <c r="R148" s="7">
        <v>4.2919999999999998</v>
      </c>
      <c r="S148" s="7">
        <f t="shared" si="2"/>
        <v>4.4330833333333333</v>
      </c>
    </row>
    <row r="149" spans="1:19">
      <c r="A149" s="5" t="str">
        <f>B149&amp;"-"&amp;COUNTIF($B$2:B149,B149)</f>
        <v>AMAZONAS-8</v>
      </c>
      <c r="B149" s="5" t="s">
        <v>230</v>
      </c>
      <c r="C149" s="5" t="s">
        <v>238</v>
      </c>
      <c r="D149" s="6">
        <v>-629315</v>
      </c>
      <c r="E149" s="5" t="s">
        <v>239</v>
      </c>
      <c r="F149" s="7">
        <v>4.6130000000000004</v>
      </c>
      <c r="G149" s="7">
        <v>4.524</v>
      </c>
      <c r="H149" s="7">
        <v>4.6689999999999996</v>
      </c>
      <c r="I149" s="7">
        <v>4.5259999999999998</v>
      </c>
      <c r="J149" s="7">
        <v>4.2279999999999998</v>
      </c>
      <c r="K149" s="7">
        <v>3.9329999999999998</v>
      </c>
      <c r="L149" s="7">
        <v>4.3490000000000002</v>
      </c>
      <c r="M149" s="7">
        <v>4.4009999999999998</v>
      </c>
      <c r="N149" s="7">
        <v>4.9580000000000002</v>
      </c>
      <c r="O149" s="7">
        <v>5.1689999999999996</v>
      </c>
      <c r="P149" s="7">
        <v>5.0460000000000003</v>
      </c>
      <c r="Q149" s="7">
        <v>4.835</v>
      </c>
      <c r="R149" s="7">
        <v>4.7190000000000003</v>
      </c>
      <c r="S149" s="7">
        <f t="shared" si="2"/>
        <v>4.613083333333333</v>
      </c>
    </row>
    <row r="150" spans="1:19">
      <c r="A150" s="5" t="str">
        <f>B150&amp;"-"&amp;COUNTIF($B$2:B150,B150)</f>
        <v>AMAZONAS-9</v>
      </c>
      <c r="B150" s="5" t="s">
        <v>230</v>
      </c>
      <c r="C150" s="5" t="s">
        <v>240</v>
      </c>
      <c r="D150" s="6">
        <v>-570683</v>
      </c>
      <c r="E150" s="6">
        <v>-27992</v>
      </c>
      <c r="F150" s="7">
        <v>4.5720000000000001</v>
      </c>
      <c r="G150" s="7">
        <v>4.12</v>
      </c>
      <c r="H150" s="7">
        <v>4.2220000000000004</v>
      </c>
      <c r="I150" s="7">
        <v>4.1589999999999998</v>
      </c>
      <c r="J150" s="7">
        <v>3.9620000000000002</v>
      </c>
      <c r="K150" s="7">
        <v>4.08</v>
      </c>
      <c r="L150" s="7">
        <v>4.6449999999999996</v>
      </c>
      <c r="M150" s="7">
        <v>4.5570000000000004</v>
      </c>
      <c r="N150" s="7">
        <v>5.2210000000000001</v>
      </c>
      <c r="O150" s="7">
        <v>5.1189999999999998</v>
      </c>
      <c r="P150" s="7">
        <v>5.2160000000000002</v>
      </c>
      <c r="Q150" s="7">
        <v>5.0490000000000004</v>
      </c>
      <c r="R150" s="7">
        <v>4.5149999999999997</v>
      </c>
      <c r="S150" s="7">
        <f t="shared" si="2"/>
        <v>4.5720833333333326</v>
      </c>
    </row>
    <row r="151" spans="1:19">
      <c r="A151" s="5" t="str">
        <f>B151&amp;"-"&amp;COUNTIF($B$2:B151,B151)</f>
        <v>AMAZONAS-10</v>
      </c>
      <c r="B151" s="5" t="s">
        <v>230</v>
      </c>
      <c r="C151" s="5" t="s">
        <v>241</v>
      </c>
      <c r="D151" s="6">
        <v>-700346</v>
      </c>
      <c r="E151" s="6">
        <v>-43781</v>
      </c>
      <c r="F151" s="7">
        <v>4.5369999999999999</v>
      </c>
      <c r="G151" s="7">
        <v>4.3680000000000003</v>
      </c>
      <c r="H151" s="7">
        <v>4.7130000000000001</v>
      </c>
      <c r="I151" s="7">
        <v>4.5279999999999996</v>
      </c>
      <c r="J151" s="7">
        <v>4.4059999999999997</v>
      </c>
      <c r="K151" s="7">
        <v>4.0250000000000004</v>
      </c>
      <c r="L151" s="7">
        <v>4.1479999999999997</v>
      </c>
      <c r="M151" s="7">
        <v>4.1159999999999997</v>
      </c>
      <c r="N151" s="7">
        <v>4.8570000000000002</v>
      </c>
      <c r="O151" s="7">
        <v>5.0709999999999997</v>
      </c>
      <c r="P151" s="7">
        <v>4.9119999999999999</v>
      </c>
      <c r="Q151" s="7">
        <v>4.8559999999999999</v>
      </c>
      <c r="R151" s="7">
        <v>4.4379999999999997</v>
      </c>
      <c r="S151" s="7">
        <f t="shared" si="2"/>
        <v>4.5365000000000002</v>
      </c>
    </row>
    <row r="152" spans="1:19">
      <c r="A152" s="5" t="str">
        <f>B152&amp;"-"&amp;COUNTIF($B$2:B152,B152)</f>
        <v>AMAZONAS-11</v>
      </c>
      <c r="B152" s="5" t="s">
        <v>230</v>
      </c>
      <c r="C152" s="5" t="s">
        <v>242</v>
      </c>
      <c r="D152" s="6">
        <v>-613621</v>
      </c>
      <c r="E152" s="6">
        <v>-38991</v>
      </c>
      <c r="F152" s="7">
        <v>4.3620000000000001</v>
      </c>
      <c r="G152" s="7">
        <v>4.149</v>
      </c>
      <c r="H152" s="7">
        <v>4.1790000000000003</v>
      </c>
      <c r="I152" s="7">
        <v>4.18</v>
      </c>
      <c r="J152" s="7">
        <v>3.8969999999999998</v>
      </c>
      <c r="K152" s="7">
        <v>3.8170000000000002</v>
      </c>
      <c r="L152" s="7">
        <v>4.1580000000000004</v>
      </c>
      <c r="M152" s="7">
        <v>4.3079999999999998</v>
      </c>
      <c r="N152" s="7">
        <v>4.9429999999999996</v>
      </c>
      <c r="O152" s="7">
        <v>4.9569999999999999</v>
      </c>
      <c r="P152" s="7">
        <v>4.8739999999999997</v>
      </c>
      <c r="Q152" s="7">
        <v>4.6120000000000001</v>
      </c>
      <c r="R152" s="7">
        <v>4.2709999999999999</v>
      </c>
      <c r="S152" s="7">
        <f t="shared" si="2"/>
        <v>4.3620833333333335</v>
      </c>
    </row>
    <row r="153" spans="1:19">
      <c r="A153" s="5" t="str">
        <f>B153&amp;"-"&amp;COUNTIF($B$2:B153,B153)</f>
        <v>AMAZONAS-12</v>
      </c>
      <c r="B153" s="5" t="s">
        <v>230</v>
      </c>
      <c r="C153" s="5" t="s">
        <v>243</v>
      </c>
      <c r="D153" s="6">
        <v>-575878</v>
      </c>
      <c r="E153" s="6">
        <v>-29745</v>
      </c>
      <c r="F153" s="7">
        <v>4.375</v>
      </c>
      <c r="G153" s="7">
        <v>3.9180000000000001</v>
      </c>
      <c r="H153" s="7">
        <v>4.0540000000000003</v>
      </c>
      <c r="I153" s="7">
        <v>3.9940000000000002</v>
      </c>
      <c r="J153" s="7">
        <v>3.7389999999999999</v>
      </c>
      <c r="K153" s="7">
        <v>3.8170000000000002</v>
      </c>
      <c r="L153" s="7">
        <v>4.3810000000000002</v>
      </c>
      <c r="M153" s="7">
        <v>4.3789999999999996</v>
      </c>
      <c r="N153" s="7">
        <v>5.0339999999999998</v>
      </c>
      <c r="O153" s="7">
        <v>5.0579999999999998</v>
      </c>
      <c r="P153" s="7">
        <v>4.9930000000000003</v>
      </c>
      <c r="Q153" s="7">
        <v>4.8079999999999998</v>
      </c>
      <c r="R153" s="7">
        <v>4.3239999999999998</v>
      </c>
      <c r="S153" s="7">
        <f t="shared" si="2"/>
        <v>4.3749166666666666</v>
      </c>
    </row>
    <row r="154" spans="1:19">
      <c r="A154" s="5" t="str">
        <f>B154&amp;"-"&amp;COUNTIF($B$2:B154,B154)</f>
        <v>AMAZONAS-13</v>
      </c>
      <c r="B154" s="5" t="s">
        <v>230</v>
      </c>
      <c r="C154" s="5" t="s">
        <v>244</v>
      </c>
      <c r="D154" s="6">
        <v>-673924</v>
      </c>
      <c r="E154" s="6">
        <v>-87427</v>
      </c>
      <c r="F154" s="7">
        <v>4.5170000000000003</v>
      </c>
      <c r="G154" s="7">
        <v>4.3710000000000004</v>
      </c>
      <c r="H154" s="7">
        <v>4.5270000000000001</v>
      </c>
      <c r="I154" s="7">
        <v>4.2460000000000004</v>
      </c>
      <c r="J154" s="7">
        <v>4.3310000000000004</v>
      </c>
      <c r="K154" s="7">
        <v>3.92</v>
      </c>
      <c r="L154" s="7">
        <v>4.1440000000000001</v>
      </c>
      <c r="M154" s="7">
        <v>4.3739999999999997</v>
      </c>
      <c r="N154" s="7">
        <v>4.931</v>
      </c>
      <c r="O154" s="7">
        <v>5.0860000000000003</v>
      </c>
      <c r="P154" s="7">
        <v>4.968</v>
      </c>
      <c r="Q154" s="7">
        <v>4.7610000000000001</v>
      </c>
      <c r="R154" s="7">
        <v>4.548</v>
      </c>
      <c r="S154" s="7">
        <f t="shared" si="2"/>
        <v>4.5172499999999998</v>
      </c>
    </row>
    <row r="155" spans="1:19">
      <c r="A155" s="5" t="str">
        <f>B155&amp;"-"&amp;COUNTIF($B$2:B155,B155)</f>
        <v>AMAZONAS-14</v>
      </c>
      <c r="B155" s="5" t="s">
        <v>230</v>
      </c>
      <c r="C155" s="5" t="s">
        <v>245</v>
      </c>
      <c r="D155" s="6">
        <v>-595878</v>
      </c>
      <c r="E155" s="6">
        <v>-43919</v>
      </c>
      <c r="F155" s="7">
        <v>4.4119999999999999</v>
      </c>
      <c r="G155" s="7">
        <v>3.9870000000000001</v>
      </c>
      <c r="H155" s="7">
        <v>4.1529999999999996</v>
      </c>
      <c r="I155" s="7">
        <v>4.12</v>
      </c>
      <c r="J155" s="7">
        <v>3.9849999999999999</v>
      </c>
      <c r="K155" s="7">
        <v>3.9580000000000002</v>
      </c>
      <c r="L155" s="7">
        <v>4.2960000000000003</v>
      </c>
      <c r="M155" s="7">
        <v>4.4189999999999996</v>
      </c>
      <c r="N155" s="7">
        <v>5.0449999999999999</v>
      </c>
      <c r="O155" s="7">
        <v>5.0759999999999996</v>
      </c>
      <c r="P155" s="7">
        <v>4.97</v>
      </c>
      <c r="Q155" s="7">
        <v>4.6550000000000002</v>
      </c>
      <c r="R155" s="7">
        <v>4.2839999999999998</v>
      </c>
      <c r="S155" s="7">
        <f t="shared" si="2"/>
        <v>4.4123333333333337</v>
      </c>
    </row>
    <row r="156" spans="1:19">
      <c r="A156" s="5" t="str">
        <f>B156&amp;"-"&amp;COUNTIF($B$2:B156,B156)</f>
        <v>AMAZONAS-15</v>
      </c>
      <c r="B156" s="5" t="s">
        <v>230</v>
      </c>
      <c r="C156" s="5" t="s">
        <v>246</v>
      </c>
      <c r="D156" s="6">
        <v>-61221</v>
      </c>
      <c r="E156" s="6">
        <v>-33158</v>
      </c>
      <c r="F156" s="7">
        <v>4.3780000000000001</v>
      </c>
      <c r="G156" s="7">
        <v>4.0709999999999997</v>
      </c>
      <c r="H156" s="7">
        <v>4.2130000000000001</v>
      </c>
      <c r="I156" s="7">
        <v>4.1859999999999999</v>
      </c>
      <c r="J156" s="7">
        <v>3.9860000000000002</v>
      </c>
      <c r="K156" s="7">
        <v>3.843</v>
      </c>
      <c r="L156" s="7">
        <v>4.3570000000000002</v>
      </c>
      <c r="M156" s="7">
        <v>4.4770000000000003</v>
      </c>
      <c r="N156" s="7">
        <v>4.9580000000000002</v>
      </c>
      <c r="O156" s="7">
        <v>4.8819999999999997</v>
      </c>
      <c r="P156" s="7">
        <v>4.8440000000000003</v>
      </c>
      <c r="Q156" s="7">
        <v>4.53</v>
      </c>
      <c r="R156" s="7">
        <v>4.1879999999999997</v>
      </c>
      <c r="S156" s="7">
        <f t="shared" si="2"/>
        <v>4.3779166666666667</v>
      </c>
    </row>
    <row r="157" spans="1:19">
      <c r="A157" s="5" t="str">
        <f>B157&amp;"-"&amp;COUNTIF($B$2:B157,B157)</f>
        <v>AMAZONAS-16</v>
      </c>
      <c r="B157" s="5" t="s">
        <v>230</v>
      </c>
      <c r="C157" s="5" t="s">
        <v>247</v>
      </c>
      <c r="D157" s="6">
        <v>-643957</v>
      </c>
      <c r="E157" s="6">
        <v>-65262</v>
      </c>
      <c r="F157" s="7">
        <v>4.4509999999999996</v>
      </c>
      <c r="G157" s="7">
        <v>4.2169999999999996</v>
      </c>
      <c r="H157" s="7">
        <v>4.4480000000000004</v>
      </c>
      <c r="I157" s="7">
        <v>4.2699999999999996</v>
      </c>
      <c r="J157" s="7">
        <v>4.2279999999999998</v>
      </c>
      <c r="K157" s="7">
        <v>3.8650000000000002</v>
      </c>
      <c r="L157" s="7">
        <v>4.2370000000000001</v>
      </c>
      <c r="M157" s="7">
        <v>4.3840000000000003</v>
      </c>
      <c r="N157" s="7">
        <v>4.9379999999999997</v>
      </c>
      <c r="O157" s="7">
        <v>4.9219999999999997</v>
      </c>
      <c r="P157" s="7">
        <v>4.9029999999999996</v>
      </c>
      <c r="Q157" s="7">
        <v>4.665</v>
      </c>
      <c r="R157" s="7">
        <v>4.3390000000000004</v>
      </c>
      <c r="S157" s="7">
        <f t="shared" si="2"/>
        <v>4.4513333333333334</v>
      </c>
    </row>
    <row r="158" spans="1:19">
      <c r="A158" s="5" t="str">
        <f>B158&amp;"-"&amp;COUNTIF($B$2:B158,B158)</f>
        <v>AMAZONAS-17</v>
      </c>
      <c r="B158" s="5" t="s">
        <v>230</v>
      </c>
      <c r="C158" s="5" t="s">
        <v>248</v>
      </c>
      <c r="D158" s="6">
        <v>-669095</v>
      </c>
      <c r="E158" s="6">
        <v>-48823</v>
      </c>
      <c r="F158" s="7">
        <v>4.4320000000000004</v>
      </c>
      <c r="G158" s="7">
        <v>4.117</v>
      </c>
      <c r="H158" s="7">
        <v>4.5030000000000001</v>
      </c>
      <c r="I158" s="7">
        <v>4.3639999999999999</v>
      </c>
      <c r="J158" s="7">
        <v>4.2240000000000002</v>
      </c>
      <c r="K158" s="7">
        <v>3.8460000000000001</v>
      </c>
      <c r="L158" s="7">
        <v>4.1280000000000001</v>
      </c>
      <c r="M158" s="7">
        <v>4.2670000000000003</v>
      </c>
      <c r="N158" s="7">
        <v>4.8879999999999999</v>
      </c>
      <c r="O158" s="7">
        <v>4.9569999999999999</v>
      </c>
      <c r="P158" s="7">
        <v>4.9409999999999998</v>
      </c>
      <c r="Q158" s="7">
        <v>4.6180000000000003</v>
      </c>
      <c r="R158" s="7">
        <v>4.3319999999999999</v>
      </c>
      <c r="S158" s="7">
        <f t="shared" si="2"/>
        <v>4.4320833333333338</v>
      </c>
    </row>
    <row r="159" spans="1:19">
      <c r="A159" s="5" t="str">
        <f>B159&amp;"-"&amp;COUNTIF($B$2:B159,B159)</f>
        <v>AMAZONAS-18</v>
      </c>
      <c r="B159" s="5" t="s">
        <v>230</v>
      </c>
      <c r="C159" s="5" t="s">
        <v>249</v>
      </c>
      <c r="D159" s="6">
        <v>-603695</v>
      </c>
      <c r="E159" s="6">
        <v>-37684</v>
      </c>
      <c r="F159" s="7">
        <v>4.3239999999999998</v>
      </c>
      <c r="G159" s="7">
        <v>3.9729999999999999</v>
      </c>
      <c r="H159" s="7">
        <v>4.0599999999999996</v>
      </c>
      <c r="I159" s="7">
        <v>4.048</v>
      </c>
      <c r="J159" s="7">
        <v>3.8260000000000001</v>
      </c>
      <c r="K159" s="7">
        <v>3.7919999999999998</v>
      </c>
      <c r="L159" s="7">
        <v>4.2430000000000003</v>
      </c>
      <c r="M159" s="7">
        <v>4.3730000000000002</v>
      </c>
      <c r="N159" s="7">
        <v>4.9260000000000002</v>
      </c>
      <c r="O159" s="7">
        <v>4.952</v>
      </c>
      <c r="P159" s="7">
        <v>4.8109999999999999</v>
      </c>
      <c r="Q159" s="7">
        <v>4.7110000000000003</v>
      </c>
      <c r="R159" s="7">
        <v>4.1689999999999996</v>
      </c>
      <c r="S159" s="7">
        <f t="shared" si="2"/>
        <v>4.3236666666666661</v>
      </c>
    </row>
    <row r="160" spans="1:19">
      <c r="A160" s="5" t="str">
        <f>B160&amp;"-"&amp;COUNTIF($B$2:B160,B160)</f>
        <v>AMAZONAS-19</v>
      </c>
      <c r="B160" s="5" t="s">
        <v>230</v>
      </c>
      <c r="C160" s="5" t="s">
        <v>250</v>
      </c>
      <c r="D160" s="6">
        <v>-598269</v>
      </c>
      <c r="E160" s="6">
        <v>-31973</v>
      </c>
      <c r="F160" s="7">
        <v>4.5279999999999996</v>
      </c>
      <c r="G160" s="7">
        <v>4.1139999999999999</v>
      </c>
      <c r="H160" s="7">
        <v>4.194</v>
      </c>
      <c r="I160" s="7">
        <v>4.1970000000000001</v>
      </c>
      <c r="J160" s="7">
        <v>4.03</v>
      </c>
      <c r="K160" s="7">
        <v>4.0339999999999998</v>
      </c>
      <c r="L160" s="7">
        <v>4.5679999999999996</v>
      </c>
      <c r="M160" s="7">
        <v>4.6070000000000002</v>
      </c>
      <c r="N160" s="7">
        <v>5.1630000000000003</v>
      </c>
      <c r="O160" s="7">
        <v>5.2160000000000002</v>
      </c>
      <c r="P160" s="7">
        <v>5.0010000000000003</v>
      </c>
      <c r="Q160" s="7">
        <v>4.8780000000000001</v>
      </c>
      <c r="R160" s="7">
        <v>4.3380000000000001</v>
      </c>
      <c r="S160" s="7">
        <f t="shared" si="2"/>
        <v>4.5283333333333333</v>
      </c>
    </row>
    <row r="161" spans="1:19">
      <c r="A161" s="5" t="str">
        <f>B161&amp;"-"&amp;COUNTIF($B$2:B161,B161)</f>
        <v>AMAZONAS-20</v>
      </c>
      <c r="B161" s="5" t="s">
        <v>230</v>
      </c>
      <c r="C161" s="5" t="s">
        <v>251</v>
      </c>
      <c r="D161" s="6">
        <v>-631445</v>
      </c>
      <c r="E161" s="6">
        <v>-40945</v>
      </c>
      <c r="F161" s="7">
        <v>4.5129999999999999</v>
      </c>
      <c r="G161" s="7">
        <v>4.3079999999999998</v>
      </c>
      <c r="H161" s="7">
        <v>4.556</v>
      </c>
      <c r="I161" s="7">
        <v>4.5</v>
      </c>
      <c r="J161" s="7">
        <v>4.1150000000000002</v>
      </c>
      <c r="K161" s="7">
        <v>3.9009999999999998</v>
      </c>
      <c r="L161" s="7">
        <v>4.3079999999999998</v>
      </c>
      <c r="M161" s="7">
        <v>4.3410000000000002</v>
      </c>
      <c r="N161" s="7">
        <v>4.976</v>
      </c>
      <c r="O161" s="7">
        <v>5.048</v>
      </c>
      <c r="P161" s="7">
        <v>4.9539999999999997</v>
      </c>
      <c r="Q161" s="7">
        <v>4.7030000000000003</v>
      </c>
      <c r="R161" s="7">
        <v>4.4409999999999998</v>
      </c>
      <c r="S161" s="7">
        <f t="shared" si="2"/>
        <v>4.5125833333333345</v>
      </c>
    </row>
    <row r="162" spans="1:19">
      <c r="A162" s="5" t="str">
        <f>B162&amp;"-"&amp;COUNTIF($B$2:B162,B162)</f>
        <v>AMAZONAS-21</v>
      </c>
      <c r="B162" s="5" t="s">
        <v>230</v>
      </c>
      <c r="C162" s="5" t="s">
        <v>252</v>
      </c>
      <c r="D162" s="6">
        <v>-620592</v>
      </c>
      <c r="E162" s="6">
        <v>-3837</v>
      </c>
      <c r="F162" s="7">
        <v>4.3639999999999999</v>
      </c>
      <c r="G162" s="7">
        <v>4.077</v>
      </c>
      <c r="H162" s="7">
        <v>4.242</v>
      </c>
      <c r="I162" s="7">
        <v>4.25</v>
      </c>
      <c r="J162" s="7">
        <v>3.9510000000000001</v>
      </c>
      <c r="K162" s="7">
        <v>3.8290000000000002</v>
      </c>
      <c r="L162" s="7">
        <v>4.2229999999999999</v>
      </c>
      <c r="M162" s="7">
        <v>4.3890000000000002</v>
      </c>
      <c r="N162" s="7">
        <v>4.9290000000000003</v>
      </c>
      <c r="O162" s="7">
        <v>4.875</v>
      </c>
      <c r="P162" s="7">
        <v>4.774</v>
      </c>
      <c r="Q162" s="7">
        <v>4.5830000000000002</v>
      </c>
      <c r="R162" s="7">
        <v>4.242</v>
      </c>
      <c r="S162" s="7">
        <f t="shared" si="2"/>
        <v>4.3636666666666661</v>
      </c>
    </row>
    <row r="163" spans="1:19">
      <c r="A163" s="5" t="str">
        <f>B163&amp;"-"&amp;COUNTIF($B$2:B163,B163)</f>
        <v>AMAZONAS-22</v>
      </c>
      <c r="B163" s="5" t="s">
        <v>230</v>
      </c>
      <c r="C163" s="5" t="s">
        <v>253</v>
      </c>
      <c r="D163" s="6">
        <v>-698666</v>
      </c>
      <c r="E163" s="6">
        <v>-66572</v>
      </c>
      <c r="F163" s="7">
        <v>4.53</v>
      </c>
      <c r="G163" s="7">
        <v>4.319</v>
      </c>
      <c r="H163" s="7">
        <v>4.7430000000000003</v>
      </c>
      <c r="I163" s="7">
        <v>4.3540000000000001</v>
      </c>
      <c r="J163" s="7">
        <v>4.343</v>
      </c>
      <c r="K163" s="7">
        <v>4.0469999999999997</v>
      </c>
      <c r="L163" s="7">
        <v>4.101</v>
      </c>
      <c r="M163" s="7">
        <v>4.2850000000000001</v>
      </c>
      <c r="N163" s="7">
        <v>4.968</v>
      </c>
      <c r="O163" s="7">
        <v>5.1100000000000003</v>
      </c>
      <c r="P163" s="7">
        <v>4.923</v>
      </c>
      <c r="Q163" s="7">
        <v>4.7220000000000004</v>
      </c>
      <c r="R163" s="7">
        <v>4.4409999999999998</v>
      </c>
      <c r="S163" s="7">
        <f t="shared" si="2"/>
        <v>4.5296666666666665</v>
      </c>
    </row>
    <row r="164" spans="1:19">
      <c r="A164" s="5" t="str">
        <f>B164&amp;"-"&amp;COUNTIF($B$2:B164,B164)</f>
        <v>AMAZONAS-23</v>
      </c>
      <c r="B164" s="5" t="s">
        <v>230</v>
      </c>
      <c r="C164" s="5" t="s">
        <v>254</v>
      </c>
      <c r="D164" s="6">
        <v>-700234</v>
      </c>
      <c r="E164" s="6">
        <v>-74322</v>
      </c>
      <c r="F164" s="7">
        <v>4.5410000000000004</v>
      </c>
      <c r="G164" s="7">
        <v>4.4050000000000002</v>
      </c>
      <c r="H164" s="7">
        <v>4.7050000000000001</v>
      </c>
      <c r="I164" s="7">
        <v>4.3330000000000002</v>
      </c>
      <c r="J164" s="7">
        <v>4.3259999999999996</v>
      </c>
      <c r="K164" s="7">
        <v>4.0119999999999996</v>
      </c>
      <c r="L164" s="7">
        <v>4.0709999999999997</v>
      </c>
      <c r="M164" s="7">
        <v>4.3129999999999997</v>
      </c>
      <c r="N164" s="7">
        <v>4.9450000000000003</v>
      </c>
      <c r="O164" s="7">
        <v>5.1559999999999997</v>
      </c>
      <c r="P164" s="7">
        <v>5.0010000000000003</v>
      </c>
      <c r="Q164" s="7">
        <v>4.7030000000000003</v>
      </c>
      <c r="R164" s="7">
        <v>4.5279999999999996</v>
      </c>
      <c r="S164" s="7">
        <f t="shared" si="2"/>
        <v>4.5415000000000001</v>
      </c>
    </row>
    <row r="165" spans="1:19">
      <c r="A165" s="5" t="str">
        <f>B165&amp;"-"&amp;COUNTIF($B$2:B165,B165)</f>
        <v>AMAZONAS-24</v>
      </c>
      <c r="B165" s="5" t="s">
        <v>230</v>
      </c>
      <c r="C165" s="5" t="s">
        <v>255</v>
      </c>
      <c r="D165" s="6">
        <v>-660947</v>
      </c>
      <c r="E165" s="6">
        <v>-25238</v>
      </c>
      <c r="F165" s="7">
        <v>4.58</v>
      </c>
      <c r="G165" s="7">
        <v>4.4690000000000003</v>
      </c>
      <c r="H165" s="7">
        <v>4.7220000000000004</v>
      </c>
      <c r="I165" s="7">
        <v>4.5910000000000002</v>
      </c>
      <c r="J165" s="7">
        <v>4.3380000000000001</v>
      </c>
      <c r="K165" s="7">
        <v>4.04</v>
      </c>
      <c r="L165" s="7">
        <v>4.2190000000000003</v>
      </c>
      <c r="M165" s="7">
        <v>4.2430000000000003</v>
      </c>
      <c r="N165" s="7">
        <v>4.8860000000000001</v>
      </c>
      <c r="O165" s="7">
        <v>5.101</v>
      </c>
      <c r="P165" s="7">
        <v>4.9710000000000001</v>
      </c>
      <c r="Q165" s="7">
        <v>4.8179999999999996</v>
      </c>
      <c r="R165" s="7">
        <v>4.5659999999999998</v>
      </c>
      <c r="S165" s="7">
        <f t="shared" si="2"/>
        <v>4.5803333333333329</v>
      </c>
    </row>
    <row r="166" spans="1:19">
      <c r="A166" s="5" t="str">
        <f>B166&amp;"-"&amp;COUNTIF($B$2:B166,B166)</f>
        <v>AMAZONAS-25</v>
      </c>
      <c r="B166" s="5" t="s">
        <v>230</v>
      </c>
      <c r="C166" s="5" t="s">
        <v>256</v>
      </c>
      <c r="D166" s="6">
        <v>-725912</v>
      </c>
      <c r="E166" s="6">
        <v>-75384</v>
      </c>
      <c r="F166" s="7">
        <v>4.6630000000000003</v>
      </c>
      <c r="G166" s="7">
        <v>4.6760000000000002</v>
      </c>
      <c r="H166" s="7">
        <v>4.9080000000000004</v>
      </c>
      <c r="I166" s="7">
        <v>4.2329999999999997</v>
      </c>
      <c r="J166" s="7">
        <v>4.4459999999999997</v>
      </c>
      <c r="K166" s="7">
        <v>4.2830000000000004</v>
      </c>
      <c r="L166" s="7">
        <v>4.202</v>
      </c>
      <c r="M166" s="7">
        <v>4.3540000000000001</v>
      </c>
      <c r="N166" s="7">
        <v>5.0679999999999996</v>
      </c>
      <c r="O166" s="7">
        <v>5.1379999999999999</v>
      </c>
      <c r="P166" s="7">
        <v>5.03</v>
      </c>
      <c r="Q166" s="7">
        <v>4.9489999999999998</v>
      </c>
      <c r="R166" s="7">
        <v>4.6660000000000004</v>
      </c>
      <c r="S166" s="7">
        <f t="shared" si="2"/>
        <v>4.6627499999999991</v>
      </c>
    </row>
    <row r="167" spans="1:19">
      <c r="A167" s="5" t="str">
        <f>B167&amp;"-"&amp;COUNTIF($B$2:B167,B167)</f>
        <v>AMAZONAS-26</v>
      </c>
      <c r="B167" s="5" t="s">
        <v>230</v>
      </c>
      <c r="C167" s="5" t="s">
        <v>257</v>
      </c>
      <c r="D167" s="6">
        <v>-630332</v>
      </c>
      <c r="E167" s="6">
        <v>-75121</v>
      </c>
      <c r="F167" s="7">
        <v>4.4980000000000002</v>
      </c>
      <c r="G167" s="7">
        <v>4.1890000000000001</v>
      </c>
      <c r="H167" s="7">
        <v>4.3780000000000001</v>
      </c>
      <c r="I167" s="7">
        <v>4.3769999999999998</v>
      </c>
      <c r="J167" s="7">
        <v>4.2789999999999999</v>
      </c>
      <c r="K167" s="7">
        <v>3.9260000000000002</v>
      </c>
      <c r="L167" s="7">
        <v>4.4219999999999997</v>
      </c>
      <c r="M167" s="7">
        <v>4.5229999999999997</v>
      </c>
      <c r="N167" s="7">
        <v>4.9390000000000001</v>
      </c>
      <c r="O167" s="7">
        <v>4.9710000000000001</v>
      </c>
      <c r="P167" s="7">
        <v>4.899</v>
      </c>
      <c r="Q167" s="7">
        <v>4.66</v>
      </c>
      <c r="R167" s="7">
        <v>4.4119999999999999</v>
      </c>
      <c r="S167" s="7">
        <f t="shared" si="2"/>
        <v>4.4979166666666668</v>
      </c>
    </row>
    <row r="168" spans="1:19">
      <c r="A168" s="5" t="str">
        <f>B168&amp;"-"&amp;COUNTIF($B$2:B168,B168)</f>
        <v>AMAZONAS-27</v>
      </c>
      <c r="B168" s="5" t="s">
        <v>230</v>
      </c>
      <c r="C168" s="5" t="s">
        <v>258</v>
      </c>
      <c r="D168" s="6">
        <v>-716895</v>
      </c>
      <c r="E168" s="6">
        <v>-7051</v>
      </c>
      <c r="F168" s="7">
        <v>4.6050000000000004</v>
      </c>
      <c r="G168" s="7">
        <v>4.5259999999999998</v>
      </c>
      <c r="H168" s="7">
        <v>4.8209999999999997</v>
      </c>
      <c r="I168" s="7">
        <v>4.2830000000000004</v>
      </c>
      <c r="J168" s="7">
        <v>4.41</v>
      </c>
      <c r="K168" s="7">
        <v>4.1680000000000001</v>
      </c>
      <c r="L168" s="7">
        <v>4.0999999999999996</v>
      </c>
      <c r="M168" s="7">
        <v>4.3559999999999999</v>
      </c>
      <c r="N168" s="7">
        <v>5.0519999999999996</v>
      </c>
      <c r="O168" s="7">
        <v>5.1639999999999997</v>
      </c>
      <c r="P168" s="7">
        <v>4.9800000000000004</v>
      </c>
      <c r="Q168" s="7">
        <v>4.8239999999999998</v>
      </c>
      <c r="R168" s="7">
        <v>4.577</v>
      </c>
      <c r="S168" s="7">
        <f t="shared" si="2"/>
        <v>4.605083333333333</v>
      </c>
    </row>
    <row r="169" spans="1:19">
      <c r="A169" s="5" t="str">
        <f>B169&amp;"-"&amp;COUNTIF($B$2:B169,B169)</f>
        <v>AMAZONAS-28</v>
      </c>
      <c r="B169" s="5" t="s">
        <v>230</v>
      </c>
      <c r="C169" s="5" t="s">
        <v>259</v>
      </c>
      <c r="D169" s="6">
        <v>-601904</v>
      </c>
      <c r="E169" s="6">
        <v>-32752</v>
      </c>
      <c r="F169" s="7">
        <v>4.5170000000000003</v>
      </c>
      <c r="G169" s="7">
        <v>4.1429999999999998</v>
      </c>
      <c r="H169" s="7">
        <v>4.1559999999999997</v>
      </c>
      <c r="I169" s="7">
        <v>4.17</v>
      </c>
      <c r="J169" s="7">
        <v>4.0259999999999998</v>
      </c>
      <c r="K169" s="7">
        <v>4.0599999999999996</v>
      </c>
      <c r="L169" s="7">
        <v>4.5439999999999996</v>
      </c>
      <c r="M169" s="7">
        <v>4.6340000000000003</v>
      </c>
      <c r="N169" s="7">
        <v>5.149</v>
      </c>
      <c r="O169" s="7">
        <v>5.1379999999999999</v>
      </c>
      <c r="P169" s="7">
        <v>5.0149999999999997</v>
      </c>
      <c r="Q169" s="7">
        <v>4.9009999999999998</v>
      </c>
      <c r="R169" s="7">
        <v>4.2690000000000001</v>
      </c>
      <c r="S169" s="7">
        <f t="shared" si="2"/>
        <v>4.5170833333333329</v>
      </c>
    </row>
    <row r="170" spans="1:19">
      <c r="A170" s="5" t="str">
        <f>B170&amp;"-"&amp;COUNTIF($B$2:B170,B170)</f>
        <v>AMAZONAS-29</v>
      </c>
      <c r="B170" s="5" t="s">
        <v>230</v>
      </c>
      <c r="C170" s="5" t="s">
        <v>260</v>
      </c>
      <c r="D170" s="6">
        <v>-584453</v>
      </c>
      <c r="E170" s="6">
        <v>-3139</v>
      </c>
      <c r="F170" s="7">
        <v>4.5380000000000003</v>
      </c>
      <c r="G170" s="7">
        <v>4.109</v>
      </c>
      <c r="H170" s="7">
        <v>4.1820000000000004</v>
      </c>
      <c r="I170" s="7">
        <v>4.149</v>
      </c>
      <c r="J170" s="7">
        <v>3.9830000000000001</v>
      </c>
      <c r="K170" s="7">
        <v>3.9820000000000002</v>
      </c>
      <c r="L170" s="7">
        <v>4.5739999999999998</v>
      </c>
      <c r="M170" s="7">
        <v>4.585</v>
      </c>
      <c r="N170" s="7">
        <v>5.2009999999999996</v>
      </c>
      <c r="O170" s="7">
        <v>5.2590000000000003</v>
      </c>
      <c r="P170" s="7">
        <v>5.0949999999999998</v>
      </c>
      <c r="Q170" s="7">
        <v>4.8949999999999996</v>
      </c>
      <c r="R170" s="7">
        <v>4.4420000000000002</v>
      </c>
      <c r="S170" s="7">
        <f t="shared" si="2"/>
        <v>4.5379999999999994</v>
      </c>
    </row>
    <row r="171" spans="1:19">
      <c r="A171" s="5" t="str">
        <f>B171&amp;"-"&amp;COUNTIF($B$2:B171,B171)</f>
        <v>AMAZONAS-30</v>
      </c>
      <c r="B171" s="5" t="s">
        <v>230</v>
      </c>
      <c r="C171" s="5" t="s">
        <v>261</v>
      </c>
      <c r="D171" s="6">
        <v>-682605</v>
      </c>
      <c r="E171" s="6">
        <v>-6425</v>
      </c>
      <c r="F171" s="7">
        <v>4.4630000000000001</v>
      </c>
      <c r="G171" s="7">
        <v>4.2300000000000004</v>
      </c>
      <c r="H171" s="7">
        <v>4.5339999999999998</v>
      </c>
      <c r="I171" s="7">
        <v>4.2830000000000004</v>
      </c>
      <c r="J171" s="7">
        <v>4.2240000000000002</v>
      </c>
      <c r="K171" s="7">
        <v>3.95</v>
      </c>
      <c r="L171" s="7">
        <v>4.1660000000000004</v>
      </c>
      <c r="M171" s="7">
        <v>4.2720000000000002</v>
      </c>
      <c r="N171" s="7">
        <v>4.9610000000000003</v>
      </c>
      <c r="O171" s="7">
        <v>5.1079999999999997</v>
      </c>
      <c r="P171" s="7">
        <v>4.83</v>
      </c>
      <c r="Q171" s="7">
        <v>4.6310000000000002</v>
      </c>
      <c r="R171" s="7">
        <v>4.3630000000000004</v>
      </c>
      <c r="S171" s="7">
        <f t="shared" si="2"/>
        <v>4.4626666666666663</v>
      </c>
    </row>
    <row r="172" spans="1:19">
      <c r="A172" s="5" t="str">
        <f>B172&amp;"-"&amp;COUNTIF($B$2:B172,B172)</f>
        <v>AMAZONAS-31</v>
      </c>
      <c r="B172" s="5" t="s">
        <v>230</v>
      </c>
      <c r="C172" s="5" t="s">
        <v>262</v>
      </c>
      <c r="D172" s="6">
        <v>-580297</v>
      </c>
      <c r="E172" s="6">
        <v>-27412</v>
      </c>
      <c r="F172" s="7">
        <v>4.5359999999999996</v>
      </c>
      <c r="G172" s="7">
        <v>3.9870000000000001</v>
      </c>
      <c r="H172" s="7">
        <v>4.133</v>
      </c>
      <c r="I172" s="7">
        <v>4.1239999999999997</v>
      </c>
      <c r="J172" s="7">
        <v>3.984</v>
      </c>
      <c r="K172" s="7">
        <v>4.0789999999999997</v>
      </c>
      <c r="L172" s="7">
        <v>4.5869999999999997</v>
      </c>
      <c r="M172" s="7">
        <v>4.54</v>
      </c>
      <c r="N172" s="7">
        <v>5.194</v>
      </c>
      <c r="O172" s="7">
        <v>5.2919999999999998</v>
      </c>
      <c r="P172" s="7">
        <v>5.1219999999999999</v>
      </c>
      <c r="Q172" s="7">
        <v>4.9409999999999998</v>
      </c>
      <c r="R172" s="7">
        <v>4.4489999999999998</v>
      </c>
      <c r="S172" s="7">
        <f t="shared" si="2"/>
        <v>4.5360000000000005</v>
      </c>
    </row>
    <row r="173" spans="1:19">
      <c r="A173" s="5" t="str">
        <f>B173&amp;"-"&amp;COUNTIF($B$2:B173,B173)</f>
        <v>AMAZONAS-32</v>
      </c>
      <c r="B173" s="5" t="s">
        <v>230</v>
      </c>
      <c r="C173" s="5" t="s">
        <v>263</v>
      </c>
      <c r="D173" s="6">
        <v>-669957</v>
      </c>
      <c r="E173" s="6">
        <v>-18803</v>
      </c>
      <c r="F173" s="7">
        <v>4.5570000000000004</v>
      </c>
      <c r="G173" s="7">
        <v>4.508</v>
      </c>
      <c r="H173" s="7">
        <v>4.7480000000000002</v>
      </c>
      <c r="I173" s="7">
        <v>4.5609999999999999</v>
      </c>
      <c r="J173" s="7">
        <v>4.319</v>
      </c>
      <c r="K173" s="7">
        <v>3.9660000000000002</v>
      </c>
      <c r="L173" s="7">
        <v>4.1459999999999999</v>
      </c>
      <c r="M173" s="7">
        <v>4.1820000000000004</v>
      </c>
      <c r="N173" s="7">
        <v>4.8559999999999999</v>
      </c>
      <c r="O173" s="7">
        <v>5.0540000000000003</v>
      </c>
      <c r="P173" s="7">
        <v>4.97</v>
      </c>
      <c r="Q173" s="7">
        <v>4.8109999999999999</v>
      </c>
      <c r="R173" s="7">
        <v>4.569</v>
      </c>
      <c r="S173" s="7">
        <f t="shared" si="2"/>
        <v>4.5575000000000001</v>
      </c>
    </row>
    <row r="174" spans="1:19">
      <c r="A174" s="5" t="str">
        <f>B174&amp;"-"&amp;COUNTIF($B$2:B174,B174)</f>
        <v>AMAZONAS-33</v>
      </c>
      <c r="B174" s="5" t="s">
        <v>230</v>
      </c>
      <c r="C174" s="5" t="s">
        <v>264</v>
      </c>
      <c r="D174" s="6">
        <v>-660723</v>
      </c>
      <c r="E174" s="6">
        <v>-34848</v>
      </c>
      <c r="F174" s="7">
        <v>4.3659999999999997</v>
      </c>
      <c r="G174" s="7">
        <v>4.1470000000000002</v>
      </c>
      <c r="H174" s="7">
        <v>4.3929999999999998</v>
      </c>
      <c r="I174" s="7">
        <v>4.3780000000000001</v>
      </c>
      <c r="J174" s="7">
        <v>4.149</v>
      </c>
      <c r="K174" s="7">
        <v>3.802</v>
      </c>
      <c r="L174" s="7">
        <v>4.0259999999999998</v>
      </c>
      <c r="M174" s="7">
        <v>4.1609999999999996</v>
      </c>
      <c r="N174" s="7">
        <v>4.7560000000000002</v>
      </c>
      <c r="O174" s="7">
        <v>4.827</v>
      </c>
      <c r="P174" s="7">
        <v>4.7939999999999996</v>
      </c>
      <c r="Q174" s="7">
        <v>4.6260000000000003</v>
      </c>
      <c r="R174" s="7">
        <v>4.3339999999999996</v>
      </c>
      <c r="S174" s="7">
        <f t="shared" si="2"/>
        <v>4.3660833333333322</v>
      </c>
    </row>
    <row r="175" spans="1:19">
      <c r="A175" s="5" t="str">
        <f>B175&amp;"-"&amp;COUNTIF($B$2:B175,B175)</f>
        <v>AMAZONAS-34</v>
      </c>
      <c r="B175" s="5" t="s">
        <v>230</v>
      </c>
      <c r="C175" s="5" t="s">
        <v>265</v>
      </c>
      <c r="D175" s="6">
        <v>-667696</v>
      </c>
      <c r="E175" s="6">
        <v>-2749</v>
      </c>
      <c r="F175" s="7">
        <v>4.4950000000000001</v>
      </c>
      <c r="G175" s="7">
        <v>4.38</v>
      </c>
      <c r="H175" s="7">
        <v>4.7030000000000003</v>
      </c>
      <c r="I175" s="7">
        <v>4.51</v>
      </c>
      <c r="J175" s="7">
        <v>4.2830000000000004</v>
      </c>
      <c r="K175" s="7">
        <v>3.903</v>
      </c>
      <c r="L175" s="7">
        <v>4.1449999999999996</v>
      </c>
      <c r="M175" s="7">
        <v>4.117</v>
      </c>
      <c r="N175" s="7">
        <v>4.79</v>
      </c>
      <c r="O175" s="7">
        <v>5.0010000000000003</v>
      </c>
      <c r="P175" s="7">
        <v>4.91</v>
      </c>
      <c r="Q175" s="7">
        <v>4.7270000000000003</v>
      </c>
      <c r="R175" s="7">
        <v>4.47</v>
      </c>
      <c r="S175" s="7">
        <f t="shared" si="2"/>
        <v>4.4949166666666676</v>
      </c>
    </row>
    <row r="176" spans="1:19">
      <c r="A176" s="5" t="str">
        <f>B176&amp;"-"&amp;COUNTIF($B$2:B176,B176)</f>
        <v>AMAZONAS-35</v>
      </c>
      <c r="B176" s="5" t="s">
        <v>230</v>
      </c>
      <c r="C176" s="5" t="s">
        <v>266</v>
      </c>
      <c r="D176" s="6">
        <v>-647952</v>
      </c>
      <c r="E176" s="6">
        <v>-72645</v>
      </c>
      <c r="F176" s="7">
        <v>4.4340000000000002</v>
      </c>
      <c r="G176" s="7">
        <v>4.2130000000000001</v>
      </c>
      <c r="H176" s="7">
        <v>4.3899999999999997</v>
      </c>
      <c r="I176" s="7">
        <v>4.28</v>
      </c>
      <c r="J176" s="7">
        <v>4.1749999999999998</v>
      </c>
      <c r="K176" s="7">
        <v>3.82</v>
      </c>
      <c r="L176" s="7">
        <v>4.2389999999999999</v>
      </c>
      <c r="M176" s="7">
        <v>4.3760000000000003</v>
      </c>
      <c r="N176" s="7">
        <v>4.8780000000000001</v>
      </c>
      <c r="O176" s="7">
        <v>4.9690000000000003</v>
      </c>
      <c r="P176" s="7">
        <v>4.8630000000000004</v>
      </c>
      <c r="Q176" s="7">
        <v>4.6360000000000001</v>
      </c>
      <c r="R176" s="7">
        <v>4.3650000000000002</v>
      </c>
      <c r="S176" s="7">
        <f t="shared" si="2"/>
        <v>4.4336666666666673</v>
      </c>
    </row>
    <row r="177" spans="1:19">
      <c r="A177" s="5" t="str">
        <f>B177&amp;"-"&amp;COUNTIF($B$2:B177,B177)</f>
        <v>AMAZONAS-36</v>
      </c>
      <c r="B177" s="5" t="s">
        <v>230</v>
      </c>
      <c r="C177" s="5" t="s">
        <v>267</v>
      </c>
      <c r="D177" s="6">
        <v>-60622</v>
      </c>
      <c r="E177" s="6">
        <v>-3291</v>
      </c>
      <c r="F177" s="7">
        <v>4.4640000000000004</v>
      </c>
      <c r="G177" s="7">
        <v>4.133</v>
      </c>
      <c r="H177" s="7">
        <v>4.2080000000000002</v>
      </c>
      <c r="I177" s="7">
        <v>4.2220000000000004</v>
      </c>
      <c r="J177" s="7">
        <v>4.01</v>
      </c>
      <c r="K177" s="7">
        <v>3.9489999999999998</v>
      </c>
      <c r="L177" s="7">
        <v>4.4669999999999996</v>
      </c>
      <c r="M177" s="7">
        <v>4.5419999999999998</v>
      </c>
      <c r="N177" s="7">
        <v>5.0209999999999999</v>
      </c>
      <c r="O177" s="7">
        <v>4.9710000000000001</v>
      </c>
      <c r="P177" s="7">
        <v>4.9509999999999996</v>
      </c>
      <c r="Q177" s="7">
        <v>4.79</v>
      </c>
      <c r="R177" s="7">
        <v>4.3049999999999997</v>
      </c>
      <c r="S177" s="7">
        <f t="shared" si="2"/>
        <v>4.464083333333333</v>
      </c>
    </row>
    <row r="178" spans="1:19">
      <c r="A178" s="5" t="str">
        <f>B178&amp;"-"&amp;COUNTIF($B$2:B178,B178)</f>
        <v>AMAZONAS-37</v>
      </c>
      <c r="B178" s="5" t="s">
        <v>230</v>
      </c>
      <c r="C178" s="5" t="s">
        <v>268</v>
      </c>
      <c r="D178" s="6">
        <v>-604617</v>
      </c>
      <c r="E178" s="6">
        <v>-34412</v>
      </c>
      <c r="F178" s="7">
        <v>4.4939999999999998</v>
      </c>
      <c r="G178" s="7">
        <v>4.1520000000000001</v>
      </c>
      <c r="H178" s="7">
        <v>4.2469999999999999</v>
      </c>
      <c r="I178" s="7">
        <v>4.2130000000000001</v>
      </c>
      <c r="J178" s="7">
        <v>3.9769999999999999</v>
      </c>
      <c r="K178" s="7">
        <v>3.984</v>
      </c>
      <c r="L178" s="7">
        <v>4.4400000000000004</v>
      </c>
      <c r="M178" s="7">
        <v>4.548</v>
      </c>
      <c r="N178" s="7">
        <v>5.0880000000000001</v>
      </c>
      <c r="O178" s="7">
        <v>5.0839999999999996</v>
      </c>
      <c r="P178" s="7">
        <v>5.0380000000000003</v>
      </c>
      <c r="Q178" s="7">
        <v>4.859</v>
      </c>
      <c r="R178" s="7">
        <v>4.2910000000000004</v>
      </c>
      <c r="S178" s="7">
        <f t="shared" si="2"/>
        <v>4.4934166666666675</v>
      </c>
    </row>
    <row r="179" spans="1:19">
      <c r="A179" s="5" t="str">
        <f>B179&amp;"-"&amp;COUNTIF($B$2:B179,B179)</f>
        <v>AMAZONAS-38</v>
      </c>
      <c r="B179" s="5" t="s">
        <v>230</v>
      </c>
      <c r="C179" s="5" t="s">
        <v>269</v>
      </c>
      <c r="D179" s="6">
        <v>-600221</v>
      </c>
      <c r="E179" s="6">
        <v>-31194</v>
      </c>
      <c r="F179" s="7">
        <v>4.3230000000000004</v>
      </c>
      <c r="G179" s="7">
        <v>3.9470000000000001</v>
      </c>
      <c r="H179" s="7">
        <v>4.0170000000000003</v>
      </c>
      <c r="I179" s="7">
        <v>4.04</v>
      </c>
      <c r="J179" s="7">
        <v>3.831</v>
      </c>
      <c r="K179" s="7">
        <v>3.879</v>
      </c>
      <c r="L179" s="7">
        <v>4.3849999999999998</v>
      </c>
      <c r="M179" s="7">
        <v>4.431</v>
      </c>
      <c r="N179" s="7">
        <v>4.9340000000000002</v>
      </c>
      <c r="O179" s="7">
        <v>4.8869999999999996</v>
      </c>
      <c r="P179" s="7">
        <v>4.7779999999999996</v>
      </c>
      <c r="Q179" s="7">
        <v>4.6289999999999996</v>
      </c>
      <c r="R179" s="7">
        <v>4.1180000000000003</v>
      </c>
      <c r="S179" s="7">
        <f t="shared" si="2"/>
        <v>4.3230000000000004</v>
      </c>
    </row>
    <row r="180" spans="1:19">
      <c r="A180" s="5" t="str">
        <f>B180&amp;"-"&amp;COUNTIF($B$2:B180,B180)</f>
        <v>AMAZONAS-39</v>
      </c>
      <c r="B180" s="5" t="s">
        <v>230</v>
      </c>
      <c r="C180" s="5" t="s">
        <v>270</v>
      </c>
      <c r="D180" s="6">
        <v>-612899</v>
      </c>
      <c r="E180" s="6">
        <v>-5805</v>
      </c>
      <c r="F180" s="7">
        <v>4.4160000000000004</v>
      </c>
      <c r="G180" s="7">
        <v>4.1959999999999997</v>
      </c>
      <c r="H180" s="7">
        <v>4.2919999999999998</v>
      </c>
      <c r="I180" s="7">
        <v>4.2720000000000002</v>
      </c>
      <c r="J180" s="7">
        <v>4.0970000000000004</v>
      </c>
      <c r="K180" s="7">
        <v>3.8039999999999998</v>
      </c>
      <c r="L180" s="7">
        <v>4.2869999999999999</v>
      </c>
      <c r="M180" s="7">
        <v>4.4180000000000001</v>
      </c>
      <c r="N180" s="7">
        <v>4.9660000000000002</v>
      </c>
      <c r="O180" s="7">
        <v>4.9180000000000001</v>
      </c>
      <c r="P180" s="7">
        <v>4.766</v>
      </c>
      <c r="Q180" s="7">
        <v>4.6710000000000003</v>
      </c>
      <c r="R180" s="7">
        <v>4.3</v>
      </c>
      <c r="S180" s="7">
        <f t="shared" si="2"/>
        <v>4.4155833333333323</v>
      </c>
    </row>
    <row r="181" spans="1:19">
      <c r="A181" s="5" t="str">
        <f>B181&amp;"-"&amp;COUNTIF($B$2:B181,B181)</f>
        <v>AMAZONAS-40</v>
      </c>
      <c r="B181" s="5" t="s">
        <v>230</v>
      </c>
      <c r="C181" s="5" t="s">
        <v>271</v>
      </c>
      <c r="D181" s="6">
        <v>-655735</v>
      </c>
      <c r="E181" s="6">
        <v>-18535</v>
      </c>
      <c r="F181" s="7">
        <v>4.59</v>
      </c>
      <c r="G181" s="7">
        <v>4.54</v>
      </c>
      <c r="H181" s="7">
        <v>4.681</v>
      </c>
      <c r="I181" s="7">
        <v>4.5549999999999997</v>
      </c>
      <c r="J181" s="7">
        <v>4.3540000000000001</v>
      </c>
      <c r="K181" s="7">
        <v>4.0170000000000003</v>
      </c>
      <c r="L181" s="7">
        <v>4.2469999999999999</v>
      </c>
      <c r="M181" s="7">
        <v>4.327</v>
      </c>
      <c r="N181" s="7">
        <v>4.9619999999999997</v>
      </c>
      <c r="O181" s="7">
        <v>5.1139999999999999</v>
      </c>
      <c r="P181" s="7">
        <v>4.9930000000000003</v>
      </c>
      <c r="Q181" s="7">
        <v>4.7539999999999996</v>
      </c>
      <c r="R181" s="7">
        <v>4.5359999999999996</v>
      </c>
      <c r="S181" s="7">
        <f t="shared" si="2"/>
        <v>4.589999999999999</v>
      </c>
    </row>
    <row r="182" spans="1:19">
      <c r="A182" s="5" t="str">
        <f>B182&amp;"-"&amp;COUNTIF($B$2:B182,B182)</f>
        <v>AMAZONAS-41</v>
      </c>
      <c r="B182" s="5" t="s">
        <v>230</v>
      </c>
      <c r="C182" s="5" t="s">
        <v>272</v>
      </c>
      <c r="D182" s="6">
        <v>-577072</v>
      </c>
      <c r="E182" s="6">
        <v>-33933</v>
      </c>
      <c r="F182" s="7">
        <v>4.4660000000000002</v>
      </c>
      <c r="G182" s="7">
        <v>3.95</v>
      </c>
      <c r="H182" s="7">
        <v>4.133</v>
      </c>
      <c r="I182" s="7">
        <v>4.048</v>
      </c>
      <c r="J182" s="7">
        <v>3.8420000000000001</v>
      </c>
      <c r="K182" s="7">
        <v>3.992</v>
      </c>
      <c r="L182" s="7">
        <v>4.508</v>
      </c>
      <c r="M182" s="7">
        <v>4.5449999999999999</v>
      </c>
      <c r="N182" s="7">
        <v>5.1580000000000004</v>
      </c>
      <c r="O182" s="7">
        <v>5.0869999999999997</v>
      </c>
      <c r="P182" s="7">
        <v>5.1130000000000004</v>
      </c>
      <c r="Q182" s="7">
        <v>4.83</v>
      </c>
      <c r="R182" s="7">
        <v>4.391</v>
      </c>
      <c r="S182" s="7">
        <f t="shared" si="2"/>
        <v>4.4664166666666665</v>
      </c>
    </row>
    <row r="183" spans="1:19">
      <c r="A183" s="5" t="str">
        <f>B183&amp;"-"&amp;COUNTIF($B$2:B183,B183)</f>
        <v>AMAZONAS-42</v>
      </c>
      <c r="B183" s="5" t="s">
        <v>230</v>
      </c>
      <c r="C183" s="5" t="s">
        <v>273</v>
      </c>
      <c r="D183" s="6">
        <v>-567116</v>
      </c>
      <c r="E183" s="6">
        <v>-22083</v>
      </c>
      <c r="F183" s="7">
        <v>4.6500000000000004</v>
      </c>
      <c r="G183" s="7">
        <v>4.1580000000000004</v>
      </c>
      <c r="H183" s="7">
        <v>4.1980000000000004</v>
      </c>
      <c r="I183" s="7">
        <v>4.2140000000000004</v>
      </c>
      <c r="J183" s="7">
        <v>4.09</v>
      </c>
      <c r="K183" s="7">
        <v>4.1779999999999999</v>
      </c>
      <c r="L183" s="7">
        <v>4.74</v>
      </c>
      <c r="M183" s="7">
        <v>4.75</v>
      </c>
      <c r="N183" s="7">
        <v>5.3259999999999996</v>
      </c>
      <c r="O183" s="7">
        <v>5.2190000000000003</v>
      </c>
      <c r="P183" s="7">
        <v>5.3040000000000003</v>
      </c>
      <c r="Q183" s="7">
        <v>5.0839999999999996</v>
      </c>
      <c r="R183" s="7">
        <v>4.5369999999999999</v>
      </c>
      <c r="S183" s="7">
        <f t="shared" si="2"/>
        <v>4.6498333333333344</v>
      </c>
    </row>
    <row r="184" spans="1:19">
      <c r="A184" s="5" t="str">
        <f>B184&amp;"-"&amp;COUNTIF($B$2:B184,B184)</f>
        <v>AMAZONAS-43</v>
      </c>
      <c r="B184" s="5" t="s">
        <v>230</v>
      </c>
      <c r="C184" s="5" t="s">
        <v>274</v>
      </c>
      <c r="D184" s="6">
        <v>-590945</v>
      </c>
      <c r="E184" s="6">
        <v>-39008</v>
      </c>
      <c r="F184" s="7">
        <v>4.3849999999999998</v>
      </c>
      <c r="G184" s="7">
        <v>3.9180000000000001</v>
      </c>
      <c r="H184" s="7">
        <v>4.1150000000000002</v>
      </c>
      <c r="I184" s="7">
        <v>4.0090000000000003</v>
      </c>
      <c r="J184" s="7">
        <v>3.8839999999999999</v>
      </c>
      <c r="K184" s="7">
        <v>3.9409999999999998</v>
      </c>
      <c r="L184" s="7">
        <v>4.3520000000000003</v>
      </c>
      <c r="M184" s="7">
        <v>4.4690000000000003</v>
      </c>
      <c r="N184" s="7">
        <v>5.0229999999999997</v>
      </c>
      <c r="O184" s="7">
        <v>5.0780000000000003</v>
      </c>
      <c r="P184" s="7">
        <v>4.9009999999999998</v>
      </c>
      <c r="Q184" s="7">
        <v>4.718</v>
      </c>
      <c r="R184" s="7">
        <v>4.2060000000000004</v>
      </c>
      <c r="S184" s="7">
        <f t="shared" si="2"/>
        <v>4.3845000000000001</v>
      </c>
    </row>
    <row r="185" spans="1:19">
      <c r="A185" s="5" t="str">
        <f>B185&amp;"-"&amp;COUNTIF($B$2:B185,B185)</f>
        <v>AMAZONAS-44</v>
      </c>
      <c r="B185" s="5" t="s">
        <v>230</v>
      </c>
      <c r="C185" s="5" t="s">
        <v>275</v>
      </c>
      <c r="D185" s="6">
        <v>-609438</v>
      </c>
      <c r="E185" s="6">
        <v>-26368</v>
      </c>
      <c r="F185" s="7">
        <v>4.5359999999999996</v>
      </c>
      <c r="G185" s="7">
        <v>4.1790000000000003</v>
      </c>
      <c r="H185" s="7">
        <v>4.3040000000000003</v>
      </c>
      <c r="I185" s="7">
        <v>4.2489999999999997</v>
      </c>
      <c r="J185" s="7">
        <v>4.0410000000000004</v>
      </c>
      <c r="K185" s="7">
        <v>4.0549999999999997</v>
      </c>
      <c r="L185" s="7">
        <v>4.508</v>
      </c>
      <c r="M185" s="7">
        <v>4.5910000000000002</v>
      </c>
      <c r="N185" s="7">
        <v>5.117</v>
      </c>
      <c r="O185" s="7">
        <v>5.14</v>
      </c>
      <c r="P185" s="7">
        <v>5.0469999999999997</v>
      </c>
      <c r="Q185" s="7">
        <v>4.8209999999999997</v>
      </c>
      <c r="R185" s="7">
        <v>4.3860000000000001</v>
      </c>
      <c r="S185" s="7">
        <f t="shared" si="2"/>
        <v>4.5364999999999993</v>
      </c>
    </row>
    <row r="186" spans="1:19">
      <c r="A186" s="5" t="str">
        <f>B186&amp;"-"&amp;COUNTIF($B$2:B186,B186)</f>
        <v>AMAZONAS-45</v>
      </c>
      <c r="B186" s="5" t="s">
        <v>230</v>
      </c>
      <c r="C186" s="5" t="s">
        <v>276</v>
      </c>
      <c r="D186" s="6">
        <v>-603736</v>
      </c>
      <c r="E186" s="6">
        <v>-51263</v>
      </c>
      <c r="F186" s="7">
        <v>4.4619999999999997</v>
      </c>
      <c r="G186" s="7">
        <v>4.1260000000000003</v>
      </c>
      <c r="H186" s="7">
        <v>4.2939999999999996</v>
      </c>
      <c r="I186" s="7">
        <v>4.2679999999999998</v>
      </c>
      <c r="J186" s="7">
        <v>4.0270000000000001</v>
      </c>
      <c r="K186" s="7">
        <v>3.9460000000000002</v>
      </c>
      <c r="L186" s="7">
        <v>4.37</v>
      </c>
      <c r="M186" s="7">
        <v>4.4729999999999999</v>
      </c>
      <c r="N186" s="7">
        <v>5.0860000000000003</v>
      </c>
      <c r="O186" s="7">
        <v>5.0460000000000003</v>
      </c>
      <c r="P186" s="7">
        <v>4.891</v>
      </c>
      <c r="Q186" s="7">
        <v>4.7</v>
      </c>
      <c r="R186" s="7">
        <v>4.32</v>
      </c>
      <c r="S186" s="7">
        <f t="shared" si="2"/>
        <v>4.46225</v>
      </c>
    </row>
    <row r="187" spans="1:19">
      <c r="A187" s="5" t="str">
        <f>B187&amp;"-"&amp;COUNTIF($B$2:B187,B187)</f>
        <v>AMAZONAS-46</v>
      </c>
      <c r="B187" s="5" t="s">
        <v>230</v>
      </c>
      <c r="C187" s="5" t="s">
        <v>277</v>
      </c>
      <c r="D187" s="6">
        <v>-567295</v>
      </c>
      <c r="E187" s="6">
        <v>-26378</v>
      </c>
      <c r="F187" s="7">
        <v>4.6180000000000003</v>
      </c>
      <c r="G187" s="7">
        <v>4.2439999999999998</v>
      </c>
      <c r="H187" s="7">
        <v>4.2679999999999998</v>
      </c>
      <c r="I187" s="7">
        <v>4.1630000000000003</v>
      </c>
      <c r="J187" s="7">
        <v>3.9159999999999999</v>
      </c>
      <c r="K187" s="7">
        <v>4.0529999999999999</v>
      </c>
      <c r="L187" s="7">
        <v>4.5970000000000004</v>
      </c>
      <c r="M187" s="7">
        <v>4.5439999999999996</v>
      </c>
      <c r="N187" s="7">
        <v>5.2670000000000003</v>
      </c>
      <c r="O187" s="7">
        <v>5.1929999999999996</v>
      </c>
      <c r="P187" s="7">
        <v>5.367</v>
      </c>
      <c r="Q187" s="7">
        <v>5.1849999999999996</v>
      </c>
      <c r="R187" s="7">
        <v>4.62</v>
      </c>
      <c r="S187" s="7">
        <f t="shared" si="2"/>
        <v>4.6180833333333338</v>
      </c>
    </row>
    <row r="188" spans="1:19">
      <c r="A188" s="5" t="str">
        <f>B188&amp;"-"&amp;COUNTIF($B$2:B188,B188)</f>
        <v>AMAZONAS-47</v>
      </c>
      <c r="B188" s="5" t="s">
        <v>230</v>
      </c>
      <c r="C188" s="5" t="s">
        <v>278</v>
      </c>
      <c r="D188" s="6">
        <v>-669925</v>
      </c>
      <c r="E188" s="6">
        <v>-77135</v>
      </c>
      <c r="F188" s="7">
        <v>4.4649999999999999</v>
      </c>
      <c r="G188" s="7">
        <v>4.226</v>
      </c>
      <c r="H188" s="7">
        <v>4.4779999999999998</v>
      </c>
      <c r="I188" s="7">
        <v>4.2560000000000002</v>
      </c>
      <c r="J188" s="7">
        <v>4.2489999999999997</v>
      </c>
      <c r="K188" s="7">
        <v>3.8929999999999998</v>
      </c>
      <c r="L188" s="7">
        <v>4.2080000000000002</v>
      </c>
      <c r="M188" s="7">
        <v>4.38</v>
      </c>
      <c r="N188" s="7">
        <v>4.9690000000000003</v>
      </c>
      <c r="O188" s="7">
        <v>5.0449999999999999</v>
      </c>
      <c r="P188" s="7">
        <v>4.8570000000000002</v>
      </c>
      <c r="Q188" s="7">
        <v>4.6440000000000001</v>
      </c>
      <c r="R188" s="7">
        <v>4.383</v>
      </c>
      <c r="S188" s="7">
        <f t="shared" si="2"/>
        <v>4.4656666666666665</v>
      </c>
    </row>
    <row r="189" spans="1:19">
      <c r="A189" s="5" t="str">
        <f>B189&amp;"-"&amp;COUNTIF($B$2:B189,B189)</f>
        <v>AMAZONAS-48</v>
      </c>
      <c r="B189" s="5" t="s">
        <v>230</v>
      </c>
      <c r="C189" s="5" t="s">
        <v>279</v>
      </c>
      <c r="D189" s="6">
        <v>-600238</v>
      </c>
      <c r="E189" s="6">
        <v>-20302</v>
      </c>
      <c r="F189" s="7">
        <v>4.3719999999999999</v>
      </c>
      <c r="G189" s="7">
        <v>4.1470000000000002</v>
      </c>
      <c r="H189" s="7">
        <v>4.1589999999999998</v>
      </c>
      <c r="I189" s="7">
        <v>4.1479999999999997</v>
      </c>
      <c r="J189" s="7">
        <v>3.88</v>
      </c>
      <c r="K189" s="7">
        <v>3.8450000000000002</v>
      </c>
      <c r="L189" s="7">
        <v>4.3079999999999998</v>
      </c>
      <c r="M189" s="7">
        <v>4.2830000000000004</v>
      </c>
      <c r="N189" s="7">
        <v>4.907</v>
      </c>
      <c r="O189" s="7">
        <v>4.9610000000000003</v>
      </c>
      <c r="P189" s="7">
        <v>4.8810000000000002</v>
      </c>
      <c r="Q189" s="7">
        <v>4.6139999999999999</v>
      </c>
      <c r="R189" s="7">
        <v>4.3280000000000003</v>
      </c>
      <c r="S189" s="7">
        <f t="shared" si="2"/>
        <v>4.3717499999999996</v>
      </c>
    </row>
    <row r="190" spans="1:19">
      <c r="A190" s="5" t="str">
        <f>B190&amp;"-"&amp;COUNTIF($B$2:B190,B190)</f>
        <v>AMAZONAS-49</v>
      </c>
      <c r="B190" s="5" t="s">
        <v>230</v>
      </c>
      <c r="C190" s="5" t="s">
        <v>280</v>
      </c>
      <c r="D190" s="6">
        <v>-596862</v>
      </c>
      <c r="E190" s="6">
        <v>-27049</v>
      </c>
      <c r="F190" s="7">
        <v>4.33</v>
      </c>
      <c r="G190" s="7">
        <v>3.9980000000000002</v>
      </c>
      <c r="H190" s="7">
        <v>4.0780000000000003</v>
      </c>
      <c r="I190" s="7">
        <v>4.0190000000000001</v>
      </c>
      <c r="J190" s="7">
        <v>3.7850000000000001</v>
      </c>
      <c r="K190" s="7">
        <v>3.7959999999999998</v>
      </c>
      <c r="L190" s="7">
        <v>4.2809999999999997</v>
      </c>
      <c r="M190" s="7">
        <v>4.2960000000000003</v>
      </c>
      <c r="N190" s="7">
        <v>4.9450000000000003</v>
      </c>
      <c r="O190" s="7">
        <v>5.0199999999999996</v>
      </c>
      <c r="P190" s="7">
        <v>4.859</v>
      </c>
      <c r="Q190" s="7">
        <v>4.67</v>
      </c>
      <c r="R190" s="7">
        <v>4.2119999999999997</v>
      </c>
      <c r="S190" s="7">
        <f t="shared" si="2"/>
        <v>4.3299166666666666</v>
      </c>
    </row>
    <row r="191" spans="1:19">
      <c r="A191" s="5" t="str">
        <f>B191&amp;"-"&amp;COUNTIF($B$2:B191,B191)</f>
        <v>AMAZONAS-50</v>
      </c>
      <c r="B191" s="5" t="s">
        <v>230</v>
      </c>
      <c r="C191" s="5" t="s">
        <v>281</v>
      </c>
      <c r="D191" s="6">
        <v>-670845</v>
      </c>
      <c r="E191" s="5" t="s">
        <v>282</v>
      </c>
      <c r="F191" s="7">
        <v>4.6639999999999997</v>
      </c>
      <c r="G191" s="7">
        <v>4.6769999999999996</v>
      </c>
      <c r="H191" s="7">
        <v>4.8659999999999997</v>
      </c>
      <c r="I191" s="7">
        <v>4.923</v>
      </c>
      <c r="J191" s="7">
        <v>4.5449999999999999</v>
      </c>
      <c r="K191" s="7">
        <v>4.2089999999999996</v>
      </c>
      <c r="L191" s="7">
        <v>4.3179999999999996</v>
      </c>
      <c r="M191" s="7">
        <v>4.2930000000000001</v>
      </c>
      <c r="N191" s="7">
        <v>4.7380000000000004</v>
      </c>
      <c r="O191" s="7">
        <v>5.024</v>
      </c>
      <c r="P191" s="7">
        <v>5.0149999999999997</v>
      </c>
      <c r="Q191" s="7">
        <v>4.7869999999999999</v>
      </c>
      <c r="R191" s="7">
        <v>4.5810000000000004</v>
      </c>
      <c r="S191" s="7">
        <f t="shared" si="2"/>
        <v>4.6646666666666663</v>
      </c>
    </row>
    <row r="192" spans="1:19">
      <c r="A192" s="5" t="str">
        <f>B192&amp;"-"&amp;COUNTIF($B$2:B192,B192)</f>
        <v>AMAZONAS-51</v>
      </c>
      <c r="B192" s="5" t="s">
        <v>230</v>
      </c>
      <c r="C192" s="5" t="s">
        <v>283</v>
      </c>
      <c r="D192" s="6">
        <v>-68951</v>
      </c>
      <c r="E192" s="6">
        <v>-34619</v>
      </c>
      <c r="F192" s="7">
        <v>4.5190000000000001</v>
      </c>
      <c r="G192" s="7">
        <v>4.2489999999999997</v>
      </c>
      <c r="H192" s="7">
        <v>4.6589999999999998</v>
      </c>
      <c r="I192" s="7">
        <v>4.5460000000000003</v>
      </c>
      <c r="J192" s="7">
        <v>4.383</v>
      </c>
      <c r="K192" s="7">
        <v>4.0350000000000001</v>
      </c>
      <c r="L192" s="7">
        <v>4.1449999999999996</v>
      </c>
      <c r="M192" s="7">
        <v>4.0609999999999999</v>
      </c>
      <c r="N192" s="7">
        <v>4.8209999999999997</v>
      </c>
      <c r="O192" s="7">
        <v>5.0490000000000004</v>
      </c>
      <c r="P192" s="7">
        <v>4.9950000000000001</v>
      </c>
      <c r="Q192" s="7">
        <v>4.8259999999999996</v>
      </c>
      <c r="R192" s="7">
        <v>4.4550000000000001</v>
      </c>
      <c r="S192" s="7">
        <f t="shared" si="2"/>
        <v>4.5186666666666664</v>
      </c>
    </row>
    <row r="193" spans="1:19">
      <c r="A193" s="5" t="str">
        <f>B193&amp;"-"&amp;COUNTIF($B$2:B193,B193)</f>
        <v>AMAZONAS-52</v>
      </c>
      <c r="B193" s="5" t="s">
        <v>230</v>
      </c>
      <c r="C193" s="5" t="s">
        <v>284</v>
      </c>
      <c r="D193" s="6">
        <v>-578735</v>
      </c>
      <c r="E193" s="6">
        <v>-25595</v>
      </c>
      <c r="F193" s="7">
        <v>4.5659999999999998</v>
      </c>
      <c r="G193" s="7">
        <v>4.024</v>
      </c>
      <c r="H193" s="7">
        <v>4.1219999999999999</v>
      </c>
      <c r="I193" s="7">
        <v>4.1139999999999999</v>
      </c>
      <c r="J193" s="7">
        <v>3.9660000000000002</v>
      </c>
      <c r="K193" s="7">
        <v>4.0730000000000004</v>
      </c>
      <c r="L193" s="7">
        <v>4.6989999999999998</v>
      </c>
      <c r="M193" s="7">
        <v>4.6390000000000002</v>
      </c>
      <c r="N193" s="7">
        <v>5.258</v>
      </c>
      <c r="O193" s="7">
        <v>5.2510000000000003</v>
      </c>
      <c r="P193" s="7">
        <v>5.1859999999999999</v>
      </c>
      <c r="Q193" s="7">
        <v>4.9790000000000001</v>
      </c>
      <c r="R193" s="7">
        <v>4.4779999999999998</v>
      </c>
      <c r="S193" s="7">
        <f t="shared" si="2"/>
        <v>4.5657500000000004</v>
      </c>
    </row>
    <row r="194" spans="1:19">
      <c r="A194" s="5" t="str">
        <f>B194&amp;"-"&amp;COUNTIF($B$2:B194,B194)</f>
        <v>AMAZONAS-53</v>
      </c>
      <c r="B194" s="5" t="s">
        <v>230</v>
      </c>
      <c r="C194" s="5" t="s">
        <v>285</v>
      </c>
      <c r="D194" s="6">
        <v>-650097</v>
      </c>
      <c r="E194" s="5" t="s">
        <v>286</v>
      </c>
      <c r="F194" s="7">
        <v>4.6040000000000001</v>
      </c>
      <c r="G194" s="7">
        <v>4.5759999999999996</v>
      </c>
      <c r="H194" s="7">
        <v>4.7229999999999999</v>
      </c>
      <c r="I194" s="7">
        <v>4.5709999999999997</v>
      </c>
      <c r="J194" s="7">
        <v>4.3869999999999996</v>
      </c>
      <c r="K194" s="7">
        <v>3.9630000000000001</v>
      </c>
      <c r="L194" s="7">
        <v>4.2969999999999997</v>
      </c>
      <c r="M194" s="7">
        <v>4.3390000000000004</v>
      </c>
      <c r="N194" s="7">
        <v>4.8840000000000003</v>
      </c>
      <c r="O194" s="7">
        <v>5.1319999999999997</v>
      </c>
      <c r="P194" s="7">
        <v>5.0149999999999997</v>
      </c>
      <c r="Q194" s="7">
        <v>4.7750000000000004</v>
      </c>
      <c r="R194" s="7">
        <v>4.5819999999999999</v>
      </c>
      <c r="S194" s="7">
        <f t="shared" si="2"/>
        <v>4.6036666666666664</v>
      </c>
    </row>
    <row r="195" spans="1:19">
      <c r="A195" s="5" t="str">
        <f>B195&amp;"-"&amp;COUNTIF($B$2:B195,B195)</f>
        <v>AMAZONAS-54</v>
      </c>
      <c r="B195" s="5" t="s">
        <v>230</v>
      </c>
      <c r="C195" s="5" t="s">
        <v>287</v>
      </c>
      <c r="D195" s="6">
        <v>-679461</v>
      </c>
      <c r="E195" s="6">
        <v>-31032</v>
      </c>
      <c r="F195" s="7">
        <v>4.524</v>
      </c>
      <c r="G195" s="7">
        <v>4.3330000000000002</v>
      </c>
      <c r="H195" s="7">
        <v>4.702</v>
      </c>
      <c r="I195" s="7">
        <v>4.5</v>
      </c>
      <c r="J195" s="7">
        <v>4.3959999999999999</v>
      </c>
      <c r="K195" s="7">
        <v>4.01</v>
      </c>
      <c r="L195" s="7">
        <v>4.1349999999999998</v>
      </c>
      <c r="M195" s="7">
        <v>4.1609999999999996</v>
      </c>
      <c r="N195" s="7">
        <v>4.8490000000000002</v>
      </c>
      <c r="O195" s="7">
        <v>5.0289999999999999</v>
      </c>
      <c r="P195" s="7">
        <v>4.9950000000000001</v>
      </c>
      <c r="Q195" s="7">
        <v>4.7629999999999999</v>
      </c>
      <c r="R195" s="7">
        <v>4.4210000000000003</v>
      </c>
      <c r="S195" s="7">
        <f t="shared" ref="S195:S258" si="3">(G195+H195+I195+J195+K195+L195+M195+N195+O195+P195+Q195+R195)/12</f>
        <v>4.5244999999999989</v>
      </c>
    </row>
    <row r="196" spans="1:19">
      <c r="A196" s="5" t="str">
        <f>B196&amp;"-"&amp;COUNTIF($B$2:B196,B196)</f>
        <v>AMAZONAS-55</v>
      </c>
      <c r="B196" s="5" t="s">
        <v>230</v>
      </c>
      <c r="C196" s="5" t="s">
        <v>288</v>
      </c>
      <c r="D196" s="6">
        <v>-582146</v>
      </c>
      <c r="E196" s="6">
        <v>-28366</v>
      </c>
      <c r="F196" s="7">
        <v>4.452</v>
      </c>
      <c r="G196" s="7">
        <v>3.9710000000000001</v>
      </c>
      <c r="H196" s="7">
        <v>4.0919999999999996</v>
      </c>
      <c r="I196" s="7">
        <v>4.056</v>
      </c>
      <c r="J196" s="7">
        <v>3.8839999999999999</v>
      </c>
      <c r="K196" s="7">
        <v>3.9740000000000002</v>
      </c>
      <c r="L196" s="7">
        <v>4.5620000000000003</v>
      </c>
      <c r="M196" s="7">
        <v>4.5069999999999997</v>
      </c>
      <c r="N196" s="7">
        <v>5.1580000000000004</v>
      </c>
      <c r="O196" s="7">
        <v>5.1719999999999997</v>
      </c>
      <c r="P196" s="7">
        <v>4.9279999999999999</v>
      </c>
      <c r="Q196" s="7">
        <v>4.7549999999999999</v>
      </c>
      <c r="R196" s="7">
        <v>4.3579999999999997</v>
      </c>
      <c r="S196" s="7">
        <f t="shared" si="3"/>
        <v>4.4514166666666659</v>
      </c>
    </row>
    <row r="197" spans="1:19">
      <c r="A197" s="5" t="str">
        <f>B197&amp;"-"&amp;COUNTIF($B$2:B197,B197)</f>
        <v>AMAZONAS-56</v>
      </c>
      <c r="B197" s="5" t="s">
        <v>230</v>
      </c>
      <c r="C197" s="5" t="s">
        <v>289</v>
      </c>
      <c r="D197" s="6">
        <v>-699388</v>
      </c>
      <c r="E197" s="6">
        <v>-4242</v>
      </c>
      <c r="F197" s="7">
        <v>4.5010000000000003</v>
      </c>
      <c r="G197" s="7">
        <v>4.2750000000000004</v>
      </c>
      <c r="H197" s="7">
        <v>4.6790000000000003</v>
      </c>
      <c r="I197" s="7">
        <v>4.508</v>
      </c>
      <c r="J197" s="7">
        <v>4.3620000000000001</v>
      </c>
      <c r="K197" s="7">
        <v>4.0170000000000003</v>
      </c>
      <c r="L197" s="7">
        <v>4.1210000000000004</v>
      </c>
      <c r="M197" s="7">
        <v>4.0970000000000004</v>
      </c>
      <c r="N197" s="7">
        <v>4.8630000000000004</v>
      </c>
      <c r="O197" s="7">
        <v>5.0410000000000004</v>
      </c>
      <c r="P197" s="7">
        <v>4.8860000000000001</v>
      </c>
      <c r="Q197" s="7">
        <v>4.7869999999999999</v>
      </c>
      <c r="R197" s="7">
        <v>4.375</v>
      </c>
      <c r="S197" s="7">
        <f t="shared" si="3"/>
        <v>4.500916666666666</v>
      </c>
    </row>
    <row r="198" spans="1:19">
      <c r="A198" s="5" t="str">
        <f>B198&amp;"-"&amp;COUNTIF($B$2:B198,B198)</f>
        <v>AMAZONAS-57</v>
      </c>
      <c r="B198" s="5" t="s">
        <v>230</v>
      </c>
      <c r="C198" s="5" t="s">
        <v>290</v>
      </c>
      <c r="D198" s="6">
        <v>-631813</v>
      </c>
      <c r="E198" s="6">
        <v>-56212</v>
      </c>
      <c r="F198" s="7">
        <v>4.41</v>
      </c>
      <c r="G198" s="7">
        <v>4.1639999999999997</v>
      </c>
      <c r="H198" s="7">
        <v>4.3940000000000001</v>
      </c>
      <c r="I198" s="7">
        <v>4.2590000000000003</v>
      </c>
      <c r="J198" s="7">
        <v>4.1219999999999999</v>
      </c>
      <c r="K198" s="7">
        <v>3.794</v>
      </c>
      <c r="L198" s="7">
        <v>4.18</v>
      </c>
      <c r="M198" s="7">
        <v>4.3440000000000003</v>
      </c>
      <c r="N198" s="7">
        <v>4.9269999999999996</v>
      </c>
      <c r="O198" s="7">
        <v>4.9770000000000003</v>
      </c>
      <c r="P198" s="7">
        <v>4.8650000000000002</v>
      </c>
      <c r="Q198" s="7">
        <v>4.6139999999999999</v>
      </c>
      <c r="R198" s="7">
        <v>4.2839999999999998</v>
      </c>
      <c r="S198" s="7">
        <f t="shared" si="3"/>
        <v>4.410333333333333</v>
      </c>
    </row>
    <row r="199" spans="1:19">
      <c r="A199" s="5" t="str">
        <f>B199&amp;"-"&amp;COUNTIF($B$2:B199,B199)</f>
        <v>AMAZONAS-58</v>
      </c>
      <c r="B199" s="5" t="s">
        <v>230</v>
      </c>
      <c r="C199" s="5" t="s">
        <v>291</v>
      </c>
      <c r="D199" s="6">
        <v>-647198</v>
      </c>
      <c r="E199" s="6">
        <v>-33686</v>
      </c>
      <c r="F199" s="7">
        <v>4.5389999999999997</v>
      </c>
      <c r="G199" s="7">
        <v>4.3380000000000001</v>
      </c>
      <c r="H199" s="7">
        <v>4.55</v>
      </c>
      <c r="I199" s="7">
        <v>4.5439999999999996</v>
      </c>
      <c r="J199" s="7">
        <v>4.2569999999999997</v>
      </c>
      <c r="K199" s="7">
        <v>3.9369999999999998</v>
      </c>
      <c r="L199" s="7">
        <v>4.2359999999999998</v>
      </c>
      <c r="M199" s="7">
        <v>4.319</v>
      </c>
      <c r="N199" s="7">
        <v>4.9539999999999997</v>
      </c>
      <c r="O199" s="7">
        <v>5.0369999999999999</v>
      </c>
      <c r="P199" s="7">
        <v>5.008</v>
      </c>
      <c r="Q199" s="7">
        <v>4.7489999999999997</v>
      </c>
      <c r="R199" s="7">
        <v>4.5419999999999998</v>
      </c>
      <c r="S199" s="7">
        <f t="shared" si="3"/>
        <v>4.53925</v>
      </c>
    </row>
    <row r="200" spans="1:19">
      <c r="A200" s="5" t="str">
        <f>B200&amp;"-"&amp;COUNTIF($B$2:B200,B200)</f>
        <v>AMAZONAS-59</v>
      </c>
      <c r="B200" s="5" t="s">
        <v>230</v>
      </c>
      <c r="C200" s="5" t="s">
        <v>292</v>
      </c>
      <c r="D200" s="6">
        <v>-677924</v>
      </c>
      <c r="E200" s="6">
        <v>-28662</v>
      </c>
      <c r="F200" s="7">
        <v>4.5330000000000004</v>
      </c>
      <c r="G200" s="7">
        <v>4.3970000000000002</v>
      </c>
      <c r="H200" s="7">
        <v>4.75</v>
      </c>
      <c r="I200" s="7">
        <v>4.5140000000000002</v>
      </c>
      <c r="J200" s="7">
        <v>4.3739999999999997</v>
      </c>
      <c r="K200" s="7">
        <v>4.0039999999999996</v>
      </c>
      <c r="L200" s="7">
        <v>4.1100000000000003</v>
      </c>
      <c r="M200" s="7">
        <v>4.125</v>
      </c>
      <c r="N200" s="7">
        <v>4.8129999999999997</v>
      </c>
      <c r="O200" s="7">
        <v>5.0620000000000003</v>
      </c>
      <c r="P200" s="7">
        <v>4.9660000000000002</v>
      </c>
      <c r="Q200" s="7">
        <v>4.7859999999999996</v>
      </c>
      <c r="R200" s="7">
        <v>4.4939999999999998</v>
      </c>
      <c r="S200" s="7">
        <f t="shared" si="3"/>
        <v>4.5329166666666669</v>
      </c>
    </row>
    <row r="201" spans="1:19">
      <c r="A201" s="5" t="str">
        <f>B201&amp;"-"&amp;COUNTIF($B$2:B201,B201)</f>
        <v>AMAZONAS-60</v>
      </c>
      <c r="B201" s="5" t="s">
        <v>230</v>
      </c>
      <c r="C201" s="5" t="s">
        <v>293</v>
      </c>
      <c r="D201" s="6">
        <v>-651138</v>
      </c>
      <c r="E201" s="6">
        <v>-29965</v>
      </c>
      <c r="F201" s="7">
        <v>4.5720000000000001</v>
      </c>
      <c r="G201" s="7">
        <v>4.4279999999999999</v>
      </c>
      <c r="H201" s="7">
        <v>4.7</v>
      </c>
      <c r="I201" s="7">
        <v>4.5890000000000004</v>
      </c>
      <c r="J201" s="7">
        <v>4.3220000000000001</v>
      </c>
      <c r="K201" s="7">
        <v>3.9580000000000002</v>
      </c>
      <c r="L201" s="7">
        <v>4.2809999999999997</v>
      </c>
      <c r="M201" s="7">
        <v>4.3159999999999998</v>
      </c>
      <c r="N201" s="7">
        <v>4.9359999999999999</v>
      </c>
      <c r="O201" s="7">
        <v>5</v>
      </c>
      <c r="P201" s="7">
        <v>5.0369999999999999</v>
      </c>
      <c r="Q201" s="7">
        <v>4.7329999999999997</v>
      </c>
      <c r="R201" s="7">
        <v>4.5659999999999998</v>
      </c>
      <c r="S201" s="7">
        <f t="shared" si="3"/>
        <v>4.5721666666666669</v>
      </c>
    </row>
    <row r="202" spans="1:19">
      <c r="A202" s="5" t="str">
        <f>B202&amp;"-"&amp;COUNTIF($B$2:B202,B202)</f>
        <v>AMAZONAS-61</v>
      </c>
      <c r="B202" s="5" t="s">
        <v>230</v>
      </c>
      <c r="C202" s="5" t="s">
        <v>294</v>
      </c>
      <c r="D202" s="6">
        <v>-577542</v>
      </c>
      <c r="E202" s="6">
        <v>-25297</v>
      </c>
      <c r="F202" s="7">
        <v>4.5170000000000003</v>
      </c>
      <c r="G202" s="7">
        <v>3.9550000000000001</v>
      </c>
      <c r="H202" s="7">
        <v>4.0590000000000002</v>
      </c>
      <c r="I202" s="7">
        <v>4.0190000000000001</v>
      </c>
      <c r="J202" s="7">
        <v>3.891</v>
      </c>
      <c r="K202" s="7">
        <v>4.0049999999999999</v>
      </c>
      <c r="L202" s="7">
        <v>4.6609999999999996</v>
      </c>
      <c r="M202" s="7">
        <v>4.6440000000000001</v>
      </c>
      <c r="N202" s="7">
        <v>5.274</v>
      </c>
      <c r="O202" s="7">
        <v>5.2469999999999999</v>
      </c>
      <c r="P202" s="7">
        <v>5.15</v>
      </c>
      <c r="Q202" s="7">
        <v>4.8780000000000001</v>
      </c>
      <c r="R202" s="7">
        <v>4.4189999999999996</v>
      </c>
      <c r="S202" s="7">
        <f t="shared" si="3"/>
        <v>4.5168333333333326</v>
      </c>
    </row>
    <row r="203" spans="1:19">
      <c r="A203" s="5" t="str">
        <f>B203&amp;"-"&amp;COUNTIF($B$2:B203,B203)</f>
        <v>AMAZONAS-62</v>
      </c>
      <c r="B203" s="5" t="s">
        <v>230</v>
      </c>
      <c r="C203" s="5" t="s">
        <v>295</v>
      </c>
      <c r="D203" s="6">
        <v>-581501</v>
      </c>
      <c r="E203" s="6">
        <v>-31288</v>
      </c>
      <c r="F203" s="7">
        <v>4.4349999999999996</v>
      </c>
      <c r="G203" s="7">
        <v>3.97</v>
      </c>
      <c r="H203" s="7">
        <v>4.1459999999999999</v>
      </c>
      <c r="I203" s="7">
        <v>4.0510000000000002</v>
      </c>
      <c r="J203" s="7">
        <v>3.839</v>
      </c>
      <c r="K203" s="7">
        <v>3.952</v>
      </c>
      <c r="L203" s="7">
        <v>4.5</v>
      </c>
      <c r="M203" s="7">
        <v>4.4870000000000001</v>
      </c>
      <c r="N203" s="7">
        <v>5.0940000000000003</v>
      </c>
      <c r="O203" s="7">
        <v>5.1120000000000001</v>
      </c>
      <c r="P203" s="7">
        <v>4.9800000000000004</v>
      </c>
      <c r="Q203" s="7">
        <v>4.7560000000000002</v>
      </c>
      <c r="R203" s="7">
        <v>4.3289999999999997</v>
      </c>
      <c r="S203" s="7">
        <f t="shared" si="3"/>
        <v>4.4346666666666668</v>
      </c>
    </row>
    <row r="204" spans="1:19">
      <c r="A204" s="5" t="str">
        <f>B204&amp;"-"&amp;COUNTIF($B$2:B204,B204)</f>
        <v>BAHIA-1</v>
      </c>
      <c r="B204" s="5" t="s">
        <v>296</v>
      </c>
      <c r="C204" s="5" t="s">
        <v>297</v>
      </c>
      <c r="D204" s="6">
        <v>-421407</v>
      </c>
      <c r="E204" s="6">
        <v>-134176</v>
      </c>
      <c r="F204" s="7">
        <v>5.78</v>
      </c>
      <c r="G204" s="7">
        <v>6.415</v>
      </c>
      <c r="H204" s="7">
        <v>6.468</v>
      </c>
      <c r="I204" s="7">
        <v>5.9560000000000004</v>
      </c>
      <c r="J204" s="7">
        <v>5.444</v>
      </c>
      <c r="K204" s="7">
        <v>4.9329999999999998</v>
      </c>
      <c r="L204" s="7">
        <v>4.7300000000000004</v>
      </c>
      <c r="M204" s="7">
        <v>4.9390000000000001</v>
      </c>
      <c r="N204" s="7">
        <v>5.6139999999999999</v>
      </c>
      <c r="O204" s="7">
        <v>6.2110000000000003</v>
      </c>
      <c r="P204" s="7">
        <v>6.3520000000000003</v>
      </c>
      <c r="Q204" s="7">
        <v>5.8719999999999999</v>
      </c>
      <c r="R204" s="7">
        <v>6.423</v>
      </c>
      <c r="S204" s="7">
        <f t="shared" si="3"/>
        <v>5.7797499999999999</v>
      </c>
    </row>
    <row r="205" spans="1:19">
      <c r="A205" s="5" t="str">
        <f>B205&amp;"-"&amp;COUNTIF($B$2:B205,B205)</f>
        <v>BAHIA-2</v>
      </c>
      <c r="B205" s="5" t="s">
        <v>296</v>
      </c>
      <c r="C205" s="5" t="s">
        <v>298</v>
      </c>
      <c r="D205" s="6">
        <v>-387642</v>
      </c>
      <c r="E205" s="6">
        <v>-118623</v>
      </c>
      <c r="F205" s="7">
        <v>5.0940000000000003</v>
      </c>
      <c r="G205" s="7">
        <v>6.077</v>
      </c>
      <c r="H205" s="7">
        <v>5.819</v>
      </c>
      <c r="I205" s="7">
        <v>5.6660000000000004</v>
      </c>
      <c r="J205" s="7">
        <v>4.7270000000000003</v>
      </c>
      <c r="K205" s="7">
        <v>3.9809999999999999</v>
      </c>
      <c r="L205" s="7">
        <v>3.7069999999999999</v>
      </c>
      <c r="M205" s="7">
        <v>3.9780000000000002</v>
      </c>
      <c r="N205" s="7">
        <v>4.4669999999999996</v>
      </c>
      <c r="O205" s="7">
        <v>5.3170000000000002</v>
      </c>
      <c r="P205" s="7">
        <v>5.524</v>
      </c>
      <c r="Q205" s="7">
        <v>5.827</v>
      </c>
      <c r="R205" s="7">
        <v>6.0380000000000003</v>
      </c>
      <c r="S205" s="7">
        <f t="shared" si="3"/>
        <v>5.0940000000000003</v>
      </c>
    </row>
    <row r="206" spans="1:19">
      <c r="A206" s="5" t="str">
        <f>B206&amp;"-"&amp;COUNTIF($B$2:B206,B206)</f>
        <v>BAHIA-3</v>
      </c>
      <c r="B206" s="5" t="s">
        <v>296</v>
      </c>
      <c r="C206" s="5" t="s">
        <v>299</v>
      </c>
      <c r="D206" s="6">
        <v>-416647</v>
      </c>
      <c r="E206" s="6">
        <v>-132507</v>
      </c>
      <c r="F206" s="7">
        <v>5.3150000000000004</v>
      </c>
      <c r="G206" s="7">
        <v>6.0990000000000002</v>
      </c>
      <c r="H206" s="7">
        <v>6.1289999999999996</v>
      </c>
      <c r="I206" s="7">
        <v>5.593</v>
      </c>
      <c r="J206" s="7">
        <v>4.8280000000000003</v>
      </c>
      <c r="K206" s="7">
        <v>4.2709999999999999</v>
      </c>
      <c r="L206" s="7">
        <v>3.996</v>
      </c>
      <c r="M206" s="7">
        <v>4.226</v>
      </c>
      <c r="N206" s="7">
        <v>4.9560000000000004</v>
      </c>
      <c r="O206" s="7">
        <v>5.7949999999999999</v>
      </c>
      <c r="P206" s="7">
        <v>5.9039999999999999</v>
      </c>
      <c r="Q206" s="7">
        <v>5.694</v>
      </c>
      <c r="R206" s="7">
        <v>6.2910000000000004</v>
      </c>
      <c r="S206" s="7">
        <f t="shared" si="3"/>
        <v>5.3151666666666664</v>
      </c>
    </row>
    <row r="207" spans="1:19">
      <c r="A207" s="5" t="str">
        <f>B207&amp;"-"&amp;COUNTIF($B$2:B207,B207)</f>
        <v>BAHIA-4</v>
      </c>
      <c r="B207" s="5" t="s">
        <v>296</v>
      </c>
      <c r="C207" s="5" t="s">
        <v>4267</v>
      </c>
      <c r="D207" s="6">
        <v>-391146</v>
      </c>
      <c r="E207" s="6">
        <v>-87238</v>
      </c>
      <c r="F207" s="7">
        <v>5.8230000000000004</v>
      </c>
      <c r="G207" s="7">
        <v>6.4669999999999996</v>
      </c>
      <c r="H207" s="7">
        <v>6.2030000000000003</v>
      </c>
      <c r="I207" s="7">
        <v>6.2640000000000002</v>
      </c>
      <c r="J207" s="7">
        <v>5.6189999999999998</v>
      </c>
      <c r="K207" s="7">
        <v>4.8630000000000004</v>
      </c>
      <c r="L207" s="7">
        <v>4.4640000000000004</v>
      </c>
      <c r="M207" s="7">
        <v>4.6479999999999997</v>
      </c>
      <c r="N207" s="7">
        <v>5.3879999999999999</v>
      </c>
      <c r="O207" s="7">
        <v>6.1879999999999997</v>
      </c>
      <c r="P207" s="7">
        <v>6.4669999999999996</v>
      </c>
      <c r="Q207" s="7">
        <v>6.6829999999999998</v>
      </c>
      <c r="R207" s="7">
        <v>6.617</v>
      </c>
      <c r="S207" s="7">
        <f t="shared" si="3"/>
        <v>5.8225833333333341</v>
      </c>
    </row>
    <row r="208" spans="1:19">
      <c r="A208" s="5" t="str">
        <f>B208&amp;"-"&amp;COUNTIF($B$2:B208,B208)</f>
        <v>BAHIA-5</v>
      </c>
      <c r="B208" s="5" t="s">
        <v>296</v>
      </c>
      <c r="C208" s="5" t="s">
        <v>300</v>
      </c>
      <c r="D208" s="6">
        <v>-380201</v>
      </c>
      <c r="E208" s="6">
        <v>-11658</v>
      </c>
      <c r="F208" s="7">
        <v>5.1710000000000003</v>
      </c>
      <c r="G208" s="7">
        <v>6.1050000000000004</v>
      </c>
      <c r="H208" s="7">
        <v>5.883</v>
      </c>
      <c r="I208" s="7">
        <v>5.7290000000000001</v>
      </c>
      <c r="J208" s="7">
        <v>4.806</v>
      </c>
      <c r="K208" s="7">
        <v>4.0709999999999997</v>
      </c>
      <c r="L208" s="7">
        <v>3.87</v>
      </c>
      <c r="M208" s="7">
        <v>4.0389999999999997</v>
      </c>
      <c r="N208" s="7">
        <v>4.4240000000000004</v>
      </c>
      <c r="O208" s="7">
        <v>5.2789999999999999</v>
      </c>
      <c r="P208" s="7">
        <v>5.6239999999999997</v>
      </c>
      <c r="Q208" s="7">
        <v>6.0019999999999998</v>
      </c>
      <c r="R208" s="7">
        <v>6.22</v>
      </c>
      <c r="S208" s="7">
        <f t="shared" si="3"/>
        <v>5.1710000000000003</v>
      </c>
    </row>
    <row r="209" spans="1:19">
      <c r="A209" s="5" t="str">
        <f>B209&amp;"-"&amp;COUNTIF($B$2:B209,B209)</f>
        <v>BAHIA-6</v>
      </c>
      <c r="B209" s="5" t="s">
        <v>296</v>
      </c>
      <c r="C209" s="5" t="s">
        <v>301</v>
      </c>
      <c r="D209" s="6">
        <v>-381158</v>
      </c>
      <c r="E209" s="6">
        <v>-105357</v>
      </c>
      <c r="F209" s="7">
        <v>5.2130000000000001</v>
      </c>
      <c r="G209" s="7">
        <v>6.1139999999999999</v>
      </c>
      <c r="H209" s="7">
        <v>5.8449999999999998</v>
      </c>
      <c r="I209" s="7">
        <v>5.74</v>
      </c>
      <c r="J209" s="7">
        <v>5.0650000000000004</v>
      </c>
      <c r="K209" s="7">
        <v>4.1859999999999999</v>
      </c>
      <c r="L209" s="7">
        <v>3.8809999999999998</v>
      </c>
      <c r="M209" s="7">
        <v>3.9790000000000001</v>
      </c>
      <c r="N209" s="7">
        <v>4.4859999999999998</v>
      </c>
      <c r="O209" s="7">
        <v>5.3380000000000001</v>
      </c>
      <c r="P209" s="7">
        <v>5.6289999999999996</v>
      </c>
      <c r="Q209" s="7">
        <v>6.1189999999999998</v>
      </c>
      <c r="R209" s="7">
        <v>6.1719999999999997</v>
      </c>
      <c r="S209" s="7">
        <f t="shared" si="3"/>
        <v>5.2128333333333332</v>
      </c>
    </row>
    <row r="210" spans="1:19">
      <c r="A210" s="5" t="str">
        <f>B210&amp;"-"&amp;COUNTIF($B$2:B210,B210)</f>
        <v>BAHIA-7</v>
      </c>
      <c r="B210" s="5" t="s">
        <v>296</v>
      </c>
      <c r="C210" s="5" t="s">
        <v>302</v>
      </c>
      <c r="D210" s="6">
        <v>-39894</v>
      </c>
      <c r="E210" s="6">
        <v>-141274</v>
      </c>
      <c r="F210" s="7">
        <v>4.9189999999999996</v>
      </c>
      <c r="G210" s="7">
        <v>5.9059999999999997</v>
      </c>
      <c r="H210" s="7">
        <v>5.9870000000000001</v>
      </c>
      <c r="I210" s="7">
        <v>5.5780000000000003</v>
      </c>
      <c r="J210" s="7">
        <v>4.5739999999999998</v>
      </c>
      <c r="K210" s="7">
        <v>3.931</v>
      </c>
      <c r="L210" s="7">
        <v>3.528</v>
      </c>
      <c r="M210" s="7">
        <v>3.7160000000000002</v>
      </c>
      <c r="N210" s="7">
        <v>4.2640000000000002</v>
      </c>
      <c r="O210" s="7">
        <v>5.0049999999999999</v>
      </c>
      <c r="P210" s="7">
        <v>5.1760000000000002</v>
      </c>
      <c r="Q210" s="7">
        <v>5.351</v>
      </c>
      <c r="R210" s="7">
        <v>6.0110000000000001</v>
      </c>
      <c r="S210" s="7">
        <f t="shared" si="3"/>
        <v>4.918916666666667</v>
      </c>
    </row>
    <row r="211" spans="1:19">
      <c r="A211" s="5" t="str">
        <f>B211&amp;"-"&amp;COUNTIF($B$2:B211,B211)</f>
        <v>BAHIA-8</v>
      </c>
      <c r="B211" s="5" t="s">
        <v>296</v>
      </c>
      <c r="C211" s="5" t="s">
        <v>303</v>
      </c>
      <c r="D211" s="6">
        <v>-384211</v>
      </c>
      <c r="E211" s="6">
        <v>-12134</v>
      </c>
      <c r="F211" s="7">
        <v>5.077</v>
      </c>
      <c r="G211" s="7">
        <v>6.0730000000000004</v>
      </c>
      <c r="H211" s="7">
        <v>5.8769999999999998</v>
      </c>
      <c r="I211" s="7">
        <v>5.7160000000000002</v>
      </c>
      <c r="J211" s="7">
        <v>4.7119999999999997</v>
      </c>
      <c r="K211" s="7">
        <v>3.907</v>
      </c>
      <c r="L211" s="7">
        <v>3.6720000000000002</v>
      </c>
      <c r="M211" s="7">
        <v>3.9060000000000001</v>
      </c>
      <c r="N211" s="7">
        <v>4.38</v>
      </c>
      <c r="O211" s="7">
        <v>5.2140000000000004</v>
      </c>
      <c r="P211" s="7">
        <v>5.4939999999999998</v>
      </c>
      <c r="Q211" s="7">
        <v>5.8310000000000004</v>
      </c>
      <c r="R211" s="7">
        <v>6.1449999999999996</v>
      </c>
      <c r="S211" s="7">
        <f t="shared" si="3"/>
        <v>5.0772500000000003</v>
      </c>
    </row>
    <row r="212" spans="1:19">
      <c r="A212" s="5" t="str">
        <f>B212&amp;"-"&amp;COUNTIF($B$2:B212,B212)</f>
        <v>BAHIA-9</v>
      </c>
      <c r="B212" s="5" t="s">
        <v>296</v>
      </c>
      <c r="C212" s="5" t="s">
        <v>4594</v>
      </c>
      <c r="D212" s="6">
        <v>-392039</v>
      </c>
      <c r="E212" s="6">
        <v>-175199</v>
      </c>
      <c r="F212" s="7">
        <v>5.1109999999999998</v>
      </c>
      <c r="G212" s="7">
        <v>6.4359999999999999</v>
      </c>
      <c r="H212" s="7">
        <v>6.4580000000000002</v>
      </c>
      <c r="I212" s="7">
        <v>5.532</v>
      </c>
      <c r="J212" s="7">
        <v>4.55</v>
      </c>
      <c r="K212" s="7">
        <v>3.8929999999999998</v>
      </c>
      <c r="L212" s="7">
        <v>3.6219999999999999</v>
      </c>
      <c r="M212" s="7">
        <v>3.82</v>
      </c>
      <c r="N212" s="7">
        <v>4.5170000000000003</v>
      </c>
      <c r="O212" s="7">
        <v>5.08</v>
      </c>
      <c r="P212" s="7">
        <v>5.4450000000000003</v>
      </c>
      <c r="Q212" s="7">
        <v>5.5609999999999999</v>
      </c>
      <c r="R212" s="7">
        <v>6.42</v>
      </c>
      <c r="S212" s="7">
        <f t="shared" si="3"/>
        <v>5.1111666666666666</v>
      </c>
    </row>
    <row r="213" spans="1:19">
      <c r="A213" s="5" t="str">
        <f>B213&amp;"-"&amp;COUNTIF($B$2:B213,B213)</f>
        <v>BAHIA-10</v>
      </c>
      <c r="B213" s="5" t="s">
        <v>296</v>
      </c>
      <c r="C213" s="5" t="s">
        <v>304</v>
      </c>
      <c r="D213" s="6">
        <v>-396418</v>
      </c>
      <c r="E213" s="6">
        <v>-147093</v>
      </c>
      <c r="F213" s="7">
        <v>4.694</v>
      </c>
      <c r="G213" s="7">
        <v>5.609</v>
      </c>
      <c r="H213" s="7">
        <v>5.6749999999999998</v>
      </c>
      <c r="I213" s="7">
        <v>5.2569999999999997</v>
      </c>
      <c r="J213" s="7">
        <v>4.4180000000000001</v>
      </c>
      <c r="K213" s="7">
        <v>3.7490000000000001</v>
      </c>
      <c r="L213" s="7">
        <v>3.4350000000000001</v>
      </c>
      <c r="M213" s="7">
        <v>3.6190000000000002</v>
      </c>
      <c r="N213" s="7">
        <v>4.0590000000000002</v>
      </c>
      <c r="O213" s="7">
        <v>4.71</v>
      </c>
      <c r="P213" s="7">
        <v>4.9020000000000001</v>
      </c>
      <c r="Q213" s="7">
        <v>5.0650000000000004</v>
      </c>
      <c r="R213" s="7">
        <v>5.8280000000000003</v>
      </c>
      <c r="S213" s="7">
        <f t="shared" si="3"/>
        <v>4.6938333333333331</v>
      </c>
    </row>
    <row r="214" spans="1:19">
      <c r="A214" s="5" t="str">
        <f>B214&amp;"-"&amp;COUNTIF($B$2:B214,B214)</f>
        <v>BAHIA-11</v>
      </c>
      <c r="B214" s="5" t="s">
        <v>296</v>
      </c>
      <c r="C214" s="5" t="s">
        <v>4268</v>
      </c>
      <c r="D214" s="6">
        <v>-387535</v>
      </c>
      <c r="E214" s="6">
        <v>-123976</v>
      </c>
      <c r="F214" s="7">
        <v>5.0529999999999999</v>
      </c>
      <c r="G214" s="7">
        <v>6.0819999999999999</v>
      </c>
      <c r="H214" s="7">
        <v>5.88</v>
      </c>
      <c r="I214" s="7">
        <v>5.6879999999999997</v>
      </c>
      <c r="J214" s="7">
        <v>4.6550000000000002</v>
      </c>
      <c r="K214" s="7">
        <v>3.9820000000000002</v>
      </c>
      <c r="L214" s="7">
        <v>3.621</v>
      </c>
      <c r="M214" s="7">
        <v>3.8239999999999998</v>
      </c>
      <c r="N214" s="7">
        <v>4.3220000000000001</v>
      </c>
      <c r="O214" s="7">
        <v>5.2119999999999997</v>
      </c>
      <c r="P214" s="7">
        <v>5.4930000000000003</v>
      </c>
      <c r="Q214" s="7">
        <v>5.7460000000000004</v>
      </c>
      <c r="R214" s="7">
        <v>6.1280000000000001</v>
      </c>
      <c r="S214" s="7">
        <f t="shared" si="3"/>
        <v>5.0527500000000005</v>
      </c>
    </row>
    <row r="215" spans="1:19">
      <c r="A215" s="5" t="str">
        <f>B215&amp;"-"&amp;COUNTIF($B$2:B215,B215)</f>
        <v>BAHIA-12</v>
      </c>
      <c r="B215" s="5" t="s">
        <v>296</v>
      </c>
      <c r="C215" s="5" t="s">
        <v>4269</v>
      </c>
      <c r="D215" s="6">
        <v>-414393</v>
      </c>
      <c r="E215" s="6">
        <v>-114434</v>
      </c>
      <c r="F215" s="7">
        <v>5.6180000000000003</v>
      </c>
      <c r="G215" s="7">
        <v>6.343</v>
      </c>
      <c r="H215" s="7">
        <v>6.1440000000000001</v>
      </c>
      <c r="I215" s="7">
        <v>5.9109999999999996</v>
      </c>
      <c r="J215" s="7">
        <v>5.07</v>
      </c>
      <c r="K215" s="7">
        <v>4.5439999999999996</v>
      </c>
      <c r="L215" s="7">
        <v>4.42</v>
      </c>
      <c r="M215" s="7">
        <v>4.5759999999999996</v>
      </c>
      <c r="N215" s="7">
        <v>5.306</v>
      </c>
      <c r="O215" s="7">
        <v>6.1529999999999996</v>
      </c>
      <c r="P215" s="7">
        <v>6.37</v>
      </c>
      <c r="Q215" s="7">
        <v>6.2110000000000003</v>
      </c>
      <c r="R215" s="7">
        <v>6.3659999999999997</v>
      </c>
      <c r="S215" s="7">
        <f t="shared" si="3"/>
        <v>5.6178333333333326</v>
      </c>
    </row>
    <row r="216" spans="1:19">
      <c r="A216" s="5" t="str">
        <f>B216&amp;"-"&amp;COUNTIF($B$2:B216,B216)</f>
        <v>BAHIA-13</v>
      </c>
      <c r="B216" s="5" t="s">
        <v>296</v>
      </c>
      <c r="C216" s="5" t="s">
        <v>305</v>
      </c>
      <c r="D216" s="6">
        <v>-395972</v>
      </c>
      <c r="E216" s="6">
        <v>-130319</v>
      </c>
      <c r="F216" s="7">
        <v>4.9939999999999998</v>
      </c>
      <c r="G216" s="7">
        <v>5.8940000000000001</v>
      </c>
      <c r="H216" s="7">
        <v>5.9329999999999998</v>
      </c>
      <c r="I216" s="7">
        <v>5.6369999999999996</v>
      </c>
      <c r="J216" s="7">
        <v>4.6120000000000001</v>
      </c>
      <c r="K216" s="7">
        <v>4.05</v>
      </c>
      <c r="L216" s="7">
        <v>3.66</v>
      </c>
      <c r="M216" s="7">
        <v>3.8490000000000002</v>
      </c>
      <c r="N216" s="7">
        <v>4.37</v>
      </c>
      <c r="O216" s="7">
        <v>5.1740000000000004</v>
      </c>
      <c r="P216" s="7">
        <v>5.3170000000000002</v>
      </c>
      <c r="Q216" s="7">
        <v>5.4989999999999997</v>
      </c>
      <c r="R216" s="7">
        <v>5.9340000000000002</v>
      </c>
      <c r="S216" s="7">
        <f t="shared" si="3"/>
        <v>4.9940833333333332</v>
      </c>
    </row>
    <row r="217" spans="1:19">
      <c r="A217" s="5" t="str">
        <f>B217&amp;"-"&amp;COUNTIF($B$2:B217,B217)</f>
        <v>BAHIA-14</v>
      </c>
      <c r="B217" s="5" t="s">
        <v>296</v>
      </c>
      <c r="C217" s="5" t="s">
        <v>4270</v>
      </c>
      <c r="D217" s="6">
        <v>-41139</v>
      </c>
      <c r="E217" s="6">
        <v>-146143</v>
      </c>
      <c r="F217" s="7">
        <v>5.3040000000000003</v>
      </c>
      <c r="G217" s="7">
        <v>6.2460000000000004</v>
      </c>
      <c r="H217" s="7">
        <v>6.2380000000000004</v>
      </c>
      <c r="I217" s="7">
        <v>5.7530000000000001</v>
      </c>
      <c r="J217" s="7">
        <v>4.9359999999999999</v>
      </c>
      <c r="K217" s="7">
        <v>4.3090000000000002</v>
      </c>
      <c r="L217" s="7">
        <v>3.8919999999999999</v>
      </c>
      <c r="M217" s="7">
        <v>4.1100000000000003</v>
      </c>
      <c r="N217" s="7">
        <v>4.7069999999999999</v>
      </c>
      <c r="O217" s="7">
        <v>5.6260000000000003</v>
      </c>
      <c r="P217" s="7">
        <v>5.8079999999999998</v>
      </c>
      <c r="Q217" s="7">
        <v>5.7</v>
      </c>
      <c r="R217" s="7">
        <v>6.3209999999999997</v>
      </c>
      <c r="S217" s="7">
        <f t="shared" si="3"/>
        <v>5.3038333333333334</v>
      </c>
    </row>
    <row r="218" spans="1:19">
      <c r="A218" s="5" t="str">
        <f>B218&amp;"-"&amp;COUNTIF($B$2:B218,B218)</f>
        <v>BAHIA-15</v>
      </c>
      <c r="B218" s="5" t="s">
        <v>296</v>
      </c>
      <c r="C218" s="5" t="s">
        <v>306</v>
      </c>
      <c r="D218" s="6">
        <v>-413286</v>
      </c>
      <c r="E218" s="6">
        <v>-127952</v>
      </c>
      <c r="F218" s="7">
        <v>4.9880000000000004</v>
      </c>
      <c r="G218" s="7">
        <v>5.78</v>
      </c>
      <c r="H218" s="7">
        <v>5.9459999999999997</v>
      </c>
      <c r="I218" s="7">
        <v>5.5780000000000003</v>
      </c>
      <c r="J218" s="7">
        <v>4.6779999999999999</v>
      </c>
      <c r="K218" s="7">
        <v>4.0860000000000003</v>
      </c>
      <c r="L218" s="7">
        <v>3.7770000000000001</v>
      </c>
      <c r="M218" s="7">
        <v>3.8959999999999999</v>
      </c>
      <c r="N218" s="7">
        <v>4.5129999999999999</v>
      </c>
      <c r="O218" s="7">
        <v>5.3819999999999997</v>
      </c>
      <c r="P218" s="7">
        <v>5.3339999999999996</v>
      </c>
      <c r="Q218" s="7">
        <v>5.1859999999999999</v>
      </c>
      <c r="R218" s="7">
        <v>5.6959999999999997</v>
      </c>
      <c r="S218" s="7">
        <f t="shared" si="3"/>
        <v>4.9876666666666667</v>
      </c>
    </row>
    <row r="219" spans="1:19">
      <c r="A219" s="5" t="str">
        <f>B219&amp;"-"&amp;COUNTIF($B$2:B219,B219)</f>
        <v>BAHIA-16</v>
      </c>
      <c r="B219" s="5" t="s">
        <v>296</v>
      </c>
      <c r="C219" s="5" t="s">
        <v>307</v>
      </c>
      <c r="D219" s="6">
        <v>-398338</v>
      </c>
      <c r="E219" s="6">
        <v>-103436</v>
      </c>
      <c r="F219" s="7">
        <v>5.3109999999999999</v>
      </c>
      <c r="G219" s="7">
        <v>6.1120000000000001</v>
      </c>
      <c r="H219" s="7">
        <v>5.9809999999999999</v>
      </c>
      <c r="I219" s="7">
        <v>5.8239999999999998</v>
      </c>
      <c r="J219" s="7">
        <v>4.92</v>
      </c>
      <c r="K219" s="7">
        <v>4.2530000000000001</v>
      </c>
      <c r="L219" s="7">
        <v>3.9359999999999999</v>
      </c>
      <c r="M219" s="7">
        <v>4.0919999999999996</v>
      </c>
      <c r="N219" s="7">
        <v>4.694</v>
      </c>
      <c r="O219" s="7">
        <v>5.7460000000000004</v>
      </c>
      <c r="P219" s="7">
        <v>5.8449999999999998</v>
      </c>
      <c r="Q219" s="7">
        <v>6.2</v>
      </c>
      <c r="R219" s="7">
        <v>6.1289999999999996</v>
      </c>
      <c r="S219" s="7">
        <f t="shared" si="3"/>
        <v>5.3110000000000008</v>
      </c>
    </row>
    <row r="220" spans="1:19">
      <c r="A220" s="5" t="str">
        <f>B220&amp;"-"&amp;COUNTIF($B$2:B220,B220)</f>
        <v>BAHIA-17</v>
      </c>
      <c r="B220" s="5" t="s">
        <v>296</v>
      </c>
      <c r="C220" s="5" t="s">
        <v>308</v>
      </c>
      <c r="D220" s="6">
        <v>-447001</v>
      </c>
      <c r="E220" s="6">
        <v>-120091</v>
      </c>
      <c r="F220" s="7">
        <v>5.891</v>
      </c>
      <c r="G220" s="7">
        <v>6.3879999999999999</v>
      </c>
      <c r="H220" s="7">
        <v>6.1870000000000003</v>
      </c>
      <c r="I220" s="7">
        <v>5.8780000000000001</v>
      </c>
      <c r="J220" s="7">
        <v>5.59</v>
      </c>
      <c r="K220" s="7">
        <v>5.3330000000000002</v>
      </c>
      <c r="L220" s="7">
        <v>5.141</v>
      </c>
      <c r="M220" s="7">
        <v>5.4349999999999996</v>
      </c>
      <c r="N220" s="7">
        <v>6.0289999999999999</v>
      </c>
      <c r="O220" s="7">
        <v>6.2009999999999996</v>
      </c>
      <c r="P220" s="7">
        <v>6.2569999999999997</v>
      </c>
      <c r="Q220" s="7">
        <v>5.9480000000000004</v>
      </c>
      <c r="R220" s="7">
        <v>6.3040000000000003</v>
      </c>
      <c r="S220" s="7">
        <f t="shared" si="3"/>
        <v>5.8909166666666666</v>
      </c>
    </row>
    <row r="221" spans="1:19">
      <c r="A221" s="5" t="str">
        <f>B221&amp;"-"&amp;COUNTIF($B$2:B221,B221)</f>
        <v>BAHIA-18</v>
      </c>
      <c r="B221" s="5" t="s">
        <v>296</v>
      </c>
      <c r="C221" s="5" t="s">
        <v>309</v>
      </c>
      <c r="D221" s="6">
        <v>-392441</v>
      </c>
      <c r="E221" s="6">
        <v>-121519</v>
      </c>
      <c r="F221" s="7">
        <v>5.0030000000000001</v>
      </c>
      <c r="G221" s="7">
        <v>5.992</v>
      </c>
      <c r="H221" s="7">
        <v>5.8520000000000003</v>
      </c>
      <c r="I221" s="7">
        <v>5.6630000000000003</v>
      </c>
      <c r="J221" s="7">
        <v>4.641</v>
      </c>
      <c r="K221" s="7">
        <v>3.9340000000000002</v>
      </c>
      <c r="L221" s="7">
        <v>3.5910000000000002</v>
      </c>
      <c r="M221" s="7">
        <v>3.8279999999999998</v>
      </c>
      <c r="N221" s="7">
        <v>4.3760000000000003</v>
      </c>
      <c r="O221" s="7">
        <v>5.1619999999999999</v>
      </c>
      <c r="P221" s="7">
        <v>5.37</v>
      </c>
      <c r="Q221" s="7">
        <v>5.6420000000000003</v>
      </c>
      <c r="R221" s="7">
        <v>5.9770000000000003</v>
      </c>
      <c r="S221" s="7">
        <f t="shared" si="3"/>
        <v>5.0023333333333335</v>
      </c>
    </row>
    <row r="222" spans="1:19">
      <c r="A222" s="5" t="str">
        <f>B222&amp;"-"&amp;COUNTIF($B$2:B222,B222)</f>
        <v>BAHIA-19</v>
      </c>
      <c r="B222" s="5" t="s">
        <v>296</v>
      </c>
      <c r="C222" s="5" t="s">
        <v>4537</v>
      </c>
      <c r="D222" s="6">
        <v>-391179</v>
      </c>
      <c r="E222" s="6">
        <v>-124339</v>
      </c>
      <c r="F222" s="7">
        <v>5.0730000000000004</v>
      </c>
      <c r="G222" s="7">
        <v>6.077</v>
      </c>
      <c r="H222" s="7">
        <v>5.95</v>
      </c>
      <c r="I222" s="7">
        <v>5.71</v>
      </c>
      <c r="J222" s="7">
        <v>4.7229999999999999</v>
      </c>
      <c r="K222" s="7">
        <v>4.0430000000000001</v>
      </c>
      <c r="L222" s="7">
        <v>3.6549999999999998</v>
      </c>
      <c r="M222" s="7">
        <v>3.895</v>
      </c>
      <c r="N222" s="7">
        <v>4.4740000000000002</v>
      </c>
      <c r="O222" s="7">
        <v>5.2110000000000003</v>
      </c>
      <c r="P222" s="7">
        <v>5.4509999999999996</v>
      </c>
      <c r="Q222" s="7">
        <v>5.6790000000000003</v>
      </c>
      <c r="R222" s="7">
        <v>6.0069999999999997</v>
      </c>
      <c r="S222" s="7">
        <f t="shared" si="3"/>
        <v>5.072916666666667</v>
      </c>
    </row>
    <row r="223" spans="1:19">
      <c r="A223" s="5" t="str">
        <f>B223&amp;"-"&amp;COUNTIF($B$2:B223,B223)</f>
        <v>BAHIA-20</v>
      </c>
      <c r="B223" s="5" t="s">
        <v>296</v>
      </c>
      <c r="C223" s="5" t="s">
        <v>4595</v>
      </c>
      <c r="D223" s="6">
        <v>-402758</v>
      </c>
      <c r="E223" s="6">
        <v>-105722</v>
      </c>
      <c r="F223" s="7">
        <v>5.1239999999999997</v>
      </c>
      <c r="G223" s="7">
        <v>5.9740000000000002</v>
      </c>
      <c r="H223" s="7">
        <v>5.8330000000000002</v>
      </c>
      <c r="I223" s="7">
        <v>5.758</v>
      </c>
      <c r="J223" s="7">
        <v>4.726</v>
      </c>
      <c r="K223" s="7">
        <v>4.0039999999999996</v>
      </c>
      <c r="L223" s="7">
        <v>3.7290000000000001</v>
      </c>
      <c r="M223" s="7">
        <v>3.96</v>
      </c>
      <c r="N223" s="7">
        <v>4.54</v>
      </c>
      <c r="O223" s="7">
        <v>5.5720000000000001</v>
      </c>
      <c r="P223" s="7">
        <v>5.6319999999999997</v>
      </c>
      <c r="Q223" s="7">
        <v>5.851</v>
      </c>
      <c r="R223" s="7">
        <v>5.9080000000000004</v>
      </c>
      <c r="S223" s="7">
        <f t="shared" si="3"/>
        <v>5.1239166666666671</v>
      </c>
    </row>
    <row r="224" spans="1:19">
      <c r="A224" s="5" t="str">
        <f>B224&amp;"-"&amp;COUNTIF($B$2:B224,B224)</f>
        <v>BAHIA-21</v>
      </c>
      <c r="B224" s="5" t="s">
        <v>296</v>
      </c>
      <c r="C224" s="5" t="s">
        <v>310</v>
      </c>
      <c r="D224" s="6">
        <v>-383323</v>
      </c>
      <c r="E224" s="6">
        <v>-104132</v>
      </c>
      <c r="F224" s="7">
        <v>5.2279999999999998</v>
      </c>
      <c r="G224" s="7">
        <v>6.1260000000000003</v>
      </c>
      <c r="H224" s="7">
        <v>5.8650000000000002</v>
      </c>
      <c r="I224" s="7">
        <v>5.7919999999999998</v>
      </c>
      <c r="J224" s="7">
        <v>5.0789999999999997</v>
      </c>
      <c r="K224" s="7">
        <v>4.2309999999999999</v>
      </c>
      <c r="L224" s="7">
        <v>3.8719999999999999</v>
      </c>
      <c r="M224" s="7">
        <v>4.0229999999999997</v>
      </c>
      <c r="N224" s="7">
        <v>4.54</v>
      </c>
      <c r="O224" s="7">
        <v>5.3650000000000002</v>
      </c>
      <c r="P224" s="7">
        <v>5.5940000000000003</v>
      </c>
      <c r="Q224" s="7">
        <v>6.125</v>
      </c>
      <c r="R224" s="7">
        <v>6.1289999999999996</v>
      </c>
      <c r="S224" s="7">
        <f t="shared" si="3"/>
        <v>5.2284166666666669</v>
      </c>
    </row>
    <row r="225" spans="1:19">
      <c r="A225" s="5" t="str">
        <f>B225&amp;"-"&amp;COUNTIF($B$2:B225,B225)</f>
        <v>BAHIA-22</v>
      </c>
      <c r="B225" s="5" t="s">
        <v>296</v>
      </c>
      <c r="C225" s="5" t="s">
        <v>5456</v>
      </c>
      <c r="D225" s="6">
        <v>-380806</v>
      </c>
      <c r="E225" s="6">
        <v>-116607</v>
      </c>
      <c r="F225" s="7">
        <v>5.1710000000000003</v>
      </c>
      <c r="G225" s="7">
        <v>6.1050000000000004</v>
      </c>
      <c r="H225" s="7">
        <v>5.883</v>
      </c>
      <c r="I225" s="7">
        <v>5.7290000000000001</v>
      </c>
      <c r="J225" s="7">
        <v>4.806</v>
      </c>
      <c r="K225" s="7">
        <v>4.0709999999999997</v>
      </c>
      <c r="L225" s="7">
        <v>3.87</v>
      </c>
      <c r="M225" s="7">
        <v>4.0389999999999997</v>
      </c>
      <c r="N225" s="7">
        <v>4.4240000000000004</v>
      </c>
      <c r="O225" s="7">
        <v>5.2789999999999999</v>
      </c>
      <c r="P225" s="7">
        <v>5.6239999999999997</v>
      </c>
      <c r="Q225" s="7">
        <v>6.0019999999999998</v>
      </c>
      <c r="R225" s="7">
        <v>6.22</v>
      </c>
      <c r="S225" s="7">
        <f t="shared" si="3"/>
        <v>5.1710000000000003</v>
      </c>
    </row>
    <row r="226" spans="1:19">
      <c r="A226" s="5" t="str">
        <f>B226&amp;"-"&amp;COUNTIF($B$2:B226,B226)</f>
        <v>BAHIA-23</v>
      </c>
      <c r="B226" s="5" t="s">
        <v>296</v>
      </c>
      <c r="C226" s="5" t="s">
        <v>311</v>
      </c>
      <c r="D226" s="6">
        <v>-397447</v>
      </c>
      <c r="E226" s="6">
        <v>-138559</v>
      </c>
      <c r="F226" s="7">
        <v>4.7649999999999997</v>
      </c>
      <c r="G226" s="7">
        <v>5.6849999999999996</v>
      </c>
      <c r="H226" s="7">
        <v>5.7169999999999996</v>
      </c>
      <c r="I226" s="7">
        <v>5.3890000000000002</v>
      </c>
      <c r="J226" s="7">
        <v>4.4340000000000002</v>
      </c>
      <c r="K226" s="7">
        <v>3.8330000000000002</v>
      </c>
      <c r="L226" s="7">
        <v>3.3679999999999999</v>
      </c>
      <c r="M226" s="7">
        <v>3.5510000000000002</v>
      </c>
      <c r="N226" s="7">
        <v>4.13</v>
      </c>
      <c r="O226" s="7">
        <v>4.8209999999999997</v>
      </c>
      <c r="P226" s="7">
        <v>5.056</v>
      </c>
      <c r="Q226" s="7">
        <v>5.3220000000000001</v>
      </c>
      <c r="R226" s="7">
        <v>5.875</v>
      </c>
      <c r="S226" s="7">
        <f t="shared" si="3"/>
        <v>4.7650833333333331</v>
      </c>
    </row>
    <row r="227" spans="1:19">
      <c r="A227" s="5" t="str">
        <f>B227&amp;"-"&amp;COUNTIF($B$2:B227,B227)</f>
        <v>BAHIA-24</v>
      </c>
      <c r="B227" s="5" t="s">
        <v>296</v>
      </c>
      <c r="C227" s="5" t="s">
        <v>4596</v>
      </c>
      <c r="D227" s="6">
        <v>-38202</v>
      </c>
      <c r="E227" s="6">
        <v>-122144</v>
      </c>
      <c r="F227" s="7">
        <v>5.1020000000000003</v>
      </c>
      <c r="G227" s="7">
        <v>6.0350000000000001</v>
      </c>
      <c r="H227" s="7">
        <v>5.8819999999999997</v>
      </c>
      <c r="I227" s="7">
        <v>5.7220000000000004</v>
      </c>
      <c r="J227" s="7">
        <v>4.6779999999999999</v>
      </c>
      <c r="K227" s="7">
        <v>3.988</v>
      </c>
      <c r="L227" s="7">
        <v>3.7970000000000002</v>
      </c>
      <c r="M227" s="7">
        <v>3.9430000000000001</v>
      </c>
      <c r="N227" s="7">
        <v>4.41</v>
      </c>
      <c r="O227" s="7">
        <v>5.2080000000000002</v>
      </c>
      <c r="P227" s="7">
        <v>5.5279999999999996</v>
      </c>
      <c r="Q227" s="7">
        <v>5.88</v>
      </c>
      <c r="R227" s="7">
        <v>6.1580000000000004</v>
      </c>
      <c r="S227" s="7">
        <f t="shared" si="3"/>
        <v>5.1024166666666666</v>
      </c>
    </row>
    <row r="228" spans="1:19">
      <c r="A228" s="5" t="str">
        <f>B228&amp;"-"&amp;COUNTIF($B$2:B228,B228)</f>
        <v>BAHIA-25</v>
      </c>
      <c r="B228" s="5" t="s">
        <v>296</v>
      </c>
      <c r="C228" s="5" t="s">
        <v>312</v>
      </c>
      <c r="D228" s="6">
        <v>-414651</v>
      </c>
      <c r="E228" s="6">
        <v>-144284</v>
      </c>
      <c r="F228" s="7">
        <v>5.39</v>
      </c>
      <c r="G228" s="7">
        <v>6.3650000000000002</v>
      </c>
      <c r="H228" s="7">
        <v>6.3550000000000004</v>
      </c>
      <c r="I228" s="7">
        <v>5.6840000000000002</v>
      </c>
      <c r="J228" s="7">
        <v>4.9029999999999996</v>
      </c>
      <c r="K228" s="7">
        <v>4.3860000000000001</v>
      </c>
      <c r="L228" s="7">
        <v>3.931</v>
      </c>
      <c r="M228" s="7">
        <v>4.1970000000000001</v>
      </c>
      <c r="N228" s="7">
        <v>4.867</v>
      </c>
      <c r="O228" s="7">
        <v>5.774</v>
      </c>
      <c r="P228" s="7">
        <v>5.97</v>
      </c>
      <c r="Q228" s="7">
        <v>5.8319999999999999</v>
      </c>
      <c r="R228" s="7">
        <v>6.4130000000000003</v>
      </c>
      <c r="S228" s="7">
        <f t="shared" si="3"/>
        <v>5.3897499999999994</v>
      </c>
    </row>
    <row r="229" spans="1:19">
      <c r="A229" s="5" t="str">
        <f>B229&amp;"-"&amp;COUNTIF($B$2:B229,B229)</f>
        <v>BAHIA-26</v>
      </c>
      <c r="B229" s="5" t="s">
        <v>296</v>
      </c>
      <c r="C229" s="5" t="s">
        <v>313</v>
      </c>
      <c r="D229" s="6">
        <v>-389599</v>
      </c>
      <c r="E229" s="6">
        <v>-113333</v>
      </c>
      <c r="F229" s="7">
        <v>5.202</v>
      </c>
      <c r="G229" s="7">
        <v>6.1909999999999998</v>
      </c>
      <c r="H229" s="7">
        <v>5.96</v>
      </c>
      <c r="I229" s="7">
        <v>5.7910000000000004</v>
      </c>
      <c r="J229" s="7">
        <v>4.9020000000000001</v>
      </c>
      <c r="K229" s="7">
        <v>4.125</v>
      </c>
      <c r="L229" s="7">
        <v>3.8439999999999999</v>
      </c>
      <c r="M229" s="7">
        <v>4.0049999999999999</v>
      </c>
      <c r="N229" s="7">
        <v>4.4950000000000001</v>
      </c>
      <c r="O229" s="7">
        <v>5.3540000000000001</v>
      </c>
      <c r="P229" s="7">
        <v>5.6269999999999998</v>
      </c>
      <c r="Q229" s="7">
        <v>6.0069999999999997</v>
      </c>
      <c r="R229" s="7">
        <v>6.1230000000000002</v>
      </c>
      <c r="S229" s="7">
        <f t="shared" si="3"/>
        <v>5.202</v>
      </c>
    </row>
    <row r="230" spans="1:19">
      <c r="A230" s="5" t="str">
        <f>B230&amp;"-"&amp;COUNTIF($B$2:B230,B230)</f>
        <v>BAHIA-27</v>
      </c>
      <c r="B230" s="5" t="s">
        <v>296</v>
      </c>
      <c r="C230" s="5" t="s">
        <v>314</v>
      </c>
      <c r="D230" s="6">
        <v>-384973</v>
      </c>
      <c r="E230" s="6">
        <v>-120888</v>
      </c>
      <c r="F230" s="7">
        <v>5.077</v>
      </c>
      <c r="G230" s="7">
        <v>6.0730000000000004</v>
      </c>
      <c r="H230" s="7">
        <v>5.8769999999999998</v>
      </c>
      <c r="I230" s="7">
        <v>5.7160000000000002</v>
      </c>
      <c r="J230" s="7">
        <v>4.7119999999999997</v>
      </c>
      <c r="K230" s="7">
        <v>3.907</v>
      </c>
      <c r="L230" s="7">
        <v>3.6720000000000002</v>
      </c>
      <c r="M230" s="7">
        <v>3.9060000000000001</v>
      </c>
      <c r="N230" s="7">
        <v>4.38</v>
      </c>
      <c r="O230" s="7">
        <v>5.2140000000000004</v>
      </c>
      <c r="P230" s="7">
        <v>5.4939999999999998</v>
      </c>
      <c r="Q230" s="7">
        <v>5.8310000000000004</v>
      </c>
      <c r="R230" s="7">
        <v>6.1449999999999996</v>
      </c>
      <c r="S230" s="7">
        <f t="shared" si="3"/>
        <v>5.0772500000000003</v>
      </c>
    </row>
    <row r="231" spans="1:19">
      <c r="A231" s="5" t="str">
        <f>B231&amp;"-"&amp;COUNTIF($B$2:B231,B231)</f>
        <v>BAHIA-28</v>
      </c>
      <c r="B231" s="5" t="s">
        <v>296</v>
      </c>
      <c r="C231" s="5" t="s">
        <v>315</v>
      </c>
      <c r="D231" s="6">
        <v>-394193</v>
      </c>
      <c r="E231" s="6">
        <v>-152656</v>
      </c>
      <c r="F231" s="7">
        <v>4.694</v>
      </c>
      <c r="G231" s="7">
        <v>5.5960000000000001</v>
      </c>
      <c r="H231" s="7">
        <v>5.7480000000000002</v>
      </c>
      <c r="I231" s="7">
        <v>5.3049999999999997</v>
      </c>
      <c r="J231" s="7">
        <v>4.4470000000000001</v>
      </c>
      <c r="K231" s="7">
        <v>3.7930000000000001</v>
      </c>
      <c r="L231" s="7">
        <v>3.383</v>
      </c>
      <c r="M231" s="7">
        <v>3.597</v>
      </c>
      <c r="N231" s="7">
        <v>4.1100000000000003</v>
      </c>
      <c r="O231" s="7">
        <v>4.6900000000000004</v>
      </c>
      <c r="P231" s="7">
        <v>4.8710000000000004</v>
      </c>
      <c r="Q231" s="7">
        <v>4.9710000000000001</v>
      </c>
      <c r="R231" s="7">
        <v>5.8170000000000002</v>
      </c>
      <c r="S231" s="7">
        <f t="shared" si="3"/>
        <v>4.694</v>
      </c>
    </row>
    <row r="232" spans="1:19">
      <c r="A232" s="5" t="str">
        <f>B232&amp;"-"&amp;COUNTIF($B$2:B232,B232)</f>
        <v>BAHIA-29</v>
      </c>
      <c r="B232" s="5" t="s">
        <v>296</v>
      </c>
      <c r="C232" s="5" t="s">
        <v>316</v>
      </c>
      <c r="D232" s="6">
        <v>-390019</v>
      </c>
      <c r="E232" s="6">
        <v>-130773</v>
      </c>
      <c r="F232" s="7">
        <v>5.0579999999999998</v>
      </c>
      <c r="G232" s="7">
        <v>6.1059999999999999</v>
      </c>
      <c r="H232" s="7">
        <v>6.0030000000000001</v>
      </c>
      <c r="I232" s="7">
        <v>5.7750000000000004</v>
      </c>
      <c r="J232" s="7">
        <v>4.6379999999999999</v>
      </c>
      <c r="K232" s="7">
        <v>4.0229999999999997</v>
      </c>
      <c r="L232" s="7">
        <v>3.6160000000000001</v>
      </c>
      <c r="M232" s="7">
        <v>3.827</v>
      </c>
      <c r="N232" s="7">
        <v>4.4219999999999997</v>
      </c>
      <c r="O232" s="7">
        <v>5.1550000000000002</v>
      </c>
      <c r="P232" s="7">
        <v>5.351</v>
      </c>
      <c r="Q232" s="7">
        <v>5.6769999999999996</v>
      </c>
      <c r="R232" s="7">
        <v>6.0960000000000001</v>
      </c>
      <c r="S232" s="7">
        <f t="shared" si="3"/>
        <v>5.0574166666666658</v>
      </c>
    </row>
    <row r="233" spans="1:19">
      <c r="A233" s="5" t="str">
        <f>B233&amp;"-"&amp;COUNTIF($B$2:B233,B233)</f>
        <v>BAHIA-30</v>
      </c>
      <c r="B233" s="5" t="s">
        <v>296</v>
      </c>
      <c r="C233" s="5" t="s">
        <v>317</v>
      </c>
      <c r="D233" s="6">
        <v>-393227</v>
      </c>
      <c r="E233" s="6">
        <v>-143181</v>
      </c>
      <c r="F233" s="7">
        <v>4.8680000000000003</v>
      </c>
      <c r="G233" s="7">
        <v>5.8869999999999996</v>
      </c>
      <c r="H233" s="7">
        <v>5.83</v>
      </c>
      <c r="I233" s="7">
        <v>5.5030000000000001</v>
      </c>
      <c r="J233" s="7">
        <v>4.516</v>
      </c>
      <c r="K233" s="7">
        <v>3.84</v>
      </c>
      <c r="L233" s="7">
        <v>3.508</v>
      </c>
      <c r="M233" s="7">
        <v>3.7429999999999999</v>
      </c>
      <c r="N233" s="7">
        <v>4.2460000000000004</v>
      </c>
      <c r="O233" s="7">
        <v>4.9180000000000001</v>
      </c>
      <c r="P233" s="7">
        <v>5.1429999999999998</v>
      </c>
      <c r="Q233" s="7">
        <v>5.2619999999999996</v>
      </c>
      <c r="R233" s="7">
        <v>6.02</v>
      </c>
      <c r="S233" s="7">
        <f t="shared" si="3"/>
        <v>4.8679999999999994</v>
      </c>
    </row>
    <row r="234" spans="1:19">
      <c r="A234" s="5" t="str">
        <f>B234&amp;"-"&amp;COUNTIF($B$2:B234,B234)</f>
        <v>BAHIA-31</v>
      </c>
      <c r="B234" s="5" t="s">
        <v>296</v>
      </c>
      <c r="C234" s="5" t="s">
        <v>5051</v>
      </c>
      <c r="D234" s="6">
        <v>-445386</v>
      </c>
      <c r="E234" s="6">
        <v>-123076</v>
      </c>
      <c r="F234" s="7">
        <v>5.8159999999999998</v>
      </c>
      <c r="G234" s="7">
        <v>6.2640000000000002</v>
      </c>
      <c r="H234" s="7">
        <v>6.056</v>
      </c>
      <c r="I234" s="7">
        <v>5.6820000000000004</v>
      </c>
      <c r="J234" s="7">
        <v>5.5389999999999997</v>
      </c>
      <c r="K234" s="7">
        <v>5.2809999999999997</v>
      </c>
      <c r="L234" s="7">
        <v>5.1379999999999999</v>
      </c>
      <c r="M234" s="7">
        <v>5.4409999999999998</v>
      </c>
      <c r="N234" s="7">
        <v>6.0890000000000004</v>
      </c>
      <c r="O234" s="7">
        <v>6.2629999999999999</v>
      </c>
      <c r="P234" s="7">
        <v>6.1260000000000003</v>
      </c>
      <c r="Q234" s="7">
        <v>5.758</v>
      </c>
      <c r="R234" s="7">
        <v>6.1529999999999996</v>
      </c>
      <c r="S234" s="7">
        <f t="shared" si="3"/>
        <v>5.8158333333333339</v>
      </c>
    </row>
    <row r="235" spans="1:19">
      <c r="A235" s="5" t="str">
        <f>B235&amp;"-"&amp;COUNTIF($B$2:B235,B235)</f>
        <v>BAHIA-32</v>
      </c>
      <c r="B235" s="5" t="s">
        <v>296</v>
      </c>
      <c r="C235" s="5" t="s">
        <v>318</v>
      </c>
      <c r="D235" s="6">
        <v>-401687</v>
      </c>
      <c r="E235" s="6">
        <v>-119561</v>
      </c>
      <c r="F235" s="7">
        <v>4.9969999999999999</v>
      </c>
      <c r="G235" s="7">
        <v>5.93</v>
      </c>
      <c r="H235" s="7">
        <v>5.8659999999999997</v>
      </c>
      <c r="I235" s="7">
        <v>5.7229999999999999</v>
      </c>
      <c r="J235" s="7">
        <v>4.6189999999999998</v>
      </c>
      <c r="K235" s="7">
        <v>3.9289999999999998</v>
      </c>
      <c r="L235" s="7">
        <v>3.62</v>
      </c>
      <c r="M235" s="7">
        <v>3.762</v>
      </c>
      <c r="N235" s="7">
        <v>4.3840000000000003</v>
      </c>
      <c r="O235" s="7">
        <v>5.2619999999999996</v>
      </c>
      <c r="P235" s="7">
        <v>5.3559999999999999</v>
      </c>
      <c r="Q235" s="7">
        <v>5.5940000000000003</v>
      </c>
      <c r="R235" s="7">
        <v>5.9180000000000001</v>
      </c>
      <c r="S235" s="7">
        <f t="shared" si="3"/>
        <v>4.9969166666666665</v>
      </c>
    </row>
    <row r="236" spans="1:19">
      <c r="A236" s="5" t="str">
        <f>B236&amp;"-"&amp;COUNTIF($B$2:B236,B236)</f>
        <v>BAHIA-33</v>
      </c>
      <c r="B236" s="5" t="s">
        <v>296</v>
      </c>
      <c r="C236" s="53" t="s">
        <v>5277</v>
      </c>
      <c r="D236" s="6">
        <v>-386131</v>
      </c>
      <c r="E236" s="6">
        <v>-10583</v>
      </c>
      <c r="F236" s="7">
        <v>5.2809999999999997</v>
      </c>
      <c r="G236" s="7">
        <v>6.1740000000000004</v>
      </c>
      <c r="H236" s="7">
        <v>5.9450000000000003</v>
      </c>
      <c r="I236" s="7">
        <v>5.8760000000000003</v>
      </c>
      <c r="J236" s="7">
        <v>5.0540000000000003</v>
      </c>
      <c r="K236" s="7">
        <v>4.2409999999999997</v>
      </c>
      <c r="L236" s="7">
        <v>3.8639999999999999</v>
      </c>
      <c r="M236" s="7">
        <v>4.0389999999999997</v>
      </c>
      <c r="N236" s="7">
        <v>4.6050000000000004</v>
      </c>
      <c r="O236" s="7">
        <v>5.4569999999999999</v>
      </c>
      <c r="P236" s="7">
        <v>5.7169999999999996</v>
      </c>
      <c r="Q236" s="7">
        <v>6.2050000000000001</v>
      </c>
      <c r="R236" s="7">
        <v>6.194</v>
      </c>
      <c r="S236" s="7">
        <f t="shared" si="3"/>
        <v>5.2809166666666671</v>
      </c>
    </row>
    <row r="237" spans="1:19">
      <c r="A237" s="5" t="str">
        <f>B237&amp;"-"&amp;COUNTIF($B$2:B237,B237)</f>
        <v>BAHIA-34</v>
      </c>
      <c r="B237" s="5" t="s">
        <v>296</v>
      </c>
      <c r="C237" s="5" t="s">
        <v>319</v>
      </c>
      <c r="D237" s="6">
        <v>-431463</v>
      </c>
      <c r="E237" s="6">
        <v>-110863</v>
      </c>
      <c r="F237" s="7">
        <v>5.9690000000000003</v>
      </c>
      <c r="G237" s="7">
        <v>6.4029999999999996</v>
      </c>
      <c r="H237" s="7">
        <v>6.2789999999999999</v>
      </c>
      <c r="I237" s="7">
        <v>6.109</v>
      </c>
      <c r="J237" s="7">
        <v>5.7249999999999996</v>
      </c>
      <c r="K237" s="7">
        <v>5.2610000000000001</v>
      </c>
      <c r="L237" s="7">
        <v>5.1159999999999997</v>
      </c>
      <c r="M237" s="7">
        <v>5.3019999999999996</v>
      </c>
      <c r="N237" s="7">
        <v>5.8949999999999996</v>
      </c>
      <c r="O237" s="7">
        <v>6.3410000000000002</v>
      </c>
      <c r="P237" s="7">
        <v>6.508</v>
      </c>
      <c r="Q237" s="7">
        <v>6.2729999999999997</v>
      </c>
      <c r="R237" s="7">
        <v>6.4260000000000002</v>
      </c>
      <c r="S237" s="7">
        <f t="shared" si="3"/>
        <v>5.9698333333333338</v>
      </c>
    </row>
    <row r="238" spans="1:19">
      <c r="A238" s="5" t="str">
        <f>B238&amp;"-"&amp;COUNTIF($B$2:B238,B238)</f>
        <v>BAHIA-35</v>
      </c>
      <c r="B238" s="5" t="s">
        <v>296</v>
      </c>
      <c r="C238" s="5" t="s">
        <v>320</v>
      </c>
      <c r="D238" s="6">
        <v>-413306</v>
      </c>
      <c r="E238" s="6">
        <v>-136273</v>
      </c>
      <c r="F238" s="7">
        <v>5.2409999999999997</v>
      </c>
      <c r="G238" s="7">
        <v>6.1470000000000002</v>
      </c>
      <c r="H238" s="7">
        <v>6.1609999999999996</v>
      </c>
      <c r="I238" s="7">
        <v>5.5979999999999999</v>
      </c>
      <c r="J238" s="7">
        <v>4.6849999999999996</v>
      </c>
      <c r="K238" s="7">
        <v>4.1710000000000003</v>
      </c>
      <c r="L238" s="7">
        <v>3.8340000000000001</v>
      </c>
      <c r="M238" s="7">
        <v>3.9870000000000001</v>
      </c>
      <c r="N238" s="7">
        <v>4.742</v>
      </c>
      <c r="O238" s="7">
        <v>5.7210000000000001</v>
      </c>
      <c r="P238" s="7">
        <v>5.9050000000000002</v>
      </c>
      <c r="Q238" s="7">
        <v>5.6609999999999996</v>
      </c>
      <c r="R238" s="7">
        <v>6.274</v>
      </c>
      <c r="S238" s="7">
        <f t="shared" si="3"/>
        <v>5.2404999999999999</v>
      </c>
    </row>
    <row r="239" spans="1:19">
      <c r="A239" s="5" t="str">
        <f>B239&amp;"-"&amp;COUNTIF($B$2:B239,B239)</f>
        <v>BAHIA-36</v>
      </c>
      <c r="B239" s="5" t="s">
        <v>296</v>
      </c>
      <c r="C239" s="5" t="s">
        <v>4597</v>
      </c>
      <c r="D239" s="6">
        <v>-405794</v>
      </c>
      <c r="E239" s="6">
        <v>-148659</v>
      </c>
      <c r="F239" s="7">
        <v>4.9539999999999997</v>
      </c>
      <c r="G239" s="7">
        <v>5.9109999999999996</v>
      </c>
      <c r="H239" s="7">
        <v>5.9749999999999996</v>
      </c>
      <c r="I239" s="7">
        <v>5.4290000000000003</v>
      </c>
      <c r="J239" s="7">
        <v>4.6059999999999999</v>
      </c>
      <c r="K239" s="7">
        <v>3.996</v>
      </c>
      <c r="L239" s="7">
        <v>3.55</v>
      </c>
      <c r="M239" s="7">
        <v>3.7869999999999999</v>
      </c>
      <c r="N239" s="7">
        <v>4.2859999999999996</v>
      </c>
      <c r="O239" s="7">
        <v>5.2190000000000003</v>
      </c>
      <c r="P239" s="7">
        <v>5.4210000000000003</v>
      </c>
      <c r="Q239" s="7">
        <v>5.2850000000000001</v>
      </c>
      <c r="R239" s="7">
        <v>5.9880000000000004</v>
      </c>
      <c r="S239" s="7">
        <f t="shared" si="3"/>
        <v>4.9544166666666669</v>
      </c>
    </row>
    <row r="240" spans="1:19">
      <c r="A240" s="5" t="str">
        <f>B240&amp;"-"&amp;COUNTIF($B$2:B240,B240)</f>
        <v>BAHIA-37</v>
      </c>
      <c r="B240" s="5" t="s">
        <v>296</v>
      </c>
      <c r="C240" s="5" t="s">
        <v>321</v>
      </c>
      <c r="D240" s="6">
        <v>-420593</v>
      </c>
      <c r="E240" s="6">
        <v>-118104</v>
      </c>
      <c r="F240" s="7">
        <v>5.59</v>
      </c>
      <c r="G240" s="7">
        <v>6.218</v>
      </c>
      <c r="H240" s="7">
        <v>6.0640000000000001</v>
      </c>
      <c r="I240" s="7">
        <v>5.8970000000000002</v>
      </c>
      <c r="J240" s="7">
        <v>5.0860000000000003</v>
      </c>
      <c r="K240" s="7">
        <v>4.6150000000000002</v>
      </c>
      <c r="L240" s="7">
        <v>4.3819999999999997</v>
      </c>
      <c r="M240" s="7">
        <v>4.6360000000000001</v>
      </c>
      <c r="N240" s="7">
        <v>5.391</v>
      </c>
      <c r="O240" s="7">
        <v>6.1950000000000003</v>
      </c>
      <c r="P240" s="7">
        <v>6.2830000000000004</v>
      </c>
      <c r="Q240" s="7">
        <v>6.0549999999999997</v>
      </c>
      <c r="R240" s="7">
        <v>6.25</v>
      </c>
      <c r="S240" s="7">
        <f t="shared" si="3"/>
        <v>5.5893333333333333</v>
      </c>
    </row>
    <row r="241" spans="1:19">
      <c r="A241" s="5" t="str">
        <f>B241&amp;"-"&amp;COUNTIF($B$2:B241,B241)</f>
        <v>BAHIA-38</v>
      </c>
      <c r="B241" s="5" t="s">
        <v>296</v>
      </c>
      <c r="C241" s="5" t="s">
        <v>322</v>
      </c>
      <c r="D241" s="6">
        <v>-396002</v>
      </c>
      <c r="E241" s="6">
        <v>-142097</v>
      </c>
      <c r="F241" s="7">
        <v>4.9009999999999998</v>
      </c>
      <c r="G241" s="7">
        <v>5.89</v>
      </c>
      <c r="H241" s="7">
        <v>5.944</v>
      </c>
      <c r="I241" s="7">
        <v>5.5789999999999997</v>
      </c>
      <c r="J241" s="7">
        <v>4.5720000000000001</v>
      </c>
      <c r="K241" s="7">
        <v>3.859</v>
      </c>
      <c r="L241" s="7">
        <v>3.52</v>
      </c>
      <c r="M241" s="7">
        <v>3.7730000000000001</v>
      </c>
      <c r="N241" s="7">
        <v>4.2939999999999996</v>
      </c>
      <c r="O241" s="7">
        <v>4.9729999999999999</v>
      </c>
      <c r="P241" s="7">
        <v>5.157</v>
      </c>
      <c r="Q241" s="7">
        <v>5.2990000000000004</v>
      </c>
      <c r="R241" s="7">
        <v>5.9530000000000003</v>
      </c>
      <c r="S241" s="7">
        <f t="shared" si="3"/>
        <v>4.9010833333333332</v>
      </c>
    </row>
    <row r="242" spans="1:19">
      <c r="A242" s="5" t="str">
        <f>B242&amp;"-"&amp;COUNTIF($B$2:B242,B242)</f>
        <v>BAHIA-39</v>
      </c>
      <c r="B242" s="5" t="s">
        <v>296</v>
      </c>
      <c r="C242" s="5" t="s">
        <v>323</v>
      </c>
      <c r="D242" s="6">
        <v>-449972</v>
      </c>
      <c r="E242" s="6">
        <v>-121443</v>
      </c>
      <c r="F242" s="7">
        <v>5.8730000000000002</v>
      </c>
      <c r="G242" s="7">
        <v>6.3630000000000004</v>
      </c>
      <c r="H242" s="7">
        <v>6.1280000000000001</v>
      </c>
      <c r="I242" s="7">
        <v>5.8049999999999997</v>
      </c>
      <c r="J242" s="7">
        <v>5.5540000000000003</v>
      </c>
      <c r="K242" s="7">
        <v>5.2990000000000004</v>
      </c>
      <c r="L242" s="7">
        <v>5.13</v>
      </c>
      <c r="M242" s="7">
        <v>5.4809999999999999</v>
      </c>
      <c r="N242" s="7">
        <v>6.0709999999999997</v>
      </c>
      <c r="O242" s="7">
        <v>6.2539999999999996</v>
      </c>
      <c r="P242" s="7">
        <v>6.2640000000000002</v>
      </c>
      <c r="Q242" s="7">
        <v>5.8780000000000001</v>
      </c>
      <c r="R242" s="7">
        <v>6.2480000000000002</v>
      </c>
      <c r="S242" s="7">
        <f t="shared" si="3"/>
        <v>5.8729166666666677</v>
      </c>
    </row>
    <row r="243" spans="1:19">
      <c r="A243" s="5" t="str">
        <f>B243&amp;"-"&amp;COUNTIF($B$2:B243,B243)</f>
        <v>BAHIA-40</v>
      </c>
      <c r="B243" s="5" t="s">
        <v>296</v>
      </c>
      <c r="C243" s="5" t="s">
        <v>324</v>
      </c>
      <c r="D243" s="6">
        <v>-419058</v>
      </c>
      <c r="E243" s="6">
        <v>-117609</v>
      </c>
      <c r="F243" s="7">
        <v>5.5949999999999998</v>
      </c>
      <c r="G243" s="7">
        <v>6.2830000000000004</v>
      </c>
      <c r="H243" s="7">
        <v>6.1219999999999999</v>
      </c>
      <c r="I243" s="7">
        <v>5.915</v>
      </c>
      <c r="J243" s="7">
        <v>5.0759999999999996</v>
      </c>
      <c r="K243" s="7">
        <v>4.6040000000000001</v>
      </c>
      <c r="L243" s="7">
        <v>4.3810000000000002</v>
      </c>
      <c r="M243" s="7">
        <v>4.6310000000000002</v>
      </c>
      <c r="N243" s="7">
        <v>5.3330000000000002</v>
      </c>
      <c r="O243" s="7">
        <v>6.157</v>
      </c>
      <c r="P243" s="7">
        <v>6.2969999999999997</v>
      </c>
      <c r="Q243" s="7">
        <v>6.0570000000000004</v>
      </c>
      <c r="R243" s="7">
        <v>6.28</v>
      </c>
      <c r="S243" s="7">
        <f t="shared" si="3"/>
        <v>5.594666666666666</v>
      </c>
    </row>
    <row r="244" spans="1:19">
      <c r="A244" s="5" t="str">
        <f>B244&amp;"-"&amp;COUNTIF($B$2:B244,B244)</f>
        <v>BAHIA-41</v>
      </c>
      <c r="B244" s="5" t="s">
        <v>296</v>
      </c>
      <c r="C244" s="5" t="s">
        <v>325</v>
      </c>
      <c r="D244" s="6">
        <v>-394764</v>
      </c>
      <c r="E244" s="6">
        <v>-147952</v>
      </c>
      <c r="F244" s="7">
        <v>4.7560000000000002</v>
      </c>
      <c r="G244" s="7">
        <v>5.6689999999999996</v>
      </c>
      <c r="H244" s="7">
        <v>5.718</v>
      </c>
      <c r="I244" s="7">
        <v>5.3529999999999998</v>
      </c>
      <c r="J244" s="7">
        <v>4.5129999999999999</v>
      </c>
      <c r="K244" s="7">
        <v>3.86</v>
      </c>
      <c r="L244" s="7">
        <v>3.492</v>
      </c>
      <c r="M244" s="7">
        <v>3.6930000000000001</v>
      </c>
      <c r="N244" s="7">
        <v>4.1440000000000001</v>
      </c>
      <c r="O244" s="7">
        <v>4.734</v>
      </c>
      <c r="P244" s="7">
        <v>4.91</v>
      </c>
      <c r="Q244" s="7">
        <v>5.1029999999999998</v>
      </c>
      <c r="R244" s="7">
        <v>5.8780000000000001</v>
      </c>
      <c r="S244" s="7">
        <f t="shared" si="3"/>
        <v>4.7555833333333331</v>
      </c>
    </row>
    <row r="245" spans="1:19">
      <c r="A245" s="5" t="str">
        <f>B245&amp;"-"&amp;COUNTIF($B$2:B245,B245)</f>
        <v>BAHIA-42</v>
      </c>
      <c r="B245" s="5" t="s">
        <v>296</v>
      </c>
      <c r="C245" s="5" t="s">
        <v>326</v>
      </c>
      <c r="D245" s="6">
        <v>-390779</v>
      </c>
      <c r="E245" s="6">
        <v>-115277</v>
      </c>
      <c r="F245" s="7">
        <v>5.1820000000000004</v>
      </c>
      <c r="G245" s="7">
        <v>6.1319999999999997</v>
      </c>
      <c r="H245" s="7">
        <v>5.9180000000000001</v>
      </c>
      <c r="I245" s="7">
        <v>5.8049999999999997</v>
      </c>
      <c r="J245" s="7">
        <v>4.8630000000000004</v>
      </c>
      <c r="K245" s="7">
        <v>4.085</v>
      </c>
      <c r="L245" s="7">
        <v>3.8159999999999998</v>
      </c>
      <c r="M245" s="7">
        <v>4.0350000000000001</v>
      </c>
      <c r="N245" s="7">
        <v>4.5010000000000003</v>
      </c>
      <c r="O245" s="7">
        <v>5.391</v>
      </c>
      <c r="P245" s="7">
        <v>5.6180000000000003</v>
      </c>
      <c r="Q245" s="7">
        <v>5.9580000000000002</v>
      </c>
      <c r="R245" s="7">
        <v>6.0590000000000002</v>
      </c>
      <c r="S245" s="7">
        <f t="shared" si="3"/>
        <v>5.1817499999999992</v>
      </c>
    </row>
    <row r="246" spans="1:19">
      <c r="A246" s="5" t="str">
        <f>B246&amp;"-"&amp;COUNTIF($B$2:B246,B246)</f>
        <v>BAHIA-43</v>
      </c>
      <c r="B246" s="5" t="s">
        <v>296</v>
      </c>
      <c r="C246" s="5" t="s">
        <v>327</v>
      </c>
      <c r="D246" s="6">
        <v>-388761</v>
      </c>
      <c r="E246" s="6">
        <v>-158613</v>
      </c>
      <c r="F246" s="7">
        <v>5.2759999999999998</v>
      </c>
      <c r="G246" s="7">
        <v>6.32</v>
      </c>
      <c r="H246" s="7">
        <v>6.4690000000000003</v>
      </c>
      <c r="I246" s="7">
        <v>5.7759999999999998</v>
      </c>
      <c r="J246" s="7">
        <v>4.8339999999999996</v>
      </c>
      <c r="K246" s="7">
        <v>4.1449999999999996</v>
      </c>
      <c r="L246" s="7">
        <v>3.766</v>
      </c>
      <c r="M246" s="7">
        <v>4.0049999999999999</v>
      </c>
      <c r="N246" s="7">
        <v>4.7850000000000001</v>
      </c>
      <c r="O246" s="7">
        <v>5.3040000000000003</v>
      </c>
      <c r="P246" s="7">
        <v>5.694</v>
      </c>
      <c r="Q246" s="7">
        <v>5.7809999999999997</v>
      </c>
      <c r="R246" s="7">
        <v>6.4349999999999996</v>
      </c>
      <c r="S246" s="7">
        <f t="shared" si="3"/>
        <v>5.2761666666666676</v>
      </c>
    </row>
    <row r="247" spans="1:19">
      <c r="A247" s="5" t="str">
        <f>B247&amp;"-"&amp;COUNTIF($B$2:B247,B247)</f>
        <v>BAHIA-44</v>
      </c>
      <c r="B247" s="5" t="s">
        <v>296</v>
      </c>
      <c r="C247" s="5" t="s">
        <v>328</v>
      </c>
      <c r="D247" s="6">
        <v>-412655</v>
      </c>
      <c r="E247" s="6">
        <v>-150338</v>
      </c>
      <c r="F247" s="7">
        <v>5.23</v>
      </c>
      <c r="G247" s="7">
        <v>6.1470000000000002</v>
      </c>
      <c r="H247" s="7">
        <v>6.1459999999999999</v>
      </c>
      <c r="I247" s="7">
        <v>5.5359999999999996</v>
      </c>
      <c r="J247" s="7">
        <v>4.8209999999999997</v>
      </c>
      <c r="K247" s="7">
        <v>4.2679999999999998</v>
      </c>
      <c r="L247" s="7">
        <v>3.8119999999999998</v>
      </c>
      <c r="M247" s="7">
        <v>4.1020000000000003</v>
      </c>
      <c r="N247" s="7">
        <v>4.7649999999999997</v>
      </c>
      <c r="O247" s="7">
        <v>5.6680000000000001</v>
      </c>
      <c r="P247" s="7">
        <v>5.7370000000000001</v>
      </c>
      <c r="Q247" s="7">
        <v>5.5880000000000001</v>
      </c>
      <c r="R247" s="7">
        <v>6.1689999999999996</v>
      </c>
      <c r="S247" s="7">
        <f t="shared" si="3"/>
        <v>5.229916666666667</v>
      </c>
    </row>
    <row r="248" spans="1:19">
      <c r="A248" s="5" t="str">
        <f>B248&amp;"-"&amp;COUNTIF($B$2:B248,B248)</f>
        <v>BAHIA-45</v>
      </c>
      <c r="B248" s="5" t="s">
        <v>296</v>
      </c>
      <c r="C248" s="5" t="s">
        <v>329</v>
      </c>
      <c r="D248" s="6">
        <v>-388054</v>
      </c>
      <c r="E248" s="6">
        <v>-116215</v>
      </c>
      <c r="F248" s="7">
        <v>5.1420000000000003</v>
      </c>
      <c r="G248" s="7">
        <v>6.1429999999999998</v>
      </c>
      <c r="H248" s="7">
        <v>5.899</v>
      </c>
      <c r="I248" s="7">
        <v>5.7220000000000004</v>
      </c>
      <c r="J248" s="7">
        <v>4.84</v>
      </c>
      <c r="K248" s="7">
        <v>4.0369999999999999</v>
      </c>
      <c r="L248" s="7">
        <v>3.7810000000000001</v>
      </c>
      <c r="M248" s="7">
        <v>3.9889999999999999</v>
      </c>
      <c r="N248" s="7">
        <v>4.4530000000000003</v>
      </c>
      <c r="O248" s="7">
        <v>5.3280000000000003</v>
      </c>
      <c r="P248" s="7">
        <v>5.5549999999999997</v>
      </c>
      <c r="Q248" s="7">
        <v>5.89</v>
      </c>
      <c r="R248" s="7">
        <v>6.06</v>
      </c>
      <c r="S248" s="7">
        <f t="shared" si="3"/>
        <v>5.1414166666666672</v>
      </c>
    </row>
    <row r="249" spans="1:19">
      <c r="A249" s="5" t="str">
        <f>B249&amp;"-"&amp;COUNTIF($B$2:B249,B249)</f>
        <v>BAHIA-46</v>
      </c>
      <c r="B249" s="5" t="s">
        <v>296</v>
      </c>
      <c r="C249" s="5" t="s">
        <v>330</v>
      </c>
      <c r="D249" s="6">
        <v>-402061</v>
      </c>
      <c r="E249" s="6">
        <v>-143642</v>
      </c>
      <c r="F249" s="7">
        <v>4.9989999999999997</v>
      </c>
      <c r="G249" s="7">
        <v>5.9130000000000003</v>
      </c>
      <c r="H249" s="7">
        <v>5.9660000000000002</v>
      </c>
      <c r="I249" s="7">
        <v>5.492</v>
      </c>
      <c r="J249" s="7">
        <v>4.6340000000000003</v>
      </c>
      <c r="K249" s="7">
        <v>4.0869999999999997</v>
      </c>
      <c r="L249" s="7">
        <v>3.629</v>
      </c>
      <c r="M249" s="7">
        <v>3.8650000000000002</v>
      </c>
      <c r="N249" s="7">
        <v>4.3929999999999998</v>
      </c>
      <c r="O249" s="7">
        <v>5.1879999999999997</v>
      </c>
      <c r="P249" s="7">
        <v>5.41</v>
      </c>
      <c r="Q249" s="7">
        <v>5.4009999999999998</v>
      </c>
      <c r="R249" s="7">
        <v>6.0049999999999999</v>
      </c>
      <c r="S249" s="7">
        <f t="shared" si="3"/>
        <v>4.9985833333333343</v>
      </c>
    </row>
    <row r="250" spans="1:19">
      <c r="A250" s="5" t="str">
        <f>B250&amp;"-"&amp;COUNTIF($B$2:B250,B250)</f>
        <v>BAHIA-47</v>
      </c>
      <c r="B250" s="5" t="s">
        <v>296</v>
      </c>
      <c r="C250" s="5" t="s">
        <v>331</v>
      </c>
      <c r="D250" s="6">
        <v>-406089</v>
      </c>
      <c r="E250" s="6">
        <v>-126606</v>
      </c>
      <c r="F250" s="7">
        <v>5.0309999999999997</v>
      </c>
      <c r="G250" s="7">
        <v>5.9059999999999997</v>
      </c>
      <c r="H250" s="7">
        <v>5.9870000000000001</v>
      </c>
      <c r="I250" s="7">
        <v>5.6369999999999996</v>
      </c>
      <c r="J250" s="7">
        <v>4.6779999999999999</v>
      </c>
      <c r="K250" s="7">
        <v>4.0670000000000002</v>
      </c>
      <c r="L250" s="7">
        <v>3.774</v>
      </c>
      <c r="M250" s="7">
        <v>3.8769999999999998</v>
      </c>
      <c r="N250" s="7">
        <v>4.5229999999999997</v>
      </c>
      <c r="O250" s="7">
        <v>5.3620000000000001</v>
      </c>
      <c r="P250" s="7">
        <v>5.3540000000000001</v>
      </c>
      <c r="Q250" s="7">
        <v>5.3769999999999998</v>
      </c>
      <c r="R250" s="7">
        <v>5.8319999999999999</v>
      </c>
      <c r="S250" s="7">
        <f t="shared" si="3"/>
        <v>5.0311666666666666</v>
      </c>
    </row>
    <row r="251" spans="1:19">
      <c r="A251" s="5" t="str">
        <f>B251&amp;"-"&amp;COUNTIF($B$2:B251,B251)</f>
        <v>BAHIA-48</v>
      </c>
      <c r="B251" s="5" t="s">
        <v>296</v>
      </c>
      <c r="C251" s="5" t="s">
        <v>332</v>
      </c>
      <c r="D251" s="6">
        <v>-434111</v>
      </c>
      <c r="E251" s="6">
        <v>-13251</v>
      </c>
      <c r="F251" s="7">
        <v>5.9039999999999999</v>
      </c>
      <c r="G251" s="7">
        <v>6.6180000000000003</v>
      </c>
      <c r="H251" s="7">
        <v>6.657</v>
      </c>
      <c r="I251" s="7">
        <v>6.06</v>
      </c>
      <c r="J251" s="7">
        <v>5.7220000000000004</v>
      </c>
      <c r="K251" s="7">
        <v>5.1319999999999997</v>
      </c>
      <c r="L251" s="7">
        <v>4.91</v>
      </c>
      <c r="M251" s="7">
        <v>5.1609999999999996</v>
      </c>
      <c r="N251" s="7">
        <v>5.6509999999999998</v>
      </c>
      <c r="O251" s="7">
        <v>6.0720000000000001</v>
      </c>
      <c r="P251" s="7">
        <v>6.4249999999999998</v>
      </c>
      <c r="Q251" s="7">
        <v>5.9569999999999999</v>
      </c>
      <c r="R251" s="7">
        <v>6.4880000000000004</v>
      </c>
      <c r="S251" s="7">
        <f t="shared" si="3"/>
        <v>5.9044166666666662</v>
      </c>
    </row>
    <row r="252" spans="1:19">
      <c r="A252" s="5" t="str">
        <f>B252&amp;"-"&amp;COUNTIF($B$2:B252,B252)</f>
        <v>BAHIA-49</v>
      </c>
      <c r="B252" s="5" t="s">
        <v>296</v>
      </c>
      <c r="C252" s="5" t="s">
        <v>333</v>
      </c>
      <c r="D252" s="6">
        <v>-405049</v>
      </c>
      <c r="E252" s="6">
        <v>-14374</v>
      </c>
      <c r="F252" s="7">
        <v>5.0170000000000003</v>
      </c>
      <c r="G252" s="7">
        <v>5.931</v>
      </c>
      <c r="H252" s="7">
        <v>5.9329999999999998</v>
      </c>
      <c r="I252" s="7">
        <v>5.4969999999999999</v>
      </c>
      <c r="J252" s="7">
        <v>4.5670000000000002</v>
      </c>
      <c r="K252" s="7">
        <v>4.069</v>
      </c>
      <c r="L252" s="7">
        <v>3.6819999999999999</v>
      </c>
      <c r="M252" s="7">
        <v>3.823</v>
      </c>
      <c r="N252" s="7">
        <v>4.4359999999999999</v>
      </c>
      <c r="O252" s="7">
        <v>5.327</v>
      </c>
      <c r="P252" s="7">
        <v>5.48</v>
      </c>
      <c r="Q252" s="7">
        <v>5.4480000000000004</v>
      </c>
      <c r="R252" s="7">
        <v>6.0119999999999996</v>
      </c>
      <c r="S252" s="7">
        <f t="shared" si="3"/>
        <v>5.0170833333333329</v>
      </c>
    </row>
    <row r="253" spans="1:19">
      <c r="A253" s="5" t="str">
        <f>B253&amp;"-"&amp;COUNTIF($B$2:B253,B253)</f>
        <v>BAHIA-50</v>
      </c>
      <c r="B253" s="5" t="s">
        <v>296</v>
      </c>
      <c r="C253" s="5" t="s">
        <v>334</v>
      </c>
      <c r="D253" s="6">
        <v>-418289</v>
      </c>
      <c r="E253" s="6">
        <v>-127073</v>
      </c>
      <c r="F253" s="7">
        <v>5.4690000000000003</v>
      </c>
      <c r="G253" s="7">
        <v>6.1150000000000002</v>
      </c>
      <c r="H253" s="7">
        <v>6.0860000000000003</v>
      </c>
      <c r="I253" s="7">
        <v>5.758</v>
      </c>
      <c r="J253" s="7">
        <v>4.9580000000000002</v>
      </c>
      <c r="K253" s="7">
        <v>4.4989999999999997</v>
      </c>
      <c r="L253" s="7">
        <v>4.2549999999999999</v>
      </c>
      <c r="M253" s="7">
        <v>4.4850000000000003</v>
      </c>
      <c r="N253" s="7">
        <v>5.2220000000000004</v>
      </c>
      <c r="O253" s="7">
        <v>5.9859999999999998</v>
      </c>
      <c r="P253" s="7">
        <v>6.1680000000000001</v>
      </c>
      <c r="Q253" s="7">
        <v>5.827</v>
      </c>
      <c r="R253" s="7">
        <v>6.27</v>
      </c>
      <c r="S253" s="7">
        <f t="shared" si="3"/>
        <v>5.4690833333333329</v>
      </c>
    </row>
    <row r="254" spans="1:19">
      <c r="A254" s="5" t="str">
        <f>B254&amp;"-"&amp;COUNTIF($B$2:B254,B254)</f>
        <v>BAHIA-51</v>
      </c>
      <c r="B254" s="5" t="s">
        <v>296</v>
      </c>
      <c r="C254" s="5" t="s">
        <v>335</v>
      </c>
      <c r="D254" s="6">
        <v>-41265</v>
      </c>
      <c r="E254" s="6">
        <v>-119672</v>
      </c>
      <c r="F254" s="7">
        <v>5.0439999999999996</v>
      </c>
      <c r="G254" s="7">
        <v>5.8710000000000004</v>
      </c>
      <c r="H254" s="7">
        <v>5.7789999999999999</v>
      </c>
      <c r="I254" s="7">
        <v>5.532</v>
      </c>
      <c r="J254" s="7">
        <v>4.5430000000000001</v>
      </c>
      <c r="K254" s="7">
        <v>3.9809999999999999</v>
      </c>
      <c r="L254" s="7">
        <v>3.7050000000000001</v>
      </c>
      <c r="M254" s="7">
        <v>3.8759999999999999</v>
      </c>
      <c r="N254" s="7">
        <v>4.6040000000000001</v>
      </c>
      <c r="O254" s="7">
        <v>5.492</v>
      </c>
      <c r="P254" s="7">
        <v>5.64</v>
      </c>
      <c r="Q254" s="7">
        <v>5.6050000000000004</v>
      </c>
      <c r="R254" s="7">
        <v>5.8979999999999997</v>
      </c>
      <c r="S254" s="7">
        <f t="shared" si="3"/>
        <v>5.0438333333333327</v>
      </c>
    </row>
    <row r="255" spans="1:19">
      <c r="A255" s="5" t="str">
        <f>B255&amp;"-"&amp;COUNTIF($B$2:B255,B255)</f>
        <v>BAHIA-52</v>
      </c>
      <c r="B255" s="5" t="s">
        <v>296</v>
      </c>
      <c r="C255" s="5" t="s">
        <v>336</v>
      </c>
      <c r="D255" s="6">
        <v>-427327</v>
      </c>
      <c r="E255" s="6">
        <v>-12821</v>
      </c>
      <c r="F255" s="7">
        <v>5.9080000000000004</v>
      </c>
      <c r="G255" s="7">
        <v>6.6559999999999997</v>
      </c>
      <c r="H255" s="7">
        <v>6.5259999999999998</v>
      </c>
      <c r="I255" s="7">
        <v>6.0590000000000002</v>
      </c>
      <c r="J255" s="7">
        <v>5.5060000000000002</v>
      </c>
      <c r="K255" s="7">
        <v>5.0149999999999997</v>
      </c>
      <c r="L255" s="7">
        <v>4.9080000000000004</v>
      </c>
      <c r="M255" s="7">
        <v>5.1059999999999999</v>
      </c>
      <c r="N255" s="7">
        <v>5.7869999999999999</v>
      </c>
      <c r="O255" s="7">
        <v>6.2110000000000003</v>
      </c>
      <c r="P255" s="7">
        <v>6.4359999999999999</v>
      </c>
      <c r="Q255" s="7">
        <v>6.1210000000000004</v>
      </c>
      <c r="R255" s="7">
        <v>6.5590000000000002</v>
      </c>
      <c r="S255" s="7">
        <f t="shared" si="3"/>
        <v>5.9074999999999998</v>
      </c>
    </row>
    <row r="256" spans="1:19">
      <c r="A256" s="5" t="str">
        <f>B256&amp;"-"&amp;COUNTIF($B$2:B256,B256)</f>
        <v>BAHIA-53</v>
      </c>
      <c r="B256" s="5" t="s">
        <v>296</v>
      </c>
      <c r="C256" s="53" t="s">
        <v>5343</v>
      </c>
      <c r="D256" s="6">
        <v>-425245</v>
      </c>
      <c r="E256" s="6">
        <v>-133796</v>
      </c>
      <c r="F256" s="7">
        <v>5.8259999999999996</v>
      </c>
      <c r="G256" s="7">
        <v>6.601</v>
      </c>
      <c r="H256" s="7">
        <v>6.5250000000000004</v>
      </c>
      <c r="I256" s="7">
        <v>5.9610000000000003</v>
      </c>
      <c r="J256" s="7">
        <v>5.4249999999999998</v>
      </c>
      <c r="K256" s="7">
        <v>4.9480000000000004</v>
      </c>
      <c r="L256" s="7">
        <v>4.782</v>
      </c>
      <c r="M256" s="7">
        <v>4.99</v>
      </c>
      <c r="N256" s="7">
        <v>5.6820000000000004</v>
      </c>
      <c r="O256" s="7">
        <v>6.181</v>
      </c>
      <c r="P256" s="7">
        <v>6.375</v>
      </c>
      <c r="Q256" s="7">
        <v>5.9359999999999999</v>
      </c>
      <c r="R256" s="7">
        <v>6.5039999999999996</v>
      </c>
      <c r="S256" s="7">
        <f t="shared" si="3"/>
        <v>5.8258333333333345</v>
      </c>
    </row>
    <row r="257" spans="1:19">
      <c r="A257" s="5" t="str">
        <f>B257&amp;"-"&amp;COUNTIF($B$2:B257,B257)</f>
        <v>BAHIA-54</v>
      </c>
      <c r="B257" s="5" t="s">
        <v>296</v>
      </c>
      <c r="C257" s="53" t="s">
        <v>5428</v>
      </c>
      <c r="D257" s="6">
        <v>-397942</v>
      </c>
      <c r="E257" s="6">
        <v>-13104</v>
      </c>
      <c r="F257" s="7">
        <v>4.92</v>
      </c>
      <c r="G257" s="7">
        <v>5.8280000000000003</v>
      </c>
      <c r="H257" s="7">
        <v>5.899</v>
      </c>
      <c r="I257" s="7">
        <v>5.5570000000000004</v>
      </c>
      <c r="J257" s="7">
        <v>4.4790000000000001</v>
      </c>
      <c r="K257" s="7">
        <v>3.9220000000000002</v>
      </c>
      <c r="L257" s="7">
        <v>3.5760000000000001</v>
      </c>
      <c r="M257" s="7">
        <v>3.754</v>
      </c>
      <c r="N257" s="7">
        <v>4.3220000000000001</v>
      </c>
      <c r="O257" s="7">
        <v>5.1139999999999999</v>
      </c>
      <c r="P257" s="7">
        <v>5.2720000000000002</v>
      </c>
      <c r="Q257" s="7">
        <v>5.41</v>
      </c>
      <c r="R257" s="7">
        <v>5.9029999999999996</v>
      </c>
      <c r="S257" s="7">
        <f t="shared" si="3"/>
        <v>4.9196666666666662</v>
      </c>
    </row>
    <row r="258" spans="1:19">
      <c r="A258" s="5" t="str">
        <f>B258&amp;"-"&amp;COUNTIF($B$2:B258,B258)</f>
        <v>BAHIA-55</v>
      </c>
      <c r="B258" s="5" t="s">
        <v>296</v>
      </c>
      <c r="C258" s="5" t="s">
        <v>4898</v>
      </c>
      <c r="D258" s="6">
        <v>-439616</v>
      </c>
      <c r="E258" s="6">
        <v>-124863</v>
      </c>
      <c r="F258" s="7">
        <v>5.8650000000000002</v>
      </c>
      <c r="G258" s="7">
        <v>6.4550000000000001</v>
      </c>
      <c r="H258" s="7">
        <v>6.2930000000000001</v>
      </c>
      <c r="I258" s="7">
        <v>5.8150000000000004</v>
      </c>
      <c r="J258" s="7">
        <v>5.625</v>
      </c>
      <c r="K258" s="7">
        <v>5.2590000000000003</v>
      </c>
      <c r="L258" s="7">
        <v>5.0970000000000004</v>
      </c>
      <c r="M258" s="7">
        <v>5.3630000000000004</v>
      </c>
      <c r="N258" s="7">
        <v>5.8849999999999998</v>
      </c>
      <c r="O258" s="7">
        <v>6.1559999999999997</v>
      </c>
      <c r="P258" s="7">
        <v>6.3120000000000003</v>
      </c>
      <c r="Q258" s="7">
        <v>5.8129999999999997</v>
      </c>
      <c r="R258" s="7">
        <v>6.306</v>
      </c>
      <c r="S258" s="7">
        <f t="shared" si="3"/>
        <v>5.8649166666666659</v>
      </c>
    </row>
    <row r="259" spans="1:19">
      <c r="A259" s="5" t="str">
        <f>B259&amp;"-"&amp;COUNTIF($B$2:B259,B259)</f>
        <v>BAHIA-56</v>
      </c>
      <c r="B259" s="5" t="s">
        <v>296</v>
      </c>
      <c r="C259" s="5" t="s">
        <v>4807</v>
      </c>
      <c r="D259" s="6">
        <v>-426302</v>
      </c>
      <c r="E259" s="6">
        <v>-119951</v>
      </c>
      <c r="F259" s="7">
        <v>5.7990000000000004</v>
      </c>
      <c r="G259" s="7">
        <v>6.3090000000000002</v>
      </c>
      <c r="H259" s="7">
        <v>6.1470000000000002</v>
      </c>
      <c r="I259" s="7">
        <v>5.8419999999999996</v>
      </c>
      <c r="J259" s="7">
        <v>5.444</v>
      </c>
      <c r="K259" s="7">
        <v>5.0350000000000001</v>
      </c>
      <c r="L259" s="7">
        <v>4.9189999999999996</v>
      </c>
      <c r="M259" s="7">
        <v>5.15</v>
      </c>
      <c r="N259" s="7">
        <v>5.94</v>
      </c>
      <c r="O259" s="7">
        <v>6.4279999999999999</v>
      </c>
      <c r="P259" s="7">
        <v>6.2720000000000002</v>
      </c>
      <c r="Q259" s="7">
        <v>5.8479999999999999</v>
      </c>
      <c r="R259" s="7">
        <v>6.2590000000000003</v>
      </c>
      <c r="S259" s="7">
        <f t="shared" ref="S259:S322" si="4">(G259+H259+I259+J259+K259+L259+M259+N259+O259+P259+Q259+R259)/12</f>
        <v>5.7994166666666658</v>
      </c>
    </row>
    <row r="260" spans="1:19">
      <c r="A260" s="5" t="str">
        <f>B260&amp;"-"&amp;COUNTIF($B$2:B260,B260)</f>
        <v>BAHIA-57</v>
      </c>
      <c r="B260" s="5" t="s">
        <v>296</v>
      </c>
      <c r="C260" s="5" t="s">
        <v>337</v>
      </c>
      <c r="D260" s="6">
        <v>-416699</v>
      </c>
      <c r="E260" s="6">
        <v>-142026</v>
      </c>
      <c r="F260" s="7">
        <v>5.4480000000000004</v>
      </c>
      <c r="G260" s="7">
        <v>6.4039999999999999</v>
      </c>
      <c r="H260" s="7">
        <v>6.3970000000000002</v>
      </c>
      <c r="I260" s="7">
        <v>5.75</v>
      </c>
      <c r="J260" s="7">
        <v>4.9630000000000001</v>
      </c>
      <c r="K260" s="7">
        <v>4.38</v>
      </c>
      <c r="L260" s="7">
        <v>3.9889999999999999</v>
      </c>
      <c r="M260" s="7">
        <v>4.2869999999999999</v>
      </c>
      <c r="N260" s="7">
        <v>4.9580000000000002</v>
      </c>
      <c r="O260" s="7">
        <v>5.7549999999999999</v>
      </c>
      <c r="P260" s="7">
        <v>6.0629999999999997</v>
      </c>
      <c r="Q260" s="7">
        <v>5.9009999999999998</v>
      </c>
      <c r="R260" s="7">
        <v>6.532</v>
      </c>
      <c r="S260" s="7">
        <f t="shared" si="4"/>
        <v>5.4482500000000007</v>
      </c>
    </row>
    <row r="261" spans="1:19">
      <c r="A261" s="5" t="str">
        <f>B261&amp;"-"&amp;COUNTIF($B$2:B261,B261)</f>
        <v>BAHIA-58</v>
      </c>
      <c r="B261" s="5" t="s">
        <v>296</v>
      </c>
      <c r="C261" s="5" t="s">
        <v>338</v>
      </c>
      <c r="D261" s="6">
        <v>-393027</v>
      </c>
      <c r="E261" s="6">
        <v>-149561</v>
      </c>
      <c r="F261" s="7">
        <v>4.8220000000000001</v>
      </c>
      <c r="G261" s="7">
        <v>5.8449999999999998</v>
      </c>
      <c r="H261" s="7">
        <v>5.8719999999999999</v>
      </c>
      <c r="I261" s="7">
        <v>5.3390000000000004</v>
      </c>
      <c r="J261" s="7">
        <v>4.5110000000000001</v>
      </c>
      <c r="K261" s="7">
        <v>3.802</v>
      </c>
      <c r="L261" s="7">
        <v>3.4649999999999999</v>
      </c>
      <c r="M261" s="7">
        <v>3.722</v>
      </c>
      <c r="N261" s="7">
        <v>4.2690000000000001</v>
      </c>
      <c r="O261" s="7">
        <v>4.8739999999999997</v>
      </c>
      <c r="P261" s="7">
        <v>5.0650000000000004</v>
      </c>
      <c r="Q261" s="7">
        <v>5.1219999999999999</v>
      </c>
      <c r="R261" s="7">
        <v>5.9829999999999997</v>
      </c>
      <c r="S261" s="7">
        <f t="shared" si="4"/>
        <v>4.8224166666666664</v>
      </c>
    </row>
    <row r="262" spans="1:19">
      <c r="A262" s="5" t="str">
        <f>B262&amp;"-"&amp;COUNTIF($B$2:B262,B262)</f>
        <v>BAHIA-59</v>
      </c>
      <c r="B262" s="5" t="s">
        <v>296</v>
      </c>
      <c r="C262" s="5" t="s">
        <v>339</v>
      </c>
      <c r="D262" s="6">
        <v>-43634</v>
      </c>
      <c r="E262" s="6">
        <v>-107176</v>
      </c>
      <c r="F262" s="7">
        <v>5.9009999999999998</v>
      </c>
      <c r="G262" s="7">
        <v>6.15</v>
      </c>
      <c r="H262" s="7">
        <v>5.9189999999999996</v>
      </c>
      <c r="I262" s="7">
        <v>5.7729999999999997</v>
      </c>
      <c r="J262" s="7">
        <v>5.53</v>
      </c>
      <c r="K262" s="7">
        <v>5.3140000000000001</v>
      </c>
      <c r="L262" s="7">
        <v>5.2409999999999997</v>
      </c>
      <c r="M262" s="7">
        <v>5.5449999999999999</v>
      </c>
      <c r="N262" s="7">
        <v>6.2249999999999996</v>
      </c>
      <c r="O262" s="7">
        <v>6.4909999999999997</v>
      </c>
      <c r="P262" s="7">
        <v>6.4169999999999998</v>
      </c>
      <c r="Q262" s="7">
        <v>6.056</v>
      </c>
      <c r="R262" s="7">
        <v>6.1509999999999998</v>
      </c>
      <c r="S262" s="7">
        <f t="shared" si="4"/>
        <v>5.9009999999999998</v>
      </c>
    </row>
    <row r="263" spans="1:19">
      <c r="A263" s="5" t="str">
        <f>B263&amp;"-"&amp;COUNTIF($B$2:B263,B263)</f>
        <v>BAHIA-60</v>
      </c>
      <c r="B263" s="5" t="s">
        <v>296</v>
      </c>
      <c r="C263" s="5" t="s">
        <v>4899</v>
      </c>
      <c r="D263" s="6">
        <v>-412381</v>
      </c>
      <c r="E263" s="6">
        <v>-155064</v>
      </c>
      <c r="F263" s="7">
        <v>5.0549999999999997</v>
      </c>
      <c r="G263" s="7">
        <v>5.9989999999999997</v>
      </c>
      <c r="H263" s="7">
        <v>6.1180000000000003</v>
      </c>
      <c r="I263" s="7">
        <v>5.3559999999999999</v>
      </c>
      <c r="J263" s="7">
        <v>4.7140000000000004</v>
      </c>
      <c r="K263" s="7">
        <v>4.008</v>
      </c>
      <c r="L263" s="7">
        <v>3.6429999999999998</v>
      </c>
      <c r="M263" s="7">
        <v>3.8839999999999999</v>
      </c>
      <c r="N263" s="7">
        <v>4.4950000000000001</v>
      </c>
      <c r="O263" s="7">
        <v>5.4610000000000003</v>
      </c>
      <c r="P263" s="7">
        <v>5.5620000000000003</v>
      </c>
      <c r="Q263" s="7">
        <v>5.3620000000000001</v>
      </c>
      <c r="R263" s="7">
        <v>6.0609999999999999</v>
      </c>
      <c r="S263" s="7">
        <f t="shared" si="4"/>
        <v>5.0552499999999991</v>
      </c>
    </row>
    <row r="264" spans="1:19">
      <c r="A264" s="5" t="str">
        <f>B264&amp;"-"&amp;COUNTIF($B$2:B264,B264)</f>
        <v>BAHIA-61</v>
      </c>
      <c r="B264" s="5" t="s">
        <v>296</v>
      </c>
      <c r="C264" s="5" t="s">
        <v>4271</v>
      </c>
      <c r="D264" s="6">
        <v>-404324</v>
      </c>
      <c r="E264" s="6">
        <v>-110681</v>
      </c>
      <c r="F264" s="7">
        <v>5.0789999999999997</v>
      </c>
      <c r="G264" s="7">
        <v>6.0609999999999999</v>
      </c>
      <c r="H264" s="7">
        <v>5.8410000000000002</v>
      </c>
      <c r="I264" s="7">
        <v>5.6870000000000003</v>
      </c>
      <c r="J264" s="7">
        <v>4.6970000000000001</v>
      </c>
      <c r="K264" s="7">
        <v>3.948</v>
      </c>
      <c r="L264" s="7">
        <v>3.637</v>
      </c>
      <c r="M264" s="7">
        <v>3.8679999999999999</v>
      </c>
      <c r="N264" s="7">
        <v>4.5670000000000002</v>
      </c>
      <c r="O264" s="7">
        <v>5.4710000000000001</v>
      </c>
      <c r="P264" s="7">
        <v>5.5620000000000003</v>
      </c>
      <c r="Q264" s="7">
        <v>5.7539999999999996</v>
      </c>
      <c r="R264" s="7">
        <v>5.8639999999999999</v>
      </c>
      <c r="S264" s="7">
        <f t="shared" si="4"/>
        <v>5.0797499999999998</v>
      </c>
    </row>
    <row r="265" spans="1:19">
      <c r="A265" s="5" t="str">
        <f>B265&amp;"-"&amp;COUNTIF($B$2:B265,B265)</f>
        <v>BAHIA-62</v>
      </c>
      <c r="B265" s="5" t="s">
        <v>296</v>
      </c>
      <c r="C265" s="5" t="s">
        <v>340</v>
      </c>
      <c r="D265" s="6">
        <v>-404092</v>
      </c>
      <c r="E265" s="6">
        <v>-149782</v>
      </c>
      <c r="F265" s="7">
        <v>4.9020000000000001</v>
      </c>
      <c r="G265" s="7">
        <v>5.9470000000000001</v>
      </c>
      <c r="H265" s="7">
        <v>5.9980000000000002</v>
      </c>
      <c r="I265" s="7">
        <v>5.4329999999999998</v>
      </c>
      <c r="J265" s="7">
        <v>4.5469999999999997</v>
      </c>
      <c r="K265" s="7">
        <v>3.879</v>
      </c>
      <c r="L265" s="7">
        <v>3.4390000000000001</v>
      </c>
      <c r="M265" s="7">
        <v>3.6440000000000001</v>
      </c>
      <c r="N265" s="7">
        <v>4.1879999999999997</v>
      </c>
      <c r="O265" s="7">
        <v>5.0880000000000001</v>
      </c>
      <c r="P265" s="7">
        <v>5.2770000000000001</v>
      </c>
      <c r="Q265" s="7">
        <v>5.3049999999999997</v>
      </c>
      <c r="R265" s="7">
        <v>6.0739999999999998</v>
      </c>
      <c r="S265" s="7">
        <f t="shared" si="4"/>
        <v>4.9015833333333338</v>
      </c>
    </row>
    <row r="266" spans="1:19">
      <c r="A266" s="5" t="str">
        <f>B266&amp;"-"&amp;COUNTIF($B$2:B266,B266)</f>
        <v>BAHIA-63</v>
      </c>
      <c r="B266" s="5" t="s">
        <v>296</v>
      </c>
      <c r="C266" s="5" t="s">
        <v>4598</v>
      </c>
      <c r="D266" s="6">
        <v>-391906</v>
      </c>
      <c r="E266" s="6">
        <v>-125321</v>
      </c>
      <c r="F266" s="7">
        <v>5.1150000000000002</v>
      </c>
      <c r="G266" s="7">
        <v>6.1390000000000002</v>
      </c>
      <c r="H266" s="7">
        <v>5.9980000000000002</v>
      </c>
      <c r="I266" s="7">
        <v>5.7619999999999996</v>
      </c>
      <c r="J266" s="7">
        <v>4.7080000000000002</v>
      </c>
      <c r="K266" s="7">
        <v>4.032</v>
      </c>
      <c r="L266" s="7">
        <v>3.6379999999999999</v>
      </c>
      <c r="M266" s="7">
        <v>3.8980000000000001</v>
      </c>
      <c r="N266" s="7">
        <v>4.5010000000000003</v>
      </c>
      <c r="O266" s="7">
        <v>5.2709999999999999</v>
      </c>
      <c r="P266" s="7">
        <v>5.524</v>
      </c>
      <c r="Q266" s="7">
        <v>5.79</v>
      </c>
      <c r="R266" s="7">
        <v>6.1180000000000003</v>
      </c>
      <c r="S266" s="7">
        <f t="shared" si="4"/>
        <v>5.1149166666666668</v>
      </c>
    </row>
    <row r="267" spans="1:19">
      <c r="A267" s="5" t="str">
        <f>B267&amp;"-"&amp;COUNTIF($B$2:B267,B267)</f>
        <v>BAHIA-64</v>
      </c>
      <c r="B267" s="5" t="s">
        <v>296</v>
      </c>
      <c r="C267" s="53" t="s">
        <v>5806</v>
      </c>
      <c r="D267" s="6">
        <v>-383829</v>
      </c>
      <c r="E267" s="6">
        <v>-105952</v>
      </c>
      <c r="F267" s="7">
        <v>5.2240000000000002</v>
      </c>
      <c r="G267" s="7">
        <v>6.1040000000000001</v>
      </c>
      <c r="H267" s="7">
        <v>5.867</v>
      </c>
      <c r="I267" s="7">
        <v>5.8120000000000003</v>
      </c>
      <c r="J267" s="7">
        <v>5.093</v>
      </c>
      <c r="K267" s="7">
        <v>4.1879999999999997</v>
      </c>
      <c r="L267" s="7">
        <v>3.8540000000000001</v>
      </c>
      <c r="M267" s="7">
        <v>3.97</v>
      </c>
      <c r="N267" s="7">
        <v>4.47</v>
      </c>
      <c r="O267" s="7">
        <v>5.37</v>
      </c>
      <c r="P267" s="7">
        <v>5.6260000000000003</v>
      </c>
      <c r="Q267" s="7">
        <v>6.1680000000000001</v>
      </c>
      <c r="R267" s="7">
        <v>6.1630000000000003</v>
      </c>
      <c r="S267" s="7">
        <f t="shared" si="4"/>
        <v>5.223749999999999</v>
      </c>
    </row>
    <row r="268" spans="1:19">
      <c r="A268" s="5" t="str">
        <f>B268&amp;"-"&amp;COUNTIF($B$2:B268,B268)</f>
        <v>BAHIA-65</v>
      </c>
      <c r="B268" s="5" t="s">
        <v>296</v>
      </c>
      <c r="C268" s="5" t="s">
        <v>341</v>
      </c>
      <c r="D268" s="6">
        <v>-38959</v>
      </c>
      <c r="E268" s="6">
        <v>-125999</v>
      </c>
      <c r="F268" s="7">
        <v>5.1059999999999999</v>
      </c>
      <c r="G268" s="7">
        <v>6.1020000000000003</v>
      </c>
      <c r="H268" s="7">
        <v>5.9790000000000001</v>
      </c>
      <c r="I268" s="7">
        <v>5.75</v>
      </c>
      <c r="J268" s="7">
        <v>4.6719999999999997</v>
      </c>
      <c r="K268" s="7">
        <v>4.0069999999999997</v>
      </c>
      <c r="L268" s="7">
        <v>3.6349999999999998</v>
      </c>
      <c r="M268" s="7">
        <v>3.9369999999999998</v>
      </c>
      <c r="N268" s="7">
        <v>4.4459999999999997</v>
      </c>
      <c r="O268" s="7">
        <v>5.2969999999999997</v>
      </c>
      <c r="P268" s="7">
        <v>5.5529999999999999</v>
      </c>
      <c r="Q268" s="7">
        <v>5.7960000000000003</v>
      </c>
      <c r="R268" s="7">
        <v>6.0910000000000002</v>
      </c>
      <c r="S268" s="7">
        <f t="shared" si="4"/>
        <v>5.1054166666666658</v>
      </c>
    </row>
    <row r="269" spans="1:19">
      <c r="A269" s="5" t="str">
        <f>B269&amp;"-"&amp;COUNTIF($B$2:B269,B269)</f>
        <v>BAHIA-66</v>
      </c>
      <c r="B269" s="5" t="s">
        <v>296</v>
      </c>
      <c r="C269" s="5" t="s">
        <v>4272</v>
      </c>
      <c r="D269" s="6">
        <v>-422232</v>
      </c>
      <c r="E269" s="6">
        <v>-145007</v>
      </c>
      <c r="F269" s="7">
        <v>5.4329999999999998</v>
      </c>
      <c r="G269" s="7">
        <v>6.3029999999999999</v>
      </c>
      <c r="H269" s="7">
        <v>6.4169999999999998</v>
      </c>
      <c r="I269" s="7">
        <v>5.68</v>
      </c>
      <c r="J269" s="7">
        <v>4.9470000000000001</v>
      </c>
      <c r="K269" s="7">
        <v>4.3940000000000001</v>
      </c>
      <c r="L269" s="7">
        <v>4.0419999999999998</v>
      </c>
      <c r="M269" s="7">
        <v>4.375</v>
      </c>
      <c r="N269" s="7">
        <v>5.0860000000000003</v>
      </c>
      <c r="O269" s="7">
        <v>5.7869999999999999</v>
      </c>
      <c r="P269" s="7">
        <v>6.1050000000000004</v>
      </c>
      <c r="Q269" s="7">
        <v>5.7270000000000003</v>
      </c>
      <c r="R269" s="7">
        <v>6.3360000000000003</v>
      </c>
      <c r="S269" s="7">
        <f t="shared" si="4"/>
        <v>5.4332500000000001</v>
      </c>
    </row>
    <row r="270" spans="1:19">
      <c r="A270" s="5" t="str">
        <f>B270&amp;"-"&amp;COUNTIF($B$2:B270,B270)</f>
        <v>BAHIA-67</v>
      </c>
      <c r="B270" s="5" t="s">
        <v>296</v>
      </c>
      <c r="C270" s="5" t="s">
        <v>342</v>
      </c>
      <c r="D270" s="5" t="s">
        <v>343</v>
      </c>
      <c r="E270" s="6">
        <v>-143389</v>
      </c>
      <c r="F270" s="7">
        <v>5.2359999999999998</v>
      </c>
      <c r="G270" s="7">
        <v>6.16</v>
      </c>
      <c r="H270" s="7">
        <v>6.1539999999999999</v>
      </c>
      <c r="I270" s="7">
        <v>5.6630000000000003</v>
      </c>
      <c r="J270" s="7">
        <v>4.8490000000000002</v>
      </c>
      <c r="K270" s="7">
        <v>4.282</v>
      </c>
      <c r="L270" s="7">
        <v>3.835</v>
      </c>
      <c r="M270" s="7">
        <v>4.03</v>
      </c>
      <c r="N270" s="7">
        <v>4.6360000000000001</v>
      </c>
      <c r="O270" s="7">
        <v>5.5179999999999998</v>
      </c>
      <c r="P270" s="7">
        <v>5.7439999999999998</v>
      </c>
      <c r="Q270" s="7">
        <v>5.7110000000000003</v>
      </c>
      <c r="R270" s="7">
        <v>6.2450000000000001</v>
      </c>
      <c r="S270" s="7">
        <f t="shared" si="4"/>
        <v>5.2355833333333335</v>
      </c>
    </row>
    <row r="271" spans="1:19">
      <c r="A271" s="5" t="str">
        <f>B271&amp;"-"&amp;COUNTIF($B$2:B271,B271)</f>
        <v>BAHIA-68</v>
      </c>
      <c r="B271" s="5" t="s">
        <v>296</v>
      </c>
      <c r="C271" s="5" t="s">
        <v>4273</v>
      </c>
      <c r="D271" s="6">
        <v>-424865</v>
      </c>
      <c r="E271" s="6">
        <v>-140689</v>
      </c>
      <c r="F271" s="7">
        <v>5.601</v>
      </c>
      <c r="G271" s="7">
        <v>6.3609999999999998</v>
      </c>
      <c r="H271" s="7">
        <v>6.4880000000000004</v>
      </c>
      <c r="I271" s="7">
        <v>5.76</v>
      </c>
      <c r="J271" s="7">
        <v>5.1559999999999997</v>
      </c>
      <c r="K271" s="7">
        <v>4.5609999999999999</v>
      </c>
      <c r="L271" s="7">
        <v>4.3310000000000004</v>
      </c>
      <c r="M271" s="7">
        <v>4.6509999999999998</v>
      </c>
      <c r="N271" s="7">
        <v>5.41</v>
      </c>
      <c r="O271" s="7">
        <v>5.992</v>
      </c>
      <c r="P271" s="7">
        <v>6.2880000000000003</v>
      </c>
      <c r="Q271" s="7">
        <v>5.8460000000000001</v>
      </c>
      <c r="R271" s="7">
        <v>6.3739999999999997</v>
      </c>
      <c r="S271" s="7">
        <f t="shared" si="4"/>
        <v>5.6015000000000006</v>
      </c>
    </row>
    <row r="272" spans="1:19">
      <c r="A272" s="5" t="str">
        <f>B272&amp;"-"&amp;COUNTIF($B$2:B272,B272)</f>
        <v>BAHIA-69</v>
      </c>
      <c r="B272" s="5" t="s">
        <v>296</v>
      </c>
      <c r="C272" s="5" t="s">
        <v>344</v>
      </c>
      <c r="D272" s="6">
        <v>-414692</v>
      </c>
      <c r="E272" s="6">
        <v>-116918</v>
      </c>
      <c r="F272" s="7">
        <v>5.585</v>
      </c>
      <c r="G272" s="7">
        <v>6.3609999999999998</v>
      </c>
      <c r="H272" s="7">
        <v>6.1550000000000002</v>
      </c>
      <c r="I272" s="7">
        <v>5.91</v>
      </c>
      <c r="J272" s="7">
        <v>5.0199999999999996</v>
      </c>
      <c r="K272" s="7">
        <v>4.4960000000000004</v>
      </c>
      <c r="L272" s="7">
        <v>4.306</v>
      </c>
      <c r="M272" s="7">
        <v>4.47</v>
      </c>
      <c r="N272" s="7">
        <v>5.2160000000000002</v>
      </c>
      <c r="O272" s="7">
        <v>6.0830000000000002</v>
      </c>
      <c r="P272" s="7">
        <v>6.3479999999999999</v>
      </c>
      <c r="Q272" s="7">
        <v>6.2149999999999999</v>
      </c>
      <c r="R272" s="7">
        <v>6.4340000000000002</v>
      </c>
      <c r="S272" s="7">
        <f t="shared" si="4"/>
        <v>5.5844999999999994</v>
      </c>
    </row>
    <row r="273" spans="1:19">
      <c r="A273" s="5" t="str">
        <f>B273&amp;"-"&amp;COUNTIF($B$2:B273,B273)</f>
        <v>BAHIA-70</v>
      </c>
      <c r="B273" s="5" t="s">
        <v>296</v>
      </c>
      <c r="C273" s="5" t="s">
        <v>345</v>
      </c>
      <c r="D273" s="6">
        <v>-390468</v>
      </c>
      <c r="E273" s="6">
        <v>-134908</v>
      </c>
      <c r="F273" s="7">
        <v>5.05</v>
      </c>
      <c r="G273" s="7">
        <v>6.1</v>
      </c>
      <c r="H273" s="7">
        <v>6.0549999999999997</v>
      </c>
      <c r="I273" s="7">
        <v>5.694</v>
      </c>
      <c r="J273" s="7">
        <v>4.5629999999999997</v>
      </c>
      <c r="K273" s="7">
        <v>3.9649999999999999</v>
      </c>
      <c r="L273" s="7">
        <v>3.5960000000000001</v>
      </c>
      <c r="M273" s="7">
        <v>3.8530000000000002</v>
      </c>
      <c r="N273" s="7">
        <v>4.3380000000000001</v>
      </c>
      <c r="O273" s="7">
        <v>5.1310000000000002</v>
      </c>
      <c r="P273" s="7">
        <v>5.3440000000000003</v>
      </c>
      <c r="Q273" s="7">
        <v>5.7350000000000003</v>
      </c>
      <c r="R273" s="7">
        <v>6.2220000000000004</v>
      </c>
      <c r="S273" s="7">
        <f t="shared" si="4"/>
        <v>5.049666666666667</v>
      </c>
    </row>
    <row r="274" spans="1:19">
      <c r="A274" s="5" t="str">
        <f>B274&amp;"-"&amp;COUNTIF($B$2:B274,B274)</f>
        <v>BAHIA-71</v>
      </c>
      <c r="B274" s="5" t="s">
        <v>296</v>
      </c>
      <c r="C274" s="5" t="s">
        <v>3904</v>
      </c>
      <c r="D274" s="6">
        <v>-402975</v>
      </c>
      <c r="E274" s="6">
        <v>-110279</v>
      </c>
      <c r="F274" s="7">
        <v>5.1180000000000003</v>
      </c>
      <c r="G274" s="7">
        <v>6.1959999999999997</v>
      </c>
      <c r="H274" s="7">
        <v>5.86</v>
      </c>
      <c r="I274" s="7">
        <v>5.68</v>
      </c>
      <c r="J274" s="7">
        <v>4.7169999999999996</v>
      </c>
      <c r="K274" s="7">
        <v>4.0259999999999998</v>
      </c>
      <c r="L274" s="7">
        <v>3.7639999999999998</v>
      </c>
      <c r="M274" s="7">
        <v>3.9870000000000001</v>
      </c>
      <c r="N274" s="7">
        <v>4.5599999999999996</v>
      </c>
      <c r="O274" s="7">
        <v>5.4390000000000001</v>
      </c>
      <c r="P274" s="7">
        <v>5.5170000000000003</v>
      </c>
      <c r="Q274" s="7">
        <v>5.7859999999999996</v>
      </c>
      <c r="R274" s="7">
        <v>5.8810000000000002</v>
      </c>
      <c r="S274" s="7">
        <f t="shared" si="4"/>
        <v>5.11775</v>
      </c>
    </row>
    <row r="275" spans="1:19">
      <c r="A275" s="5" t="str">
        <f>B275&amp;"-"&amp;COUNTIF($B$2:B275,B275)</f>
        <v>BAHIA-72</v>
      </c>
      <c r="B275" s="5" t="s">
        <v>296</v>
      </c>
      <c r="C275" s="5" t="s">
        <v>4599</v>
      </c>
      <c r="D275" s="6">
        <v>-383266</v>
      </c>
      <c r="E275" s="6">
        <v>-127001</v>
      </c>
      <c r="F275" s="7">
        <v>5.05</v>
      </c>
      <c r="G275" s="7">
        <v>6.1180000000000003</v>
      </c>
      <c r="H275" s="7">
        <v>5.9509999999999996</v>
      </c>
      <c r="I275" s="7">
        <v>5.67</v>
      </c>
      <c r="J275" s="7">
        <v>4.4880000000000004</v>
      </c>
      <c r="K275" s="7">
        <v>3.883</v>
      </c>
      <c r="L275" s="7">
        <v>3.673</v>
      </c>
      <c r="M275" s="7">
        <v>3.8839999999999999</v>
      </c>
      <c r="N275" s="7">
        <v>4.4059999999999997</v>
      </c>
      <c r="O275" s="7">
        <v>5.1109999999999998</v>
      </c>
      <c r="P275" s="7">
        <v>5.4969999999999999</v>
      </c>
      <c r="Q275" s="7">
        <v>5.8250000000000002</v>
      </c>
      <c r="R275" s="7">
        <v>6.093</v>
      </c>
      <c r="S275" s="7">
        <f t="shared" si="4"/>
        <v>5.0499166666666655</v>
      </c>
    </row>
    <row r="276" spans="1:19">
      <c r="A276" s="5" t="str">
        <f>B276&amp;"-"&amp;COUNTIF($B$2:B276,B276)</f>
        <v>BAHIA-73</v>
      </c>
      <c r="B276" s="5" t="s">
        <v>296</v>
      </c>
      <c r="C276" s="5" t="s">
        <v>346</v>
      </c>
      <c r="D276" s="6">
        <v>-394923</v>
      </c>
      <c r="E276" s="6">
        <v>-154146</v>
      </c>
      <c r="F276" s="7">
        <v>4.7869999999999999</v>
      </c>
      <c r="G276" s="7">
        <v>5.7889999999999997</v>
      </c>
      <c r="H276" s="7">
        <v>5.8019999999999996</v>
      </c>
      <c r="I276" s="7">
        <v>5.3710000000000004</v>
      </c>
      <c r="J276" s="7">
        <v>4.4809999999999999</v>
      </c>
      <c r="K276" s="7">
        <v>3.859</v>
      </c>
      <c r="L276" s="7">
        <v>3.407</v>
      </c>
      <c r="M276" s="7">
        <v>3.6</v>
      </c>
      <c r="N276" s="7">
        <v>4.2130000000000001</v>
      </c>
      <c r="O276" s="7">
        <v>4.8209999999999997</v>
      </c>
      <c r="P276" s="7">
        <v>4.9809999999999999</v>
      </c>
      <c r="Q276" s="7">
        <v>5.1219999999999999</v>
      </c>
      <c r="R276" s="7">
        <v>5.99</v>
      </c>
      <c r="S276" s="7">
        <f t="shared" si="4"/>
        <v>4.7863333333333333</v>
      </c>
    </row>
    <row r="277" spans="1:19">
      <c r="A277" s="5" t="str">
        <f>B277&amp;"-"&amp;COUNTIF($B$2:B277,B277)</f>
        <v>BAHIA-74</v>
      </c>
      <c r="B277" s="5" t="s">
        <v>296</v>
      </c>
      <c r="C277" s="5" t="s">
        <v>347</v>
      </c>
      <c r="D277" s="6">
        <v>-391074</v>
      </c>
      <c r="E277" s="6">
        <v>-139402</v>
      </c>
      <c r="F277" s="7">
        <v>4.8899999999999997</v>
      </c>
      <c r="G277" s="7">
        <v>5.92</v>
      </c>
      <c r="H277" s="7">
        <v>5.95</v>
      </c>
      <c r="I277" s="7">
        <v>5.5250000000000004</v>
      </c>
      <c r="J277" s="7">
        <v>4.4809999999999999</v>
      </c>
      <c r="K277" s="7">
        <v>3.87</v>
      </c>
      <c r="L277" s="7">
        <v>3.48</v>
      </c>
      <c r="M277" s="7">
        <v>3.726</v>
      </c>
      <c r="N277" s="7">
        <v>4.2649999999999997</v>
      </c>
      <c r="O277" s="7">
        <v>4.9139999999999997</v>
      </c>
      <c r="P277" s="7">
        <v>5.1529999999999996</v>
      </c>
      <c r="Q277" s="7">
        <v>5.3780000000000001</v>
      </c>
      <c r="R277" s="7">
        <v>6.024</v>
      </c>
      <c r="S277" s="7">
        <f t="shared" si="4"/>
        <v>4.8905000000000003</v>
      </c>
    </row>
    <row r="278" spans="1:19">
      <c r="A278" s="5" t="str">
        <f>B278&amp;"-"&amp;COUNTIF($B$2:B278,B278)</f>
        <v>BAHIA-75</v>
      </c>
      <c r="B278" s="5" t="s">
        <v>296</v>
      </c>
      <c r="C278" s="5" t="s">
        <v>348</v>
      </c>
      <c r="D278" s="6">
        <v>-430088</v>
      </c>
      <c r="E278" s="6">
        <v>-9516</v>
      </c>
      <c r="F278" s="7">
        <v>5.8869999999999996</v>
      </c>
      <c r="G278" s="7">
        <v>6.0039999999999996</v>
      </c>
      <c r="H278" s="7">
        <v>5.7430000000000003</v>
      </c>
      <c r="I278" s="7">
        <v>5.6470000000000002</v>
      </c>
      <c r="J278" s="7">
        <v>5.4119999999999999</v>
      </c>
      <c r="K278" s="7">
        <v>5.298</v>
      </c>
      <c r="L278" s="7">
        <v>5.2489999999999997</v>
      </c>
      <c r="M278" s="7">
        <v>5.633</v>
      </c>
      <c r="N278" s="7">
        <v>6.4189999999999996</v>
      </c>
      <c r="O278" s="7">
        <v>6.6150000000000002</v>
      </c>
      <c r="P278" s="7">
        <v>6.4450000000000003</v>
      </c>
      <c r="Q278" s="7">
        <v>6.1210000000000004</v>
      </c>
      <c r="R278" s="7">
        <v>6.0519999999999996</v>
      </c>
      <c r="S278" s="7">
        <f t="shared" si="4"/>
        <v>5.8865000000000007</v>
      </c>
    </row>
    <row r="279" spans="1:19">
      <c r="A279" s="5" t="str">
        <f>B279&amp;"-"&amp;COUNTIF($B$2:B279,B279)</f>
        <v>BAHIA-76</v>
      </c>
      <c r="B279" s="5" t="s">
        <v>296</v>
      </c>
      <c r="C279" s="5" t="s">
        <v>349</v>
      </c>
      <c r="D279" s="6">
        <v>-403204</v>
      </c>
      <c r="E279" s="6">
        <v>-10511</v>
      </c>
      <c r="F279" s="7">
        <v>5.3239999999999998</v>
      </c>
      <c r="G279" s="7">
        <v>6.18</v>
      </c>
      <c r="H279" s="7">
        <v>5.9619999999999997</v>
      </c>
      <c r="I279" s="7">
        <v>5.8630000000000004</v>
      </c>
      <c r="J279" s="7">
        <v>4.9039999999999999</v>
      </c>
      <c r="K279" s="7">
        <v>4.1710000000000003</v>
      </c>
      <c r="L279" s="7">
        <v>3.8420000000000001</v>
      </c>
      <c r="M279" s="7">
        <v>4.1210000000000004</v>
      </c>
      <c r="N279" s="7">
        <v>4.8360000000000003</v>
      </c>
      <c r="O279" s="7">
        <v>5.7949999999999999</v>
      </c>
      <c r="P279" s="7">
        <v>5.9169999999999998</v>
      </c>
      <c r="Q279" s="7">
        <v>6.1219999999999999</v>
      </c>
      <c r="R279" s="7">
        <v>6.1849999999999996</v>
      </c>
      <c r="S279" s="7">
        <f t="shared" si="4"/>
        <v>5.3248333333333333</v>
      </c>
    </row>
    <row r="280" spans="1:19">
      <c r="A280" s="5" t="str">
        <f>B280&amp;"-"&amp;COUNTIF($B$2:B280,B280)</f>
        <v>BAHIA-77</v>
      </c>
      <c r="B280" s="5" t="s">
        <v>296</v>
      </c>
      <c r="C280" s="53" t="s">
        <v>5457</v>
      </c>
      <c r="D280" s="6">
        <v>-442013</v>
      </c>
      <c r="E280" s="6">
        <v>-130729</v>
      </c>
      <c r="F280" s="7">
        <v>5.827</v>
      </c>
      <c r="G280" s="7">
        <v>6.42</v>
      </c>
      <c r="H280" s="7">
        <v>6.274</v>
      </c>
      <c r="I280" s="7">
        <v>5.6909999999999998</v>
      </c>
      <c r="J280" s="7">
        <v>5.4989999999999997</v>
      </c>
      <c r="K280" s="7">
        <v>5.242</v>
      </c>
      <c r="L280" s="7">
        <v>5.0359999999999996</v>
      </c>
      <c r="M280" s="7">
        <v>5.4210000000000003</v>
      </c>
      <c r="N280" s="7">
        <v>5.9749999999999996</v>
      </c>
      <c r="O280" s="7">
        <v>6.2750000000000004</v>
      </c>
      <c r="P280" s="7">
        <v>6.2560000000000002</v>
      </c>
      <c r="Q280" s="7">
        <v>5.6719999999999997</v>
      </c>
      <c r="R280" s="7">
        <v>6.16</v>
      </c>
      <c r="S280" s="7">
        <f t="shared" si="4"/>
        <v>5.8267499999999997</v>
      </c>
    </row>
    <row r="281" spans="1:19">
      <c r="A281" s="5" t="str">
        <f>B281&amp;"-"&amp;COUNTIF($B$2:B281,B281)</f>
        <v>BAHIA-78</v>
      </c>
      <c r="B281" s="5" t="s">
        <v>296</v>
      </c>
      <c r="C281" s="5" t="s">
        <v>350</v>
      </c>
      <c r="D281" s="6">
        <v>-41768</v>
      </c>
      <c r="E281" s="6">
        <v>-116863</v>
      </c>
      <c r="F281" s="7">
        <v>5.5949999999999998</v>
      </c>
      <c r="G281" s="7">
        <v>6.3120000000000003</v>
      </c>
      <c r="H281" s="7">
        <v>6.1580000000000004</v>
      </c>
      <c r="I281" s="7">
        <v>5.9370000000000003</v>
      </c>
      <c r="J281" s="7">
        <v>5.07</v>
      </c>
      <c r="K281" s="7">
        <v>4.5510000000000002</v>
      </c>
      <c r="L281" s="7">
        <v>4.3390000000000004</v>
      </c>
      <c r="M281" s="7">
        <v>4.5540000000000003</v>
      </c>
      <c r="N281" s="7">
        <v>5.2889999999999997</v>
      </c>
      <c r="O281" s="7">
        <v>6.11</v>
      </c>
      <c r="P281" s="7">
        <v>6.306</v>
      </c>
      <c r="Q281" s="7">
        <v>6.109</v>
      </c>
      <c r="R281" s="7">
        <v>6.4009999999999998</v>
      </c>
      <c r="S281" s="7">
        <f t="shared" si="4"/>
        <v>5.594666666666666</v>
      </c>
    </row>
    <row r="282" spans="1:19">
      <c r="A282" s="5" t="str">
        <f>B282&amp;"-"&amp;COUNTIF($B$2:B282,B282)</f>
        <v>BAHIA-79</v>
      </c>
      <c r="B282" s="5" t="s">
        <v>296</v>
      </c>
      <c r="C282" s="5" t="s">
        <v>351</v>
      </c>
      <c r="D282" s="6">
        <v>-38954</v>
      </c>
      <c r="E282" s="6">
        <v>-156727</v>
      </c>
      <c r="F282" s="7">
        <v>5.1989999999999998</v>
      </c>
      <c r="G282" s="7">
        <v>6.2709999999999999</v>
      </c>
      <c r="H282" s="7">
        <v>6.4020000000000001</v>
      </c>
      <c r="I282" s="7">
        <v>5.75</v>
      </c>
      <c r="J282" s="7">
        <v>4.7469999999999999</v>
      </c>
      <c r="K282" s="7">
        <v>4.0220000000000002</v>
      </c>
      <c r="L282" s="7">
        <v>3.6840000000000002</v>
      </c>
      <c r="M282" s="7">
        <v>3.9420000000000002</v>
      </c>
      <c r="N282" s="7">
        <v>4.6369999999999996</v>
      </c>
      <c r="O282" s="7">
        <v>5.2220000000000004</v>
      </c>
      <c r="P282" s="7">
        <v>5.5839999999999996</v>
      </c>
      <c r="Q282" s="7">
        <v>5.681</v>
      </c>
      <c r="R282" s="7">
        <v>6.4550000000000001</v>
      </c>
      <c r="S282" s="7">
        <f t="shared" si="4"/>
        <v>5.199749999999999</v>
      </c>
    </row>
    <row r="283" spans="1:19">
      <c r="A283" s="5" t="str">
        <f>B283&amp;"-"&amp;COUNTIF($B$2:B283,B283)</f>
        <v>BAHIA-80</v>
      </c>
      <c r="B283" s="5" t="s">
        <v>296</v>
      </c>
      <c r="C283" s="5" t="s">
        <v>352</v>
      </c>
      <c r="D283" s="6">
        <v>-391206</v>
      </c>
      <c r="E283" s="6">
        <v>-118053</v>
      </c>
      <c r="F283" s="7">
        <v>5.133</v>
      </c>
      <c r="G283" s="7">
        <v>6.1740000000000004</v>
      </c>
      <c r="H283" s="7">
        <v>6.0110000000000001</v>
      </c>
      <c r="I283" s="7">
        <v>5.77</v>
      </c>
      <c r="J283" s="7">
        <v>4.819</v>
      </c>
      <c r="K283" s="7">
        <v>4.0369999999999999</v>
      </c>
      <c r="L283" s="7">
        <v>3.718</v>
      </c>
      <c r="M283" s="7">
        <v>3.99</v>
      </c>
      <c r="N283" s="7">
        <v>4.4420000000000002</v>
      </c>
      <c r="O283" s="7">
        <v>5.2720000000000002</v>
      </c>
      <c r="P283" s="7">
        <v>5.4980000000000002</v>
      </c>
      <c r="Q283" s="7">
        <v>5.835</v>
      </c>
      <c r="R283" s="7">
        <v>6.0350000000000001</v>
      </c>
      <c r="S283" s="7">
        <f t="shared" si="4"/>
        <v>5.1334166666666663</v>
      </c>
    </row>
    <row r="284" spans="1:19">
      <c r="A284" s="5" t="str">
        <f>B284&amp;"-"&amp;COUNTIF($B$2:B284,B284)</f>
        <v>BAHIA-81</v>
      </c>
      <c r="B284" s="5" t="s">
        <v>296</v>
      </c>
      <c r="C284" s="5" t="s">
        <v>353</v>
      </c>
      <c r="D284" s="6">
        <v>-385405</v>
      </c>
      <c r="E284" s="6">
        <v>-126711</v>
      </c>
      <c r="F284" s="7">
        <v>4.9829999999999997</v>
      </c>
      <c r="G284" s="7">
        <v>5.976</v>
      </c>
      <c r="H284" s="7">
        <v>5.7569999999999997</v>
      </c>
      <c r="I284" s="7">
        <v>5.6109999999999998</v>
      </c>
      <c r="J284" s="7">
        <v>4.5140000000000002</v>
      </c>
      <c r="K284" s="7">
        <v>3.9089999999999998</v>
      </c>
      <c r="L284" s="7">
        <v>3.6150000000000002</v>
      </c>
      <c r="M284" s="7">
        <v>3.8660000000000001</v>
      </c>
      <c r="N284" s="7">
        <v>4.2919999999999998</v>
      </c>
      <c r="O284" s="7">
        <v>5.0949999999999998</v>
      </c>
      <c r="P284" s="7">
        <v>5.4130000000000003</v>
      </c>
      <c r="Q284" s="7">
        <v>5.6790000000000003</v>
      </c>
      <c r="R284" s="7">
        <v>6.0650000000000004</v>
      </c>
      <c r="S284" s="7">
        <f t="shared" si="4"/>
        <v>4.9826666666666668</v>
      </c>
    </row>
    <row r="285" spans="1:19">
      <c r="A285" s="5" t="str">
        <f>B285&amp;"-"&amp;COUNTIF($B$2:B285,B285)</f>
        <v>BAHIA-82</v>
      </c>
      <c r="B285" s="5" t="s">
        <v>296</v>
      </c>
      <c r="C285" s="5" t="s">
        <v>354</v>
      </c>
      <c r="D285" s="6">
        <v>-42871</v>
      </c>
      <c r="E285" s="6">
        <v>-144138</v>
      </c>
      <c r="F285" s="7">
        <v>5.8040000000000003</v>
      </c>
      <c r="G285" s="7">
        <v>6.609</v>
      </c>
      <c r="H285" s="7">
        <v>6.6630000000000003</v>
      </c>
      <c r="I285" s="7">
        <v>6.024</v>
      </c>
      <c r="J285" s="7">
        <v>5.4539999999999997</v>
      </c>
      <c r="K285" s="7">
        <v>4.8579999999999997</v>
      </c>
      <c r="L285" s="7">
        <v>4.641</v>
      </c>
      <c r="M285" s="7">
        <v>4.8650000000000002</v>
      </c>
      <c r="N285" s="7">
        <v>5.57</v>
      </c>
      <c r="O285" s="7">
        <v>6.0289999999999999</v>
      </c>
      <c r="P285" s="7">
        <v>6.4450000000000003</v>
      </c>
      <c r="Q285" s="7">
        <v>5.9489999999999998</v>
      </c>
      <c r="R285" s="7">
        <v>6.532</v>
      </c>
      <c r="S285" s="7">
        <f t="shared" si="4"/>
        <v>5.8032500000000011</v>
      </c>
    </row>
    <row r="286" spans="1:19">
      <c r="A286" s="5" t="str">
        <f>B286&amp;"-"&amp;COUNTIF($B$2:B286,B286)</f>
        <v>BAHIA-83</v>
      </c>
      <c r="B286" s="5" t="s">
        <v>296</v>
      </c>
      <c r="C286" s="5" t="s">
        <v>4600</v>
      </c>
      <c r="D286" s="6">
        <v>-394947</v>
      </c>
      <c r="E286" s="6">
        <v>-106651</v>
      </c>
      <c r="F286" s="7">
        <v>5.2539999999999996</v>
      </c>
      <c r="G286" s="7">
        <v>6.0629999999999997</v>
      </c>
      <c r="H286" s="7">
        <v>5.8689999999999998</v>
      </c>
      <c r="I286" s="7">
        <v>5.8730000000000002</v>
      </c>
      <c r="J286" s="7">
        <v>4.9390000000000001</v>
      </c>
      <c r="K286" s="7">
        <v>4.2110000000000003</v>
      </c>
      <c r="L286" s="7">
        <v>3.8479999999999999</v>
      </c>
      <c r="M286" s="7">
        <v>4.0750000000000002</v>
      </c>
      <c r="N286" s="7">
        <v>4.5970000000000004</v>
      </c>
      <c r="O286" s="7">
        <v>5.6189999999999998</v>
      </c>
      <c r="P286" s="7">
        <v>5.7130000000000001</v>
      </c>
      <c r="Q286" s="7">
        <v>6.1340000000000003</v>
      </c>
      <c r="R286" s="7">
        <v>6.1070000000000002</v>
      </c>
      <c r="S286" s="7">
        <f t="shared" si="4"/>
        <v>5.2540000000000004</v>
      </c>
    </row>
    <row r="287" spans="1:19">
      <c r="A287" s="5" t="str">
        <f>B287&amp;"-"&amp;COUNTIF($B$2:B287,B287)</f>
        <v>BAHIA-84</v>
      </c>
      <c r="B287" s="5" t="s">
        <v>296</v>
      </c>
      <c r="C287" s="5" t="s">
        <v>355</v>
      </c>
      <c r="D287" s="6">
        <v>-390281</v>
      </c>
      <c r="E287" s="6">
        <v>-98989</v>
      </c>
      <c r="F287" s="7">
        <v>5.4119999999999999</v>
      </c>
      <c r="G287" s="7">
        <v>6.2969999999999997</v>
      </c>
      <c r="H287" s="7">
        <v>5.9480000000000004</v>
      </c>
      <c r="I287" s="7">
        <v>5.8789999999999996</v>
      </c>
      <c r="J287" s="7">
        <v>5.1829999999999998</v>
      </c>
      <c r="K287" s="7">
        <v>4.3650000000000002</v>
      </c>
      <c r="L287" s="7">
        <v>3.9710000000000001</v>
      </c>
      <c r="M287" s="7">
        <v>4.1539999999999999</v>
      </c>
      <c r="N287" s="7">
        <v>4.7530000000000001</v>
      </c>
      <c r="O287" s="7">
        <v>5.7679999999999998</v>
      </c>
      <c r="P287" s="7">
        <v>5.9649999999999999</v>
      </c>
      <c r="Q287" s="7">
        <v>6.327</v>
      </c>
      <c r="R287" s="7">
        <v>6.3339999999999996</v>
      </c>
      <c r="S287" s="7">
        <f t="shared" si="4"/>
        <v>5.4119999999999999</v>
      </c>
    </row>
    <row r="288" spans="1:19">
      <c r="A288" s="5" t="str">
        <f>B288&amp;"-"&amp;COUNTIF($B$2:B288,B288)</f>
        <v>BAHIA-85</v>
      </c>
      <c r="B288" s="5" t="s">
        <v>296</v>
      </c>
      <c r="C288" s="5" t="s">
        <v>356</v>
      </c>
      <c r="D288" s="6">
        <v>-398352</v>
      </c>
      <c r="E288" s="6">
        <v>-116662</v>
      </c>
      <c r="F288" s="7">
        <v>5.0750000000000002</v>
      </c>
      <c r="G288" s="7">
        <v>6.0739999999999998</v>
      </c>
      <c r="H288" s="7">
        <v>5.9189999999999996</v>
      </c>
      <c r="I288" s="7">
        <v>5.7770000000000001</v>
      </c>
      <c r="J288" s="7">
        <v>4.7069999999999999</v>
      </c>
      <c r="K288" s="7">
        <v>3.9540000000000002</v>
      </c>
      <c r="L288" s="7">
        <v>3.6080000000000001</v>
      </c>
      <c r="M288" s="7">
        <v>3.8340000000000001</v>
      </c>
      <c r="N288" s="7">
        <v>4.4109999999999996</v>
      </c>
      <c r="O288" s="7">
        <v>5.3360000000000003</v>
      </c>
      <c r="P288" s="7">
        <v>5.4889999999999999</v>
      </c>
      <c r="Q288" s="7">
        <v>5.7830000000000004</v>
      </c>
      <c r="R288" s="7">
        <v>6.0129999999999999</v>
      </c>
      <c r="S288" s="7">
        <f t="shared" si="4"/>
        <v>5.0754166666666665</v>
      </c>
    </row>
    <row r="289" spans="1:19">
      <c r="A289" s="5" t="str">
        <f>B289&amp;"-"&amp;COUNTIF($B$2:B289,B289)</f>
        <v>BAHIA-86</v>
      </c>
      <c r="B289" s="5" t="s">
        <v>296</v>
      </c>
      <c r="C289" s="5" t="s">
        <v>357</v>
      </c>
      <c r="D289" s="6">
        <v>-400093</v>
      </c>
      <c r="E289" s="6">
        <v>-113801</v>
      </c>
      <c r="F289" s="7">
        <v>5.1020000000000003</v>
      </c>
      <c r="G289" s="7">
        <v>6.06</v>
      </c>
      <c r="H289" s="7">
        <v>5.9219999999999997</v>
      </c>
      <c r="I289" s="7">
        <v>5.7539999999999996</v>
      </c>
      <c r="J289" s="7">
        <v>4.6820000000000004</v>
      </c>
      <c r="K289" s="7">
        <v>4.0229999999999997</v>
      </c>
      <c r="L289" s="7">
        <v>3.7280000000000002</v>
      </c>
      <c r="M289" s="7">
        <v>3.9249999999999998</v>
      </c>
      <c r="N289" s="7">
        <v>4.5270000000000001</v>
      </c>
      <c r="O289" s="7">
        <v>5.4080000000000004</v>
      </c>
      <c r="P289" s="7">
        <v>5.5039999999999996</v>
      </c>
      <c r="Q289" s="7">
        <v>5.774</v>
      </c>
      <c r="R289" s="7">
        <v>5.9240000000000004</v>
      </c>
      <c r="S289" s="7">
        <f t="shared" si="4"/>
        <v>5.1025833333333335</v>
      </c>
    </row>
    <row r="290" spans="1:19">
      <c r="A290" s="5" t="str">
        <f>B290&amp;"-"&amp;COUNTIF($B$2:B290,B290)</f>
        <v>BAHIA-87</v>
      </c>
      <c r="B290" s="5" t="s">
        <v>296</v>
      </c>
      <c r="C290" s="5" t="s">
        <v>358</v>
      </c>
      <c r="D290" s="6">
        <v>-412557</v>
      </c>
      <c r="E290" s="6">
        <v>-147255</v>
      </c>
      <c r="F290" s="7">
        <v>5.3390000000000004</v>
      </c>
      <c r="G290" s="7">
        <v>6.2649999999999997</v>
      </c>
      <c r="H290" s="7">
        <v>6.3029999999999999</v>
      </c>
      <c r="I290" s="7">
        <v>5.7320000000000002</v>
      </c>
      <c r="J290" s="7">
        <v>5.0030000000000001</v>
      </c>
      <c r="K290" s="7">
        <v>4.3140000000000001</v>
      </c>
      <c r="L290" s="7">
        <v>3.915</v>
      </c>
      <c r="M290" s="7">
        <v>4.1710000000000003</v>
      </c>
      <c r="N290" s="7">
        <v>4.7670000000000003</v>
      </c>
      <c r="O290" s="7">
        <v>5.6470000000000002</v>
      </c>
      <c r="P290" s="7">
        <v>5.851</v>
      </c>
      <c r="Q290" s="7">
        <v>5.7439999999999998</v>
      </c>
      <c r="R290" s="7">
        <v>6.3540000000000001</v>
      </c>
      <c r="S290" s="7">
        <f t="shared" si="4"/>
        <v>5.3388333333333335</v>
      </c>
    </row>
    <row r="291" spans="1:19">
      <c r="A291" s="5" t="str">
        <f>B291&amp;"-"&amp;COUNTIF($B$2:B291,B291)</f>
        <v>BAHIA-88</v>
      </c>
      <c r="B291" s="5" t="s">
        <v>296</v>
      </c>
      <c r="C291" s="5" t="s">
        <v>359</v>
      </c>
      <c r="D291" s="5" t="s">
        <v>360</v>
      </c>
      <c r="E291" s="6">
        <v>-177273</v>
      </c>
      <c r="F291" s="7">
        <v>5.0419999999999998</v>
      </c>
      <c r="G291" s="7">
        <v>6.2889999999999997</v>
      </c>
      <c r="H291" s="7">
        <v>6.3040000000000003</v>
      </c>
      <c r="I291" s="7">
        <v>5.4960000000000004</v>
      </c>
      <c r="J291" s="7">
        <v>4.5149999999999997</v>
      </c>
      <c r="K291" s="7">
        <v>3.867</v>
      </c>
      <c r="L291" s="7">
        <v>3.5960000000000001</v>
      </c>
      <c r="M291" s="7">
        <v>3.7559999999999998</v>
      </c>
      <c r="N291" s="7">
        <v>4.4930000000000003</v>
      </c>
      <c r="O291" s="7">
        <v>4.9829999999999997</v>
      </c>
      <c r="P291" s="7">
        <v>5.3979999999999997</v>
      </c>
      <c r="Q291" s="7">
        <v>5.4619999999999997</v>
      </c>
      <c r="R291" s="7">
        <v>6.343</v>
      </c>
      <c r="S291" s="7">
        <f t="shared" si="4"/>
        <v>5.0418333333333338</v>
      </c>
    </row>
    <row r="292" spans="1:19">
      <c r="A292" s="5" t="str">
        <f>B292&amp;"-"&amp;COUNTIF($B$2:B292,B292)</f>
        <v>BAHIA-89</v>
      </c>
      <c r="B292" s="5" t="s">
        <v>296</v>
      </c>
      <c r="C292" s="5" t="s">
        <v>361</v>
      </c>
      <c r="D292" s="6">
        <v>-379487</v>
      </c>
      <c r="E292" s="6">
        <v>-119418</v>
      </c>
      <c r="F292" s="7">
        <v>5.1440000000000001</v>
      </c>
      <c r="G292" s="7">
        <v>6.0919999999999996</v>
      </c>
      <c r="H292" s="7">
        <v>5.8719999999999999</v>
      </c>
      <c r="I292" s="7">
        <v>5.7460000000000004</v>
      </c>
      <c r="J292" s="7">
        <v>4.7590000000000003</v>
      </c>
      <c r="K292" s="7">
        <v>4.0460000000000003</v>
      </c>
      <c r="L292" s="7">
        <v>3.8460000000000001</v>
      </c>
      <c r="M292" s="7">
        <v>4.0179999999999998</v>
      </c>
      <c r="N292" s="7">
        <v>4.4530000000000003</v>
      </c>
      <c r="O292" s="7">
        <v>5.234</v>
      </c>
      <c r="P292" s="7">
        <v>5.5750000000000002</v>
      </c>
      <c r="Q292" s="7">
        <v>5.9109999999999996</v>
      </c>
      <c r="R292" s="7">
        <v>6.1769999999999996</v>
      </c>
      <c r="S292" s="7">
        <f t="shared" si="4"/>
        <v>5.1440833333333336</v>
      </c>
    </row>
    <row r="293" spans="1:19">
      <c r="A293" s="5" t="str">
        <f>B293&amp;"-"&amp;COUNTIF($B$2:B293,B293)</f>
        <v>BAHIA-90</v>
      </c>
      <c r="B293" s="5" t="s">
        <v>296</v>
      </c>
      <c r="C293" s="5" t="s">
        <v>362</v>
      </c>
      <c r="D293" s="6">
        <v>-437727</v>
      </c>
      <c r="E293" s="6">
        <v>-14299</v>
      </c>
      <c r="F293" s="7">
        <v>5.8639999999999999</v>
      </c>
      <c r="G293" s="7">
        <v>6.556</v>
      </c>
      <c r="H293" s="7">
        <v>6.7039999999999997</v>
      </c>
      <c r="I293" s="7">
        <v>6.032</v>
      </c>
      <c r="J293" s="7">
        <v>5.5960000000000001</v>
      </c>
      <c r="K293" s="7">
        <v>5.0510000000000002</v>
      </c>
      <c r="L293" s="7">
        <v>4.8390000000000004</v>
      </c>
      <c r="M293" s="7">
        <v>5.1470000000000002</v>
      </c>
      <c r="N293" s="7">
        <v>5.681</v>
      </c>
      <c r="O293" s="7">
        <v>6.0519999999999996</v>
      </c>
      <c r="P293" s="7">
        <v>6.3780000000000001</v>
      </c>
      <c r="Q293" s="7">
        <v>5.8879999999999999</v>
      </c>
      <c r="R293" s="7">
        <v>6.44</v>
      </c>
      <c r="S293" s="7">
        <f t="shared" si="4"/>
        <v>5.8636666666666661</v>
      </c>
    </row>
    <row r="294" spans="1:19">
      <c r="A294" s="5" t="str">
        <f>B294&amp;"-"&amp;COUNTIF($B$2:B294,B294)</f>
        <v>BAHIA-91</v>
      </c>
      <c r="B294" s="5" t="s">
        <v>296</v>
      </c>
      <c r="C294" s="5" t="s">
        <v>363</v>
      </c>
      <c r="D294" s="6">
        <v>-409737</v>
      </c>
      <c r="E294" s="6">
        <v>-91743</v>
      </c>
      <c r="F294" s="7">
        <v>5.774</v>
      </c>
      <c r="G294" s="7">
        <v>6.33</v>
      </c>
      <c r="H294" s="7">
        <v>5.98</v>
      </c>
      <c r="I294" s="7">
        <v>5.8929999999999998</v>
      </c>
      <c r="J294" s="7">
        <v>5.2039999999999997</v>
      </c>
      <c r="K294" s="7">
        <v>4.9020000000000001</v>
      </c>
      <c r="L294" s="7">
        <v>4.7210000000000001</v>
      </c>
      <c r="M294" s="7">
        <v>4.9980000000000002</v>
      </c>
      <c r="N294" s="7">
        <v>5.7389999999999999</v>
      </c>
      <c r="O294" s="7">
        <v>6.375</v>
      </c>
      <c r="P294" s="7">
        <v>6.4130000000000003</v>
      </c>
      <c r="Q294" s="7">
        <v>6.4790000000000001</v>
      </c>
      <c r="R294" s="7">
        <v>6.258</v>
      </c>
      <c r="S294" s="7">
        <f t="shared" si="4"/>
        <v>5.774333333333332</v>
      </c>
    </row>
    <row r="295" spans="1:19">
      <c r="A295" s="5" t="str">
        <f>B295&amp;"-"&amp;COUNTIF($B$2:B295,B295)</f>
        <v>BAHIA-92</v>
      </c>
      <c r="B295" s="5" t="s">
        <v>296</v>
      </c>
      <c r="C295" s="5" t="s">
        <v>364</v>
      </c>
      <c r="D295" s="6">
        <v>-394266</v>
      </c>
      <c r="E295" s="6">
        <v>-127676</v>
      </c>
      <c r="F295" s="7">
        <v>4.9480000000000004</v>
      </c>
      <c r="G295" s="7">
        <v>5.85</v>
      </c>
      <c r="H295" s="7">
        <v>5.8659999999999997</v>
      </c>
      <c r="I295" s="7">
        <v>5.5609999999999999</v>
      </c>
      <c r="J295" s="7">
        <v>4.5599999999999996</v>
      </c>
      <c r="K295" s="7">
        <v>3.9830000000000001</v>
      </c>
      <c r="L295" s="7">
        <v>3.661</v>
      </c>
      <c r="M295" s="7">
        <v>3.8959999999999999</v>
      </c>
      <c r="N295" s="7">
        <v>4.415</v>
      </c>
      <c r="O295" s="7">
        <v>5.1070000000000002</v>
      </c>
      <c r="P295" s="7">
        <v>5.2409999999999997</v>
      </c>
      <c r="Q295" s="7">
        <v>5.3920000000000003</v>
      </c>
      <c r="R295" s="7">
        <v>5.843</v>
      </c>
      <c r="S295" s="7">
        <f t="shared" si="4"/>
        <v>4.947916666666667</v>
      </c>
    </row>
    <row r="296" spans="1:19">
      <c r="A296" s="5" t="str">
        <f>B296&amp;"-"&amp;COUNTIF($B$2:B296,B296)</f>
        <v>BAHIA-93</v>
      </c>
      <c r="B296" s="5" t="s">
        <v>296</v>
      </c>
      <c r="C296" s="5" t="s">
        <v>4900</v>
      </c>
      <c r="D296" s="6">
        <v>-448632</v>
      </c>
      <c r="E296" s="6">
        <v>-123158</v>
      </c>
      <c r="F296" s="7">
        <v>5.7830000000000004</v>
      </c>
      <c r="G296" s="7">
        <v>6.173</v>
      </c>
      <c r="H296" s="7">
        <v>5.99</v>
      </c>
      <c r="I296" s="7">
        <v>5.585</v>
      </c>
      <c r="J296" s="7">
        <v>5.484</v>
      </c>
      <c r="K296" s="7">
        <v>5.3010000000000002</v>
      </c>
      <c r="L296" s="7">
        <v>5.1459999999999999</v>
      </c>
      <c r="M296" s="7">
        <v>5.5220000000000002</v>
      </c>
      <c r="N296" s="7">
        <v>6.0739999999999998</v>
      </c>
      <c r="O296" s="7">
        <v>6.2119999999999997</v>
      </c>
      <c r="P296" s="7">
        <v>6.093</v>
      </c>
      <c r="Q296" s="7">
        <v>5.6749999999999998</v>
      </c>
      <c r="R296" s="7">
        <v>6.1429999999999998</v>
      </c>
      <c r="S296" s="7">
        <f t="shared" si="4"/>
        <v>5.7831666666666663</v>
      </c>
    </row>
    <row r="297" spans="1:19">
      <c r="A297" s="5" t="str">
        <f>B297&amp;"-"&amp;COUNTIF($B$2:B297,B297)</f>
        <v>BAHIA-94</v>
      </c>
      <c r="B297" s="5" t="s">
        <v>296</v>
      </c>
      <c r="C297" s="5" t="s">
        <v>365</v>
      </c>
      <c r="D297" s="6">
        <v>-383754</v>
      </c>
      <c r="E297" s="6">
        <v>-123541</v>
      </c>
      <c r="F297" s="7">
        <v>5.09</v>
      </c>
      <c r="G297" s="7">
        <v>6.0739999999999998</v>
      </c>
      <c r="H297" s="7">
        <v>5.9080000000000004</v>
      </c>
      <c r="I297" s="7">
        <v>5.6980000000000004</v>
      </c>
      <c r="J297" s="7">
        <v>4.6349999999999998</v>
      </c>
      <c r="K297" s="7">
        <v>3.9430000000000001</v>
      </c>
      <c r="L297" s="7">
        <v>3.734</v>
      </c>
      <c r="M297" s="7">
        <v>3.9089999999999998</v>
      </c>
      <c r="N297" s="7">
        <v>4.4429999999999996</v>
      </c>
      <c r="O297" s="7">
        <v>5.1970000000000001</v>
      </c>
      <c r="P297" s="7">
        <v>5.53</v>
      </c>
      <c r="Q297" s="7">
        <v>5.8529999999999998</v>
      </c>
      <c r="R297" s="7">
        <v>6.157</v>
      </c>
      <c r="S297" s="7">
        <f t="shared" si="4"/>
        <v>5.0900833333333333</v>
      </c>
    </row>
    <row r="298" spans="1:19">
      <c r="A298" s="5" t="str">
        <f>B298&amp;"-"&amp;COUNTIF($B$2:B298,B298)</f>
        <v>BAHIA-95</v>
      </c>
      <c r="B298" s="5" t="s">
        <v>296</v>
      </c>
      <c r="C298" s="5" t="s">
        <v>366</v>
      </c>
      <c r="D298" s="6">
        <v>-422918</v>
      </c>
      <c r="E298" s="6">
        <v>-133303</v>
      </c>
      <c r="F298" s="7">
        <v>5.8529999999999998</v>
      </c>
      <c r="G298" s="7">
        <v>6.4779999999999998</v>
      </c>
      <c r="H298" s="7">
        <v>6.5869999999999997</v>
      </c>
      <c r="I298" s="7">
        <v>6.0659999999999998</v>
      </c>
      <c r="J298" s="7">
        <v>5.4749999999999996</v>
      </c>
      <c r="K298" s="7">
        <v>4.992</v>
      </c>
      <c r="L298" s="7">
        <v>4.7910000000000004</v>
      </c>
      <c r="M298" s="7">
        <v>4.9690000000000003</v>
      </c>
      <c r="N298" s="7">
        <v>5.66</v>
      </c>
      <c r="O298" s="7">
        <v>6.194</v>
      </c>
      <c r="P298" s="7">
        <v>6.4020000000000001</v>
      </c>
      <c r="Q298" s="7">
        <v>6.032</v>
      </c>
      <c r="R298" s="7">
        <v>6.5890000000000004</v>
      </c>
      <c r="S298" s="7">
        <f t="shared" si="4"/>
        <v>5.8529166666666663</v>
      </c>
    </row>
    <row r="299" spans="1:19">
      <c r="A299" s="5" t="str">
        <f>B299&amp;"-"&amp;COUNTIF($B$2:B299,B299)</f>
        <v>BAHIA-96</v>
      </c>
      <c r="B299" s="5" t="s">
        <v>296</v>
      </c>
      <c r="C299" s="5" t="s">
        <v>367</v>
      </c>
      <c r="D299" s="6">
        <v>-42112</v>
      </c>
      <c r="E299" s="6">
        <v>-11138</v>
      </c>
      <c r="F299" s="7">
        <v>5.8360000000000003</v>
      </c>
      <c r="G299" s="7">
        <v>6.351</v>
      </c>
      <c r="H299" s="7">
        <v>6.14</v>
      </c>
      <c r="I299" s="7">
        <v>6.008</v>
      </c>
      <c r="J299" s="7">
        <v>5.37</v>
      </c>
      <c r="K299" s="7">
        <v>4.9939999999999998</v>
      </c>
      <c r="L299" s="7">
        <v>4.8170000000000002</v>
      </c>
      <c r="M299" s="7">
        <v>5.0369999999999999</v>
      </c>
      <c r="N299" s="7">
        <v>5.8220000000000001</v>
      </c>
      <c r="O299" s="7">
        <v>6.4560000000000004</v>
      </c>
      <c r="P299" s="7">
        <v>6.4359999999999999</v>
      </c>
      <c r="Q299" s="7">
        <v>6.2309999999999999</v>
      </c>
      <c r="R299" s="7">
        <v>6.3739999999999997</v>
      </c>
      <c r="S299" s="7">
        <f t="shared" si="4"/>
        <v>5.8363333333333332</v>
      </c>
    </row>
    <row r="300" spans="1:19">
      <c r="A300" s="5" t="str">
        <f>B300&amp;"-"&amp;COUNTIF($B$2:B300,B300)</f>
        <v>BAHIA-97</v>
      </c>
      <c r="B300" s="5" t="s">
        <v>296</v>
      </c>
      <c r="C300" s="5" t="s">
        <v>5052</v>
      </c>
      <c r="D300" s="6">
        <v>-390983</v>
      </c>
      <c r="E300" s="6">
        <v>-89699</v>
      </c>
      <c r="F300" s="7">
        <v>5.6150000000000002</v>
      </c>
      <c r="G300" s="7">
        <v>6.2249999999999996</v>
      </c>
      <c r="H300" s="7">
        <v>5.9649999999999999</v>
      </c>
      <c r="I300" s="7">
        <v>5.98</v>
      </c>
      <c r="J300" s="7">
        <v>5.375</v>
      </c>
      <c r="K300" s="7">
        <v>4.6239999999999997</v>
      </c>
      <c r="L300" s="7">
        <v>4.2370000000000001</v>
      </c>
      <c r="M300" s="7">
        <v>4.4710000000000001</v>
      </c>
      <c r="N300" s="7">
        <v>5.1989999999999998</v>
      </c>
      <c r="O300" s="7">
        <v>6.0670000000000002</v>
      </c>
      <c r="P300" s="7">
        <v>6.274</v>
      </c>
      <c r="Q300" s="7">
        <v>6.5640000000000001</v>
      </c>
      <c r="R300" s="7">
        <v>6.4039999999999999</v>
      </c>
      <c r="S300" s="7">
        <f t="shared" si="4"/>
        <v>5.6154166666666656</v>
      </c>
    </row>
    <row r="301" spans="1:19">
      <c r="A301" s="5" t="str">
        <f>B301&amp;"-"&amp;COUNTIF($B$2:B301,B301)</f>
        <v>BAHIA-98</v>
      </c>
      <c r="B301" s="5" t="s">
        <v>296</v>
      </c>
      <c r="C301" s="53" t="s">
        <v>5053</v>
      </c>
      <c r="D301" s="6">
        <v>-385183</v>
      </c>
      <c r="E301" s="6">
        <v>-111036</v>
      </c>
      <c r="F301" s="7">
        <v>5.2080000000000002</v>
      </c>
      <c r="G301" s="7">
        <v>6.1509999999999998</v>
      </c>
      <c r="H301" s="7">
        <v>5.976</v>
      </c>
      <c r="I301" s="7">
        <v>5.899</v>
      </c>
      <c r="J301" s="7">
        <v>4.9640000000000004</v>
      </c>
      <c r="K301" s="7">
        <v>4.1319999999999997</v>
      </c>
      <c r="L301" s="7">
        <v>3.8690000000000002</v>
      </c>
      <c r="M301" s="7">
        <v>3.9870000000000001</v>
      </c>
      <c r="N301" s="7">
        <v>4.4649999999999999</v>
      </c>
      <c r="O301" s="7">
        <v>5.3209999999999997</v>
      </c>
      <c r="P301" s="7">
        <v>5.64</v>
      </c>
      <c r="Q301" s="7">
        <v>6.0019999999999998</v>
      </c>
      <c r="R301" s="7">
        <v>6.0960000000000001</v>
      </c>
      <c r="S301" s="7">
        <f t="shared" si="4"/>
        <v>5.2084999999999999</v>
      </c>
    </row>
    <row r="302" spans="1:19">
      <c r="A302" s="5" t="str">
        <f>B302&amp;"-"&amp;COUNTIF($B$2:B302,B302)</f>
        <v>BAHIA-99</v>
      </c>
      <c r="B302" s="5" t="s">
        <v>296</v>
      </c>
      <c r="C302" s="5" t="s">
        <v>368</v>
      </c>
      <c r="D302" s="6">
        <v>-395559</v>
      </c>
      <c r="E302" s="6">
        <v>-146375</v>
      </c>
      <c r="F302" s="7">
        <v>4.7300000000000004</v>
      </c>
      <c r="G302" s="7">
        <v>5.6319999999999997</v>
      </c>
      <c r="H302" s="7">
        <v>5.7460000000000004</v>
      </c>
      <c r="I302" s="7">
        <v>5.3630000000000004</v>
      </c>
      <c r="J302" s="7">
        <v>4.4930000000000003</v>
      </c>
      <c r="K302" s="7">
        <v>3.8140000000000001</v>
      </c>
      <c r="L302" s="7">
        <v>3.47</v>
      </c>
      <c r="M302" s="7">
        <v>3.6259999999999999</v>
      </c>
      <c r="N302" s="7">
        <v>4.1070000000000002</v>
      </c>
      <c r="O302" s="7">
        <v>4.7089999999999996</v>
      </c>
      <c r="P302" s="7">
        <v>4.9119999999999999</v>
      </c>
      <c r="Q302" s="7">
        <v>5.0599999999999996</v>
      </c>
      <c r="R302" s="7">
        <v>5.8259999999999996</v>
      </c>
      <c r="S302" s="7">
        <f t="shared" si="4"/>
        <v>4.7298333333333327</v>
      </c>
    </row>
    <row r="303" spans="1:19">
      <c r="A303" s="5" t="str">
        <f>B303&amp;"-"&amp;COUNTIF($B$2:B303,B303)</f>
        <v>BAHIA-100</v>
      </c>
      <c r="B303" s="5" t="s">
        <v>296</v>
      </c>
      <c r="C303" s="5" t="s">
        <v>369</v>
      </c>
      <c r="D303" s="6">
        <v>-445356</v>
      </c>
      <c r="E303" s="6">
        <v>-141818</v>
      </c>
      <c r="F303" s="7">
        <v>5.87</v>
      </c>
      <c r="G303" s="7">
        <v>6.4530000000000003</v>
      </c>
      <c r="H303" s="7">
        <v>6.56</v>
      </c>
      <c r="I303" s="7">
        <v>5.8890000000000002</v>
      </c>
      <c r="J303" s="7">
        <v>5.66</v>
      </c>
      <c r="K303" s="7">
        <v>5.1680000000000001</v>
      </c>
      <c r="L303" s="7">
        <v>4.9950000000000001</v>
      </c>
      <c r="M303" s="7">
        <v>5.3179999999999996</v>
      </c>
      <c r="N303" s="7">
        <v>5.8869999999999996</v>
      </c>
      <c r="O303" s="7">
        <v>6.2519999999999998</v>
      </c>
      <c r="P303" s="7">
        <v>6.2779999999999996</v>
      </c>
      <c r="Q303" s="7">
        <v>5.7110000000000003</v>
      </c>
      <c r="R303" s="7">
        <v>6.2789999999999999</v>
      </c>
      <c r="S303" s="7">
        <f t="shared" si="4"/>
        <v>5.8708333333333336</v>
      </c>
    </row>
    <row r="304" spans="1:19">
      <c r="A304" s="5" t="str">
        <f>B304&amp;"-"&amp;COUNTIF($B$2:B304,B304)</f>
        <v>BAHIA-101</v>
      </c>
      <c r="B304" s="5" t="s">
        <v>296</v>
      </c>
      <c r="C304" s="5" t="s">
        <v>4601</v>
      </c>
      <c r="D304" s="6">
        <v>-389981</v>
      </c>
      <c r="E304" s="6">
        <v>-125083</v>
      </c>
      <c r="F304" s="7">
        <v>5.0780000000000003</v>
      </c>
      <c r="G304" s="7">
        <v>6.0590000000000002</v>
      </c>
      <c r="H304" s="7">
        <v>5.9269999999999996</v>
      </c>
      <c r="I304" s="7">
        <v>5.7119999999999997</v>
      </c>
      <c r="J304" s="7">
        <v>4.6440000000000001</v>
      </c>
      <c r="K304" s="7">
        <v>3.992</v>
      </c>
      <c r="L304" s="7">
        <v>3.625</v>
      </c>
      <c r="M304" s="7">
        <v>3.895</v>
      </c>
      <c r="N304" s="7">
        <v>4.4240000000000004</v>
      </c>
      <c r="O304" s="7">
        <v>5.2789999999999999</v>
      </c>
      <c r="P304" s="7">
        <v>5.5510000000000002</v>
      </c>
      <c r="Q304" s="7">
        <v>5.7549999999999999</v>
      </c>
      <c r="R304" s="7">
        <v>6.07</v>
      </c>
      <c r="S304" s="7">
        <f t="shared" si="4"/>
        <v>5.0777500000000009</v>
      </c>
    </row>
    <row r="305" spans="1:19">
      <c r="A305" s="5" t="str">
        <f>B305&amp;"-"&amp;COUNTIF($B$2:B305,B305)</f>
        <v>BAHIA-102</v>
      </c>
      <c r="B305" s="5" t="s">
        <v>296</v>
      </c>
      <c r="C305" s="5" t="s">
        <v>4602</v>
      </c>
      <c r="D305" s="6">
        <v>-391718</v>
      </c>
      <c r="E305" s="6">
        <v>-12784</v>
      </c>
      <c r="F305" s="7">
        <v>5.0389999999999997</v>
      </c>
      <c r="G305" s="7">
        <v>5.9610000000000003</v>
      </c>
      <c r="H305" s="7">
        <v>5.9169999999999998</v>
      </c>
      <c r="I305" s="7">
        <v>5.6829999999999998</v>
      </c>
      <c r="J305" s="7">
        <v>4.6189999999999998</v>
      </c>
      <c r="K305" s="7">
        <v>4.0069999999999997</v>
      </c>
      <c r="L305" s="7">
        <v>3.6480000000000001</v>
      </c>
      <c r="M305" s="7">
        <v>3.8650000000000002</v>
      </c>
      <c r="N305" s="7">
        <v>4.391</v>
      </c>
      <c r="O305" s="7">
        <v>5.1790000000000003</v>
      </c>
      <c r="P305" s="7">
        <v>5.4470000000000001</v>
      </c>
      <c r="Q305" s="7">
        <v>5.6890000000000001</v>
      </c>
      <c r="R305" s="7">
        <v>6.0579999999999998</v>
      </c>
      <c r="S305" s="7">
        <f t="shared" si="4"/>
        <v>5.0386666666666668</v>
      </c>
    </row>
    <row r="306" spans="1:19">
      <c r="A306" s="5" t="str">
        <f>B306&amp;"-"&amp;COUNTIF($B$2:B306,B306)</f>
        <v>BAHIA-103</v>
      </c>
      <c r="B306" s="5" t="s">
        <v>296</v>
      </c>
      <c r="C306" s="5" t="s">
        <v>4603</v>
      </c>
      <c r="D306" s="6">
        <v>-392812</v>
      </c>
      <c r="E306" s="6">
        <v>-115604</v>
      </c>
      <c r="F306" s="7">
        <v>5.1630000000000003</v>
      </c>
      <c r="G306" s="7">
        <v>6.1449999999999996</v>
      </c>
      <c r="H306" s="7">
        <v>5.9340000000000002</v>
      </c>
      <c r="I306" s="7">
        <v>5.7939999999999996</v>
      </c>
      <c r="J306" s="7">
        <v>4.82</v>
      </c>
      <c r="K306" s="7">
        <v>4.0830000000000002</v>
      </c>
      <c r="L306" s="7">
        <v>3.7610000000000001</v>
      </c>
      <c r="M306" s="7">
        <v>3.968</v>
      </c>
      <c r="N306" s="7">
        <v>4.5650000000000004</v>
      </c>
      <c r="O306" s="7">
        <v>5.3970000000000002</v>
      </c>
      <c r="P306" s="7">
        <v>5.6180000000000003</v>
      </c>
      <c r="Q306" s="7">
        <v>5.8849999999999998</v>
      </c>
      <c r="R306" s="7">
        <v>5.984</v>
      </c>
      <c r="S306" s="7">
        <f t="shared" si="4"/>
        <v>5.1628333333333334</v>
      </c>
    </row>
    <row r="307" spans="1:19">
      <c r="A307" s="5" t="str">
        <f>B307&amp;"-"&amp;COUNTIF($B$2:B307,B307)</f>
        <v>BAHIA-104</v>
      </c>
      <c r="B307" s="5" t="s">
        <v>296</v>
      </c>
      <c r="C307" s="5" t="s">
        <v>4604</v>
      </c>
      <c r="D307" s="6">
        <v>-387688</v>
      </c>
      <c r="E307" s="6">
        <v>-123273</v>
      </c>
      <c r="F307" s="7">
        <v>5.0650000000000004</v>
      </c>
      <c r="G307" s="7">
        <v>6.0759999999999996</v>
      </c>
      <c r="H307" s="7">
        <v>5.9039999999999999</v>
      </c>
      <c r="I307" s="7">
        <v>5.7160000000000002</v>
      </c>
      <c r="J307" s="7">
        <v>4.6390000000000002</v>
      </c>
      <c r="K307" s="7">
        <v>3.9609999999999999</v>
      </c>
      <c r="L307" s="7">
        <v>3.6379999999999999</v>
      </c>
      <c r="M307" s="7">
        <v>3.8889999999999998</v>
      </c>
      <c r="N307" s="7">
        <v>4.3760000000000003</v>
      </c>
      <c r="O307" s="7">
        <v>5.2619999999999996</v>
      </c>
      <c r="P307" s="7">
        <v>5.492</v>
      </c>
      <c r="Q307" s="7">
        <v>5.7649999999999997</v>
      </c>
      <c r="R307" s="7">
        <v>6.0650000000000004</v>
      </c>
      <c r="S307" s="7">
        <f t="shared" si="4"/>
        <v>5.0652499999999998</v>
      </c>
    </row>
    <row r="308" spans="1:19">
      <c r="A308" s="5" t="str">
        <f>B308&amp;"-"&amp;COUNTIF($B$2:B308,B308)</f>
        <v>BAHIA-105</v>
      </c>
      <c r="B308" s="5" t="s">
        <v>296</v>
      </c>
      <c r="C308" s="5" t="s">
        <v>370</v>
      </c>
      <c r="D308" s="6">
        <v>-376134</v>
      </c>
      <c r="E308" s="6">
        <v>-118184</v>
      </c>
      <c r="F308" s="7">
        <v>5.359</v>
      </c>
      <c r="G308" s="7">
        <v>6.3140000000000001</v>
      </c>
      <c r="H308" s="7">
        <v>6.1559999999999997</v>
      </c>
      <c r="I308" s="7">
        <v>6.0380000000000003</v>
      </c>
      <c r="J308" s="7">
        <v>4.9409999999999998</v>
      </c>
      <c r="K308" s="7">
        <v>4.2679999999999998</v>
      </c>
      <c r="L308" s="7">
        <v>3.9729999999999999</v>
      </c>
      <c r="M308" s="7">
        <v>4.0979999999999999</v>
      </c>
      <c r="N308" s="7">
        <v>4.6289999999999996</v>
      </c>
      <c r="O308" s="7">
        <v>5.4329999999999998</v>
      </c>
      <c r="P308" s="7">
        <v>5.8</v>
      </c>
      <c r="Q308" s="7">
        <v>6.181</v>
      </c>
      <c r="R308" s="7">
        <v>6.4710000000000001</v>
      </c>
      <c r="S308" s="7">
        <f t="shared" si="4"/>
        <v>5.3584999999999994</v>
      </c>
    </row>
    <row r="309" spans="1:19">
      <c r="A309" s="5" t="str">
        <f>B309&amp;"-"&amp;COUNTIF($B$2:B309,B309)</f>
        <v>BAHIA-106</v>
      </c>
      <c r="B309" s="5" t="s">
        <v>296</v>
      </c>
      <c r="C309" s="53" t="s">
        <v>4808</v>
      </c>
      <c r="D309" s="6">
        <v>-419722</v>
      </c>
      <c r="E309" s="6">
        <v>-149027</v>
      </c>
      <c r="F309" s="7">
        <v>5.3490000000000002</v>
      </c>
      <c r="G309" s="7">
        <v>6.2069999999999999</v>
      </c>
      <c r="H309" s="7">
        <v>6.3380000000000001</v>
      </c>
      <c r="I309" s="7">
        <v>5.6609999999999996</v>
      </c>
      <c r="J309" s="7">
        <v>4.976</v>
      </c>
      <c r="K309" s="7">
        <v>4.3639999999999999</v>
      </c>
      <c r="L309" s="7">
        <v>3.9620000000000002</v>
      </c>
      <c r="M309" s="7">
        <v>4.2590000000000003</v>
      </c>
      <c r="N309" s="7">
        <v>4.9749999999999996</v>
      </c>
      <c r="O309" s="7">
        <v>5.7480000000000002</v>
      </c>
      <c r="P309" s="7">
        <v>5.9219999999999997</v>
      </c>
      <c r="Q309" s="7">
        <v>5.5389999999999997</v>
      </c>
      <c r="R309" s="7">
        <v>6.2350000000000003</v>
      </c>
      <c r="S309" s="7">
        <f t="shared" si="4"/>
        <v>5.3488333333333324</v>
      </c>
    </row>
    <row r="310" spans="1:19">
      <c r="A310" s="5" t="str">
        <f>B310&amp;"-"&amp;COUNTIF($B$2:B310,B310)</f>
        <v>BAHIA-107</v>
      </c>
      <c r="B310" s="5" t="s">
        <v>296</v>
      </c>
      <c r="C310" s="5" t="s">
        <v>5458</v>
      </c>
      <c r="D310" s="6">
        <v>-41043</v>
      </c>
      <c r="E310" s="6">
        <v>-137628</v>
      </c>
      <c r="F310" s="7">
        <v>5.2009999999999996</v>
      </c>
      <c r="G310" s="7">
        <v>6.1020000000000003</v>
      </c>
      <c r="H310" s="7">
        <v>6.1150000000000002</v>
      </c>
      <c r="I310" s="7">
        <v>5.68</v>
      </c>
      <c r="J310" s="7">
        <v>4.7709999999999999</v>
      </c>
      <c r="K310" s="7">
        <v>4.1719999999999997</v>
      </c>
      <c r="L310" s="7">
        <v>3.8050000000000002</v>
      </c>
      <c r="M310" s="7">
        <v>4.0289999999999999</v>
      </c>
      <c r="N310" s="7">
        <v>4.6429999999999998</v>
      </c>
      <c r="O310" s="7">
        <v>5.5830000000000002</v>
      </c>
      <c r="P310" s="7">
        <v>5.681</v>
      </c>
      <c r="Q310" s="7">
        <v>5.6079999999999997</v>
      </c>
      <c r="R310" s="7">
        <v>6.2229999999999999</v>
      </c>
      <c r="S310" s="7">
        <f t="shared" si="4"/>
        <v>5.2009999999999996</v>
      </c>
    </row>
    <row r="311" spans="1:19">
      <c r="A311" s="5" t="str">
        <f>B311&amp;"-"&amp;COUNTIF($B$2:B311,B311)</f>
        <v>BAHIA-108</v>
      </c>
      <c r="B311" s="5" t="s">
        <v>296</v>
      </c>
      <c r="C311" s="5" t="s">
        <v>4605</v>
      </c>
      <c r="D311" s="6">
        <v>-387477</v>
      </c>
      <c r="E311" s="6">
        <v>-122493</v>
      </c>
      <c r="F311" s="7">
        <v>5.0839999999999996</v>
      </c>
      <c r="G311" s="7">
        <v>6.0579999999999998</v>
      </c>
      <c r="H311" s="7">
        <v>5.8410000000000002</v>
      </c>
      <c r="I311" s="7">
        <v>5.7279999999999998</v>
      </c>
      <c r="J311" s="7">
        <v>4.7</v>
      </c>
      <c r="K311" s="7">
        <v>3.9580000000000002</v>
      </c>
      <c r="L311" s="7">
        <v>3.681</v>
      </c>
      <c r="M311" s="7">
        <v>3.9020000000000001</v>
      </c>
      <c r="N311" s="7">
        <v>4.4450000000000003</v>
      </c>
      <c r="O311" s="7">
        <v>5.282</v>
      </c>
      <c r="P311" s="7">
        <v>5.5220000000000002</v>
      </c>
      <c r="Q311" s="7">
        <v>5.8109999999999999</v>
      </c>
      <c r="R311" s="7">
        <v>6.0810000000000004</v>
      </c>
      <c r="S311" s="7">
        <f t="shared" si="4"/>
        <v>5.0840833333333331</v>
      </c>
    </row>
    <row r="312" spans="1:19">
      <c r="A312" s="5" t="str">
        <f>B312&amp;"-"&amp;COUNTIF($B$2:B312,B312)</f>
        <v>BAHIA-109</v>
      </c>
      <c r="B312" s="5" t="s">
        <v>296</v>
      </c>
      <c r="C312" s="5" t="s">
        <v>371</v>
      </c>
      <c r="D312" s="6">
        <v>-419318</v>
      </c>
      <c r="E312" s="6">
        <v>-150392</v>
      </c>
      <c r="F312" s="7">
        <v>5.3170000000000002</v>
      </c>
      <c r="G312" s="7">
        <v>6.2</v>
      </c>
      <c r="H312" s="7">
        <v>6.3390000000000004</v>
      </c>
      <c r="I312" s="7">
        <v>5.569</v>
      </c>
      <c r="J312" s="7">
        <v>4.8979999999999997</v>
      </c>
      <c r="K312" s="7">
        <v>4.3360000000000003</v>
      </c>
      <c r="L312" s="7">
        <v>3.9089999999999998</v>
      </c>
      <c r="M312" s="7">
        <v>4.2249999999999996</v>
      </c>
      <c r="N312" s="7">
        <v>4.9409999999999998</v>
      </c>
      <c r="O312" s="7">
        <v>5.7220000000000004</v>
      </c>
      <c r="P312" s="7">
        <v>5.8789999999999996</v>
      </c>
      <c r="Q312" s="7">
        <v>5.5330000000000004</v>
      </c>
      <c r="R312" s="7">
        <v>6.2549999999999999</v>
      </c>
      <c r="S312" s="7">
        <f t="shared" si="4"/>
        <v>5.317166666666667</v>
      </c>
    </row>
    <row r="313" spans="1:19">
      <c r="A313" s="5" t="str">
        <f>B313&amp;"-"&amp;COUNTIF($B$2:B313,B313)</f>
        <v>BAHIA-110</v>
      </c>
      <c r="B313" s="5" t="s">
        <v>296</v>
      </c>
      <c r="C313" s="5" t="s">
        <v>372</v>
      </c>
      <c r="D313" s="6">
        <v>-444569</v>
      </c>
      <c r="E313" s="6">
        <v>-138281</v>
      </c>
      <c r="F313" s="7">
        <v>5.81</v>
      </c>
      <c r="G313" s="7">
        <v>6.4029999999999996</v>
      </c>
      <c r="H313" s="7">
        <v>6.44</v>
      </c>
      <c r="I313" s="7">
        <v>5.726</v>
      </c>
      <c r="J313" s="7">
        <v>5.5519999999999996</v>
      </c>
      <c r="K313" s="7">
        <v>5.1340000000000003</v>
      </c>
      <c r="L313" s="7">
        <v>4.9619999999999997</v>
      </c>
      <c r="M313" s="7">
        <v>5.2850000000000001</v>
      </c>
      <c r="N313" s="7">
        <v>5.8529999999999998</v>
      </c>
      <c r="O313" s="7">
        <v>6.2089999999999996</v>
      </c>
      <c r="P313" s="7">
        <v>6.27</v>
      </c>
      <c r="Q313" s="7">
        <v>5.649</v>
      </c>
      <c r="R313" s="7">
        <v>6.2380000000000004</v>
      </c>
      <c r="S313" s="7">
        <f t="shared" si="4"/>
        <v>5.8100833333333322</v>
      </c>
    </row>
    <row r="314" spans="1:19">
      <c r="A314" s="5" t="str">
        <f>B314&amp;"-"&amp;COUNTIF($B$2:B314,B314)</f>
        <v>BAHIA-111</v>
      </c>
      <c r="B314" s="5" t="s">
        <v>296</v>
      </c>
      <c r="C314" s="5" t="s">
        <v>5459</v>
      </c>
      <c r="D314" s="6">
        <v>-379254</v>
      </c>
      <c r="E314" s="6">
        <v>-102843</v>
      </c>
      <c r="F314" s="7">
        <v>5.258</v>
      </c>
      <c r="G314" s="7">
        <v>6.0270000000000001</v>
      </c>
      <c r="H314" s="7">
        <v>5.907</v>
      </c>
      <c r="I314" s="7">
        <v>5.7649999999999997</v>
      </c>
      <c r="J314" s="7">
        <v>5.0780000000000003</v>
      </c>
      <c r="K314" s="7">
        <v>4.2560000000000002</v>
      </c>
      <c r="L314" s="7">
        <v>3.919</v>
      </c>
      <c r="M314" s="7">
        <v>4.1539999999999999</v>
      </c>
      <c r="N314" s="7">
        <v>4.6710000000000003</v>
      </c>
      <c r="O314" s="7">
        <v>5.4249999999999998</v>
      </c>
      <c r="P314" s="7">
        <v>5.6379999999999999</v>
      </c>
      <c r="Q314" s="7">
        <v>6.0960000000000001</v>
      </c>
      <c r="R314" s="7">
        <v>6.1550000000000002</v>
      </c>
      <c r="S314" s="7">
        <f t="shared" si="4"/>
        <v>5.2575833333333328</v>
      </c>
    </row>
    <row r="315" spans="1:19">
      <c r="A315" s="5" t="str">
        <f>B315&amp;"-"&amp;COUNTIF($B$2:B315,B315)</f>
        <v>BAHIA-112</v>
      </c>
      <c r="B315" s="5" t="s">
        <v>296</v>
      </c>
      <c r="C315" s="5" t="s">
        <v>373</v>
      </c>
      <c r="D315" s="6">
        <v>-446349</v>
      </c>
      <c r="E315" s="6">
        <v>-133432</v>
      </c>
      <c r="F315" s="7">
        <v>5.8490000000000002</v>
      </c>
      <c r="G315" s="7">
        <v>6.4459999999999997</v>
      </c>
      <c r="H315" s="7">
        <v>6.34</v>
      </c>
      <c r="I315" s="7">
        <v>5.7969999999999997</v>
      </c>
      <c r="J315" s="7">
        <v>5.6470000000000002</v>
      </c>
      <c r="K315" s="7">
        <v>5.2519999999999998</v>
      </c>
      <c r="L315" s="7">
        <v>5.0330000000000004</v>
      </c>
      <c r="M315" s="7">
        <v>5.4349999999999996</v>
      </c>
      <c r="N315" s="7">
        <v>5.9340000000000002</v>
      </c>
      <c r="O315" s="7">
        <v>6.1870000000000003</v>
      </c>
      <c r="P315" s="7">
        <v>6.2210000000000001</v>
      </c>
      <c r="Q315" s="7">
        <v>5.6509999999999998</v>
      </c>
      <c r="R315" s="7">
        <v>6.2450000000000001</v>
      </c>
      <c r="S315" s="7">
        <f t="shared" si="4"/>
        <v>5.8489999999999993</v>
      </c>
    </row>
    <row r="316" spans="1:19">
      <c r="A316" s="5" t="str">
        <f>B316&amp;"-"&amp;COUNTIF($B$2:B316,B316)</f>
        <v>BAHIA-113</v>
      </c>
      <c r="B316" s="5" t="s">
        <v>296</v>
      </c>
      <c r="C316" s="5" t="s">
        <v>374</v>
      </c>
      <c r="D316" s="6">
        <v>-442612</v>
      </c>
      <c r="E316" s="6">
        <v>-120292</v>
      </c>
      <c r="F316" s="7">
        <v>5.8970000000000002</v>
      </c>
      <c r="G316" s="7">
        <v>6.4939999999999998</v>
      </c>
      <c r="H316" s="7">
        <v>6.2130000000000001</v>
      </c>
      <c r="I316" s="7">
        <v>5.8339999999999996</v>
      </c>
      <c r="J316" s="7">
        <v>5.641</v>
      </c>
      <c r="K316" s="7">
        <v>5.3230000000000004</v>
      </c>
      <c r="L316" s="7">
        <v>5.1079999999999997</v>
      </c>
      <c r="M316" s="7">
        <v>5.3959999999999999</v>
      </c>
      <c r="N316" s="7">
        <v>5.9740000000000002</v>
      </c>
      <c r="O316" s="7">
        <v>6.1959999999999997</v>
      </c>
      <c r="P316" s="7">
        <v>6.226</v>
      </c>
      <c r="Q316" s="7">
        <v>5.9950000000000001</v>
      </c>
      <c r="R316" s="7">
        <v>6.3689999999999998</v>
      </c>
      <c r="S316" s="7">
        <f t="shared" si="4"/>
        <v>5.8974166666666674</v>
      </c>
    </row>
    <row r="317" spans="1:19">
      <c r="A317" s="5" t="str">
        <f>B317&amp;"-"&amp;COUNTIF($B$2:B317,B317)</f>
        <v>BAHIA-114</v>
      </c>
      <c r="B317" s="5" t="s">
        <v>296</v>
      </c>
      <c r="C317" s="5" t="s">
        <v>4901</v>
      </c>
      <c r="D317" s="6">
        <v>-39813</v>
      </c>
      <c r="E317" s="6">
        <v>-133556</v>
      </c>
      <c r="F317" s="7">
        <v>4.8570000000000002</v>
      </c>
      <c r="G317" s="7">
        <v>5.73</v>
      </c>
      <c r="H317" s="7">
        <v>5.7869999999999999</v>
      </c>
      <c r="I317" s="7">
        <v>5.4720000000000004</v>
      </c>
      <c r="J317" s="7">
        <v>4.4530000000000003</v>
      </c>
      <c r="K317" s="7">
        <v>3.8620000000000001</v>
      </c>
      <c r="L317" s="7">
        <v>3.496</v>
      </c>
      <c r="M317" s="7">
        <v>3.7280000000000002</v>
      </c>
      <c r="N317" s="7">
        <v>4.2690000000000001</v>
      </c>
      <c r="O317" s="7">
        <v>5.1020000000000003</v>
      </c>
      <c r="P317" s="7">
        <v>5.2130000000000001</v>
      </c>
      <c r="Q317" s="7">
        <v>5.3049999999999997</v>
      </c>
      <c r="R317" s="7">
        <v>5.8710000000000004</v>
      </c>
      <c r="S317" s="7">
        <f t="shared" si="4"/>
        <v>4.8573333333333339</v>
      </c>
    </row>
    <row r="318" spans="1:19">
      <c r="A318" s="5" t="str">
        <f>B318&amp;"-"&amp;COUNTIF($B$2:B318,B318)</f>
        <v>BAHIA-115</v>
      </c>
      <c r="B318" s="5" t="s">
        <v>296</v>
      </c>
      <c r="C318" s="5" t="s">
        <v>5054</v>
      </c>
      <c r="D318" s="6">
        <v>-381518</v>
      </c>
      <c r="E318" s="6">
        <v>-115064</v>
      </c>
      <c r="F318" s="7">
        <v>5.1890000000000001</v>
      </c>
      <c r="G318" s="7">
        <v>6.0910000000000002</v>
      </c>
      <c r="H318" s="7">
        <v>5.9180000000000001</v>
      </c>
      <c r="I318" s="7">
        <v>5.7240000000000002</v>
      </c>
      <c r="J318" s="7">
        <v>4.867</v>
      </c>
      <c r="K318" s="7">
        <v>4.1289999999999996</v>
      </c>
      <c r="L318" s="7">
        <v>3.94</v>
      </c>
      <c r="M318" s="7">
        <v>4.0599999999999996</v>
      </c>
      <c r="N318" s="7">
        <v>4.5609999999999999</v>
      </c>
      <c r="O318" s="7">
        <v>5.2789999999999999</v>
      </c>
      <c r="P318" s="7">
        <v>5.5730000000000004</v>
      </c>
      <c r="Q318" s="7">
        <v>6.02</v>
      </c>
      <c r="R318" s="7">
        <v>6.11</v>
      </c>
      <c r="S318" s="7">
        <f t="shared" si="4"/>
        <v>5.1893333333333338</v>
      </c>
    </row>
    <row r="319" spans="1:19">
      <c r="A319" s="5" t="str">
        <f>B319&amp;"-"&amp;COUNTIF($B$2:B319,B319)</f>
        <v>BAHIA-116</v>
      </c>
      <c r="B319" s="5" t="s">
        <v>296</v>
      </c>
      <c r="C319" s="5" t="s">
        <v>5055</v>
      </c>
      <c r="D319" s="6">
        <v>-444193</v>
      </c>
      <c r="E319" s="6">
        <v>-122365</v>
      </c>
      <c r="F319" s="7">
        <v>5.8319999999999999</v>
      </c>
      <c r="G319" s="7">
        <v>6.2930000000000001</v>
      </c>
      <c r="H319" s="7">
        <v>6.0469999999999997</v>
      </c>
      <c r="I319" s="7">
        <v>5.6319999999999997</v>
      </c>
      <c r="J319" s="7">
        <v>5.47</v>
      </c>
      <c r="K319" s="7">
        <v>5.2939999999999996</v>
      </c>
      <c r="L319" s="7">
        <v>5.1539999999999999</v>
      </c>
      <c r="M319" s="7">
        <v>5.5019999999999998</v>
      </c>
      <c r="N319" s="7">
        <v>6.0919999999999996</v>
      </c>
      <c r="O319" s="7">
        <v>6.33</v>
      </c>
      <c r="P319" s="7">
        <v>6.2160000000000002</v>
      </c>
      <c r="Q319" s="7">
        <v>5.7939999999999996</v>
      </c>
      <c r="R319" s="7">
        <v>6.1660000000000004</v>
      </c>
      <c r="S319" s="7">
        <f t="shared" si="4"/>
        <v>5.8324999999999996</v>
      </c>
    </row>
    <row r="320" spans="1:19">
      <c r="A320" s="5" t="str">
        <f>B320&amp;"-"&amp;COUNTIF($B$2:B320,B320)</f>
        <v>BAHIA-117</v>
      </c>
      <c r="B320" s="5" t="s">
        <v>296</v>
      </c>
      <c r="C320" s="5" t="s">
        <v>375</v>
      </c>
      <c r="D320" s="6">
        <v>-391011</v>
      </c>
      <c r="E320" s="6">
        <v>-12668</v>
      </c>
      <c r="F320" s="7">
        <v>5.05</v>
      </c>
      <c r="G320" s="7">
        <v>6.0670000000000002</v>
      </c>
      <c r="H320" s="7">
        <v>5.89</v>
      </c>
      <c r="I320" s="7">
        <v>5.673</v>
      </c>
      <c r="J320" s="7">
        <v>4.6189999999999998</v>
      </c>
      <c r="K320" s="7">
        <v>3.988</v>
      </c>
      <c r="L320" s="7">
        <v>3.649</v>
      </c>
      <c r="M320" s="7">
        <v>3.859</v>
      </c>
      <c r="N320" s="7">
        <v>4.4160000000000004</v>
      </c>
      <c r="O320" s="7">
        <v>5.24</v>
      </c>
      <c r="P320" s="7">
        <v>5.4809999999999999</v>
      </c>
      <c r="Q320" s="7">
        <v>5.6980000000000004</v>
      </c>
      <c r="R320" s="7">
        <v>6.0229999999999997</v>
      </c>
      <c r="S320" s="7">
        <f t="shared" si="4"/>
        <v>5.050250000000001</v>
      </c>
    </row>
    <row r="321" spans="1:19">
      <c r="A321" s="5" t="str">
        <f>B321&amp;"-"&amp;COUNTIF($B$2:B321,B321)</f>
        <v>BAHIA-118</v>
      </c>
      <c r="B321" s="5" t="s">
        <v>296</v>
      </c>
      <c r="C321" s="5" t="s">
        <v>5460</v>
      </c>
      <c r="D321" s="6">
        <v>-399052</v>
      </c>
      <c r="E321" s="6">
        <v>-8992</v>
      </c>
      <c r="F321" s="7">
        <v>5.6639999999999997</v>
      </c>
      <c r="G321" s="7">
        <v>6.2679999999999998</v>
      </c>
      <c r="H321" s="7">
        <v>5.9649999999999999</v>
      </c>
      <c r="I321" s="7">
        <v>5.95</v>
      </c>
      <c r="J321" s="7">
        <v>5.3040000000000003</v>
      </c>
      <c r="K321" s="7">
        <v>4.7130000000000001</v>
      </c>
      <c r="L321" s="7">
        <v>4.4109999999999996</v>
      </c>
      <c r="M321" s="7">
        <v>4.6470000000000002</v>
      </c>
      <c r="N321" s="7">
        <v>5.4420000000000002</v>
      </c>
      <c r="O321" s="7">
        <v>6.2569999999999997</v>
      </c>
      <c r="P321" s="7">
        <v>6.32</v>
      </c>
      <c r="Q321" s="7">
        <v>6.4370000000000003</v>
      </c>
      <c r="R321" s="7">
        <v>6.2549999999999999</v>
      </c>
      <c r="S321" s="7">
        <f t="shared" si="4"/>
        <v>5.6640833333333331</v>
      </c>
    </row>
    <row r="322" spans="1:19">
      <c r="A322" s="5" t="str">
        <f>B322&amp;"-"&amp;COUNTIF($B$2:B322,B322)</f>
        <v>BAHIA-119</v>
      </c>
      <c r="B322" s="5" t="s">
        <v>296</v>
      </c>
      <c r="C322" s="5" t="s">
        <v>5461</v>
      </c>
      <c r="D322" s="6">
        <v>-399042</v>
      </c>
      <c r="E322" s="6">
        <v>-144296</v>
      </c>
      <c r="F322" s="7">
        <v>4.835</v>
      </c>
      <c r="G322" s="7">
        <v>5.8029999999999999</v>
      </c>
      <c r="H322" s="7">
        <v>5.9269999999999996</v>
      </c>
      <c r="I322" s="7">
        <v>5.5049999999999999</v>
      </c>
      <c r="J322" s="7">
        <v>4.55</v>
      </c>
      <c r="K322" s="7">
        <v>3.9569999999999999</v>
      </c>
      <c r="L322" s="7">
        <v>3.5529999999999999</v>
      </c>
      <c r="M322" s="7">
        <v>3.714</v>
      </c>
      <c r="N322" s="7">
        <v>4.1479999999999997</v>
      </c>
      <c r="O322" s="7">
        <v>4.8159999999999998</v>
      </c>
      <c r="P322" s="7">
        <v>4.9610000000000003</v>
      </c>
      <c r="Q322" s="7">
        <v>5.157</v>
      </c>
      <c r="R322" s="7">
        <v>5.9329999999999998</v>
      </c>
      <c r="S322" s="7">
        <f t="shared" si="4"/>
        <v>4.8353333333333328</v>
      </c>
    </row>
    <row r="323" spans="1:19">
      <c r="A323" s="5" t="str">
        <f>B323&amp;"-"&amp;COUNTIF($B$2:B323,B323)</f>
        <v>BAHIA-120</v>
      </c>
      <c r="B323" s="5" t="s">
        <v>296</v>
      </c>
      <c r="C323" s="5" t="s">
        <v>376</v>
      </c>
      <c r="D323" s="6">
        <v>-38293</v>
      </c>
      <c r="E323" s="6">
        <v>-126192</v>
      </c>
      <c r="F323" s="7">
        <v>5.1970000000000001</v>
      </c>
      <c r="G323" s="7">
        <v>6.2140000000000004</v>
      </c>
      <c r="H323" s="7">
        <v>6.1219999999999999</v>
      </c>
      <c r="I323" s="7">
        <v>5.8520000000000003</v>
      </c>
      <c r="J323" s="7">
        <v>4.673</v>
      </c>
      <c r="K323" s="7">
        <v>3.9689999999999999</v>
      </c>
      <c r="L323" s="7">
        <v>3.722</v>
      </c>
      <c r="M323" s="7">
        <v>3.948</v>
      </c>
      <c r="N323" s="7">
        <v>4.46</v>
      </c>
      <c r="O323" s="7">
        <v>5.3230000000000004</v>
      </c>
      <c r="P323" s="7">
        <v>5.726</v>
      </c>
      <c r="Q323" s="7">
        <v>6.0209999999999999</v>
      </c>
      <c r="R323" s="7">
        <v>6.3289999999999997</v>
      </c>
      <c r="S323" s="7">
        <f t="shared" ref="S323:S386" si="5">(G323+H323+I323+J323+K323+L323+M323+N323+O323+P323+Q323+R323)/12</f>
        <v>5.1965833333333338</v>
      </c>
    </row>
    <row r="324" spans="1:19">
      <c r="A324" s="5" t="str">
        <f>B324&amp;"-"&amp;COUNTIF($B$2:B324,B324)</f>
        <v>BAHIA-121</v>
      </c>
      <c r="B324" s="5" t="s">
        <v>296</v>
      </c>
      <c r="C324" s="5" t="s">
        <v>377</v>
      </c>
      <c r="D324" s="6">
        <v>-417707</v>
      </c>
      <c r="E324" s="6">
        <v>-137616</v>
      </c>
      <c r="F324" s="7">
        <v>5.61</v>
      </c>
      <c r="G324" s="7">
        <v>6.4820000000000002</v>
      </c>
      <c r="H324" s="7">
        <v>6.5069999999999997</v>
      </c>
      <c r="I324" s="7">
        <v>5.9020000000000001</v>
      </c>
      <c r="J324" s="7">
        <v>5.1779999999999999</v>
      </c>
      <c r="K324" s="7">
        <v>4.5229999999999997</v>
      </c>
      <c r="L324" s="7">
        <v>4.2130000000000001</v>
      </c>
      <c r="M324" s="7">
        <v>4.5030000000000001</v>
      </c>
      <c r="N324" s="7">
        <v>5.1660000000000004</v>
      </c>
      <c r="O324" s="7">
        <v>5.9980000000000002</v>
      </c>
      <c r="P324" s="7">
        <v>6.3019999999999996</v>
      </c>
      <c r="Q324" s="7">
        <v>6.0019999999999998</v>
      </c>
      <c r="R324" s="7">
        <v>6.5430000000000001</v>
      </c>
      <c r="S324" s="7">
        <f t="shared" si="5"/>
        <v>5.6099166666666669</v>
      </c>
    </row>
    <row r="325" spans="1:19">
      <c r="A325" s="5" t="str">
        <f>B325&amp;"-"&amp;COUNTIF($B$2:B325,B325)</f>
        <v>BAHIA-122</v>
      </c>
      <c r="B325" s="5" t="s">
        <v>296</v>
      </c>
      <c r="C325" s="5" t="s">
        <v>378</v>
      </c>
      <c r="D325" s="6">
        <v>-391921</v>
      </c>
      <c r="E325" s="6">
        <v>-12906</v>
      </c>
      <c r="F325" s="7">
        <v>5.0460000000000003</v>
      </c>
      <c r="G325" s="7">
        <v>6.0510000000000002</v>
      </c>
      <c r="H325" s="7">
        <v>5.9390000000000001</v>
      </c>
      <c r="I325" s="7">
        <v>5.7140000000000004</v>
      </c>
      <c r="J325" s="7">
        <v>4.6349999999999998</v>
      </c>
      <c r="K325" s="7">
        <v>4.0430000000000001</v>
      </c>
      <c r="L325" s="7">
        <v>3.6280000000000001</v>
      </c>
      <c r="M325" s="7">
        <v>3.83</v>
      </c>
      <c r="N325" s="7">
        <v>4.3860000000000001</v>
      </c>
      <c r="O325" s="7">
        <v>5.194</v>
      </c>
      <c r="P325" s="7">
        <v>5.3849999999999998</v>
      </c>
      <c r="Q325" s="7">
        <v>5.641</v>
      </c>
      <c r="R325" s="7">
        <v>6.1079999999999997</v>
      </c>
      <c r="S325" s="7">
        <f t="shared" si="5"/>
        <v>5.0461666666666662</v>
      </c>
    </row>
    <row r="326" spans="1:19">
      <c r="A326" s="5" t="str">
        <f>B326&amp;"-"&amp;COUNTIF($B$2:B326,B326)</f>
        <v>BAHIA-123</v>
      </c>
      <c r="B326" s="5" t="s">
        <v>296</v>
      </c>
      <c r="C326" s="53" t="s">
        <v>379</v>
      </c>
      <c r="D326" s="6">
        <v>-39521</v>
      </c>
      <c r="E326" s="6">
        <v>-129464</v>
      </c>
      <c r="F326" s="7">
        <v>4.99</v>
      </c>
      <c r="G326" s="7">
        <v>5.9050000000000002</v>
      </c>
      <c r="H326" s="7">
        <v>5.9080000000000004</v>
      </c>
      <c r="I326" s="7">
        <v>5.6369999999999996</v>
      </c>
      <c r="J326" s="7">
        <v>4.5789999999999997</v>
      </c>
      <c r="K326" s="7">
        <v>3.9870000000000001</v>
      </c>
      <c r="L326" s="7">
        <v>3.7029999999999998</v>
      </c>
      <c r="M326" s="7">
        <v>3.8719999999999999</v>
      </c>
      <c r="N326" s="7">
        <v>4.3810000000000002</v>
      </c>
      <c r="O326" s="7">
        <v>5.2069999999999999</v>
      </c>
      <c r="P326" s="7">
        <v>5.327</v>
      </c>
      <c r="Q326" s="7">
        <v>5.452</v>
      </c>
      <c r="R326" s="7">
        <v>5.92</v>
      </c>
      <c r="S326" s="7">
        <f t="shared" si="5"/>
        <v>4.9898333333333325</v>
      </c>
    </row>
    <row r="327" spans="1:19">
      <c r="A327" s="5" t="str">
        <f>B327&amp;"-"&amp;COUNTIF($B$2:B327,B327)</f>
        <v>BAHIA-124</v>
      </c>
      <c r="B327" s="5" t="s">
        <v>296</v>
      </c>
      <c r="C327" s="5" t="s">
        <v>380</v>
      </c>
      <c r="D327" s="6">
        <v>-409076</v>
      </c>
      <c r="E327" s="6">
        <v>-155325</v>
      </c>
      <c r="F327" s="7">
        <v>4.9859999999999998</v>
      </c>
      <c r="G327" s="7">
        <v>6.0570000000000004</v>
      </c>
      <c r="H327" s="7">
        <v>5.9960000000000004</v>
      </c>
      <c r="I327" s="7">
        <v>5.3129999999999997</v>
      </c>
      <c r="J327" s="7">
        <v>4.6360000000000001</v>
      </c>
      <c r="K327" s="7">
        <v>3.9359999999999999</v>
      </c>
      <c r="L327" s="7">
        <v>3.5859999999999999</v>
      </c>
      <c r="M327" s="7">
        <v>3.8149999999999999</v>
      </c>
      <c r="N327" s="7">
        <v>4.3869999999999996</v>
      </c>
      <c r="O327" s="7">
        <v>5.2949999999999999</v>
      </c>
      <c r="P327" s="7">
        <v>5.4</v>
      </c>
      <c r="Q327" s="7">
        <v>5.3120000000000003</v>
      </c>
      <c r="R327" s="7">
        <v>6.0949999999999998</v>
      </c>
      <c r="S327" s="7">
        <f t="shared" si="5"/>
        <v>4.985666666666666</v>
      </c>
    </row>
    <row r="328" spans="1:19">
      <c r="A328" s="5" t="str">
        <f>B328&amp;"-"&amp;COUNTIF($B$2:B328,B328)</f>
        <v>BAHIA-125</v>
      </c>
      <c r="B328" s="5" t="s">
        <v>296</v>
      </c>
      <c r="C328" s="5" t="s">
        <v>381</v>
      </c>
      <c r="D328" s="6">
        <v>-380874</v>
      </c>
      <c r="E328" s="6">
        <v>-119396</v>
      </c>
      <c r="F328" s="7">
        <v>5.1680000000000001</v>
      </c>
      <c r="G328" s="7">
        <v>6.1150000000000002</v>
      </c>
      <c r="H328" s="7">
        <v>5.8920000000000003</v>
      </c>
      <c r="I328" s="7">
        <v>5.774</v>
      </c>
      <c r="J328" s="7">
        <v>4.8019999999999996</v>
      </c>
      <c r="K328" s="7">
        <v>4.069</v>
      </c>
      <c r="L328" s="7">
        <v>3.8849999999999998</v>
      </c>
      <c r="M328" s="7">
        <v>4.0389999999999997</v>
      </c>
      <c r="N328" s="7">
        <v>4.4450000000000003</v>
      </c>
      <c r="O328" s="7">
        <v>5.2949999999999999</v>
      </c>
      <c r="P328" s="7">
        <v>5.5960000000000001</v>
      </c>
      <c r="Q328" s="7">
        <v>5.9169999999999998</v>
      </c>
      <c r="R328" s="7">
        <v>6.1840000000000002</v>
      </c>
      <c r="S328" s="7">
        <f t="shared" si="5"/>
        <v>5.1677500000000007</v>
      </c>
    </row>
    <row r="329" spans="1:19">
      <c r="A329" s="5" t="str">
        <f>B329&amp;"-"&amp;COUNTIF($B$2:B329,B329)</f>
        <v>BAHIA-126</v>
      </c>
      <c r="B329" s="5" t="s">
        <v>296</v>
      </c>
      <c r="C329" s="5" t="s">
        <v>382</v>
      </c>
      <c r="D329" s="6">
        <v>-379506</v>
      </c>
      <c r="E329" s="6">
        <v>-11793</v>
      </c>
      <c r="F329" s="7">
        <v>5.1429999999999998</v>
      </c>
      <c r="G329" s="7">
        <v>6.101</v>
      </c>
      <c r="H329" s="7">
        <v>5.91</v>
      </c>
      <c r="I329" s="7">
        <v>5.6849999999999996</v>
      </c>
      <c r="J329" s="7">
        <v>4.7709999999999999</v>
      </c>
      <c r="K329" s="7">
        <v>4.008</v>
      </c>
      <c r="L329" s="7">
        <v>3.8420000000000001</v>
      </c>
      <c r="M329" s="7">
        <v>3.9620000000000002</v>
      </c>
      <c r="N329" s="7">
        <v>4.3970000000000002</v>
      </c>
      <c r="O329" s="7">
        <v>5.2370000000000001</v>
      </c>
      <c r="P329" s="7">
        <v>5.6130000000000004</v>
      </c>
      <c r="Q329" s="7">
        <v>5.99</v>
      </c>
      <c r="R329" s="7">
        <v>6.2030000000000003</v>
      </c>
      <c r="S329" s="7">
        <f t="shared" si="5"/>
        <v>5.1432500000000001</v>
      </c>
    </row>
    <row r="330" spans="1:19">
      <c r="A330" s="5" t="str">
        <f>B330&amp;"-"&amp;COUNTIF($B$2:B330,B330)</f>
        <v>BAHIA-127</v>
      </c>
      <c r="B330" s="5" t="s">
        <v>296</v>
      </c>
      <c r="C330" s="5" t="s">
        <v>383</v>
      </c>
      <c r="D330" s="6">
        <v>-390156</v>
      </c>
      <c r="E330" s="6">
        <v>-105082</v>
      </c>
      <c r="F330" s="7">
        <v>5.36</v>
      </c>
      <c r="G330" s="7">
        <v>6.2919999999999998</v>
      </c>
      <c r="H330" s="7">
        <v>6.032</v>
      </c>
      <c r="I330" s="7">
        <v>5.9210000000000003</v>
      </c>
      <c r="J330" s="7">
        <v>5.0940000000000003</v>
      </c>
      <c r="K330" s="7">
        <v>4.2839999999999998</v>
      </c>
      <c r="L330" s="7">
        <v>3.8679999999999999</v>
      </c>
      <c r="M330" s="7">
        <v>4.0999999999999996</v>
      </c>
      <c r="N330" s="7">
        <v>4.6619999999999999</v>
      </c>
      <c r="O330" s="7">
        <v>5.7069999999999999</v>
      </c>
      <c r="P330" s="7">
        <v>5.8390000000000004</v>
      </c>
      <c r="Q330" s="7">
        <v>6.3239999999999998</v>
      </c>
      <c r="R330" s="7">
        <v>6.2</v>
      </c>
      <c r="S330" s="7">
        <f t="shared" si="5"/>
        <v>5.3602499999999997</v>
      </c>
    </row>
    <row r="331" spans="1:19">
      <c r="A331" s="5" t="str">
        <f>B331&amp;"-"&amp;COUNTIF($B$2:B331,B331)</f>
        <v>BAHIA-128</v>
      </c>
      <c r="B331" s="5" t="s">
        <v>296</v>
      </c>
      <c r="C331" s="5" t="s">
        <v>5462</v>
      </c>
      <c r="D331" s="6">
        <v>-395825</v>
      </c>
      <c r="E331" s="6">
        <v>-16372</v>
      </c>
      <c r="F331" s="7">
        <v>4.8460000000000001</v>
      </c>
      <c r="G331" s="7">
        <v>5.8890000000000002</v>
      </c>
      <c r="H331" s="7">
        <v>5.9509999999999996</v>
      </c>
      <c r="I331" s="7">
        <v>5.3330000000000002</v>
      </c>
      <c r="J331" s="7">
        <v>4.5869999999999997</v>
      </c>
      <c r="K331" s="7">
        <v>3.8690000000000002</v>
      </c>
      <c r="L331" s="7">
        <v>3.504</v>
      </c>
      <c r="M331" s="7">
        <v>3.71</v>
      </c>
      <c r="N331" s="7">
        <v>4.2409999999999997</v>
      </c>
      <c r="O331" s="7">
        <v>4.8650000000000002</v>
      </c>
      <c r="P331" s="7">
        <v>5.0970000000000004</v>
      </c>
      <c r="Q331" s="7">
        <v>5.1280000000000001</v>
      </c>
      <c r="R331" s="7">
        <v>5.9729999999999999</v>
      </c>
      <c r="S331" s="7">
        <f t="shared" si="5"/>
        <v>4.8455833333333338</v>
      </c>
    </row>
    <row r="332" spans="1:19">
      <c r="A332" s="5" t="str">
        <f>B332&amp;"-"&amp;COUNTIF($B$2:B332,B332)</f>
        <v>BAHIA-129</v>
      </c>
      <c r="B332" s="5" t="s">
        <v>296</v>
      </c>
      <c r="C332" s="5" t="s">
        <v>5463</v>
      </c>
      <c r="D332" s="6">
        <v>-382116</v>
      </c>
      <c r="E332" s="6">
        <v>-10594</v>
      </c>
      <c r="F332" s="7">
        <v>5.2060000000000004</v>
      </c>
      <c r="G332" s="7">
        <v>6.0810000000000004</v>
      </c>
      <c r="H332" s="7">
        <v>5.8929999999999998</v>
      </c>
      <c r="I332" s="7">
        <v>5.8129999999999997</v>
      </c>
      <c r="J332" s="7">
        <v>5.0350000000000001</v>
      </c>
      <c r="K332" s="7">
        <v>4.2030000000000003</v>
      </c>
      <c r="L332" s="7">
        <v>3.8479999999999999</v>
      </c>
      <c r="M332" s="7">
        <v>3.964</v>
      </c>
      <c r="N332" s="7">
        <v>4.4619999999999997</v>
      </c>
      <c r="O332" s="7">
        <v>5.33</v>
      </c>
      <c r="P332" s="7">
        <v>5.55</v>
      </c>
      <c r="Q332" s="7">
        <v>6.14</v>
      </c>
      <c r="R332" s="7">
        <v>6.1459999999999999</v>
      </c>
      <c r="S332" s="7">
        <f t="shared" si="5"/>
        <v>5.2054166666666655</v>
      </c>
    </row>
    <row r="333" spans="1:19">
      <c r="A333" s="5" t="str">
        <f>B333&amp;"-"&amp;COUNTIF($B$2:B333,B333)</f>
        <v>BAHIA-130</v>
      </c>
      <c r="B333" s="5" t="s">
        <v>296</v>
      </c>
      <c r="C333" s="5" t="s">
        <v>384</v>
      </c>
      <c r="D333" s="6">
        <v>-442795</v>
      </c>
      <c r="E333" s="6">
        <v>-142102</v>
      </c>
      <c r="F333" s="7">
        <v>5.843</v>
      </c>
      <c r="G333" s="7">
        <v>6.4480000000000004</v>
      </c>
      <c r="H333" s="7">
        <v>6.5640000000000001</v>
      </c>
      <c r="I333" s="7">
        <v>5.875</v>
      </c>
      <c r="J333" s="7">
        <v>5.6310000000000002</v>
      </c>
      <c r="K333" s="7">
        <v>5.1379999999999999</v>
      </c>
      <c r="L333" s="7">
        <v>4.9409999999999998</v>
      </c>
      <c r="M333" s="7">
        <v>5.2850000000000001</v>
      </c>
      <c r="N333" s="7">
        <v>5.7949999999999999</v>
      </c>
      <c r="O333" s="7">
        <v>6.1550000000000002</v>
      </c>
      <c r="P333" s="7">
        <v>6.2359999999999998</v>
      </c>
      <c r="Q333" s="7">
        <v>5.718</v>
      </c>
      <c r="R333" s="7">
        <v>6.327</v>
      </c>
      <c r="S333" s="7">
        <f t="shared" si="5"/>
        <v>5.8427499999999997</v>
      </c>
    </row>
    <row r="334" spans="1:19">
      <c r="A334" s="5" t="str">
        <f>B334&amp;"-"&amp;COUNTIF($B$2:B334,B334)</f>
        <v>BAHIA-131</v>
      </c>
      <c r="B334" s="5" t="s">
        <v>296</v>
      </c>
      <c r="C334" s="5" t="s">
        <v>385</v>
      </c>
      <c r="D334" s="6">
        <v>-389666</v>
      </c>
      <c r="E334" s="6">
        <v>-122669</v>
      </c>
      <c r="F334" s="7">
        <v>5.0510000000000002</v>
      </c>
      <c r="G334" s="7">
        <v>6.0620000000000003</v>
      </c>
      <c r="H334" s="7">
        <v>5.8819999999999997</v>
      </c>
      <c r="I334" s="7">
        <v>5.734</v>
      </c>
      <c r="J334" s="7">
        <v>4.6269999999999998</v>
      </c>
      <c r="K334" s="7">
        <v>3.948</v>
      </c>
      <c r="L334" s="7">
        <v>3.5630000000000002</v>
      </c>
      <c r="M334" s="7">
        <v>3.8660000000000001</v>
      </c>
      <c r="N334" s="7">
        <v>4.3460000000000001</v>
      </c>
      <c r="O334" s="7">
        <v>5.2460000000000004</v>
      </c>
      <c r="P334" s="7">
        <v>5.5270000000000001</v>
      </c>
      <c r="Q334" s="7">
        <v>5.7270000000000003</v>
      </c>
      <c r="R334" s="7">
        <v>6.0830000000000002</v>
      </c>
      <c r="S334" s="7">
        <f t="shared" si="5"/>
        <v>5.0509166666666658</v>
      </c>
    </row>
    <row r="335" spans="1:19">
      <c r="A335" s="5" t="str">
        <f>B335&amp;"-"&amp;COUNTIF($B$2:B335,B335)</f>
        <v>BAHIA-132</v>
      </c>
      <c r="B335" s="5" t="s">
        <v>296</v>
      </c>
      <c r="C335" s="5" t="s">
        <v>4274</v>
      </c>
      <c r="D335" s="6">
        <v>-401325</v>
      </c>
      <c r="E335" s="6">
        <v>-107404</v>
      </c>
      <c r="F335" s="7">
        <v>5.1879999999999997</v>
      </c>
      <c r="G335" s="7">
        <v>6.0759999999999996</v>
      </c>
      <c r="H335" s="7">
        <v>5.9050000000000002</v>
      </c>
      <c r="I335" s="7">
        <v>5.8470000000000004</v>
      </c>
      <c r="J335" s="7">
        <v>4.8150000000000004</v>
      </c>
      <c r="K335" s="7">
        <v>4.0880000000000001</v>
      </c>
      <c r="L335" s="7">
        <v>3.786</v>
      </c>
      <c r="M335" s="7">
        <v>4.008</v>
      </c>
      <c r="N335" s="7">
        <v>4.569</v>
      </c>
      <c r="O335" s="7">
        <v>5.5679999999999996</v>
      </c>
      <c r="P335" s="7">
        <v>5.6449999999999996</v>
      </c>
      <c r="Q335" s="7">
        <v>5.9610000000000003</v>
      </c>
      <c r="R335" s="7">
        <v>5.9829999999999997</v>
      </c>
      <c r="S335" s="7">
        <f t="shared" si="5"/>
        <v>5.1875833333333334</v>
      </c>
    </row>
    <row r="336" spans="1:19">
      <c r="A336" s="5" t="str">
        <f>B336&amp;"-"&amp;COUNTIF($B$2:B336,B336)</f>
        <v>BAHIA-133</v>
      </c>
      <c r="B336" s="5" t="s">
        <v>296</v>
      </c>
      <c r="C336" s="5" t="s">
        <v>386</v>
      </c>
      <c r="D336" s="6">
        <v>-399238</v>
      </c>
      <c r="E336" s="6">
        <v>-149875</v>
      </c>
      <c r="F336" s="7">
        <v>4.8179999999999996</v>
      </c>
      <c r="G336" s="7">
        <v>5.8</v>
      </c>
      <c r="H336" s="7">
        <v>5.8419999999999996</v>
      </c>
      <c r="I336" s="7">
        <v>5.3440000000000003</v>
      </c>
      <c r="J336" s="7">
        <v>4.556</v>
      </c>
      <c r="K336" s="7">
        <v>3.8530000000000002</v>
      </c>
      <c r="L336" s="7">
        <v>3.4990000000000001</v>
      </c>
      <c r="M336" s="7">
        <v>3.6960000000000002</v>
      </c>
      <c r="N336" s="7">
        <v>4.2030000000000003</v>
      </c>
      <c r="O336" s="7">
        <v>4.8780000000000001</v>
      </c>
      <c r="P336" s="7">
        <v>5.032</v>
      </c>
      <c r="Q336" s="7">
        <v>5.1539999999999999</v>
      </c>
      <c r="R336" s="7">
        <v>5.9530000000000003</v>
      </c>
      <c r="S336" s="7">
        <f t="shared" si="5"/>
        <v>4.8174999999999999</v>
      </c>
    </row>
    <row r="337" spans="1:19">
      <c r="A337" s="5" t="str">
        <f>B337&amp;"-"&amp;COUNTIF($B$2:B337,B337)</f>
        <v>BAHIA-134</v>
      </c>
      <c r="B337" s="5" t="s">
        <v>296</v>
      </c>
      <c r="C337" s="5" t="s">
        <v>387</v>
      </c>
      <c r="D337" s="6">
        <v>-396564</v>
      </c>
      <c r="E337" s="6">
        <v>-148586</v>
      </c>
      <c r="F337" s="7">
        <v>4.87</v>
      </c>
      <c r="G337" s="7">
        <v>5.9429999999999996</v>
      </c>
      <c r="H337" s="7">
        <v>5.8570000000000002</v>
      </c>
      <c r="I337" s="7">
        <v>5.4219999999999997</v>
      </c>
      <c r="J337" s="7">
        <v>4.5590000000000002</v>
      </c>
      <c r="K337" s="7">
        <v>3.8679999999999999</v>
      </c>
      <c r="L337" s="7">
        <v>3.5310000000000001</v>
      </c>
      <c r="M337" s="7">
        <v>3.762</v>
      </c>
      <c r="N337" s="7">
        <v>4.28</v>
      </c>
      <c r="O337" s="7">
        <v>4.9390000000000001</v>
      </c>
      <c r="P337" s="7">
        <v>5.1319999999999997</v>
      </c>
      <c r="Q337" s="7">
        <v>5.1980000000000004</v>
      </c>
      <c r="R337" s="7">
        <v>5.952</v>
      </c>
      <c r="S337" s="7">
        <f t="shared" si="5"/>
        <v>4.8702499999999995</v>
      </c>
    </row>
    <row r="338" spans="1:19">
      <c r="A338" s="5" t="str">
        <f>B338&amp;"-"&amp;COUNTIF($B$2:B338,B338)</f>
        <v>BAHIA-135</v>
      </c>
      <c r="B338" s="5" t="s">
        <v>296</v>
      </c>
      <c r="C338" s="5" t="s">
        <v>388</v>
      </c>
      <c r="D338" s="6">
        <v>-451904</v>
      </c>
      <c r="E338" s="6">
        <v>-110427</v>
      </c>
      <c r="F338" s="7">
        <v>5.7889999999999997</v>
      </c>
      <c r="G338" s="7">
        <v>5.992</v>
      </c>
      <c r="H338" s="7">
        <v>5.7859999999999996</v>
      </c>
      <c r="I338" s="7">
        <v>5.5519999999999996</v>
      </c>
      <c r="J338" s="7">
        <v>5.4029999999999996</v>
      </c>
      <c r="K338" s="7">
        <v>5.4109999999999996</v>
      </c>
      <c r="L338" s="7">
        <v>5.3310000000000004</v>
      </c>
      <c r="M338" s="7">
        <v>5.61</v>
      </c>
      <c r="N338" s="7">
        <v>6.2210000000000001</v>
      </c>
      <c r="O338" s="7">
        <v>6.4059999999999997</v>
      </c>
      <c r="P338" s="7">
        <v>6.0380000000000003</v>
      </c>
      <c r="Q338" s="7">
        <v>5.7350000000000003</v>
      </c>
      <c r="R338" s="7">
        <v>5.9779999999999998</v>
      </c>
      <c r="S338" s="7">
        <f t="shared" si="5"/>
        <v>5.7885833333333325</v>
      </c>
    </row>
    <row r="339" spans="1:19">
      <c r="A339" s="5" t="str">
        <f>B339&amp;"-"&amp;COUNTIF($B$2:B339,B339)</f>
        <v>BAHIA-136</v>
      </c>
      <c r="B339" s="5" t="s">
        <v>296</v>
      </c>
      <c r="C339" s="5" t="s">
        <v>389</v>
      </c>
      <c r="D339" s="6">
        <v>-394899</v>
      </c>
      <c r="E339" s="6">
        <v>-137471</v>
      </c>
      <c r="F339" s="7">
        <v>4.8440000000000003</v>
      </c>
      <c r="G339" s="7">
        <v>5.8979999999999997</v>
      </c>
      <c r="H339" s="7">
        <v>5.8460000000000001</v>
      </c>
      <c r="I339" s="7">
        <v>5.53</v>
      </c>
      <c r="J339" s="7">
        <v>4.4619999999999997</v>
      </c>
      <c r="K339" s="7">
        <v>3.8290000000000002</v>
      </c>
      <c r="L339" s="7">
        <v>3.4359999999999999</v>
      </c>
      <c r="M339" s="7">
        <v>3.7050000000000001</v>
      </c>
      <c r="N339" s="7">
        <v>4.1840000000000002</v>
      </c>
      <c r="O339" s="7">
        <v>4.8869999999999996</v>
      </c>
      <c r="P339" s="7">
        <v>5.0890000000000004</v>
      </c>
      <c r="Q339" s="7">
        <v>5.3369999999999997</v>
      </c>
      <c r="R339" s="7">
        <v>5.9240000000000004</v>
      </c>
      <c r="S339" s="7">
        <f t="shared" si="5"/>
        <v>4.8439166666666669</v>
      </c>
    </row>
    <row r="340" spans="1:19">
      <c r="A340" s="5" t="str">
        <f>B340&amp;"-"&amp;COUNTIF($B$2:B340,B340)</f>
        <v>BAHIA-137</v>
      </c>
      <c r="B340" s="5" t="s">
        <v>296</v>
      </c>
      <c r="C340" s="5" t="s">
        <v>3905</v>
      </c>
      <c r="D340" s="6">
        <v>-397832</v>
      </c>
      <c r="E340" s="6">
        <v>-114712</v>
      </c>
      <c r="F340" s="7">
        <v>5.1509999999999998</v>
      </c>
      <c r="G340" s="7">
        <v>6.1829999999999998</v>
      </c>
      <c r="H340" s="7">
        <v>5.9539999999999997</v>
      </c>
      <c r="I340" s="7">
        <v>5.8049999999999997</v>
      </c>
      <c r="J340" s="7">
        <v>4.7839999999999998</v>
      </c>
      <c r="K340" s="7">
        <v>4.0380000000000003</v>
      </c>
      <c r="L340" s="7">
        <v>3.7090000000000001</v>
      </c>
      <c r="M340" s="7">
        <v>3.9449999999999998</v>
      </c>
      <c r="N340" s="7">
        <v>4.5369999999999999</v>
      </c>
      <c r="O340" s="7">
        <v>5.4</v>
      </c>
      <c r="P340" s="7">
        <v>5.577</v>
      </c>
      <c r="Q340" s="7">
        <v>5.91</v>
      </c>
      <c r="R340" s="7">
        <v>5.97</v>
      </c>
      <c r="S340" s="7">
        <f t="shared" si="5"/>
        <v>5.1509999999999998</v>
      </c>
    </row>
    <row r="341" spans="1:19">
      <c r="A341" s="5" t="str">
        <f>B341&amp;"-"&amp;COUNTIF($B$2:B341,B341)</f>
        <v>BAHIA-138</v>
      </c>
      <c r="B341" s="5" t="s">
        <v>296</v>
      </c>
      <c r="C341" s="5" t="s">
        <v>390</v>
      </c>
      <c r="D341" s="6">
        <v>-42508</v>
      </c>
      <c r="E341" s="6">
        <v>-114347</v>
      </c>
      <c r="F341" s="7">
        <v>5.992</v>
      </c>
      <c r="G341" s="7">
        <v>6.4359999999999999</v>
      </c>
      <c r="H341" s="7">
        <v>6.2880000000000003</v>
      </c>
      <c r="I341" s="7">
        <v>6.0670000000000002</v>
      </c>
      <c r="J341" s="7">
        <v>5.5880000000000001</v>
      </c>
      <c r="K341" s="7">
        <v>5.1719999999999997</v>
      </c>
      <c r="L341" s="7">
        <v>5.0549999999999997</v>
      </c>
      <c r="M341" s="7">
        <v>5.36</v>
      </c>
      <c r="N341" s="7">
        <v>6.1280000000000001</v>
      </c>
      <c r="O341" s="7">
        <v>6.6159999999999997</v>
      </c>
      <c r="P341" s="7">
        <v>6.5570000000000004</v>
      </c>
      <c r="Q341" s="7">
        <v>6.2089999999999996</v>
      </c>
      <c r="R341" s="7">
        <v>6.4240000000000004</v>
      </c>
      <c r="S341" s="7">
        <f t="shared" si="5"/>
        <v>5.9916666666666671</v>
      </c>
    </row>
    <row r="342" spans="1:19">
      <c r="A342" s="5" t="str">
        <f>B342&amp;"-"&amp;COUNTIF($B$2:B342,B342)</f>
        <v>BAHIA-139</v>
      </c>
      <c r="B342" s="5" t="s">
        <v>296</v>
      </c>
      <c r="C342" s="5" t="s">
        <v>5056</v>
      </c>
      <c r="D342" s="6">
        <v>-382595</v>
      </c>
      <c r="E342" s="6">
        <v>-93433</v>
      </c>
      <c r="F342" s="7">
        <v>5.5960000000000001</v>
      </c>
      <c r="G342" s="7">
        <v>6.298</v>
      </c>
      <c r="H342" s="7">
        <v>6.3079999999999998</v>
      </c>
      <c r="I342" s="7">
        <v>6.1109999999999998</v>
      </c>
      <c r="J342" s="7">
        <v>5.4809999999999999</v>
      </c>
      <c r="K342" s="7">
        <v>4.6379999999999999</v>
      </c>
      <c r="L342" s="7">
        <v>4.1539999999999999</v>
      </c>
      <c r="M342" s="7">
        <v>4.359</v>
      </c>
      <c r="N342" s="7">
        <v>4.9870000000000001</v>
      </c>
      <c r="O342" s="7">
        <v>5.8239999999999998</v>
      </c>
      <c r="P342" s="7">
        <v>6.0549999999999997</v>
      </c>
      <c r="Q342" s="7">
        <v>6.4960000000000004</v>
      </c>
      <c r="R342" s="7">
        <v>6.4409999999999998</v>
      </c>
      <c r="S342" s="7">
        <f t="shared" si="5"/>
        <v>5.5960000000000001</v>
      </c>
    </row>
    <row r="343" spans="1:19">
      <c r="A343" s="5" t="str">
        <f>B343&amp;"-"&amp;COUNTIF($B$2:B343,B343)</f>
        <v>BAHIA-140</v>
      </c>
      <c r="B343" s="5" t="s">
        <v>296</v>
      </c>
      <c r="C343" s="5" t="s">
        <v>391</v>
      </c>
      <c r="D343" s="6">
        <v>-394654</v>
      </c>
      <c r="E343" s="6">
        <v>-143245</v>
      </c>
      <c r="F343" s="7">
        <v>4.8810000000000002</v>
      </c>
      <c r="G343" s="7">
        <v>5.9050000000000002</v>
      </c>
      <c r="H343" s="7">
        <v>5.8680000000000003</v>
      </c>
      <c r="I343" s="7">
        <v>5.4820000000000002</v>
      </c>
      <c r="J343" s="7">
        <v>4.5380000000000003</v>
      </c>
      <c r="K343" s="7">
        <v>3.8620000000000001</v>
      </c>
      <c r="L343" s="7">
        <v>3.5139999999999998</v>
      </c>
      <c r="M343" s="7">
        <v>3.7719999999999998</v>
      </c>
      <c r="N343" s="7">
        <v>4.25</v>
      </c>
      <c r="O343" s="7">
        <v>4.9569999999999999</v>
      </c>
      <c r="P343" s="7">
        <v>5.1459999999999999</v>
      </c>
      <c r="Q343" s="7">
        <v>5.2750000000000004</v>
      </c>
      <c r="R343" s="7">
        <v>6.0010000000000003</v>
      </c>
      <c r="S343" s="7">
        <f t="shared" si="5"/>
        <v>4.8808333333333334</v>
      </c>
    </row>
    <row r="344" spans="1:19">
      <c r="A344" s="5" t="str">
        <f>B344&amp;"-"&amp;COUNTIF($B$2:B344,B344)</f>
        <v>BAHIA-141</v>
      </c>
      <c r="B344" s="5" t="s">
        <v>296</v>
      </c>
      <c r="C344" s="5" t="s">
        <v>392</v>
      </c>
      <c r="D344" s="6">
        <v>-390415</v>
      </c>
      <c r="E344" s="6">
        <v>-125999</v>
      </c>
      <c r="F344" s="7">
        <v>5.1219999999999999</v>
      </c>
      <c r="G344" s="7">
        <v>6.077</v>
      </c>
      <c r="H344" s="7">
        <v>5.97</v>
      </c>
      <c r="I344" s="7">
        <v>5.7919999999999998</v>
      </c>
      <c r="J344" s="7">
        <v>4.6509999999999998</v>
      </c>
      <c r="K344" s="7">
        <v>4.0330000000000004</v>
      </c>
      <c r="L344" s="7">
        <v>3.6629999999999998</v>
      </c>
      <c r="M344" s="7">
        <v>3.9279999999999999</v>
      </c>
      <c r="N344" s="7">
        <v>4.5010000000000003</v>
      </c>
      <c r="O344" s="7">
        <v>5.343</v>
      </c>
      <c r="P344" s="7">
        <v>5.5979999999999999</v>
      </c>
      <c r="Q344" s="7">
        <v>5.79</v>
      </c>
      <c r="R344" s="7">
        <v>6.1120000000000001</v>
      </c>
      <c r="S344" s="7">
        <f t="shared" si="5"/>
        <v>5.1215000000000002</v>
      </c>
    </row>
    <row r="345" spans="1:19">
      <c r="A345" s="5" t="str">
        <f>B345&amp;"-"&amp;COUNTIF($B$2:B345,B345)</f>
        <v>BAHIA-142</v>
      </c>
      <c r="B345" s="5" t="s">
        <v>296</v>
      </c>
      <c r="C345" s="5" t="s">
        <v>393</v>
      </c>
      <c r="D345" s="6">
        <v>-419384</v>
      </c>
      <c r="E345" s="6">
        <v>-145471</v>
      </c>
      <c r="F345" s="7">
        <v>5.4240000000000004</v>
      </c>
      <c r="G345" s="7">
        <v>6.3289999999999997</v>
      </c>
      <c r="H345" s="7">
        <v>6.3259999999999996</v>
      </c>
      <c r="I345" s="7">
        <v>5.7220000000000004</v>
      </c>
      <c r="J345" s="7">
        <v>4.9409999999999998</v>
      </c>
      <c r="K345" s="7">
        <v>4.3579999999999997</v>
      </c>
      <c r="L345" s="7">
        <v>3.988</v>
      </c>
      <c r="M345" s="7">
        <v>4.306</v>
      </c>
      <c r="N345" s="7">
        <v>5.0170000000000003</v>
      </c>
      <c r="O345" s="7">
        <v>5.7729999999999997</v>
      </c>
      <c r="P345" s="7">
        <v>6.0830000000000002</v>
      </c>
      <c r="Q345" s="7">
        <v>5.798</v>
      </c>
      <c r="R345" s="7">
        <v>6.4450000000000003</v>
      </c>
      <c r="S345" s="7">
        <f t="shared" si="5"/>
        <v>5.4238333333333344</v>
      </c>
    </row>
    <row r="346" spans="1:19">
      <c r="A346" s="5" t="str">
        <f>B346&amp;"-"&amp;COUNTIF($B$2:B346,B346)</f>
        <v>BAHIA-143</v>
      </c>
      <c r="B346" s="5" t="s">
        <v>296</v>
      </c>
      <c r="C346" s="5" t="s">
        <v>394</v>
      </c>
      <c r="D346" s="6">
        <v>-427803</v>
      </c>
      <c r="E346" s="6">
        <v>-142235</v>
      </c>
      <c r="F346" s="7">
        <v>5.8490000000000002</v>
      </c>
      <c r="G346" s="7">
        <v>6.6710000000000003</v>
      </c>
      <c r="H346" s="7">
        <v>6.71</v>
      </c>
      <c r="I346" s="7">
        <v>6.0990000000000002</v>
      </c>
      <c r="J346" s="7">
        <v>5.5060000000000002</v>
      </c>
      <c r="K346" s="7">
        <v>4.915</v>
      </c>
      <c r="L346" s="7">
        <v>4.6669999999999998</v>
      </c>
      <c r="M346" s="7">
        <v>4.9260000000000002</v>
      </c>
      <c r="N346" s="7">
        <v>5.5609999999999999</v>
      </c>
      <c r="O346" s="7">
        <v>5.9569999999999999</v>
      </c>
      <c r="P346" s="7">
        <v>6.5350000000000001</v>
      </c>
      <c r="Q346" s="7">
        <v>6.03</v>
      </c>
      <c r="R346" s="7">
        <v>6.6159999999999997</v>
      </c>
      <c r="S346" s="7">
        <f t="shared" si="5"/>
        <v>5.8494166666666665</v>
      </c>
    </row>
    <row r="347" spans="1:19">
      <c r="A347" s="5" t="str">
        <f>B347&amp;"-"&amp;COUNTIF($B$2:B347,B347)</f>
        <v>BAHIA-144</v>
      </c>
      <c r="B347" s="5" t="s">
        <v>296</v>
      </c>
      <c r="C347" s="5" t="s">
        <v>395</v>
      </c>
      <c r="D347" s="6">
        <v>-39785</v>
      </c>
      <c r="E347" s="6">
        <v>-165837</v>
      </c>
      <c r="F347" s="7">
        <v>4.8620000000000001</v>
      </c>
      <c r="G347" s="7">
        <v>5.8860000000000001</v>
      </c>
      <c r="H347" s="7">
        <v>5.9930000000000003</v>
      </c>
      <c r="I347" s="7">
        <v>5.4029999999999996</v>
      </c>
      <c r="J347" s="7">
        <v>4.6180000000000003</v>
      </c>
      <c r="K347" s="7">
        <v>3.9289999999999998</v>
      </c>
      <c r="L347" s="7">
        <v>3.524</v>
      </c>
      <c r="M347" s="7">
        <v>3.738</v>
      </c>
      <c r="N347" s="7">
        <v>4.242</v>
      </c>
      <c r="O347" s="7">
        <v>4.8650000000000002</v>
      </c>
      <c r="P347" s="7">
        <v>5.0590000000000002</v>
      </c>
      <c r="Q347" s="7">
        <v>5.1159999999999997</v>
      </c>
      <c r="R347" s="7">
        <v>5.9669999999999996</v>
      </c>
      <c r="S347" s="7">
        <f t="shared" si="5"/>
        <v>4.8616666666666664</v>
      </c>
    </row>
    <row r="348" spans="1:19">
      <c r="A348" s="5" t="str">
        <f>B348&amp;"-"&amp;COUNTIF($B$2:B348,B348)</f>
        <v>BAHIA-145</v>
      </c>
      <c r="B348" s="5" t="s">
        <v>296</v>
      </c>
      <c r="C348" s="5" t="s">
        <v>5057</v>
      </c>
      <c r="D348" s="6">
        <v>-38294</v>
      </c>
      <c r="E348" s="6">
        <v>-106814</v>
      </c>
      <c r="F348" s="7">
        <v>5.2220000000000004</v>
      </c>
      <c r="G348" s="7">
        <v>6.1360000000000001</v>
      </c>
      <c r="H348" s="7">
        <v>5.9020000000000001</v>
      </c>
      <c r="I348" s="7">
        <v>5.8280000000000003</v>
      </c>
      <c r="J348" s="7">
        <v>5.0380000000000003</v>
      </c>
      <c r="K348" s="7">
        <v>4.2210000000000001</v>
      </c>
      <c r="L348" s="7">
        <v>3.8769999999999998</v>
      </c>
      <c r="M348" s="7">
        <v>4.0250000000000004</v>
      </c>
      <c r="N348" s="7">
        <v>4.4930000000000003</v>
      </c>
      <c r="O348" s="7">
        <v>5.3140000000000001</v>
      </c>
      <c r="P348" s="7">
        <v>5.5940000000000003</v>
      </c>
      <c r="Q348" s="7">
        <v>6.1429999999999998</v>
      </c>
      <c r="R348" s="7">
        <v>6.0960000000000001</v>
      </c>
      <c r="S348" s="7">
        <f t="shared" si="5"/>
        <v>5.2222499999999998</v>
      </c>
    </row>
    <row r="349" spans="1:19">
      <c r="A349" s="5" t="str">
        <f>B349&amp;"-"&amp;COUNTIF($B$2:B349,B349)</f>
        <v>BAHIA-146</v>
      </c>
      <c r="B349" s="5" t="s">
        <v>296</v>
      </c>
      <c r="C349" s="5" t="s">
        <v>4606</v>
      </c>
      <c r="D349" s="6">
        <v>-402059</v>
      </c>
      <c r="E349" s="6">
        <v>-127671</v>
      </c>
      <c r="F349" s="7">
        <v>5.0270000000000001</v>
      </c>
      <c r="G349" s="7">
        <v>5.9690000000000003</v>
      </c>
      <c r="H349" s="7">
        <v>5.9160000000000004</v>
      </c>
      <c r="I349" s="7">
        <v>5.7370000000000001</v>
      </c>
      <c r="J349" s="7">
        <v>4.6769999999999996</v>
      </c>
      <c r="K349" s="7">
        <v>4</v>
      </c>
      <c r="L349" s="7">
        <v>3.6720000000000002</v>
      </c>
      <c r="M349" s="7">
        <v>3.839</v>
      </c>
      <c r="N349" s="7">
        <v>4.4169999999999998</v>
      </c>
      <c r="O349" s="7">
        <v>5.3049999999999997</v>
      </c>
      <c r="P349" s="7">
        <v>5.3529999999999998</v>
      </c>
      <c r="Q349" s="7">
        <v>5.5140000000000002</v>
      </c>
      <c r="R349" s="7">
        <v>5.9260000000000002</v>
      </c>
      <c r="S349" s="7">
        <f t="shared" si="5"/>
        <v>5.0270833333333345</v>
      </c>
    </row>
    <row r="350" spans="1:19">
      <c r="A350" s="5" t="str">
        <f>B350&amp;"-"&amp;COUNTIF($B$2:B350,B350)</f>
        <v>BAHIA-147</v>
      </c>
      <c r="B350" s="5" t="s">
        <v>296</v>
      </c>
      <c r="C350" s="5" t="s">
        <v>5278</v>
      </c>
      <c r="D350" s="6">
        <v>-422574</v>
      </c>
      <c r="E350" s="6">
        <v>-142716</v>
      </c>
      <c r="F350" s="7">
        <v>5.4989999999999997</v>
      </c>
      <c r="G350" s="7">
        <v>6.3090000000000002</v>
      </c>
      <c r="H350" s="7">
        <v>6.4039999999999999</v>
      </c>
      <c r="I350" s="7">
        <v>5.7080000000000002</v>
      </c>
      <c r="J350" s="7">
        <v>5.0170000000000003</v>
      </c>
      <c r="K350" s="7">
        <v>4.4610000000000003</v>
      </c>
      <c r="L350" s="7">
        <v>4.1210000000000004</v>
      </c>
      <c r="M350" s="7">
        <v>4.5259999999999998</v>
      </c>
      <c r="N350" s="7">
        <v>5.2140000000000004</v>
      </c>
      <c r="O350" s="7">
        <v>5.8609999999999998</v>
      </c>
      <c r="P350" s="7">
        <v>6.1840000000000002</v>
      </c>
      <c r="Q350" s="7">
        <v>5.7990000000000004</v>
      </c>
      <c r="R350" s="7">
        <v>6.3819999999999997</v>
      </c>
      <c r="S350" s="7">
        <f t="shared" si="5"/>
        <v>5.4988333333333337</v>
      </c>
    </row>
    <row r="351" spans="1:19">
      <c r="A351" s="5" t="str">
        <f>B351&amp;"-"&amp;COUNTIF($B$2:B351,B351)</f>
        <v>BAHIA-148</v>
      </c>
      <c r="B351" s="5" t="s">
        <v>296</v>
      </c>
      <c r="C351" s="5" t="s">
        <v>396</v>
      </c>
      <c r="D351" s="6">
        <v>-395918</v>
      </c>
      <c r="E351" s="6">
        <v>-148583</v>
      </c>
      <c r="F351" s="7">
        <v>4.8570000000000002</v>
      </c>
      <c r="G351" s="7">
        <v>5.8920000000000003</v>
      </c>
      <c r="H351" s="7">
        <v>5.8410000000000002</v>
      </c>
      <c r="I351" s="7">
        <v>5.4139999999999997</v>
      </c>
      <c r="J351" s="7">
        <v>4.5650000000000004</v>
      </c>
      <c r="K351" s="7">
        <v>3.8860000000000001</v>
      </c>
      <c r="L351" s="7">
        <v>3.5070000000000001</v>
      </c>
      <c r="M351" s="7">
        <v>3.73</v>
      </c>
      <c r="N351" s="7">
        <v>4.2679999999999998</v>
      </c>
      <c r="O351" s="7">
        <v>4.9139999999999997</v>
      </c>
      <c r="P351" s="7">
        <v>5.0940000000000003</v>
      </c>
      <c r="Q351" s="7">
        <v>5.2</v>
      </c>
      <c r="R351" s="7">
        <v>5.9729999999999999</v>
      </c>
      <c r="S351" s="7">
        <f t="shared" si="5"/>
        <v>4.8570000000000002</v>
      </c>
    </row>
    <row r="352" spans="1:19">
      <c r="A352" s="5" t="str">
        <f>B352&amp;"-"&amp;COUNTIF($B$2:B352,B352)</f>
        <v>BAHIA-149</v>
      </c>
      <c r="B352" s="5" t="s">
        <v>296</v>
      </c>
      <c r="C352" s="5" t="s">
        <v>397</v>
      </c>
      <c r="D352" s="6">
        <v>-412843</v>
      </c>
      <c r="E352" s="6">
        <v>-134064</v>
      </c>
      <c r="F352" s="7">
        <v>5.0949999999999998</v>
      </c>
      <c r="G352" s="7">
        <v>5.9539999999999997</v>
      </c>
      <c r="H352" s="7">
        <v>6.0419999999999998</v>
      </c>
      <c r="I352" s="7">
        <v>5.5739999999999998</v>
      </c>
      <c r="J352" s="7">
        <v>4.6070000000000002</v>
      </c>
      <c r="K352" s="7">
        <v>4.0890000000000004</v>
      </c>
      <c r="L352" s="7">
        <v>3.7160000000000002</v>
      </c>
      <c r="M352" s="7">
        <v>3.9020000000000001</v>
      </c>
      <c r="N352" s="7">
        <v>4.5659999999999998</v>
      </c>
      <c r="O352" s="7">
        <v>5.5309999999999997</v>
      </c>
      <c r="P352" s="7">
        <v>5.6509999999999998</v>
      </c>
      <c r="Q352" s="7">
        <v>5.4779999999999998</v>
      </c>
      <c r="R352" s="7">
        <v>6.0330000000000004</v>
      </c>
      <c r="S352" s="7">
        <f t="shared" si="5"/>
        <v>5.0952500000000009</v>
      </c>
    </row>
    <row r="353" spans="1:19">
      <c r="A353" s="5" t="str">
        <f>B353&amp;"-"&amp;COUNTIF($B$2:B353,B353)</f>
        <v>BAHIA-150</v>
      </c>
      <c r="B353" s="5" t="s">
        <v>296</v>
      </c>
      <c r="C353" s="5" t="s">
        <v>398</v>
      </c>
      <c r="D353" s="6">
        <v>-399882</v>
      </c>
      <c r="E353" s="6">
        <v>-148454</v>
      </c>
      <c r="F353" s="7">
        <v>4.8339999999999996</v>
      </c>
      <c r="G353" s="7">
        <v>5.8689999999999998</v>
      </c>
      <c r="H353" s="7">
        <v>5.8540000000000001</v>
      </c>
      <c r="I353" s="7">
        <v>5.4450000000000003</v>
      </c>
      <c r="J353" s="7">
        <v>4.5659999999999998</v>
      </c>
      <c r="K353" s="7">
        <v>3.887</v>
      </c>
      <c r="L353" s="7">
        <v>3.5569999999999999</v>
      </c>
      <c r="M353" s="7">
        <v>3.6829999999999998</v>
      </c>
      <c r="N353" s="7">
        <v>4.2119999999999997</v>
      </c>
      <c r="O353" s="7">
        <v>4.8150000000000004</v>
      </c>
      <c r="P353" s="7">
        <v>4.9729999999999999</v>
      </c>
      <c r="Q353" s="7">
        <v>5.1360000000000001</v>
      </c>
      <c r="R353" s="7">
        <v>6.008</v>
      </c>
      <c r="S353" s="7">
        <f t="shared" si="5"/>
        <v>4.8337499999999993</v>
      </c>
    </row>
    <row r="354" spans="1:19">
      <c r="A354" s="5" t="str">
        <f>B354&amp;"-"&amp;COUNTIF($B$2:B354,B354)</f>
        <v>BAHIA-151</v>
      </c>
      <c r="B354" s="5" t="s">
        <v>296</v>
      </c>
      <c r="C354" s="5" t="s">
        <v>399</v>
      </c>
      <c r="D354" s="6">
        <v>-420199</v>
      </c>
      <c r="E354" s="6">
        <v>-116442</v>
      </c>
      <c r="F354" s="7">
        <v>5.6029999999999998</v>
      </c>
      <c r="G354" s="7">
        <v>6.28</v>
      </c>
      <c r="H354" s="7">
        <v>6.0369999999999999</v>
      </c>
      <c r="I354" s="7">
        <v>5.883</v>
      </c>
      <c r="J354" s="7">
        <v>5.1319999999999997</v>
      </c>
      <c r="K354" s="7">
        <v>4.6449999999999996</v>
      </c>
      <c r="L354" s="7">
        <v>4.4219999999999997</v>
      </c>
      <c r="M354" s="7">
        <v>4.6829999999999998</v>
      </c>
      <c r="N354" s="7">
        <v>5.4370000000000003</v>
      </c>
      <c r="O354" s="7">
        <v>6.2229999999999999</v>
      </c>
      <c r="P354" s="7">
        <v>6.2720000000000002</v>
      </c>
      <c r="Q354" s="7">
        <v>5.9909999999999997</v>
      </c>
      <c r="R354" s="7">
        <v>6.2370000000000001</v>
      </c>
      <c r="S354" s="7">
        <f t="shared" si="5"/>
        <v>5.6034999999999995</v>
      </c>
    </row>
    <row r="355" spans="1:19">
      <c r="A355" s="5" t="str">
        <f>B355&amp;"-"&amp;COUNTIF($B$2:B355,B355)</f>
        <v>BAHIA-152</v>
      </c>
      <c r="B355" s="5" t="s">
        <v>296</v>
      </c>
      <c r="C355" s="5" t="s">
        <v>400</v>
      </c>
      <c r="D355" s="6">
        <v>-424859</v>
      </c>
      <c r="E355" s="6">
        <v>-128809</v>
      </c>
      <c r="F355" s="7">
        <v>5.9279999999999999</v>
      </c>
      <c r="G355" s="7">
        <v>6.6680000000000001</v>
      </c>
      <c r="H355" s="7">
        <v>6.5960000000000001</v>
      </c>
      <c r="I355" s="7">
        <v>6.1639999999999997</v>
      </c>
      <c r="J355" s="7">
        <v>5.5650000000000004</v>
      </c>
      <c r="K355" s="7">
        <v>5.032</v>
      </c>
      <c r="L355" s="7">
        <v>4.8170000000000002</v>
      </c>
      <c r="M355" s="7">
        <v>5.0199999999999996</v>
      </c>
      <c r="N355" s="7">
        <v>5.7380000000000004</v>
      </c>
      <c r="O355" s="7">
        <v>6.218</v>
      </c>
      <c r="P355" s="7">
        <v>6.524</v>
      </c>
      <c r="Q355" s="7">
        <v>6.1260000000000003</v>
      </c>
      <c r="R355" s="7">
        <v>6.6710000000000003</v>
      </c>
      <c r="S355" s="7">
        <f t="shared" si="5"/>
        <v>5.9282500000000011</v>
      </c>
    </row>
    <row r="356" spans="1:19">
      <c r="A356" s="5" t="str">
        <f>B356&amp;"-"&amp;COUNTIF($B$2:B356,B356)</f>
        <v>BAHIA-153</v>
      </c>
      <c r="B356" s="5" t="s">
        <v>296</v>
      </c>
      <c r="C356" s="5" t="s">
        <v>401</v>
      </c>
      <c r="D356" s="6">
        <v>-409304</v>
      </c>
      <c r="E356" s="6">
        <v>-126484</v>
      </c>
      <c r="F356" s="7">
        <v>5.0149999999999997</v>
      </c>
      <c r="G356" s="7">
        <v>5.8550000000000004</v>
      </c>
      <c r="H356" s="7">
        <v>5.8810000000000002</v>
      </c>
      <c r="I356" s="7">
        <v>5.5010000000000003</v>
      </c>
      <c r="J356" s="7">
        <v>4.55</v>
      </c>
      <c r="K356" s="7">
        <v>4.0250000000000004</v>
      </c>
      <c r="L356" s="7">
        <v>3.758</v>
      </c>
      <c r="M356" s="7">
        <v>3.9289999999999998</v>
      </c>
      <c r="N356" s="7">
        <v>4.5620000000000003</v>
      </c>
      <c r="O356" s="7">
        <v>5.5049999999999999</v>
      </c>
      <c r="P356" s="7">
        <v>5.4660000000000002</v>
      </c>
      <c r="Q356" s="7">
        <v>5.3949999999999996</v>
      </c>
      <c r="R356" s="7">
        <v>5.7489999999999997</v>
      </c>
      <c r="S356" s="7">
        <f t="shared" si="5"/>
        <v>5.0146666666666677</v>
      </c>
    </row>
    <row r="357" spans="1:19">
      <c r="A357" s="5" t="str">
        <f>B357&amp;"-"&amp;COUNTIF($B$2:B357,B357)</f>
        <v>BAHIA-154</v>
      </c>
      <c r="B357" s="5" t="s">
        <v>296</v>
      </c>
      <c r="C357" s="5" t="s">
        <v>402</v>
      </c>
      <c r="D357" s="6">
        <v>-393727</v>
      </c>
      <c r="E357" s="6">
        <v>-141621</v>
      </c>
      <c r="F357" s="7">
        <v>4.8230000000000004</v>
      </c>
      <c r="G357" s="7">
        <v>5.8259999999999996</v>
      </c>
      <c r="H357" s="7">
        <v>5.7629999999999999</v>
      </c>
      <c r="I357" s="7">
        <v>5.4429999999999996</v>
      </c>
      <c r="J357" s="7">
        <v>4.4580000000000002</v>
      </c>
      <c r="K357" s="7">
        <v>3.82</v>
      </c>
      <c r="L357" s="7">
        <v>3.4889999999999999</v>
      </c>
      <c r="M357" s="7">
        <v>3.7080000000000002</v>
      </c>
      <c r="N357" s="7">
        <v>4.194</v>
      </c>
      <c r="O357" s="7">
        <v>4.8730000000000002</v>
      </c>
      <c r="P357" s="7">
        <v>5.1040000000000001</v>
      </c>
      <c r="Q357" s="7">
        <v>5.2480000000000002</v>
      </c>
      <c r="R357" s="7">
        <v>5.9530000000000003</v>
      </c>
      <c r="S357" s="7">
        <f t="shared" si="5"/>
        <v>4.8232499999999998</v>
      </c>
    </row>
    <row r="358" spans="1:19">
      <c r="A358" s="5" t="str">
        <f>B358&amp;"-"&amp;COUNTIF($B$2:B358,B358)</f>
        <v>BAHIA-155</v>
      </c>
      <c r="B358" s="5" t="s">
        <v>296</v>
      </c>
      <c r="C358" s="5" t="s">
        <v>5344</v>
      </c>
      <c r="D358" s="6">
        <v>-401132</v>
      </c>
      <c r="E358" s="6">
        <v>-176836</v>
      </c>
      <c r="F358" s="7">
        <v>4.9219999999999997</v>
      </c>
      <c r="G358" s="7">
        <v>6.1559999999999997</v>
      </c>
      <c r="H358" s="7">
        <v>6.1689999999999996</v>
      </c>
      <c r="I358" s="7">
        <v>5.367</v>
      </c>
      <c r="J358" s="7">
        <v>4.5739999999999998</v>
      </c>
      <c r="K358" s="7">
        <v>3.8730000000000002</v>
      </c>
      <c r="L358" s="7">
        <v>3.4820000000000002</v>
      </c>
      <c r="M358" s="7">
        <v>3.6539999999999999</v>
      </c>
      <c r="N358" s="7">
        <v>4.3140000000000001</v>
      </c>
      <c r="O358" s="7">
        <v>4.8899999999999997</v>
      </c>
      <c r="P358" s="7">
        <v>5.2119999999999997</v>
      </c>
      <c r="Q358" s="7">
        <v>5.2009999999999996</v>
      </c>
      <c r="R358" s="7">
        <v>6.1710000000000003</v>
      </c>
      <c r="S358" s="7">
        <f t="shared" si="5"/>
        <v>4.9219166666666672</v>
      </c>
    </row>
    <row r="359" spans="1:19">
      <c r="A359" s="5" t="str">
        <f>B359&amp;"-"&amp;COUNTIF($B$2:B359,B359)</f>
        <v>BAHIA-156</v>
      </c>
      <c r="B359" s="5" t="s">
        <v>296</v>
      </c>
      <c r="C359" s="5" t="s">
        <v>403</v>
      </c>
      <c r="D359" s="6">
        <v>-396407</v>
      </c>
      <c r="E359" s="6">
        <v>-140648</v>
      </c>
      <c r="F359" s="7">
        <v>4.8479999999999999</v>
      </c>
      <c r="G359" s="7">
        <v>5.8570000000000002</v>
      </c>
      <c r="H359" s="7">
        <v>5.8010000000000002</v>
      </c>
      <c r="I359" s="7">
        <v>5.4969999999999999</v>
      </c>
      <c r="J359" s="7">
        <v>4.4870000000000001</v>
      </c>
      <c r="K359" s="7">
        <v>3.847</v>
      </c>
      <c r="L359" s="7">
        <v>3.4889999999999999</v>
      </c>
      <c r="M359" s="7">
        <v>3.7109999999999999</v>
      </c>
      <c r="N359" s="7">
        <v>4.21</v>
      </c>
      <c r="O359" s="7">
        <v>4.9560000000000004</v>
      </c>
      <c r="P359" s="7">
        <v>5.141</v>
      </c>
      <c r="Q359" s="7">
        <v>5.274</v>
      </c>
      <c r="R359" s="7">
        <v>5.9029999999999996</v>
      </c>
      <c r="S359" s="7">
        <f t="shared" si="5"/>
        <v>4.8477500000000004</v>
      </c>
    </row>
    <row r="360" spans="1:19">
      <c r="A360" s="5" t="str">
        <f>B360&amp;"-"&amp;COUNTIF($B$2:B360,B360)</f>
        <v>BAHIA-157</v>
      </c>
      <c r="B360" s="5" t="s">
        <v>296</v>
      </c>
      <c r="C360" s="5" t="s">
        <v>404</v>
      </c>
      <c r="D360" s="6">
        <v>-422183</v>
      </c>
      <c r="E360" s="6">
        <v>-126506</v>
      </c>
      <c r="F360" s="7">
        <v>5.7750000000000004</v>
      </c>
      <c r="G360" s="7">
        <v>6.3650000000000002</v>
      </c>
      <c r="H360" s="7">
        <v>6.3010000000000002</v>
      </c>
      <c r="I360" s="7">
        <v>5.915</v>
      </c>
      <c r="J360" s="7">
        <v>5.2930000000000001</v>
      </c>
      <c r="K360" s="7">
        <v>4.8869999999999996</v>
      </c>
      <c r="L360" s="7">
        <v>4.7060000000000004</v>
      </c>
      <c r="M360" s="7">
        <v>4.9329999999999998</v>
      </c>
      <c r="N360" s="7">
        <v>5.6890000000000001</v>
      </c>
      <c r="O360" s="7">
        <v>6.3150000000000004</v>
      </c>
      <c r="P360" s="7">
        <v>6.4160000000000004</v>
      </c>
      <c r="Q360" s="7">
        <v>5.9829999999999997</v>
      </c>
      <c r="R360" s="7">
        <v>6.4960000000000004</v>
      </c>
      <c r="S360" s="7">
        <f t="shared" si="5"/>
        <v>5.774916666666666</v>
      </c>
    </row>
    <row r="361" spans="1:19">
      <c r="A361" s="5" t="str">
        <f>B361&amp;"-"&amp;COUNTIF($B$2:B361,B361)</f>
        <v>BAHIA-158</v>
      </c>
      <c r="B361" s="5" t="s">
        <v>296</v>
      </c>
      <c r="C361" s="5" t="s">
        <v>5464</v>
      </c>
      <c r="D361" s="6">
        <v>-419752</v>
      </c>
      <c r="E361" s="6">
        <v>-115419</v>
      </c>
      <c r="F361" s="7">
        <v>5.7089999999999996</v>
      </c>
      <c r="G361" s="7">
        <v>6.415</v>
      </c>
      <c r="H361" s="7">
        <v>6.2130000000000001</v>
      </c>
      <c r="I361" s="7">
        <v>5.9989999999999997</v>
      </c>
      <c r="J361" s="7">
        <v>5.2279999999999998</v>
      </c>
      <c r="K361" s="7">
        <v>4.7270000000000003</v>
      </c>
      <c r="L361" s="7">
        <v>4.5170000000000003</v>
      </c>
      <c r="M361" s="7">
        <v>4.7590000000000003</v>
      </c>
      <c r="N361" s="7">
        <v>5.5430000000000001</v>
      </c>
      <c r="O361" s="7">
        <v>6.242</v>
      </c>
      <c r="P361" s="7">
        <v>6.3630000000000004</v>
      </c>
      <c r="Q361" s="7">
        <v>6.1189999999999998</v>
      </c>
      <c r="R361" s="7">
        <v>6.3780000000000001</v>
      </c>
      <c r="S361" s="7">
        <f t="shared" si="5"/>
        <v>5.7085833333333325</v>
      </c>
    </row>
    <row r="362" spans="1:19">
      <c r="A362" s="5" t="str">
        <f>B362&amp;"-"&amp;COUNTIF($B$2:B362,B362)</f>
        <v>BAHIA-159</v>
      </c>
      <c r="B362" s="5" t="s">
        <v>296</v>
      </c>
      <c r="C362" s="5" t="s">
        <v>405</v>
      </c>
      <c r="D362" s="6">
        <v>-43217</v>
      </c>
      <c r="E362" s="6">
        <v>-121783</v>
      </c>
      <c r="F362" s="7">
        <v>5.9980000000000002</v>
      </c>
      <c r="G362" s="7">
        <v>6.59</v>
      </c>
      <c r="H362" s="7">
        <v>6.5250000000000004</v>
      </c>
      <c r="I362" s="7">
        <v>6.2140000000000004</v>
      </c>
      <c r="J362" s="7">
        <v>5.78</v>
      </c>
      <c r="K362" s="7">
        <v>5.2670000000000003</v>
      </c>
      <c r="L362" s="7">
        <v>5.0460000000000003</v>
      </c>
      <c r="M362" s="7">
        <v>5.2309999999999999</v>
      </c>
      <c r="N362" s="7">
        <v>5.89</v>
      </c>
      <c r="O362" s="7">
        <v>6.242</v>
      </c>
      <c r="P362" s="7">
        <v>6.4690000000000003</v>
      </c>
      <c r="Q362" s="7">
        <v>6.181</v>
      </c>
      <c r="R362" s="7">
        <v>6.5359999999999996</v>
      </c>
      <c r="S362" s="7">
        <f t="shared" si="5"/>
        <v>5.9975833333333339</v>
      </c>
    </row>
    <row r="363" spans="1:19">
      <c r="A363" s="5" t="str">
        <f>B363&amp;"-"&amp;COUNTIF($B$2:B363,B363)</f>
        <v>BAHIA-160</v>
      </c>
      <c r="B363" s="5" t="s">
        <v>296</v>
      </c>
      <c r="C363" s="5" t="s">
        <v>406</v>
      </c>
      <c r="D363" s="6">
        <v>-391906</v>
      </c>
      <c r="E363" s="6">
        <v>-117487</v>
      </c>
      <c r="F363" s="7">
        <v>5.1210000000000004</v>
      </c>
      <c r="G363" s="7">
        <v>6.1070000000000002</v>
      </c>
      <c r="H363" s="7">
        <v>5.8639999999999999</v>
      </c>
      <c r="I363" s="7">
        <v>5.7510000000000003</v>
      </c>
      <c r="J363" s="7">
        <v>4.8040000000000003</v>
      </c>
      <c r="K363" s="7">
        <v>4.0110000000000001</v>
      </c>
      <c r="L363" s="7">
        <v>3.7320000000000002</v>
      </c>
      <c r="M363" s="7">
        <v>3.956</v>
      </c>
      <c r="N363" s="7">
        <v>4.4290000000000003</v>
      </c>
      <c r="O363" s="7">
        <v>5.3150000000000004</v>
      </c>
      <c r="P363" s="7">
        <v>5.5709999999999997</v>
      </c>
      <c r="Q363" s="7">
        <v>5.8739999999999997</v>
      </c>
      <c r="R363" s="7">
        <v>6.0359999999999996</v>
      </c>
      <c r="S363" s="7">
        <f t="shared" si="5"/>
        <v>5.1208333333333336</v>
      </c>
    </row>
    <row r="364" spans="1:19">
      <c r="A364" s="5" t="str">
        <f>B364&amp;"-"&amp;COUNTIF($B$2:B364,B364)</f>
        <v>BAHIA-161</v>
      </c>
      <c r="B364" s="5" t="s">
        <v>296</v>
      </c>
      <c r="C364" s="5" t="s">
        <v>5345</v>
      </c>
      <c r="D364" s="6">
        <v>-427182</v>
      </c>
      <c r="E364" s="5" t="s">
        <v>407</v>
      </c>
      <c r="F364" s="7">
        <v>5.8159999999999998</v>
      </c>
      <c r="G364" s="7">
        <v>6.5229999999999997</v>
      </c>
      <c r="H364" s="7">
        <v>6.5540000000000003</v>
      </c>
      <c r="I364" s="7">
        <v>5.9240000000000004</v>
      </c>
      <c r="J364" s="7">
        <v>5.5460000000000003</v>
      </c>
      <c r="K364" s="7">
        <v>4.9279999999999999</v>
      </c>
      <c r="L364" s="7">
        <v>4.7160000000000002</v>
      </c>
      <c r="M364" s="7">
        <v>5.0049999999999999</v>
      </c>
      <c r="N364" s="7">
        <v>5.7140000000000004</v>
      </c>
      <c r="O364" s="7">
        <v>6.194</v>
      </c>
      <c r="P364" s="7">
        <v>6.4169999999999998</v>
      </c>
      <c r="Q364" s="7">
        <v>5.8490000000000002</v>
      </c>
      <c r="R364" s="7">
        <v>6.4219999999999997</v>
      </c>
      <c r="S364" s="7">
        <f t="shared" si="5"/>
        <v>5.8159999999999998</v>
      </c>
    </row>
    <row r="365" spans="1:19">
      <c r="A365" s="5" t="str">
        <f>B365&amp;"-"&amp;COUNTIF($B$2:B365,B365)</f>
        <v>BAHIA-162</v>
      </c>
      <c r="B365" s="5" t="s">
        <v>296</v>
      </c>
      <c r="C365" s="5" t="s">
        <v>4809</v>
      </c>
      <c r="D365" s="6">
        <v>-391416</v>
      </c>
      <c r="E365" s="6">
        <v>-138214</v>
      </c>
      <c r="F365" s="7">
        <v>4.9249999999999998</v>
      </c>
      <c r="G365" s="7">
        <v>6.0019999999999998</v>
      </c>
      <c r="H365" s="7">
        <v>5.8730000000000002</v>
      </c>
      <c r="I365" s="7">
        <v>5.625</v>
      </c>
      <c r="J365" s="7">
        <v>4.556</v>
      </c>
      <c r="K365" s="7">
        <v>3.9</v>
      </c>
      <c r="L365" s="7">
        <v>3.5419999999999998</v>
      </c>
      <c r="M365" s="7">
        <v>3.7690000000000001</v>
      </c>
      <c r="N365" s="7">
        <v>4.2389999999999999</v>
      </c>
      <c r="O365" s="7">
        <v>4.952</v>
      </c>
      <c r="P365" s="7">
        <v>5.1790000000000003</v>
      </c>
      <c r="Q365" s="7">
        <v>5.4349999999999996</v>
      </c>
      <c r="R365" s="7">
        <v>6.02</v>
      </c>
      <c r="S365" s="7">
        <f t="shared" si="5"/>
        <v>4.9243333333333332</v>
      </c>
    </row>
    <row r="366" spans="1:19">
      <c r="A366" s="5" t="str">
        <f>B366&amp;"-"&amp;COUNTIF($B$2:B366,B366)</f>
        <v>BAHIA-163</v>
      </c>
      <c r="B366" s="5" t="s">
        <v>296</v>
      </c>
      <c r="C366" s="5" t="s">
        <v>408</v>
      </c>
      <c r="D366" s="6">
        <v>-400898</v>
      </c>
      <c r="E366" s="6">
        <v>-147532</v>
      </c>
      <c r="F366" s="7">
        <v>4.8550000000000004</v>
      </c>
      <c r="G366" s="7">
        <v>5.7990000000000004</v>
      </c>
      <c r="H366" s="7">
        <v>5.9269999999999996</v>
      </c>
      <c r="I366" s="7">
        <v>5.444</v>
      </c>
      <c r="J366" s="7">
        <v>4.5940000000000003</v>
      </c>
      <c r="K366" s="7">
        <v>3.8889999999999998</v>
      </c>
      <c r="L366" s="7">
        <v>3.5019999999999998</v>
      </c>
      <c r="M366" s="7">
        <v>3.6909999999999998</v>
      </c>
      <c r="N366" s="7">
        <v>4.1719999999999997</v>
      </c>
      <c r="O366" s="7">
        <v>4.9029999999999996</v>
      </c>
      <c r="P366" s="7">
        <v>5.0750000000000002</v>
      </c>
      <c r="Q366" s="7">
        <v>5.2370000000000001</v>
      </c>
      <c r="R366" s="7">
        <v>6.0279999999999996</v>
      </c>
      <c r="S366" s="7">
        <f t="shared" si="5"/>
        <v>4.855083333333333</v>
      </c>
    </row>
    <row r="367" spans="1:19">
      <c r="A367" s="5" t="str">
        <f>B367&amp;"-"&amp;COUNTIF($B$2:B367,B367)</f>
        <v>BAHIA-164</v>
      </c>
      <c r="B367" s="5" t="s">
        <v>296</v>
      </c>
      <c r="C367" s="5" t="s">
        <v>4275</v>
      </c>
      <c r="D367" s="6">
        <v>-390463</v>
      </c>
      <c r="E367" s="6">
        <v>-147935</v>
      </c>
      <c r="F367" s="7">
        <v>5.181</v>
      </c>
      <c r="G367" s="7">
        <v>6.2030000000000003</v>
      </c>
      <c r="H367" s="7">
        <v>6.202</v>
      </c>
      <c r="I367" s="7">
        <v>5.758</v>
      </c>
      <c r="J367" s="7">
        <v>4.7450000000000001</v>
      </c>
      <c r="K367" s="7">
        <v>4.0579999999999998</v>
      </c>
      <c r="L367" s="7">
        <v>3.722</v>
      </c>
      <c r="M367" s="7">
        <v>3.9689999999999999</v>
      </c>
      <c r="N367" s="7">
        <v>4.5570000000000004</v>
      </c>
      <c r="O367" s="7">
        <v>5.2539999999999996</v>
      </c>
      <c r="P367" s="7">
        <v>5.548</v>
      </c>
      <c r="Q367" s="7">
        <v>5.73</v>
      </c>
      <c r="R367" s="7">
        <v>6.423</v>
      </c>
      <c r="S367" s="7">
        <f t="shared" si="5"/>
        <v>5.1807500000000006</v>
      </c>
    </row>
    <row r="368" spans="1:19">
      <c r="A368" s="5" t="str">
        <f>B368&amp;"-"&amp;COUNTIF($B$2:B368,B368)</f>
        <v>BAHIA-165</v>
      </c>
      <c r="B368" s="5" t="s">
        <v>296</v>
      </c>
      <c r="C368" s="5" t="s">
        <v>409</v>
      </c>
      <c r="D368" s="6">
        <v>-383558</v>
      </c>
      <c r="E368" s="6">
        <v>-117911</v>
      </c>
      <c r="F368" s="7">
        <v>5.1239999999999997</v>
      </c>
      <c r="G368" s="7">
        <v>6.05</v>
      </c>
      <c r="H368" s="7">
        <v>5.8150000000000004</v>
      </c>
      <c r="I368" s="7">
        <v>5.6820000000000004</v>
      </c>
      <c r="J368" s="7">
        <v>4.7880000000000003</v>
      </c>
      <c r="K368" s="7">
        <v>4.1109999999999998</v>
      </c>
      <c r="L368" s="7">
        <v>3.8050000000000002</v>
      </c>
      <c r="M368" s="7">
        <v>4.0039999999999996</v>
      </c>
      <c r="N368" s="7">
        <v>4.4850000000000003</v>
      </c>
      <c r="O368" s="7">
        <v>5.2770000000000001</v>
      </c>
      <c r="P368" s="7">
        <v>5.5119999999999996</v>
      </c>
      <c r="Q368" s="7">
        <v>5.8689999999999998</v>
      </c>
      <c r="R368" s="7">
        <v>6.0890000000000004</v>
      </c>
      <c r="S368" s="7">
        <f t="shared" si="5"/>
        <v>5.1239166666666671</v>
      </c>
    </row>
    <row r="369" spans="1:19">
      <c r="A369" s="5" t="str">
        <f>B369&amp;"-"&amp;COUNTIF($B$2:B369,B369)</f>
        <v>BAHIA-166</v>
      </c>
      <c r="B369" s="5" t="s">
        <v>296</v>
      </c>
      <c r="C369" s="5" t="s">
        <v>5465</v>
      </c>
      <c r="D369" s="6">
        <v>-393084</v>
      </c>
      <c r="E369" s="6">
        <v>-123157</v>
      </c>
      <c r="F369" s="7">
        <v>5.05</v>
      </c>
      <c r="G369" s="7">
        <v>5.9450000000000003</v>
      </c>
      <c r="H369" s="7">
        <v>5.93</v>
      </c>
      <c r="I369" s="7">
        <v>5.7450000000000001</v>
      </c>
      <c r="J369" s="7">
        <v>4.6989999999999998</v>
      </c>
      <c r="K369" s="7">
        <v>4.0019999999999998</v>
      </c>
      <c r="L369" s="7">
        <v>3.657</v>
      </c>
      <c r="M369" s="7">
        <v>3.8719999999999999</v>
      </c>
      <c r="N369" s="7">
        <v>4.452</v>
      </c>
      <c r="O369" s="7">
        <v>5.218</v>
      </c>
      <c r="P369" s="7">
        <v>5.4320000000000004</v>
      </c>
      <c r="Q369" s="7">
        <v>5.6639999999999997</v>
      </c>
      <c r="R369" s="7">
        <v>5.9870000000000001</v>
      </c>
      <c r="S369" s="7">
        <f t="shared" si="5"/>
        <v>5.0502500000000001</v>
      </c>
    </row>
    <row r="370" spans="1:19">
      <c r="A370" s="5" t="str">
        <f>B370&amp;"-"&amp;COUNTIF($B$2:B370,B370)</f>
        <v>BAHIA-167</v>
      </c>
      <c r="B370" s="5" t="s">
        <v>296</v>
      </c>
      <c r="C370" s="5" t="s">
        <v>4810</v>
      </c>
      <c r="D370" s="6">
        <v>-397373</v>
      </c>
      <c r="E370" s="6">
        <v>-141333</v>
      </c>
      <c r="F370" s="7">
        <v>4.8849999999999998</v>
      </c>
      <c r="G370" s="7">
        <v>5.8680000000000003</v>
      </c>
      <c r="H370" s="7">
        <v>5.9340000000000002</v>
      </c>
      <c r="I370" s="7">
        <v>5.5190000000000001</v>
      </c>
      <c r="J370" s="7">
        <v>4.5519999999999996</v>
      </c>
      <c r="K370" s="7">
        <v>3.8929999999999998</v>
      </c>
      <c r="L370" s="7">
        <v>3.5139999999999998</v>
      </c>
      <c r="M370" s="7">
        <v>3.7309999999999999</v>
      </c>
      <c r="N370" s="7">
        <v>4.25</v>
      </c>
      <c r="O370" s="7">
        <v>4.9790000000000001</v>
      </c>
      <c r="P370" s="7">
        <v>5.1660000000000004</v>
      </c>
      <c r="Q370" s="7">
        <v>5.2809999999999997</v>
      </c>
      <c r="R370" s="7">
        <v>5.9329999999999998</v>
      </c>
      <c r="S370" s="7">
        <f t="shared" si="5"/>
        <v>4.8849999999999989</v>
      </c>
    </row>
    <row r="371" spans="1:19">
      <c r="A371" s="5" t="str">
        <f>B371&amp;"-"&amp;COUNTIF($B$2:B371,B371)</f>
        <v>BAHIA-168</v>
      </c>
      <c r="B371" s="5" t="s">
        <v>296</v>
      </c>
      <c r="C371" s="5" t="s">
        <v>5466</v>
      </c>
      <c r="D371" s="6">
        <v>-397363</v>
      </c>
      <c r="E371" s="6">
        <v>-121565</v>
      </c>
      <c r="F371" s="7">
        <v>5.0570000000000004</v>
      </c>
      <c r="G371" s="7">
        <v>6.0209999999999999</v>
      </c>
      <c r="H371" s="7">
        <v>5.9020000000000001</v>
      </c>
      <c r="I371" s="7">
        <v>5.7350000000000003</v>
      </c>
      <c r="J371" s="7">
        <v>4.6470000000000002</v>
      </c>
      <c r="K371" s="7">
        <v>3.9790000000000001</v>
      </c>
      <c r="L371" s="7">
        <v>3.722</v>
      </c>
      <c r="M371" s="7">
        <v>3.8679999999999999</v>
      </c>
      <c r="N371" s="7">
        <v>4.4649999999999999</v>
      </c>
      <c r="O371" s="7">
        <v>5.2859999999999996</v>
      </c>
      <c r="P371" s="7">
        <v>5.4429999999999996</v>
      </c>
      <c r="Q371" s="7">
        <v>5.69</v>
      </c>
      <c r="R371" s="7">
        <v>5.923</v>
      </c>
      <c r="S371" s="7">
        <f t="shared" si="5"/>
        <v>5.0567500000000001</v>
      </c>
    </row>
    <row r="372" spans="1:19">
      <c r="A372" s="5" t="str">
        <f>B372&amp;"-"&amp;COUNTIF($B$2:B372,B372)</f>
        <v>BAHIA-169</v>
      </c>
      <c r="B372" s="5" t="s">
        <v>296</v>
      </c>
      <c r="C372" s="5" t="s">
        <v>410</v>
      </c>
      <c r="D372" s="6">
        <v>-426114</v>
      </c>
      <c r="E372" s="6">
        <v>-11822</v>
      </c>
      <c r="F372" s="7">
        <v>5.9160000000000004</v>
      </c>
      <c r="G372" s="7">
        <v>6.4370000000000003</v>
      </c>
      <c r="H372" s="7">
        <v>6.3070000000000004</v>
      </c>
      <c r="I372" s="7">
        <v>6.048</v>
      </c>
      <c r="J372" s="7">
        <v>5.6210000000000004</v>
      </c>
      <c r="K372" s="7">
        <v>5.133</v>
      </c>
      <c r="L372" s="7">
        <v>4.9619999999999997</v>
      </c>
      <c r="M372" s="7">
        <v>5.1630000000000003</v>
      </c>
      <c r="N372" s="7">
        <v>5.867</v>
      </c>
      <c r="O372" s="7">
        <v>6.3579999999999997</v>
      </c>
      <c r="P372" s="7">
        <v>6.4660000000000002</v>
      </c>
      <c r="Q372" s="7">
        <v>6.1529999999999996</v>
      </c>
      <c r="R372" s="7">
        <v>6.4770000000000003</v>
      </c>
      <c r="S372" s="7">
        <f t="shared" si="5"/>
        <v>5.9160000000000004</v>
      </c>
    </row>
    <row r="373" spans="1:19">
      <c r="A373" s="5" t="str">
        <f>B373&amp;"-"&amp;COUNTIF($B$2:B373,B373)</f>
        <v>BAHIA-170</v>
      </c>
      <c r="B373" s="5" t="s">
        <v>296</v>
      </c>
      <c r="C373" s="5" t="s">
        <v>411</v>
      </c>
      <c r="D373" s="6">
        <v>-400852</v>
      </c>
      <c r="E373" s="6">
        <v>-132568</v>
      </c>
      <c r="F373" s="7">
        <v>4.8470000000000004</v>
      </c>
      <c r="G373" s="7">
        <v>5.7709999999999999</v>
      </c>
      <c r="H373" s="7">
        <v>5.7290000000000001</v>
      </c>
      <c r="I373" s="7">
        <v>5.452</v>
      </c>
      <c r="J373" s="7">
        <v>4.431</v>
      </c>
      <c r="K373" s="7">
        <v>3.839</v>
      </c>
      <c r="L373" s="7">
        <v>3.4830000000000001</v>
      </c>
      <c r="M373" s="7">
        <v>3.6890000000000001</v>
      </c>
      <c r="N373" s="7">
        <v>4.2489999999999997</v>
      </c>
      <c r="O373" s="7">
        <v>5.1689999999999996</v>
      </c>
      <c r="P373" s="7">
        <v>5.2329999999999997</v>
      </c>
      <c r="Q373" s="7">
        <v>5.33</v>
      </c>
      <c r="R373" s="7">
        <v>5.7910000000000004</v>
      </c>
      <c r="S373" s="7">
        <f t="shared" si="5"/>
        <v>4.8471666666666664</v>
      </c>
    </row>
    <row r="374" spans="1:19">
      <c r="A374" s="5" t="str">
        <f>B374&amp;"-"&amp;COUNTIF($B$2:B374,B374)</f>
        <v>BAHIA-171</v>
      </c>
      <c r="B374" s="5" t="s">
        <v>296</v>
      </c>
      <c r="C374" s="5" t="s">
        <v>412</v>
      </c>
      <c r="D374" s="6">
        <v>-409593</v>
      </c>
      <c r="E374" s="6">
        <v>-132929</v>
      </c>
      <c r="F374" s="7">
        <v>5.0750000000000002</v>
      </c>
      <c r="G374" s="7">
        <v>5.8410000000000002</v>
      </c>
      <c r="H374" s="7">
        <v>6.02</v>
      </c>
      <c r="I374" s="7">
        <v>5.6189999999999998</v>
      </c>
      <c r="J374" s="7">
        <v>4.702</v>
      </c>
      <c r="K374" s="7">
        <v>4.1459999999999999</v>
      </c>
      <c r="L374" s="7">
        <v>3.7690000000000001</v>
      </c>
      <c r="M374" s="7">
        <v>3.9260000000000002</v>
      </c>
      <c r="N374" s="7">
        <v>4.5439999999999996</v>
      </c>
      <c r="O374" s="7">
        <v>5.4859999999999998</v>
      </c>
      <c r="P374" s="7">
        <v>5.4969999999999999</v>
      </c>
      <c r="Q374" s="7">
        <v>5.4390000000000001</v>
      </c>
      <c r="R374" s="7">
        <v>5.907</v>
      </c>
      <c r="S374" s="7">
        <f t="shared" si="5"/>
        <v>5.0746666666666664</v>
      </c>
    </row>
    <row r="375" spans="1:19">
      <c r="A375" s="5" t="str">
        <f>B375&amp;"-"&amp;COUNTIF($B$2:B375,B375)</f>
        <v>BAHIA-172</v>
      </c>
      <c r="B375" s="5" t="s">
        <v>296</v>
      </c>
      <c r="C375" s="5" t="s">
        <v>413</v>
      </c>
      <c r="D375" s="6">
        <v>-416158</v>
      </c>
      <c r="E375" s="6">
        <v>-122433</v>
      </c>
      <c r="F375" s="7">
        <v>5.2380000000000004</v>
      </c>
      <c r="G375" s="7">
        <v>5.9980000000000002</v>
      </c>
      <c r="H375" s="7">
        <v>5.9130000000000003</v>
      </c>
      <c r="I375" s="7">
        <v>5.6479999999999997</v>
      </c>
      <c r="J375" s="7">
        <v>4.84</v>
      </c>
      <c r="K375" s="7">
        <v>4.234</v>
      </c>
      <c r="L375" s="7">
        <v>3.9630000000000001</v>
      </c>
      <c r="M375" s="7">
        <v>4.125</v>
      </c>
      <c r="N375" s="7">
        <v>4.8079999999999998</v>
      </c>
      <c r="O375" s="7">
        <v>5.7149999999999999</v>
      </c>
      <c r="P375" s="7">
        <v>5.8339999999999996</v>
      </c>
      <c r="Q375" s="7">
        <v>5.6989999999999998</v>
      </c>
      <c r="R375" s="7">
        <v>6.0750000000000002</v>
      </c>
      <c r="S375" s="7">
        <f t="shared" si="5"/>
        <v>5.2376666666666667</v>
      </c>
    </row>
    <row r="376" spans="1:19">
      <c r="A376" s="5" t="str">
        <f>B376&amp;"-"&amp;COUNTIF($B$2:B376,B376)</f>
        <v>BAHIA-173</v>
      </c>
      <c r="B376" s="5" t="s">
        <v>296</v>
      </c>
      <c r="C376" s="5" t="s">
        <v>5467</v>
      </c>
      <c r="D376" s="6">
        <v>-387635</v>
      </c>
      <c r="E376" s="6">
        <v>-120509</v>
      </c>
      <c r="F376" s="7">
        <v>5.0970000000000004</v>
      </c>
      <c r="G376" s="7">
        <v>6.08</v>
      </c>
      <c r="H376" s="7">
        <v>5.8029999999999999</v>
      </c>
      <c r="I376" s="7">
        <v>5.718</v>
      </c>
      <c r="J376" s="7">
        <v>4.7169999999999996</v>
      </c>
      <c r="K376" s="7">
        <v>3.9630000000000001</v>
      </c>
      <c r="L376" s="7">
        <v>3.6880000000000002</v>
      </c>
      <c r="M376" s="7">
        <v>3.93</v>
      </c>
      <c r="N376" s="7">
        <v>4.452</v>
      </c>
      <c r="O376" s="7">
        <v>5.2939999999999996</v>
      </c>
      <c r="P376" s="7">
        <v>5.5439999999999996</v>
      </c>
      <c r="Q376" s="7">
        <v>5.8579999999999997</v>
      </c>
      <c r="R376" s="7">
        <v>6.117</v>
      </c>
      <c r="S376" s="7">
        <f t="shared" si="5"/>
        <v>5.0969999999999986</v>
      </c>
    </row>
    <row r="377" spans="1:19">
      <c r="A377" s="5" t="str">
        <f>B377&amp;"-"&amp;COUNTIF($B$2:B377,B377)</f>
        <v>BAHIA-174</v>
      </c>
      <c r="B377" s="5" t="s">
        <v>296</v>
      </c>
      <c r="C377" s="5" t="s">
        <v>5279</v>
      </c>
      <c r="D377" s="6">
        <v>-418538</v>
      </c>
      <c r="E377" s="6">
        <v>-113038</v>
      </c>
      <c r="F377" s="7">
        <v>5.7720000000000002</v>
      </c>
      <c r="G377" s="7">
        <v>6.3780000000000001</v>
      </c>
      <c r="H377" s="7">
        <v>6.2359999999999998</v>
      </c>
      <c r="I377" s="7">
        <v>5.9669999999999996</v>
      </c>
      <c r="J377" s="7">
        <v>5.2629999999999999</v>
      </c>
      <c r="K377" s="7">
        <v>4.8029999999999999</v>
      </c>
      <c r="L377" s="7">
        <v>4.6390000000000002</v>
      </c>
      <c r="M377" s="7">
        <v>4.8810000000000002</v>
      </c>
      <c r="N377" s="7">
        <v>5.6340000000000003</v>
      </c>
      <c r="O377" s="7">
        <v>6.2839999999999998</v>
      </c>
      <c r="P377" s="7">
        <v>6.468</v>
      </c>
      <c r="Q377" s="7">
        <v>6.2510000000000003</v>
      </c>
      <c r="R377" s="7">
        <v>6.4580000000000002</v>
      </c>
      <c r="S377" s="7">
        <f t="shared" si="5"/>
        <v>5.7718333333333334</v>
      </c>
    </row>
    <row r="378" spans="1:19">
      <c r="A378" s="5" t="str">
        <f>B378&amp;"-"&amp;COUNTIF($B$2:B378,B378)</f>
        <v>BAHIA-175</v>
      </c>
      <c r="B378" s="5" t="s">
        <v>296</v>
      </c>
      <c r="C378" s="5" t="s">
        <v>414</v>
      </c>
      <c r="D378" s="6">
        <v>-395597</v>
      </c>
      <c r="E378" s="6">
        <v>-165737</v>
      </c>
      <c r="F378" s="7">
        <v>4.8499999999999996</v>
      </c>
      <c r="G378" s="7">
        <v>5.8819999999999997</v>
      </c>
      <c r="H378" s="7">
        <v>6.0430000000000001</v>
      </c>
      <c r="I378" s="7">
        <v>5.3609999999999998</v>
      </c>
      <c r="J378" s="7">
        <v>4.5369999999999999</v>
      </c>
      <c r="K378" s="7">
        <v>3.867</v>
      </c>
      <c r="L378" s="7">
        <v>3.48</v>
      </c>
      <c r="M378" s="7">
        <v>3.7</v>
      </c>
      <c r="N378" s="7">
        <v>4.2430000000000003</v>
      </c>
      <c r="O378" s="7">
        <v>4.8659999999999997</v>
      </c>
      <c r="P378" s="7">
        <v>5.0999999999999996</v>
      </c>
      <c r="Q378" s="7">
        <v>5.14</v>
      </c>
      <c r="R378" s="7">
        <v>5.99</v>
      </c>
      <c r="S378" s="7">
        <f t="shared" si="5"/>
        <v>4.8507500000000006</v>
      </c>
    </row>
    <row r="379" spans="1:19">
      <c r="A379" s="5" t="str">
        <f>B379&amp;"-"&amp;COUNTIF($B$2:B379,B379)</f>
        <v>BAHIA-176</v>
      </c>
      <c r="B379" s="5" t="s">
        <v>296</v>
      </c>
      <c r="C379" s="5" t="s">
        <v>415</v>
      </c>
      <c r="D379" s="6">
        <v>-403062</v>
      </c>
      <c r="E379" s="6">
        <v>-125246</v>
      </c>
      <c r="F379" s="7">
        <v>4.9539999999999997</v>
      </c>
      <c r="G379" s="7">
        <v>5.8529999999999998</v>
      </c>
      <c r="H379" s="7">
        <v>5.8739999999999997</v>
      </c>
      <c r="I379" s="7">
        <v>5.7009999999999996</v>
      </c>
      <c r="J379" s="7">
        <v>4.6109999999999998</v>
      </c>
      <c r="K379" s="7">
        <v>3.9649999999999999</v>
      </c>
      <c r="L379" s="7">
        <v>3.665</v>
      </c>
      <c r="M379" s="7">
        <v>3.8170000000000002</v>
      </c>
      <c r="N379" s="7">
        <v>4.3780000000000001</v>
      </c>
      <c r="O379" s="7">
        <v>5.1950000000000003</v>
      </c>
      <c r="P379" s="7">
        <v>5.218</v>
      </c>
      <c r="Q379" s="7">
        <v>5.3860000000000001</v>
      </c>
      <c r="R379" s="7">
        <v>5.7880000000000003</v>
      </c>
      <c r="S379" s="7">
        <f t="shared" si="5"/>
        <v>4.9542500000000009</v>
      </c>
    </row>
    <row r="380" spans="1:19">
      <c r="A380" s="5" t="str">
        <f>B380&amp;"-"&amp;COUNTIF($B$2:B380,B380)</f>
        <v>BAHIA-177</v>
      </c>
      <c r="B380" s="5" t="s">
        <v>296</v>
      </c>
      <c r="C380" s="5" t="s">
        <v>416</v>
      </c>
      <c r="D380" s="6">
        <v>-392784</v>
      </c>
      <c r="E380" s="6">
        <v>-14788</v>
      </c>
      <c r="F380" s="7">
        <v>4.9000000000000004</v>
      </c>
      <c r="G380" s="7">
        <v>5.8840000000000003</v>
      </c>
      <c r="H380" s="7">
        <v>5.9580000000000002</v>
      </c>
      <c r="I380" s="7">
        <v>5.4749999999999996</v>
      </c>
      <c r="J380" s="7">
        <v>4.5570000000000004</v>
      </c>
      <c r="K380" s="7">
        <v>3.8929999999999998</v>
      </c>
      <c r="L380" s="7">
        <v>3.5369999999999999</v>
      </c>
      <c r="M380" s="7">
        <v>3.7789999999999999</v>
      </c>
      <c r="N380" s="7">
        <v>4.32</v>
      </c>
      <c r="O380" s="7">
        <v>4.9219999999999997</v>
      </c>
      <c r="P380" s="7">
        <v>5.1260000000000003</v>
      </c>
      <c r="Q380" s="7">
        <v>5.2969999999999997</v>
      </c>
      <c r="R380" s="7">
        <v>6.0549999999999997</v>
      </c>
      <c r="S380" s="7">
        <f t="shared" si="5"/>
        <v>4.9002499999999989</v>
      </c>
    </row>
    <row r="381" spans="1:19">
      <c r="A381" s="5" t="str">
        <f>B381&amp;"-"&amp;COUNTIF($B$2:B381,B381)</f>
        <v>BAHIA-178</v>
      </c>
      <c r="B381" s="5" t="s">
        <v>296</v>
      </c>
      <c r="C381" s="5" t="s">
        <v>4276</v>
      </c>
      <c r="D381" s="6">
        <v>-389962</v>
      </c>
      <c r="E381" s="6">
        <v>-142789</v>
      </c>
      <c r="F381" s="7">
        <v>5.29</v>
      </c>
      <c r="G381" s="7">
        <v>6.3550000000000004</v>
      </c>
      <c r="H381" s="7">
        <v>6.3220000000000001</v>
      </c>
      <c r="I381" s="7">
        <v>5.891</v>
      </c>
      <c r="J381" s="7">
        <v>4.7939999999999996</v>
      </c>
      <c r="K381" s="7">
        <v>4.1360000000000001</v>
      </c>
      <c r="L381" s="7">
        <v>3.758</v>
      </c>
      <c r="M381" s="7">
        <v>3.99</v>
      </c>
      <c r="N381" s="7">
        <v>4.6449999999999996</v>
      </c>
      <c r="O381" s="7">
        <v>5.45</v>
      </c>
      <c r="P381" s="7">
        <v>5.7229999999999999</v>
      </c>
      <c r="Q381" s="7">
        <v>5.8840000000000003</v>
      </c>
      <c r="R381" s="7">
        <v>6.5289999999999999</v>
      </c>
      <c r="S381" s="7">
        <f t="shared" si="5"/>
        <v>5.2897499999999988</v>
      </c>
    </row>
    <row r="382" spans="1:19">
      <c r="A382" s="5" t="str">
        <f>B382&amp;"-"&amp;COUNTIF($B$2:B382,B382)</f>
        <v>BAHIA-179</v>
      </c>
      <c r="B382" s="5" t="s">
        <v>296</v>
      </c>
      <c r="C382" s="5" t="s">
        <v>4277</v>
      </c>
      <c r="D382" s="6">
        <v>-409638</v>
      </c>
      <c r="E382" s="6">
        <v>-129822</v>
      </c>
      <c r="F382" s="7">
        <v>5.1120000000000001</v>
      </c>
      <c r="G382" s="7">
        <v>5.923</v>
      </c>
      <c r="H382" s="7">
        <v>6.1180000000000003</v>
      </c>
      <c r="I382" s="7">
        <v>5.6369999999999996</v>
      </c>
      <c r="J382" s="7">
        <v>4.7469999999999999</v>
      </c>
      <c r="K382" s="7">
        <v>4.2</v>
      </c>
      <c r="L382" s="7">
        <v>3.83</v>
      </c>
      <c r="M382" s="7">
        <v>4.0250000000000004</v>
      </c>
      <c r="N382" s="7">
        <v>4.6719999999999997</v>
      </c>
      <c r="O382" s="7">
        <v>5.4859999999999998</v>
      </c>
      <c r="P382" s="7">
        <v>5.4790000000000001</v>
      </c>
      <c r="Q382" s="7">
        <v>5.3920000000000003</v>
      </c>
      <c r="R382" s="7">
        <v>5.8369999999999997</v>
      </c>
      <c r="S382" s="7">
        <f t="shared" si="5"/>
        <v>5.1121666666666661</v>
      </c>
    </row>
    <row r="383" spans="1:19">
      <c r="A383" s="5" t="str">
        <f>B383&amp;"-"&amp;COUNTIF($B$2:B383,B383)</f>
        <v>BAHIA-180</v>
      </c>
      <c r="B383" s="5" t="s">
        <v>296</v>
      </c>
      <c r="C383" s="5" t="s">
        <v>417</v>
      </c>
      <c r="D383" s="6">
        <v>-400038</v>
      </c>
      <c r="E383" s="6">
        <v>-141639</v>
      </c>
      <c r="F383" s="7">
        <v>4.8879999999999999</v>
      </c>
      <c r="G383" s="7">
        <v>5.8659999999999997</v>
      </c>
      <c r="H383" s="7">
        <v>5.9610000000000003</v>
      </c>
      <c r="I383" s="7">
        <v>5.484</v>
      </c>
      <c r="J383" s="7">
        <v>4.5279999999999996</v>
      </c>
      <c r="K383" s="7">
        <v>3.96</v>
      </c>
      <c r="L383" s="7">
        <v>3.5579999999999998</v>
      </c>
      <c r="M383" s="7">
        <v>3.7130000000000001</v>
      </c>
      <c r="N383" s="7">
        <v>4.2140000000000004</v>
      </c>
      <c r="O383" s="7">
        <v>4.9290000000000003</v>
      </c>
      <c r="P383" s="7">
        <v>5.1589999999999998</v>
      </c>
      <c r="Q383" s="7">
        <v>5.3120000000000003</v>
      </c>
      <c r="R383" s="7">
        <v>5.9720000000000004</v>
      </c>
      <c r="S383" s="7">
        <f t="shared" si="5"/>
        <v>4.8879999999999999</v>
      </c>
    </row>
    <row r="384" spans="1:19">
      <c r="A384" s="5" t="str">
        <f>B384&amp;"-"&amp;COUNTIF($B$2:B384,B384)</f>
        <v>BAHIA-181</v>
      </c>
      <c r="B384" s="5" t="s">
        <v>296</v>
      </c>
      <c r="C384" s="5" t="s">
        <v>5468</v>
      </c>
      <c r="D384" s="6">
        <v>-398439</v>
      </c>
      <c r="E384" s="6">
        <v>-142838</v>
      </c>
      <c r="F384" s="7">
        <v>4.8600000000000003</v>
      </c>
      <c r="G384" s="7">
        <v>5.8330000000000002</v>
      </c>
      <c r="H384" s="7">
        <v>5.8970000000000002</v>
      </c>
      <c r="I384" s="7">
        <v>5.4909999999999997</v>
      </c>
      <c r="J384" s="7">
        <v>4.5919999999999996</v>
      </c>
      <c r="K384" s="7">
        <v>3.91</v>
      </c>
      <c r="L384" s="7">
        <v>3.5430000000000001</v>
      </c>
      <c r="M384" s="7">
        <v>3.7559999999999998</v>
      </c>
      <c r="N384" s="7">
        <v>4.2309999999999999</v>
      </c>
      <c r="O384" s="7">
        <v>4.8419999999999996</v>
      </c>
      <c r="P384" s="7">
        <v>5.0570000000000004</v>
      </c>
      <c r="Q384" s="7">
        <v>5.2</v>
      </c>
      <c r="R384" s="7">
        <v>5.968</v>
      </c>
      <c r="S384" s="7">
        <f t="shared" si="5"/>
        <v>4.8600000000000003</v>
      </c>
    </row>
    <row r="385" spans="1:19">
      <c r="A385" s="5" t="str">
        <f>B385&amp;"-"&amp;COUNTIF($B$2:B385,B385)</f>
        <v>BAHIA-182</v>
      </c>
      <c r="B385" s="5" t="s">
        <v>296</v>
      </c>
      <c r="C385" s="5" t="s">
        <v>418</v>
      </c>
      <c r="D385" s="6">
        <v>-396136</v>
      </c>
      <c r="E385" s="6">
        <v>-160824</v>
      </c>
      <c r="F385" s="7">
        <v>4.8780000000000001</v>
      </c>
      <c r="G385" s="7">
        <v>5.923</v>
      </c>
      <c r="H385" s="7">
        <v>6.0129999999999999</v>
      </c>
      <c r="I385" s="7">
        <v>5.3630000000000004</v>
      </c>
      <c r="J385" s="7">
        <v>4.6219999999999999</v>
      </c>
      <c r="K385" s="7">
        <v>3.843</v>
      </c>
      <c r="L385" s="7">
        <v>3.5089999999999999</v>
      </c>
      <c r="M385" s="7">
        <v>3.677</v>
      </c>
      <c r="N385" s="7">
        <v>4.2629999999999999</v>
      </c>
      <c r="O385" s="7">
        <v>4.9169999999999998</v>
      </c>
      <c r="P385" s="7">
        <v>5.1349999999999998</v>
      </c>
      <c r="Q385" s="7">
        <v>5.2489999999999997</v>
      </c>
      <c r="R385" s="7">
        <v>6.0220000000000002</v>
      </c>
      <c r="S385" s="7">
        <f t="shared" si="5"/>
        <v>4.8780000000000001</v>
      </c>
    </row>
    <row r="386" spans="1:19">
      <c r="A386" s="5" t="str">
        <f>B386&amp;"-"&amp;COUNTIF($B$2:B386,B386)</f>
        <v>BAHIA-183</v>
      </c>
      <c r="B386" s="5" t="s">
        <v>296</v>
      </c>
      <c r="C386" s="5" t="s">
        <v>4607</v>
      </c>
      <c r="D386" s="6">
        <v>-423998</v>
      </c>
      <c r="E386" s="6">
        <v>-110101</v>
      </c>
      <c r="F386" s="7">
        <v>6.0060000000000002</v>
      </c>
      <c r="G386" s="7">
        <v>6.5369999999999999</v>
      </c>
      <c r="H386" s="7">
        <v>6.3550000000000004</v>
      </c>
      <c r="I386" s="7">
        <v>6.2069999999999999</v>
      </c>
      <c r="J386" s="7">
        <v>5.5549999999999997</v>
      </c>
      <c r="K386" s="7">
        <v>5.1829999999999998</v>
      </c>
      <c r="L386" s="7">
        <v>5.0670000000000002</v>
      </c>
      <c r="M386" s="7">
        <v>5.28</v>
      </c>
      <c r="N386" s="7">
        <v>6.0179999999999998</v>
      </c>
      <c r="O386" s="7">
        <v>6.444</v>
      </c>
      <c r="P386" s="7">
        <v>6.5119999999999996</v>
      </c>
      <c r="Q386" s="7">
        <v>6.415</v>
      </c>
      <c r="R386" s="7">
        <v>6.5</v>
      </c>
      <c r="S386" s="7">
        <f t="shared" si="5"/>
        <v>6.0060833333333337</v>
      </c>
    </row>
    <row r="387" spans="1:19">
      <c r="A387" s="5" t="str">
        <f>B387&amp;"-"&amp;COUNTIF($B$2:B387,B387)</f>
        <v>BAHIA-184</v>
      </c>
      <c r="B387" s="5" t="s">
        <v>296</v>
      </c>
      <c r="C387" s="5" t="s">
        <v>4538</v>
      </c>
      <c r="D387" s="6">
        <v>-397238</v>
      </c>
      <c r="E387" s="6">
        <v>-151381</v>
      </c>
      <c r="F387" s="7">
        <v>4.8650000000000002</v>
      </c>
      <c r="G387" s="7">
        <v>5.9349999999999996</v>
      </c>
      <c r="H387" s="7">
        <v>5.8120000000000003</v>
      </c>
      <c r="I387" s="7">
        <v>5.4210000000000003</v>
      </c>
      <c r="J387" s="7">
        <v>4.5549999999999997</v>
      </c>
      <c r="K387" s="7">
        <v>3.875</v>
      </c>
      <c r="L387" s="7">
        <v>3.5019999999999998</v>
      </c>
      <c r="M387" s="7">
        <v>3.7549999999999999</v>
      </c>
      <c r="N387" s="7">
        <v>4.2539999999999996</v>
      </c>
      <c r="O387" s="7">
        <v>4.8949999999999996</v>
      </c>
      <c r="P387" s="7">
        <v>5.1479999999999997</v>
      </c>
      <c r="Q387" s="7">
        <v>5.2519999999999998</v>
      </c>
      <c r="R387" s="7">
        <v>5.9829999999999997</v>
      </c>
      <c r="S387" s="7">
        <f t="shared" ref="S387:S450" si="6">(G387+H387+I387+J387+K387+L387+M387+N387+O387+P387+Q387+R387)/12</f>
        <v>4.8655833333333325</v>
      </c>
    </row>
    <row r="388" spans="1:19">
      <c r="A388" s="5" t="str">
        <f>B388&amp;"-"&amp;COUNTIF($B$2:B388,B388)</f>
        <v>BAHIA-185</v>
      </c>
      <c r="B388" s="5" t="s">
        <v>296</v>
      </c>
      <c r="C388" s="5" t="s">
        <v>419</v>
      </c>
      <c r="D388" s="6">
        <v>-393739</v>
      </c>
      <c r="E388" s="6">
        <v>-146765</v>
      </c>
      <c r="F388" s="7">
        <v>4.8150000000000004</v>
      </c>
      <c r="G388" s="7">
        <v>5.79</v>
      </c>
      <c r="H388" s="7">
        <v>5.835</v>
      </c>
      <c r="I388" s="7">
        <v>5.4320000000000004</v>
      </c>
      <c r="J388" s="7">
        <v>4.5220000000000002</v>
      </c>
      <c r="K388" s="7">
        <v>3.883</v>
      </c>
      <c r="L388" s="7">
        <v>3.5470000000000002</v>
      </c>
      <c r="M388" s="7">
        <v>3.7050000000000001</v>
      </c>
      <c r="N388" s="7">
        <v>4.1900000000000004</v>
      </c>
      <c r="O388" s="7">
        <v>4.8120000000000003</v>
      </c>
      <c r="P388" s="7">
        <v>4.9939999999999998</v>
      </c>
      <c r="Q388" s="7">
        <v>5.133</v>
      </c>
      <c r="R388" s="7">
        <v>5.9390000000000001</v>
      </c>
      <c r="S388" s="7">
        <f t="shared" si="6"/>
        <v>4.8151666666666664</v>
      </c>
    </row>
    <row r="389" spans="1:19">
      <c r="A389" s="5" t="str">
        <f>B389&amp;"-"&amp;COUNTIF($B$2:B389,B389)</f>
        <v>BAHIA-186</v>
      </c>
      <c r="B389" s="5" t="s">
        <v>296</v>
      </c>
      <c r="C389" s="5" t="s">
        <v>420</v>
      </c>
      <c r="D389" s="6">
        <v>-395389</v>
      </c>
      <c r="E389" s="6">
        <v>-170383</v>
      </c>
      <c r="F389" s="7">
        <v>4.8630000000000004</v>
      </c>
      <c r="G389" s="7">
        <v>5.9809999999999999</v>
      </c>
      <c r="H389" s="7">
        <v>6.0750000000000002</v>
      </c>
      <c r="I389" s="7">
        <v>5.3739999999999997</v>
      </c>
      <c r="J389" s="7">
        <v>4.4660000000000002</v>
      </c>
      <c r="K389" s="7">
        <v>3.8319999999999999</v>
      </c>
      <c r="L389" s="7">
        <v>3.4670000000000001</v>
      </c>
      <c r="M389" s="7">
        <v>3.6509999999999998</v>
      </c>
      <c r="N389" s="7">
        <v>4.2930000000000001</v>
      </c>
      <c r="O389" s="7">
        <v>4.8490000000000002</v>
      </c>
      <c r="P389" s="7">
        <v>5.1139999999999999</v>
      </c>
      <c r="Q389" s="7">
        <v>5.2110000000000003</v>
      </c>
      <c r="R389" s="7">
        <v>6.0410000000000004</v>
      </c>
      <c r="S389" s="7">
        <f t="shared" si="6"/>
        <v>4.8628333333333336</v>
      </c>
    </row>
    <row r="390" spans="1:19">
      <c r="A390" s="5" t="str">
        <f>B390&amp;"-"&amp;COUNTIF($B$2:B390,B390)</f>
        <v>BAHIA-187</v>
      </c>
      <c r="B390" s="5" t="s">
        <v>296</v>
      </c>
      <c r="C390" s="5" t="s">
        <v>421</v>
      </c>
      <c r="D390" s="6">
        <v>-396833</v>
      </c>
      <c r="E390" s="6">
        <v>-137786</v>
      </c>
      <c r="F390" s="7">
        <v>4.8150000000000004</v>
      </c>
      <c r="G390" s="7">
        <v>5.8659999999999997</v>
      </c>
      <c r="H390" s="7">
        <v>5.8019999999999996</v>
      </c>
      <c r="I390" s="7">
        <v>5.45</v>
      </c>
      <c r="J390" s="7">
        <v>4.4349999999999996</v>
      </c>
      <c r="K390" s="7">
        <v>3.8460000000000001</v>
      </c>
      <c r="L390" s="7">
        <v>3.4609999999999999</v>
      </c>
      <c r="M390" s="7">
        <v>3.6</v>
      </c>
      <c r="N390" s="7">
        <v>4.1180000000000003</v>
      </c>
      <c r="O390" s="7">
        <v>4.827</v>
      </c>
      <c r="P390" s="7">
        <v>5.09</v>
      </c>
      <c r="Q390" s="7">
        <v>5.3710000000000004</v>
      </c>
      <c r="R390" s="7">
        <v>5.9169999999999998</v>
      </c>
      <c r="S390" s="7">
        <f t="shared" si="6"/>
        <v>4.8152499999999998</v>
      </c>
    </row>
    <row r="391" spans="1:19">
      <c r="A391" s="5" t="str">
        <f>B391&amp;"-"&amp;COUNTIF($B$2:B391,B391)</f>
        <v>BAHIA-188</v>
      </c>
      <c r="B391" s="5" t="s">
        <v>296</v>
      </c>
      <c r="C391" s="5" t="s">
        <v>4278</v>
      </c>
      <c r="D391" s="6">
        <v>-406328</v>
      </c>
      <c r="E391" s="6">
        <v>-152449</v>
      </c>
      <c r="F391" s="7">
        <v>4.9459999999999997</v>
      </c>
      <c r="G391" s="7">
        <v>6.0529999999999999</v>
      </c>
      <c r="H391" s="7">
        <v>6.056</v>
      </c>
      <c r="I391" s="7">
        <v>5.5019999999999998</v>
      </c>
      <c r="J391" s="7">
        <v>4.68</v>
      </c>
      <c r="K391" s="7">
        <v>3.92</v>
      </c>
      <c r="L391" s="7">
        <v>3.4609999999999999</v>
      </c>
      <c r="M391" s="7">
        <v>3.6890000000000001</v>
      </c>
      <c r="N391" s="7">
        <v>4.1790000000000003</v>
      </c>
      <c r="O391" s="7">
        <v>5.0789999999999997</v>
      </c>
      <c r="P391" s="7">
        <v>5.2729999999999997</v>
      </c>
      <c r="Q391" s="7">
        <v>5.3339999999999996</v>
      </c>
      <c r="R391" s="7">
        <v>6.1239999999999997</v>
      </c>
      <c r="S391" s="7">
        <f t="shared" si="6"/>
        <v>4.9458333333333337</v>
      </c>
    </row>
    <row r="392" spans="1:19">
      <c r="A392" s="5" t="str">
        <f>B392&amp;"-"&amp;COUNTIF($B$2:B392,B392)</f>
        <v>BAHIA-189</v>
      </c>
      <c r="B392" s="5" t="s">
        <v>296</v>
      </c>
      <c r="C392" s="5" t="s">
        <v>422</v>
      </c>
      <c r="D392" s="6">
        <v>-380405</v>
      </c>
      <c r="E392" s="6">
        <v>-122549</v>
      </c>
      <c r="F392" s="7">
        <v>5.1929999999999996</v>
      </c>
      <c r="G392" s="7">
        <v>6.16</v>
      </c>
      <c r="H392" s="7">
        <v>6.0030000000000001</v>
      </c>
      <c r="I392" s="7">
        <v>5.8529999999999998</v>
      </c>
      <c r="J392" s="7">
        <v>4.7300000000000004</v>
      </c>
      <c r="K392" s="7">
        <v>4.0259999999999998</v>
      </c>
      <c r="L392" s="7">
        <v>3.8570000000000002</v>
      </c>
      <c r="M392" s="7">
        <v>4.0039999999999996</v>
      </c>
      <c r="N392" s="7">
        <v>4.452</v>
      </c>
      <c r="O392" s="7">
        <v>5.306</v>
      </c>
      <c r="P392" s="7">
        <v>5.633</v>
      </c>
      <c r="Q392" s="7">
        <v>5.9749999999999996</v>
      </c>
      <c r="R392" s="7">
        <v>6.3170000000000002</v>
      </c>
      <c r="S392" s="7">
        <f t="shared" si="6"/>
        <v>5.1929999999999996</v>
      </c>
    </row>
    <row r="393" spans="1:19">
      <c r="A393" s="5" t="str">
        <f>B393&amp;"-"&amp;COUNTIF($B$2:B393,B393)</f>
        <v>BAHIA-190</v>
      </c>
      <c r="B393" s="5" t="s">
        <v>296</v>
      </c>
      <c r="C393" s="5" t="s">
        <v>4279</v>
      </c>
      <c r="D393" s="6">
        <v>-403325</v>
      </c>
      <c r="E393" s="6">
        <v>-171647</v>
      </c>
      <c r="F393" s="7">
        <v>4.9820000000000002</v>
      </c>
      <c r="G393" s="7">
        <v>6.0839999999999996</v>
      </c>
      <c r="H393" s="7">
        <v>6.2229999999999999</v>
      </c>
      <c r="I393" s="7">
        <v>5.47</v>
      </c>
      <c r="J393" s="7">
        <v>4.66</v>
      </c>
      <c r="K393" s="7">
        <v>3.8660000000000001</v>
      </c>
      <c r="L393" s="7">
        <v>3.512</v>
      </c>
      <c r="M393" s="7">
        <v>3.68</v>
      </c>
      <c r="N393" s="7">
        <v>4.3979999999999997</v>
      </c>
      <c r="O393" s="7">
        <v>5.0739999999999998</v>
      </c>
      <c r="P393" s="7">
        <v>5.2949999999999999</v>
      </c>
      <c r="Q393" s="7">
        <v>5.298</v>
      </c>
      <c r="R393" s="7">
        <v>6.2290000000000001</v>
      </c>
      <c r="S393" s="7">
        <f t="shared" si="6"/>
        <v>4.9824166666666665</v>
      </c>
    </row>
    <row r="394" spans="1:19">
      <c r="A394" s="5" t="str">
        <f>B394&amp;"-"&amp;COUNTIF($B$2:B394,B394)</f>
        <v>BAHIA-191</v>
      </c>
      <c r="B394" s="5" t="s">
        <v>296</v>
      </c>
      <c r="C394" s="5" t="s">
        <v>4280</v>
      </c>
      <c r="D394" s="6">
        <v>-394244</v>
      </c>
      <c r="E394" s="6">
        <v>-148919</v>
      </c>
      <c r="F394" s="7">
        <v>4.8639999999999999</v>
      </c>
      <c r="G394" s="7">
        <v>5.8630000000000004</v>
      </c>
      <c r="H394" s="7">
        <v>5.8879999999999999</v>
      </c>
      <c r="I394" s="7">
        <v>5.4359999999999999</v>
      </c>
      <c r="J394" s="7">
        <v>4.5620000000000003</v>
      </c>
      <c r="K394" s="7">
        <v>3.88</v>
      </c>
      <c r="L394" s="7">
        <v>3.5110000000000001</v>
      </c>
      <c r="M394" s="7">
        <v>3.7240000000000002</v>
      </c>
      <c r="N394" s="7">
        <v>4.2830000000000004</v>
      </c>
      <c r="O394" s="7">
        <v>4.9050000000000002</v>
      </c>
      <c r="P394" s="7">
        <v>5.0730000000000004</v>
      </c>
      <c r="Q394" s="7">
        <v>5.2380000000000004</v>
      </c>
      <c r="R394" s="7">
        <v>6.01</v>
      </c>
      <c r="S394" s="7">
        <f t="shared" si="6"/>
        <v>4.8644166666666671</v>
      </c>
    </row>
    <row r="395" spans="1:19">
      <c r="A395" s="5" t="str">
        <f>B395&amp;"-"&amp;COUNTIF($B$2:B395,B395)</f>
        <v>BAHIA-192</v>
      </c>
      <c r="B395" s="5" t="s">
        <v>296</v>
      </c>
      <c r="C395" s="5" t="s">
        <v>423</v>
      </c>
      <c r="D395" s="6">
        <v>-386803</v>
      </c>
      <c r="E395" s="6">
        <v>-128937</v>
      </c>
      <c r="F395" s="7">
        <v>5.3449999999999998</v>
      </c>
      <c r="G395" s="7">
        <v>6.3849999999999998</v>
      </c>
      <c r="H395" s="7">
        <v>6.2539999999999996</v>
      </c>
      <c r="I395" s="7">
        <v>6.024</v>
      </c>
      <c r="J395" s="7">
        <v>4.8049999999999997</v>
      </c>
      <c r="K395" s="7">
        <v>4.0640000000000001</v>
      </c>
      <c r="L395" s="7">
        <v>3.7549999999999999</v>
      </c>
      <c r="M395" s="7">
        <v>4.0190000000000001</v>
      </c>
      <c r="N395" s="7">
        <v>4.6379999999999999</v>
      </c>
      <c r="O395" s="7">
        <v>5.5679999999999996</v>
      </c>
      <c r="P395" s="7">
        <v>5.9569999999999999</v>
      </c>
      <c r="Q395" s="7">
        <v>6.1710000000000003</v>
      </c>
      <c r="R395" s="7">
        <v>6.5</v>
      </c>
      <c r="S395" s="7">
        <f t="shared" si="6"/>
        <v>5.3449999999999989</v>
      </c>
    </row>
    <row r="396" spans="1:19">
      <c r="A396" s="5" t="str">
        <f>B396&amp;"-"&amp;COUNTIF($B$2:B396,B396)</f>
        <v>BAHIA-193</v>
      </c>
      <c r="B396" s="5" t="s">
        <v>296</v>
      </c>
      <c r="C396" s="5" t="s">
        <v>424</v>
      </c>
      <c r="D396" s="6">
        <v>-395319</v>
      </c>
      <c r="E396" s="6">
        <v>-159706</v>
      </c>
      <c r="F396" s="7">
        <v>4.8630000000000004</v>
      </c>
      <c r="G396" s="7">
        <v>5.9279999999999999</v>
      </c>
      <c r="H396" s="7">
        <v>5.9909999999999997</v>
      </c>
      <c r="I396" s="7">
        <v>5.3789999999999996</v>
      </c>
      <c r="J396" s="7">
        <v>4.6130000000000004</v>
      </c>
      <c r="K396" s="7">
        <v>3.8260000000000001</v>
      </c>
      <c r="L396" s="7">
        <v>3.5169999999999999</v>
      </c>
      <c r="M396" s="7">
        <v>3.694</v>
      </c>
      <c r="N396" s="7">
        <v>4.3079999999999998</v>
      </c>
      <c r="O396" s="7">
        <v>4.8529999999999998</v>
      </c>
      <c r="P396" s="7">
        <v>5.0810000000000004</v>
      </c>
      <c r="Q396" s="7">
        <v>5.1769999999999996</v>
      </c>
      <c r="R396" s="7">
        <v>5.984</v>
      </c>
      <c r="S396" s="7">
        <f t="shared" si="6"/>
        <v>4.8625833333333341</v>
      </c>
    </row>
    <row r="397" spans="1:19">
      <c r="A397" s="5" t="str">
        <f>B397&amp;"-"&amp;COUNTIF($B$2:B397,B397)</f>
        <v>BAHIA-194</v>
      </c>
      <c r="B397" s="5" t="s">
        <v>296</v>
      </c>
      <c r="C397" s="5" t="s">
        <v>425</v>
      </c>
      <c r="D397" s="6">
        <v>-402486</v>
      </c>
      <c r="E397" s="6">
        <v>-15248</v>
      </c>
      <c r="F397" s="7">
        <v>4.899</v>
      </c>
      <c r="G397" s="7">
        <v>5.875</v>
      </c>
      <c r="H397" s="7">
        <v>6.0380000000000003</v>
      </c>
      <c r="I397" s="7">
        <v>5.4160000000000004</v>
      </c>
      <c r="J397" s="7">
        <v>4.57</v>
      </c>
      <c r="K397" s="7">
        <v>3.875</v>
      </c>
      <c r="L397" s="7">
        <v>3.4590000000000001</v>
      </c>
      <c r="M397" s="7">
        <v>3.6760000000000002</v>
      </c>
      <c r="N397" s="7">
        <v>4.2519999999999998</v>
      </c>
      <c r="O397" s="7">
        <v>5.0129999999999999</v>
      </c>
      <c r="P397" s="7">
        <v>5.1950000000000003</v>
      </c>
      <c r="Q397" s="7">
        <v>5.298</v>
      </c>
      <c r="R397" s="7">
        <v>6.1189999999999998</v>
      </c>
      <c r="S397" s="7">
        <f t="shared" si="6"/>
        <v>4.8988333333333332</v>
      </c>
    </row>
    <row r="398" spans="1:19">
      <c r="A398" s="5" t="str">
        <f>B398&amp;"-"&amp;COUNTIF($B$2:B398,B398)</f>
        <v>BAHIA-195</v>
      </c>
      <c r="B398" s="5" t="s">
        <v>296</v>
      </c>
      <c r="C398" s="5" t="s">
        <v>426</v>
      </c>
      <c r="D398" s="6">
        <v>-382175</v>
      </c>
      <c r="E398" s="6">
        <v>-113102</v>
      </c>
      <c r="F398" s="7">
        <v>5.22</v>
      </c>
      <c r="G398" s="7">
        <v>6.1950000000000003</v>
      </c>
      <c r="H398" s="7">
        <v>5.9880000000000004</v>
      </c>
      <c r="I398" s="7">
        <v>5.8049999999999997</v>
      </c>
      <c r="J398" s="7">
        <v>4.923</v>
      </c>
      <c r="K398" s="7">
        <v>4.141</v>
      </c>
      <c r="L398" s="7">
        <v>3.9020000000000001</v>
      </c>
      <c r="M398" s="7">
        <v>4.0599999999999996</v>
      </c>
      <c r="N398" s="7">
        <v>4.532</v>
      </c>
      <c r="O398" s="7">
        <v>5.2969999999999997</v>
      </c>
      <c r="P398" s="7">
        <v>5.6150000000000002</v>
      </c>
      <c r="Q398" s="7">
        <v>6.0369999999999999</v>
      </c>
      <c r="R398" s="7">
        <v>6.1459999999999999</v>
      </c>
      <c r="S398" s="7">
        <f t="shared" si="6"/>
        <v>5.2200833333333341</v>
      </c>
    </row>
    <row r="399" spans="1:19">
      <c r="A399" s="5" t="str">
        <f>B399&amp;"-"&amp;COUNTIF($B$2:B399,B399)</f>
        <v>BAHIA-196</v>
      </c>
      <c r="B399" s="5" t="s">
        <v>296</v>
      </c>
      <c r="C399" s="5" t="s">
        <v>427</v>
      </c>
      <c r="D399" s="6">
        <v>-395638</v>
      </c>
      <c r="E399" s="6">
        <v>-14423</v>
      </c>
      <c r="F399" s="7">
        <v>4.8390000000000004</v>
      </c>
      <c r="G399" s="7">
        <v>5.8220000000000001</v>
      </c>
      <c r="H399" s="7">
        <v>5.8520000000000003</v>
      </c>
      <c r="I399" s="7">
        <v>5.4359999999999999</v>
      </c>
      <c r="J399" s="7">
        <v>4.516</v>
      </c>
      <c r="K399" s="7">
        <v>3.8370000000000002</v>
      </c>
      <c r="L399" s="7">
        <v>3.524</v>
      </c>
      <c r="M399" s="7">
        <v>3.73</v>
      </c>
      <c r="N399" s="7">
        <v>4.1879999999999997</v>
      </c>
      <c r="O399" s="7">
        <v>4.843</v>
      </c>
      <c r="P399" s="7">
        <v>5.0750000000000002</v>
      </c>
      <c r="Q399" s="7">
        <v>5.2869999999999999</v>
      </c>
      <c r="R399" s="7">
        <v>5.9589999999999996</v>
      </c>
      <c r="S399" s="7">
        <f t="shared" si="6"/>
        <v>4.8390833333333338</v>
      </c>
    </row>
    <row r="400" spans="1:19">
      <c r="A400" s="5" t="str">
        <f>B400&amp;"-"&amp;COUNTIF($B$2:B400,B400)</f>
        <v>BAHIA-197</v>
      </c>
      <c r="B400" s="5" t="s">
        <v>296</v>
      </c>
      <c r="C400" s="5" t="s">
        <v>428</v>
      </c>
      <c r="D400" s="6">
        <v>-399381</v>
      </c>
      <c r="E400" s="6">
        <v>-134463</v>
      </c>
      <c r="F400" s="7">
        <v>4.8540000000000001</v>
      </c>
      <c r="G400" s="7">
        <v>5.7569999999999997</v>
      </c>
      <c r="H400" s="7">
        <v>5.7990000000000004</v>
      </c>
      <c r="I400" s="7">
        <v>5.4710000000000001</v>
      </c>
      <c r="J400" s="7">
        <v>4.4569999999999999</v>
      </c>
      <c r="K400" s="7">
        <v>3.843</v>
      </c>
      <c r="L400" s="7">
        <v>3.4590000000000001</v>
      </c>
      <c r="M400" s="7">
        <v>3.669</v>
      </c>
      <c r="N400" s="7">
        <v>4.2450000000000001</v>
      </c>
      <c r="O400" s="7">
        <v>5.1269999999999998</v>
      </c>
      <c r="P400" s="7">
        <v>5.2009999999999996</v>
      </c>
      <c r="Q400" s="7">
        <v>5.327</v>
      </c>
      <c r="R400" s="7">
        <v>5.8920000000000003</v>
      </c>
      <c r="S400" s="7">
        <f t="shared" si="6"/>
        <v>4.8539166666666667</v>
      </c>
    </row>
    <row r="401" spans="1:19">
      <c r="A401" s="5" t="str">
        <f>B401&amp;"-"&amp;COUNTIF($B$2:B401,B401)</f>
        <v>BAHIA-198</v>
      </c>
      <c r="B401" s="5" t="s">
        <v>296</v>
      </c>
      <c r="C401" s="5" t="s">
        <v>429</v>
      </c>
      <c r="D401" s="6">
        <v>-400653</v>
      </c>
      <c r="E401" s="6">
        <v>-156533</v>
      </c>
      <c r="F401" s="7">
        <v>4.9340000000000002</v>
      </c>
      <c r="G401" s="7">
        <v>6.0060000000000002</v>
      </c>
      <c r="H401" s="7">
        <v>6.0650000000000004</v>
      </c>
      <c r="I401" s="7">
        <v>5.5049999999999999</v>
      </c>
      <c r="J401" s="7">
        <v>4.6769999999999996</v>
      </c>
      <c r="K401" s="7">
        <v>3.903</v>
      </c>
      <c r="L401" s="7">
        <v>3.4940000000000002</v>
      </c>
      <c r="M401" s="7">
        <v>3.6720000000000002</v>
      </c>
      <c r="N401" s="7">
        <v>4.2699999999999996</v>
      </c>
      <c r="O401" s="7">
        <v>5.0199999999999996</v>
      </c>
      <c r="P401" s="7">
        <v>5.2030000000000003</v>
      </c>
      <c r="Q401" s="7">
        <v>5.2489999999999997</v>
      </c>
      <c r="R401" s="7">
        <v>6.1390000000000002</v>
      </c>
      <c r="S401" s="7">
        <f t="shared" si="6"/>
        <v>4.9335833333333339</v>
      </c>
    </row>
    <row r="402" spans="1:19">
      <c r="A402" s="5" t="str">
        <f>B402&amp;"-"&amp;COUNTIF($B$2:B402,B402)</f>
        <v>BAHIA-199</v>
      </c>
      <c r="B402" s="5" t="s">
        <v>296</v>
      </c>
      <c r="C402" s="5" t="s">
        <v>430</v>
      </c>
      <c r="D402" s="6">
        <v>-396971</v>
      </c>
      <c r="E402" s="6">
        <v>-127136</v>
      </c>
      <c r="F402" s="7">
        <v>4.9980000000000002</v>
      </c>
      <c r="G402" s="7">
        <v>5.9429999999999996</v>
      </c>
      <c r="H402" s="7">
        <v>5.9050000000000002</v>
      </c>
      <c r="I402" s="7">
        <v>5.6710000000000003</v>
      </c>
      <c r="J402" s="7">
        <v>4.6100000000000003</v>
      </c>
      <c r="K402" s="7">
        <v>3.97</v>
      </c>
      <c r="L402" s="7">
        <v>3.65</v>
      </c>
      <c r="M402" s="7">
        <v>3.859</v>
      </c>
      <c r="N402" s="7">
        <v>4.3860000000000001</v>
      </c>
      <c r="O402" s="7">
        <v>5.1849999999999996</v>
      </c>
      <c r="P402" s="7">
        <v>5.3129999999999997</v>
      </c>
      <c r="Q402" s="7">
        <v>5.5469999999999997</v>
      </c>
      <c r="R402" s="7">
        <v>5.9379999999999997</v>
      </c>
      <c r="S402" s="7">
        <f t="shared" si="6"/>
        <v>4.9980833333333337</v>
      </c>
    </row>
    <row r="403" spans="1:19">
      <c r="A403" s="5" t="str">
        <f>B403&amp;"-"&amp;COUNTIF($B$2:B403,B403)</f>
        <v>BAHIA-200</v>
      </c>
      <c r="B403" s="5" t="s">
        <v>296</v>
      </c>
      <c r="C403" s="5" t="s">
        <v>4811</v>
      </c>
      <c r="D403" s="6">
        <v>-398543</v>
      </c>
      <c r="E403" s="6">
        <v>-106914</v>
      </c>
      <c r="F403" s="7">
        <v>5.2249999999999996</v>
      </c>
      <c r="G403" s="7">
        <v>6.165</v>
      </c>
      <c r="H403" s="7">
        <v>5.93</v>
      </c>
      <c r="I403" s="7">
        <v>5.7990000000000004</v>
      </c>
      <c r="J403" s="7">
        <v>4.82</v>
      </c>
      <c r="K403" s="7">
        <v>4.157</v>
      </c>
      <c r="L403" s="7">
        <v>3.7909999999999999</v>
      </c>
      <c r="M403" s="7">
        <v>4.0380000000000003</v>
      </c>
      <c r="N403" s="7">
        <v>4.641</v>
      </c>
      <c r="O403" s="7">
        <v>5.5970000000000004</v>
      </c>
      <c r="P403" s="7">
        <v>5.7229999999999999</v>
      </c>
      <c r="Q403" s="7">
        <v>6.0250000000000004</v>
      </c>
      <c r="R403" s="7">
        <v>6.0170000000000003</v>
      </c>
      <c r="S403" s="7">
        <f t="shared" si="6"/>
        <v>5.22525</v>
      </c>
    </row>
    <row r="404" spans="1:19">
      <c r="A404" s="5" t="str">
        <f>B404&amp;"-"&amp;COUNTIF($B$2:B404,B404)</f>
        <v>BAHIA-201</v>
      </c>
      <c r="B404" s="5" t="s">
        <v>296</v>
      </c>
      <c r="C404" s="5" t="s">
        <v>4608</v>
      </c>
      <c r="D404" s="6">
        <v>-401513</v>
      </c>
      <c r="E404" s="6">
        <v>-135343</v>
      </c>
      <c r="F404" s="7">
        <v>4.8620000000000001</v>
      </c>
      <c r="G404" s="7">
        <v>5.7430000000000003</v>
      </c>
      <c r="H404" s="7">
        <v>5.8029999999999999</v>
      </c>
      <c r="I404" s="7">
        <v>5.423</v>
      </c>
      <c r="J404" s="7">
        <v>4.4329999999999998</v>
      </c>
      <c r="K404" s="7">
        <v>3.9039999999999999</v>
      </c>
      <c r="L404" s="7">
        <v>3.4569999999999999</v>
      </c>
      <c r="M404" s="7">
        <v>3.6749999999999998</v>
      </c>
      <c r="N404" s="7">
        <v>4.2460000000000004</v>
      </c>
      <c r="O404" s="7">
        <v>5.1660000000000004</v>
      </c>
      <c r="P404" s="7">
        <v>5.2439999999999998</v>
      </c>
      <c r="Q404" s="7">
        <v>5.3840000000000003</v>
      </c>
      <c r="R404" s="7">
        <v>5.8689999999999998</v>
      </c>
      <c r="S404" s="7">
        <f t="shared" si="6"/>
        <v>4.8622500000000004</v>
      </c>
    </row>
    <row r="405" spans="1:19">
      <c r="A405" s="5" t="str">
        <f>B405&amp;"-"&amp;COUNTIF($B$2:B405,B405)</f>
        <v>BAHIA-202</v>
      </c>
      <c r="B405" s="5" t="s">
        <v>296</v>
      </c>
      <c r="C405" s="5" t="s">
        <v>5058</v>
      </c>
      <c r="D405" s="6">
        <v>-400679</v>
      </c>
      <c r="E405" s="6">
        <v>-151146</v>
      </c>
      <c r="F405" s="7">
        <v>4.8630000000000004</v>
      </c>
      <c r="G405" s="7">
        <v>5.8659999999999997</v>
      </c>
      <c r="H405" s="7">
        <v>5.9589999999999996</v>
      </c>
      <c r="I405" s="7">
        <v>5.3810000000000002</v>
      </c>
      <c r="J405" s="7">
        <v>4.601</v>
      </c>
      <c r="K405" s="7">
        <v>3.9079999999999999</v>
      </c>
      <c r="L405" s="7">
        <v>3.4689999999999999</v>
      </c>
      <c r="M405" s="7">
        <v>3.6869999999999998</v>
      </c>
      <c r="N405" s="7">
        <v>4.2130000000000001</v>
      </c>
      <c r="O405" s="7">
        <v>4.9050000000000002</v>
      </c>
      <c r="P405" s="7">
        <v>5.1349999999999998</v>
      </c>
      <c r="Q405" s="7">
        <v>5.2469999999999999</v>
      </c>
      <c r="R405" s="7">
        <v>5.9939999999999998</v>
      </c>
      <c r="S405" s="7">
        <f t="shared" si="6"/>
        <v>4.8637500000000005</v>
      </c>
    </row>
    <row r="406" spans="1:19">
      <c r="A406" s="5" t="str">
        <f>B406&amp;"-"&amp;COUNTIF($B$2:B406,B406)</f>
        <v>BAHIA-203</v>
      </c>
      <c r="B406" s="5" t="s">
        <v>296</v>
      </c>
      <c r="C406" s="5" t="s">
        <v>4609</v>
      </c>
      <c r="D406" s="6">
        <v>-413006</v>
      </c>
      <c r="E406" s="6">
        <v>-138111</v>
      </c>
      <c r="F406" s="7">
        <v>5.2839999999999998</v>
      </c>
      <c r="G406" s="7">
        <v>6.1749999999999998</v>
      </c>
      <c r="H406" s="7">
        <v>6.1470000000000002</v>
      </c>
      <c r="I406" s="7">
        <v>5.633</v>
      </c>
      <c r="J406" s="7">
        <v>4.7629999999999999</v>
      </c>
      <c r="K406" s="7">
        <v>4.2329999999999997</v>
      </c>
      <c r="L406" s="7">
        <v>3.8780000000000001</v>
      </c>
      <c r="M406" s="7">
        <v>4.1079999999999997</v>
      </c>
      <c r="N406" s="7">
        <v>4.7919999999999998</v>
      </c>
      <c r="O406" s="7">
        <v>5.7080000000000002</v>
      </c>
      <c r="P406" s="7">
        <v>5.93</v>
      </c>
      <c r="Q406" s="7">
        <v>5.718</v>
      </c>
      <c r="R406" s="7">
        <v>6.3209999999999997</v>
      </c>
      <c r="S406" s="7">
        <f t="shared" si="6"/>
        <v>5.2838333333333329</v>
      </c>
    </row>
    <row r="407" spans="1:19">
      <c r="A407" s="5" t="str">
        <f>B407&amp;"-"&amp;COUNTIF($B$2:B407,B407)</f>
        <v>BAHIA-204</v>
      </c>
      <c r="B407" s="5" t="s">
        <v>296</v>
      </c>
      <c r="C407" s="5" t="s">
        <v>5469</v>
      </c>
      <c r="D407" s="6">
        <v>-391487</v>
      </c>
      <c r="E407" s="6">
        <v>-13725</v>
      </c>
      <c r="F407" s="7">
        <v>4.9139999999999997</v>
      </c>
      <c r="G407" s="7">
        <v>6</v>
      </c>
      <c r="H407" s="7">
        <v>5.8449999999999998</v>
      </c>
      <c r="I407" s="7">
        <v>5.58</v>
      </c>
      <c r="J407" s="7">
        <v>4.5620000000000003</v>
      </c>
      <c r="K407" s="7">
        <v>3.9049999999999998</v>
      </c>
      <c r="L407" s="7">
        <v>3.5510000000000002</v>
      </c>
      <c r="M407" s="7">
        <v>3.8039999999999998</v>
      </c>
      <c r="N407" s="7">
        <v>4.2590000000000003</v>
      </c>
      <c r="O407" s="7">
        <v>4.9669999999999996</v>
      </c>
      <c r="P407" s="7">
        <v>5.125</v>
      </c>
      <c r="Q407" s="7">
        <v>5.4039999999999999</v>
      </c>
      <c r="R407" s="7">
        <v>5.9619999999999997</v>
      </c>
      <c r="S407" s="7">
        <f t="shared" si="6"/>
        <v>4.9136666666666668</v>
      </c>
    </row>
    <row r="408" spans="1:19">
      <c r="A408" s="5" t="str">
        <f>B408&amp;"-"&amp;COUNTIF($B$2:B408,B408)</f>
        <v>BAHIA-205</v>
      </c>
      <c r="B408" s="5" t="s">
        <v>296</v>
      </c>
      <c r="C408" s="5" t="s">
        <v>4812</v>
      </c>
      <c r="D408" s="6">
        <v>-435511</v>
      </c>
      <c r="E408" s="6">
        <v>-144107</v>
      </c>
      <c r="F408" s="7">
        <v>5.7789999999999999</v>
      </c>
      <c r="G408" s="7">
        <v>6.5229999999999997</v>
      </c>
      <c r="H408" s="7">
        <v>6.6319999999999997</v>
      </c>
      <c r="I408" s="7">
        <v>5.9169999999999998</v>
      </c>
      <c r="J408" s="7">
        <v>5.5430000000000001</v>
      </c>
      <c r="K408" s="7">
        <v>4.8689999999999998</v>
      </c>
      <c r="L408" s="7">
        <v>4.7149999999999999</v>
      </c>
      <c r="M408" s="7">
        <v>5.0339999999999998</v>
      </c>
      <c r="N408" s="7">
        <v>5.5629999999999997</v>
      </c>
      <c r="O408" s="7">
        <v>5.899</v>
      </c>
      <c r="P408" s="7">
        <v>6.2869999999999999</v>
      </c>
      <c r="Q408" s="7">
        <v>5.8739999999999997</v>
      </c>
      <c r="R408" s="7">
        <v>6.4969999999999999</v>
      </c>
      <c r="S408" s="7">
        <f t="shared" si="6"/>
        <v>5.7794166666666671</v>
      </c>
    </row>
    <row r="409" spans="1:19">
      <c r="A409" s="5" t="str">
        <f>B409&amp;"-"&amp;COUNTIF($B$2:B409,B409)</f>
        <v>BAHIA-206</v>
      </c>
      <c r="B409" s="5" t="s">
        <v>296</v>
      </c>
      <c r="C409" s="5" t="s">
        <v>431</v>
      </c>
      <c r="D409" s="6">
        <v>-44476</v>
      </c>
      <c r="E409" s="6">
        <v>-136116</v>
      </c>
      <c r="F409" s="7">
        <v>5.8040000000000003</v>
      </c>
      <c r="G409" s="7">
        <v>6.4429999999999996</v>
      </c>
      <c r="H409" s="7">
        <v>6.3410000000000002</v>
      </c>
      <c r="I409" s="7">
        <v>5.7160000000000002</v>
      </c>
      <c r="J409" s="7">
        <v>5.53</v>
      </c>
      <c r="K409" s="7">
        <v>5.1310000000000002</v>
      </c>
      <c r="L409" s="7">
        <v>4.9400000000000004</v>
      </c>
      <c r="M409" s="7">
        <v>5.3010000000000002</v>
      </c>
      <c r="N409" s="7">
        <v>5.8369999999999997</v>
      </c>
      <c r="O409" s="7">
        <v>6.149</v>
      </c>
      <c r="P409" s="7">
        <v>6.25</v>
      </c>
      <c r="Q409" s="7">
        <v>5.75</v>
      </c>
      <c r="R409" s="7">
        <v>6.2649999999999997</v>
      </c>
      <c r="S409" s="7">
        <f t="shared" si="6"/>
        <v>5.8044166666666674</v>
      </c>
    </row>
    <row r="410" spans="1:19">
      <c r="A410" s="5" t="str">
        <f>B410&amp;"-"&amp;COUNTIF($B$2:B410,B410)</f>
        <v>BAHIA-207</v>
      </c>
      <c r="B410" s="5" t="s">
        <v>296</v>
      </c>
      <c r="C410" s="5" t="s">
        <v>432</v>
      </c>
      <c r="D410" s="6">
        <v>-42432</v>
      </c>
      <c r="E410" s="6">
        <v>-148431</v>
      </c>
      <c r="F410" s="7">
        <v>5.3650000000000002</v>
      </c>
      <c r="G410" s="7">
        <v>6.0970000000000004</v>
      </c>
      <c r="H410" s="7">
        <v>6.2880000000000003</v>
      </c>
      <c r="I410" s="7">
        <v>5.5570000000000004</v>
      </c>
      <c r="J410" s="7">
        <v>4.976</v>
      </c>
      <c r="K410" s="7">
        <v>4.399</v>
      </c>
      <c r="L410" s="7">
        <v>4.0839999999999996</v>
      </c>
      <c r="M410" s="7">
        <v>4.4509999999999996</v>
      </c>
      <c r="N410" s="7">
        <v>5.1859999999999999</v>
      </c>
      <c r="O410" s="7">
        <v>5.7649999999999997</v>
      </c>
      <c r="P410" s="7">
        <v>5.9640000000000004</v>
      </c>
      <c r="Q410" s="7">
        <v>5.4859999999999998</v>
      </c>
      <c r="R410" s="7">
        <v>6.1269999999999998</v>
      </c>
      <c r="S410" s="7">
        <f t="shared" si="6"/>
        <v>5.3649999999999993</v>
      </c>
    </row>
    <row r="411" spans="1:19">
      <c r="A411" s="5" t="str">
        <f>B411&amp;"-"&amp;COUNTIF($B$2:B411,B411)</f>
        <v>BAHIA-208</v>
      </c>
      <c r="B411" s="5" t="s">
        <v>296</v>
      </c>
      <c r="C411" s="5" t="s">
        <v>433</v>
      </c>
      <c r="D411" s="6">
        <v>-40512</v>
      </c>
      <c r="E411" s="6">
        <v>-111817</v>
      </c>
      <c r="F411" s="7">
        <v>5.2510000000000003</v>
      </c>
      <c r="G411" s="7">
        <v>6.1970000000000001</v>
      </c>
      <c r="H411" s="7">
        <v>5.9930000000000003</v>
      </c>
      <c r="I411" s="7">
        <v>5.8920000000000003</v>
      </c>
      <c r="J411" s="7">
        <v>4.8600000000000003</v>
      </c>
      <c r="K411" s="7">
        <v>4.0679999999999996</v>
      </c>
      <c r="L411" s="7">
        <v>3.8210000000000002</v>
      </c>
      <c r="M411" s="7">
        <v>4.0030000000000001</v>
      </c>
      <c r="N411" s="7">
        <v>4.7130000000000001</v>
      </c>
      <c r="O411" s="7">
        <v>5.6879999999999997</v>
      </c>
      <c r="P411" s="7">
        <v>5.7130000000000001</v>
      </c>
      <c r="Q411" s="7">
        <v>5.9649999999999999</v>
      </c>
      <c r="R411" s="7">
        <v>6.1029999999999998</v>
      </c>
      <c r="S411" s="7">
        <f t="shared" si="6"/>
        <v>5.2513333333333341</v>
      </c>
    </row>
    <row r="412" spans="1:19">
      <c r="A412" s="5" t="str">
        <f>B412&amp;"-"&amp;COUNTIF($B$2:B412,B412)</f>
        <v>BAHIA-209</v>
      </c>
      <c r="B412" s="5" t="s">
        <v>296</v>
      </c>
      <c r="C412" s="5" t="s">
        <v>434</v>
      </c>
      <c r="D412" s="6">
        <v>-399643</v>
      </c>
      <c r="E412" s="6">
        <v>-135253</v>
      </c>
      <c r="F412" s="7">
        <v>4.8879999999999999</v>
      </c>
      <c r="G412" s="7">
        <v>5.7350000000000003</v>
      </c>
      <c r="H412" s="7">
        <v>5.8239999999999998</v>
      </c>
      <c r="I412" s="7">
        <v>5.5019999999999998</v>
      </c>
      <c r="J412" s="7">
        <v>4.452</v>
      </c>
      <c r="K412" s="7">
        <v>3.8919999999999999</v>
      </c>
      <c r="L412" s="7">
        <v>3.54</v>
      </c>
      <c r="M412" s="7">
        <v>3.6819999999999999</v>
      </c>
      <c r="N412" s="7">
        <v>4.298</v>
      </c>
      <c r="O412" s="7">
        <v>5.149</v>
      </c>
      <c r="P412" s="7">
        <v>5.2519999999999998</v>
      </c>
      <c r="Q412" s="7">
        <v>5.4169999999999998</v>
      </c>
      <c r="R412" s="7">
        <v>5.9139999999999997</v>
      </c>
      <c r="S412" s="7">
        <f t="shared" si="6"/>
        <v>4.8880833333333333</v>
      </c>
    </row>
    <row r="413" spans="1:19">
      <c r="A413" s="5" t="str">
        <f>B413&amp;"-"&amp;COUNTIF($B$2:B413,B413)</f>
        <v>BAHIA-210</v>
      </c>
      <c r="B413" s="5" t="s">
        <v>296</v>
      </c>
      <c r="C413" s="5" t="s">
        <v>435</v>
      </c>
      <c r="D413" s="6">
        <v>-401953</v>
      </c>
      <c r="E413" s="6">
        <v>-102587</v>
      </c>
      <c r="F413" s="7">
        <v>5.2640000000000002</v>
      </c>
      <c r="G413" s="7">
        <v>6.085</v>
      </c>
      <c r="H413" s="7">
        <v>5.8730000000000002</v>
      </c>
      <c r="I413" s="7">
        <v>5.8150000000000004</v>
      </c>
      <c r="J413" s="7">
        <v>4.84</v>
      </c>
      <c r="K413" s="7">
        <v>4.2039999999999997</v>
      </c>
      <c r="L413" s="7">
        <v>3.8929999999999998</v>
      </c>
      <c r="M413" s="7">
        <v>4.0739999999999998</v>
      </c>
      <c r="N413" s="7">
        <v>4.7489999999999997</v>
      </c>
      <c r="O413" s="7">
        <v>5.7249999999999996</v>
      </c>
      <c r="P413" s="7">
        <v>5.8129999999999997</v>
      </c>
      <c r="Q413" s="7">
        <v>6.0810000000000004</v>
      </c>
      <c r="R413" s="7">
        <v>6.02</v>
      </c>
      <c r="S413" s="7">
        <f t="shared" si="6"/>
        <v>5.264333333333334</v>
      </c>
    </row>
    <row r="414" spans="1:19">
      <c r="A414" s="5" t="str">
        <f>B414&amp;"-"&amp;COUNTIF($B$2:B414,B414)</f>
        <v>BAHIA-211</v>
      </c>
      <c r="B414" s="5" t="s">
        <v>296</v>
      </c>
      <c r="C414" s="5" t="s">
        <v>436</v>
      </c>
      <c r="D414" s="6">
        <v>-388942</v>
      </c>
      <c r="E414" s="6">
        <v>-131114</v>
      </c>
      <c r="F414" s="7">
        <v>5.2210000000000001</v>
      </c>
      <c r="G414" s="7">
        <v>6.2789999999999999</v>
      </c>
      <c r="H414" s="7">
        <v>6.1669999999999998</v>
      </c>
      <c r="I414" s="7">
        <v>5.867</v>
      </c>
      <c r="J414" s="7">
        <v>4.7149999999999999</v>
      </c>
      <c r="K414" s="7">
        <v>4.0919999999999996</v>
      </c>
      <c r="L414" s="7">
        <v>3.714</v>
      </c>
      <c r="M414" s="7">
        <v>3.9489999999999998</v>
      </c>
      <c r="N414" s="7">
        <v>4.5869999999999997</v>
      </c>
      <c r="O414" s="7">
        <v>5.3680000000000003</v>
      </c>
      <c r="P414" s="7">
        <v>5.6529999999999996</v>
      </c>
      <c r="Q414" s="7">
        <v>5.9210000000000003</v>
      </c>
      <c r="R414" s="7">
        <v>6.3410000000000002</v>
      </c>
      <c r="S414" s="7">
        <f t="shared" si="6"/>
        <v>5.2210833333333326</v>
      </c>
    </row>
    <row r="415" spans="1:19">
      <c r="A415" s="5" t="str">
        <f>B415&amp;"-"&amp;COUNTIF($B$2:B415,B415)</f>
        <v>BAHIA-212</v>
      </c>
      <c r="B415" s="5" t="s">
        <v>296</v>
      </c>
      <c r="C415" s="5" t="s">
        <v>437</v>
      </c>
      <c r="D415" s="6">
        <v>-377856</v>
      </c>
      <c r="E415" s="6">
        <v>-115621</v>
      </c>
      <c r="F415" s="7">
        <v>5.2229999999999999</v>
      </c>
      <c r="G415" s="7">
        <v>6.1429999999999998</v>
      </c>
      <c r="H415" s="7">
        <v>6</v>
      </c>
      <c r="I415" s="7">
        <v>5.81</v>
      </c>
      <c r="J415" s="7">
        <v>4.8570000000000002</v>
      </c>
      <c r="K415" s="7">
        <v>4.1189999999999998</v>
      </c>
      <c r="L415" s="7">
        <v>3.9470000000000001</v>
      </c>
      <c r="M415" s="7">
        <v>4.0359999999999996</v>
      </c>
      <c r="N415" s="7">
        <v>4.5170000000000003</v>
      </c>
      <c r="O415" s="7">
        <v>5.2960000000000003</v>
      </c>
      <c r="P415" s="7">
        <v>5.6440000000000001</v>
      </c>
      <c r="Q415" s="7">
        <v>6.0250000000000004</v>
      </c>
      <c r="R415" s="7">
        <v>6.2770000000000001</v>
      </c>
      <c r="S415" s="7">
        <f t="shared" si="6"/>
        <v>5.2225833333333336</v>
      </c>
    </row>
    <row r="416" spans="1:19">
      <c r="A416" s="5" t="str">
        <f>B416&amp;"-"&amp;COUNTIF($B$2:B416,B416)</f>
        <v>BAHIA-213</v>
      </c>
      <c r="B416" s="5" t="s">
        <v>296</v>
      </c>
      <c r="C416" s="5" t="s">
        <v>4281</v>
      </c>
      <c r="D416" s="6">
        <v>-40088</v>
      </c>
      <c r="E416" s="6">
        <v>-138513</v>
      </c>
      <c r="F416" s="7">
        <v>4.9790000000000001</v>
      </c>
      <c r="G416" s="7">
        <v>5.931</v>
      </c>
      <c r="H416" s="7">
        <v>6.0129999999999999</v>
      </c>
      <c r="I416" s="7">
        <v>5.5739999999999998</v>
      </c>
      <c r="J416" s="7">
        <v>4.5910000000000002</v>
      </c>
      <c r="K416" s="7">
        <v>3.9780000000000002</v>
      </c>
      <c r="L416" s="7">
        <v>3.597</v>
      </c>
      <c r="M416" s="7">
        <v>3.8029999999999999</v>
      </c>
      <c r="N416" s="7">
        <v>4.3</v>
      </c>
      <c r="O416" s="7">
        <v>5.1260000000000003</v>
      </c>
      <c r="P416" s="7">
        <v>5.33</v>
      </c>
      <c r="Q416" s="7">
        <v>5.4470000000000001</v>
      </c>
      <c r="R416" s="7">
        <v>6.0620000000000003</v>
      </c>
      <c r="S416" s="7">
        <f t="shared" si="6"/>
        <v>4.9793333333333329</v>
      </c>
    </row>
    <row r="417" spans="1:19">
      <c r="A417" s="5" t="str">
        <f>B417&amp;"-"&amp;COUNTIF($B$2:B417,B417)</f>
        <v>BAHIA-214</v>
      </c>
      <c r="B417" s="5" t="s">
        <v>296</v>
      </c>
      <c r="C417" s="5" t="s">
        <v>438</v>
      </c>
      <c r="D417" s="6">
        <v>-38348</v>
      </c>
      <c r="E417" s="6">
        <v>-100763</v>
      </c>
      <c r="F417" s="7">
        <v>5.2869999999999999</v>
      </c>
      <c r="G417" s="7">
        <v>6.12</v>
      </c>
      <c r="H417" s="7">
        <v>5.9279999999999999</v>
      </c>
      <c r="I417" s="7">
        <v>5.8520000000000003</v>
      </c>
      <c r="J417" s="7">
        <v>5.1379999999999999</v>
      </c>
      <c r="K417" s="7">
        <v>4.2720000000000002</v>
      </c>
      <c r="L417" s="7">
        <v>3.8849999999999998</v>
      </c>
      <c r="M417" s="7">
        <v>4.0309999999999997</v>
      </c>
      <c r="N417" s="7">
        <v>4.6139999999999999</v>
      </c>
      <c r="O417" s="7">
        <v>5.4640000000000004</v>
      </c>
      <c r="P417" s="7">
        <v>5.7060000000000004</v>
      </c>
      <c r="Q417" s="7">
        <v>6.2030000000000003</v>
      </c>
      <c r="R417" s="7">
        <v>6.2270000000000003</v>
      </c>
      <c r="S417" s="7">
        <f t="shared" si="6"/>
        <v>5.2866666666666662</v>
      </c>
    </row>
    <row r="418" spans="1:19">
      <c r="A418" s="5" t="str">
        <f>B418&amp;"-"&amp;COUNTIF($B$2:B418,B418)</f>
        <v>BAHIA-215</v>
      </c>
      <c r="B418" s="5" t="s">
        <v>296</v>
      </c>
      <c r="C418" s="5" t="s">
        <v>5470</v>
      </c>
      <c r="D418" s="6">
        <v>-395682</v>
      </c>
      <c r="E418" s="6">
        <v>-13254</v>
      </c>
      <c r="F418" s="7">
        <v>4.8140000000000001</v>
      </c>
      <c r="G418" s="7">
        <v>5.7729999999999997</v>
      </c>
      <c r="H418" s="7">
        <v>5.8179999999999996</v>
      </c>
      <c r="I418" s="7">
        <v>5.54</v>
      </c>
      <c r="J418" s="7">
        <v>4.4800000000000004</v>
      </c>
      <c r="K418" s="7">
        <v>3.891</v>
      </c>
      <c r="L418" s="7">
        <v>3.5030000000000001</v>
      </c>
      <c r="M418" s="7">
        <v>3.6640000000000001</v>
      </c>
      <c r="N418" s="7">
        <v>4.1210000000000004</v>
      </c>
      <c r="O418" s="7">
        <v>4.8780000000000001</v>
      </c>
      <c r="P418" s="7">
        <v>4.9820000000000002</v>
      </c>
      <c r="Q418" s="7">
        <v>5.2690000000000001</v>
      </c>
      <c r="R418" s="7">
        <v>5.8529999999999998</v>
      </c>
      <c r="S418" s="7">
        <f t="shared" si="6"/>
        <v>4.8143333333333338</v>
      </c>
    </row>
    <row r="419" spans="1:19">
      <c r="A419" s="5" t="str">
        <f>B419&amp;"-"&amp;COUNTIF($B$2:B419,B419)</f>
        <v>BAHIA-216</v>
      </c>
      <c r="B419" s="5" t="s">
        <v>296</v>
      </c>
      <c r="C419" s="5" t="s">
        <v>4813</v>
      </c>
      <c r="D419" s="6">
        <v>-398897</v>
      </c>
      <c r="E419" s="6">
        <v>-140167</v>
      </c>
      <c r="F419" s="7">
        <v>4.8760000000000003</v>
      </c>
      <c r="G419" s="7">
        <v>5.8410000000000002</v>
      </c>
      <c r="H419" s="7">
        <v>5.9160000000000004</v>
      </c>
      <c r="I419" s="7">
        <v>5.5419999999999998</v>
      </c>
      <c r="J419" s="7">
        <v>4.5380000000000003</v>
      </c>
      <c r="K419" s="7">
        <v>3.9239999999999999</v>
      </c>
      <c r="L419" s="7">
        <v>3.4780000000000002</v>
      </c>
      <c r="M419" s="7">
        <v>3.6739999999999999</v>
      </c>
      <c r="N419" s="7">
        <v>4.2119999999999997</v>
      </c>
      <c r="O419" s="7">
        <v>4.9569999999999999</v>
      </c>
      <c r="P419" s="7">
        <v>5.1239999999999997</v>
      </c>
      <c r="Q419" s="7">
        <v>5.3360000000000003</v>
      </c>
      <c r="R419" s="7">
        <v>5.97</v>
      </c>
      <c r="S419" s="7">
        <f t="shared" si="6"/>
        <v>4.8760000000000003</v>
      </c>
    </row>
    <row r="420" spans="1:19">
      <c r="A420" s="5" t="str">
        <f>B420&amp;"-"&amp;COUNTIF($B$2:B420,B420)</f>
        <v>BAHIA-217</v>
      </c>
      <c r="B420" s="5" t="s">
        <v>296</v>
      </c>
      <c r="C420" s="5" t="s">
        <v>3906</v>
      </c>
      <c r="D420" s="6">
        <v>-416551</v>
      </c>
      <c r="E420" s="6">
        <v>-113491</v>
      </c>
      <c r="F420" s="7">
        <v>5.7590000000000003</v>
      </c>
      <c r="G420" s="7">
        <v>6.4470000000000001</v>
      </c>
      <c r="H420" s="7">
        <v>6.1989999999999998</v>
      </c>
      <c r="I420" s="7">
        <v>5.9850000000000003</v>
      </c>
      <c r="J420" s="7">
        <v>5.21</v>
      </c>
      <c r="K420" s="7">
        <v>4.76</v>
      </c>
      <c r="L420" s="7">
        <v>4.6189999999999998</v>
      </c>
      <c r="M420" s="7">
        <v>4.8170000000000002</v>
      </c>
      <c r="N420" s="7">
        <v>5.5730000000000004</v>
      </c>
      <c r="O420" s="7">
        <v>6.2779999999999996</v>
      </c>
      <c r="P420" s="7">
        <v>6.4569999999999999</v>
      </c>
      <c r="Q420" s="7">
        <v>6.3179999999999996</v>
      </c>
      <c r="R420" s="7">
        <v>6.4489999999999998</v>
      </c>
      <c r="S420" s="7">
        <f t="shared" si="6"/>
        <v>5.7593333333333332</v>
      </c>
    </row>
    <row r="421" spans="1:19">
      <c r="A421" s="5" t="str">
        <f>B421&amp;"-"&amp;COUNTIF($B$2:B421,B421)</f>
        <v>BAHIA-218</v>
      </c>
      <c r="B421" s="5" t="s">
        <v>296</v>
      </c>
      <c r="C421" s="5" t="s">
        <v>439</v>
      </c>
      <c r="D421" s="6">
        <v>-405036</v>
      </c>
      <c r="E421" s="6">
        <v>-94166</v>
      </c>
      <c r="F421" s="7">
        <v>5.7670000000000003</v>
      </c>
      <c r="G421" s="7">
        <v>6.3810000000000002</v>
      </c>
      <c r="H421" s="7">
        <v>6.165</v>
      </c>
      <c r="I421" s="7">
        <v>6.0270000000000001</v>
      </c>
      <c r="J421" s="7">
        <v>5.242</v>
      </c>
      <c r="K421" s="7">
        <v>4.8280000000000003</v>
      </c>
      <c r="L421" s="7">
        <v>4.5759999999999996</v>
      </c>
      <c r="M421" s="7">
        <v>4.82</v>
      </c>
      <c r="N421" s="7">
        <v>5.5529999999999999</v>
      </c>
      <c r="O421" s="7">
        <v>6.3230000000000004</v>
      </c>
      <c r="P421" s="7">
        <v>6.4009999999999998</v>
      </c>
      <c r="Q421" s="7">
        <v>6.5030000000000001</v>
      </c>
      <c r="R421" s="7">
        <v>6.3840000000000003</v>
      </c>
      <c r="S421" s="7">
        <f t="shared" si="6"/>
        <v>5.7669166666666669</v>
      </c>
    </row>
    <row r="422" spans="1:19">
      <c r="A422" s="5" t="str">
        <f>B422&amp;"-"&amp;COUNTIF($B$2:B422,B422)</f>
        <v>BAHIA-219</v>
      </c>
      <c r="B422" s="5" t="s">
        <v>296</v>
      </c>
      <c r="C422" s="5" t="s">
        <v>4610</v>
      </c>
      <c r="D422" s="6">
        <v>-401593</v>
      </c>
      <c r="E422" s="6">
        <v>-168433</v>
      </c>
      <c r="F422" s="7">
        <v>4.899</v>
      </c>
      <c r="G422" s="7">
        <v>5.96</v>
      </c>
      <c r="H422" s="7">
        <v>6.1020000000000003</v>
      </c>
      <c r="I422" s="7">
        <v>5.4279999999999999</v>
      </c>
      <c r="J422" s="7">
        <v>4.625</v>
      </c>
      <c r="K422" s="7">
        <v>3.8650000000000002</v>
      </c>
      <c r="L422" s="7">
        <v>3.516</v>
      </c>
      <c r="M422" s="7">
        <v>3.661</v>
      </c>
      <c r="N422" s="7">
        <v>4.29</v>
      </c>
      <c r="O422" s="7">
        <v>5.0090000000000003</v>
      </c>
      <c r="P422" s="7">
        <v>5.1379999999999999</v>
      </c>
      <c r="Q422" s="7">
        <v>5.1379999999999999</v>
      </c>
      <c r="R422" s="7">
        <v>6.05</v>
      </c>
      <c r="S422" s="7">
        <f t="shared" si="6"/>
        <v>4.8984999999999994</v>
      </c>
    </row>
    <row r="423" spans="1:19">
      <c r="A423" s="5" t="str">
        <f>B423&amp;"-"&amp;COUNTIF($B$2:B423,B423)</f>
        <v>BAHIA-220</v>
      </c>
      <c r="B423" s="5" t="s">
        <v>296</v>
      </c>
      <c r="C423" s="5" t="s">
        <v>440</v>
      </c>
      <c r="D423" s="6">
        <v>-419706</v>
      </c>
      <c r="E423" s="6">
        <v>-110435</v>
      </c>
      <c r="F423" s="7">
        <v>5.8460000000000001</v>
      </c>
      <c r="G423" s="7">
        <v>6.375</v>
      </c>
      <c r="H423" s="7">
        <v>6.2160000000000002</v>
      </c>
      <c r="I423" s="7">
        <v>6.0090000000000003</v>
      </c>
      <c r="J423" s="7">
        <v>5.3239999999999998</v>
      </c>
      <c r="K423" s="7">
        <v>4.9240000000000004</v>
      </c>
      <c r="L423" s="7">
        <v>4.7919999999999998</v>
      </c>
      <c r="M423" s="7">
        <v>5.0110000000000001</v>
      </c>
      <c r="N423" s="7">
        <v>5.798</v>
      </c>
      <c r="O423" s="7">
        <v>6.4589999999999996</v>
      </c>
      <c r="P423" s="7">
        <v>6.4359999999999999</v>
      </c>
      <c r="Q423" s="7">
        <v>6.3659999999999997</v>
      </c>
      <c r="R423" s="7">
        <v>6.444</v>
      </c>
      <c r="S423" s="7">
        <f t="shared" si="6"/>
        <v>5.8461666666666661</v>
      </c>
    </row>
    <row r="424" spans="1:19">
      <c r="A424" s="5" t="str">
        <f>B424&amp;"-"&amp;COUNTIF($B$2:B424,B424)</f>
        <v>BAHIA-221</v>
      </c>
      <c r="B424" s="5" t="s">
        <v>296</v>
      </c>
      <c r="C424" s="5" t="s">
        <v>441</v>
      </c>
      <c r="D424" s="6">
        <v>-394941</v>
      </c>
      <c r="E424" s="6">
        <v>-15188</v>
      </c>
      <c r="F424" s="7">
        <v>4.7229999999999999</v>
      </c>
      <c r="G424" s="7">
        <v>5.6029999999999998</v>
      </c>
      <c r="H424" s="7">
        <v>5.6929999999999996</v>
      </c>
      <c r="I424" s="7">
        <v>5.282</v>
      </c>
      <c r="J424" s="7">
        <v>4.492</v>
      </c>
      <c r="K424" s="7">
        <v>3.8330000000000002</v>
      </c>
      <c r="L424" s="7">
        <v>3.4830000000000001</v>
      </c>
      <c r="M424" s="7">
        <v>3.7</v>
      </c>
      <c r="N424" s="7">
        <v>4.2039999999999997</v>
      </c>
      <c r="O424" s="7">
        <v>4.7270000000000003</v>
      </c>
      <c r="P424" s="7">
        <v>4.9029999999999996</v>
      </c>
      <c r="Q424" s="7">
        <v>4.9720000000000004</v>
      </c>
      <c r="R424" s="7">
        <v>5.7850000000000001</v>
      </c>
      <c r="S424" s="7">
        <f t="shared" si="6"/>
        <v>4.7230833333333324</v>
      </c>
    </row>
    <row r="425" spans="1:19">
      <c r="A425" s="5" t="str">
        <f>B425&amp;"-"&amp;COUNTIF($B$2:B425,B425)</f>
        <v>BAHIA-222</v>
      </c>
      <c r="B425" s="5" t="s">
        <v>296</v>
      </c>
      <c r="C425" s="5" t="s">
        <v>442</v>
      </c>
      <c r="D425" s="6">
        <v>-415916</v>
      </c>
      <c r="E425" s="6">
        <v>-13516</v>
      </c>
      <c r="F425" s="7">
        <v>5.4189999999999996</v>
      </c>
      <c r="G425" s="7">
        <v>6.2220000000000004</v>
      </c>
      <c r="H425" s="7">
        <v>6.1959999999999997</v>
      </c>
      <c r="I425" s="7">
        <v>5.7359999999999998</v>
      </c>
      <c r="J425" s="7">
        <v>4.8899999999999997</v>
      </c>
      <c r="K425" s="7">
        <v>4.3710000000000004</v>
      </c>
      <c r="L425" s="7">
        <v>4.0439999999999996</v>
      </c>
      <c r="M425" s="7">
        <v>4.2569999999999997</v>
      </c>
      <c r="N425" s="7">
        <v>5.03</v>
      </c>
      <c r="O425" s="7">
        <v>5.9240000000000004</v>
      </c>
      <c r="P425" s="7">
        <v>6.0990000000000002</v>
      </c>
      <c r="Q425" s="7">
        <v>5.8109999999999999</v>
      </c>
      <c r="R425" s="7">
        <v>6.4530000000000003</v>
      </c>
      <c r="S425" s="7">
        <f t="shared" si="6"/>
        <v>5.4194166666666668</v>
      </c>
    </row>
    <row r="426" spans="1:19">
      <c r="A426" s="5" t="str">
        <f>B426&amp;"-"&amp;COUNTIF($B$2:B426,B426)</f>
        <v>BAHIA-223</v>
      </c>
      <c r="B426" s="5" t="s">
        <v>296</v>
      </c>
      <c r="C426" s="5" t="s">
        <v>443</v>
      </c>
      <c r="D426" s="6">
        <v>-402124</v>
      </c>
      <c r="E426" s="6">
        <v>-13656</v>
      </c>
      <c r="F426" s="7">
        <v>4.9139999999999997</v>
      </c>
      <c r="G426" s="7">
        <v>5.8410000000000002</v>
      </c>
      <c r="H426" s="7">
        <v>5.8849999999999998</v>
      </c>
      <c r="I426" s="7">
        <v>5.45</v>
      </c>
      <c r="J426" s="7">
        <v>4.4649999999999999</v>
      </c>
      <c r="K426" s="7">
        <v>3.923</v>
      </c>
      <c r="L426" s="7">
        <v>3.55</v>
      </c>
      <c r="M426" s="7">
        <v>3.7309999999999999</v>
      </c>
      <c r="N426" s="7">
        <v>4.2889999999999997</v>
      </c>
      <c r="O426" s="7">
        <v>5.2160000000000002</v>
      </c>
      <c r="P426" s="7">
        <v>5.3</v>
      </c>
      <c r="Q426" s="7">
        <v>5.3840000000000003</v>
      </c>
      <c r="R426" s="7">
        <v>5.9260000000000002</v>
      </c>
      <c r="S426" s="7">
        <f t="shared" si="6"/>
        <v>4.9133333333333331</v>
      </c>
    </row>
    <row r="427" spans="1:19">
      <c r="A427" s="5" t="str">
        <f>B427&amp;"-"&amp;COUNTIF($B$2:B427,B427)</f>
        <v>BAHIA-224</v>
      </c>
      <c r="B427" s="5" t="s">
        <v>296</v>
      </c>
      <c r="C427" s="5" t="s">
        <v>444</v>
      </c>
      <c r="D427" s="6">
        <v>-421414</v>
      </c>
      <c r="E427" s="6">
        <v>-14034</v>
      </c>
      <c r="F427" s="7">
        <v>5.5609999999999999</v>
      </c>
      <c r="G427" s="7">
        <v>6.4</v>
      </c>
      <c r="H427" s="7">
        <v>6.49</v>
      </c>
      <c r="I427" s="7">
        <v>5.8010000000000002</v>
      </c>
      <c r="J427" s="7">
        <v>5.0339999999999998</v>
      </c>
      <c r="K427" s="7">
        <v>4.4539999999999997</v>
      </c>
      <c r="L427" s="7">
        <v>4.2080000000000002</v>
      </c>
      <c r="M427" s="7">
        <v>4.5129999999999999</v>
      </c>
      <c r="N427" s="7">
        <v>5.2690000000000001</v>
      </c>
      <c r="O427" s="7">
        <v>5.9379999999999997</v>
      </c>
      <c r="P427" s="7">
        <v>6.2770000000000001</v>
      </c>
      <c r="Q427" s="7">
        <v>5.85</v>
      </c>
      <c r="R427" s="7">
        <v>6.5010000000000003</v>
      </c>
      <c r="S427" s="7">
        <f t="shared" si="6"/>
        <v>5.5612500000000002</v>
      </c>
    </row>
    <row r="428" spans="1:19">
      <c r="A428" s="5" t="str">
        <f>B428&amp;"-"&amp;COUNTIF($B$2:B428,B428)</f>
        <v>BAHIA-225</v>
      </c>
      <c r="B428" s="5" t="s">
        <v>296</v>
      </c>
      <c r="C428" s="5" t="s">
        <v>445</v>
      </c>
      <c r="D428" s="6">
        <v>-394216</v>
      </c>
      <c r="E428" s="6">
        <v>-131678</v>
      </c>
      <c r="F428" s="7">
        <v>4.8840000000000003</v>
      </c>
      <c r="G428" s="7">
        <v>5.86</v>
      </c>
      <c r="H428" s="7">
        <v>5.758</v>
      </c>
      <c r="I428" s="7">
        <v>5.5970000000000004</v>
      </c>
      <c r="J428" s="7">
        <v>4.5460000000000003</v>
      </c>
      <c r="K428" s="7">
        <v>3.9209999999999998</v>
      </c>
      <c r="L428" s="7">
        <v>3.5569999999999999</v>
      </c>
      <c r="M428" s="7">
        <v>3.7330000000000001</v>
      </c>
      <c r="N428" s="7">
        <v>4.2220000000000004</v>
      </c>
      <c r="O428" s="7">
        <v>4.9829999999999997</v>
      </c>
      <c r="P428" s="7">
        <v>5.1239999999999997</v>
      </c>
      <c r="Q428" s="7">
        <v>5.3959999999999999</v>
      </c>
      <c r="R428" s="7">
        <v>5.9050000000000002</v>
      </c>
      <c r="S428" s="7">
        <f t="shared" si="6"/>
        <v>4.8834999999999997</v>
      </c>
    </row>
    <row r="429" spans="1:19">
      <c r="A429" s="5" t="str">
        <f>B429&amp;"-"&amp;COUNTIF($B$2:B429,B429)</f>
        <v>BAHIA-226</v>
      </c>
      <c r="B429" s="5" t="s">
        <v>296</v>
      </c>
      <c r="C429" s="5" t="s">
        <v>3907</v>
      </c>
      <c r="D429" s="6">
        <v>-403386</v>
      </c>
      <c r="E429" s="6">
        <v>-176061</v>
      </c>
      <c r="F429" s="7">
        <v>4.9329999999999998</v>
      </c>
      <c r="G429" s="7">
        <v>6.1310000000000002</v>
      </c>
      <c r="H429" s="7">
        <v>6.2469999999999999</v>
      </c>
      <c r="I429" s="7">
        <v>5.4059999999999997</v>
      </c>
      <c r="J429" s="7">
        <v>4.6219999999999999</v>
      </c>
      <c r="K429" s="7">
        <v>3.8660000000000001</v>
      </c>
      <c r="L429" s="7">
        <v>3.504</v>
      </c>
      <c r="M429" s="7">
        <v>3.6150000000000002</v>
      </c>
      <c r="N429" s="7">
        <v>4.28</v>
      </c>
      <c r="O429" s="7">
        <v>4.9359999999999999</v>
      </c>
      <c r="P429" s="7">
        <v>5.25</v>
      </c>
      <c r="Q429" s="7">
        <v>5.24</v>
      </c>
      <c r="R429" s="7">
        <v>6.0940000000000003</v>
      </c>
      <c r="S429" s="7">
        <f t="shared" si="6"/>
        <v>4.9325833333333335</v>
      </c>
    </row>
    <row r="430" spans="1:19">
      <c r="A430" s="5" t="str">
        <f>B430&amp;"-"&amp;COUNTIF($B$2:B430,B430)</f>
        <v>BAHIA-227</v>
      </c>
      <c r="B430" s="5" t="s">
        <v>296</v>
      </c>
      <c r="C430" s="5" t="s">
        <v>446</v>
      </c>
      <c r="D430" s="6">
        <v>-409034</v>
      </c>
      <c r="E430" s="6">
        <v>-123556</v>
      </c>
      <c r="F430" s="7">
        <v>5.0259999999999998</v>
      </c>
      <c r="G430" s="7">
        <v>5.8710000000000004</v>
      </c>
      <c r="H430" s="7">
        <v>5.8419999999999996</v>
      </c>
      <c r="I430" s="7">
        <v>5.5149999999999997</v>
      </c>
      <c r="J430" s="7">
        <v>4.5570000000000004</v>
      </c>
      <c r="K430" s="7">
        <v>4.0209999999999999</v>
      </c>
      <c r="L430" s="7">
        <v>3.762</v>
      </c>
      <c r="M430" s="7">
        <v>3.9009999999999998</v>
      </c>
      <c r="N430" s="7">
        <v>4.5579999999999998</v>
      </c>
      <c r="O430" s="7">
        <v>5.476</v>
      </c>
      <c r="P430" s="7">
        <v>5.4889999999999999</v>
      </c>
      <c r="Q430" s="7">
        <v>5.4749999999999996</v>
      </c>
      <c r="R430" s="7">
        <v>5.8479999999999999</v>
      </c>
      <c r="S430" s="7">
        <f t="shared" si="6"/>
        <v>5.0262500000000001</v>
      </c>
    </row>
    <row r="431" spans="1:19">
      <c r="A431" s="5" t="str">
        <f>B431&amp;"-"&amp;COUNTIF($B$2:B431,B431)</f>
        <v>BAHIA-228</v>
      </c>
      <c r="B431" s="5" t="s">
        <v>296</v>
      </c>
      <c r="C431" s="5" t="s">
        <v>447</v>
      </c>
      <c r="D431" s="6">
        <v>-402208</v>
      </c>
      <c r="E431" s="6">
        <v>-134667</v>
      </c>
      <c r="F431" s="7">
        <v>4.92</v>
      </c>
      <c r="G431" s="7">
        <v>5.6959999999999997</v>
      </c>
      <c r="H431" s="7">
        <v>5.8310000000000004</v>
      </c>
      <c r="I431" s="7">
        <v>5.476</v>
      </c>
      <c r="J431" s="7">
        <v>4.4690000000000003</v>
      </c>
      <c r="K431" s="7">
        <v>4.0030000000000001</v>
      </c>
      <c r="L431" s="7">
        <v>3.5409999999999999</v>
      </c>
      <c r="M431" s="7">
        <v>3.758</v>
      </c>
      <c r="N431" s="7">
        <v>4.3449999999999998</v>
      </c>
      <c r="O431" s="7">
        <v>5.258</v>
      </c>
      <c r="P431" s="7">
        <v>5.367</v>
      </c>
      <c r="Q431" s="7">
        <v>5.4320000000000004</v>
      </c>
      <c r="R431" s="7">
        <v>5.86</v>
      </c>
      <c r="S431" s="7">
        <f t="shared" si="6"/>
        <v>4.9196666666666671</v>
      </c>
    </row>
    <row r="432" spans="1:19">
      <c r="A432" s="5" t="str">
        <f>B432&amp;"-"&amp;COUNTIF($B$2:B432,B432)</f>
        <v>BAHIA-229</v>
      </c>
      <c r="B432" s="5" t="s">
        <v>296</v>
      </c>
      <c r="C432" s="5" t="s">
        <v>3908</v>
      </c>
      <c r="D432" s="6">
        <v>-388873</v>
      </c>
      <c r="E432" s="6">
        <v>-117735</v>
      </c>
      <c r="F432" s="7">
        <v>5.0650000000000004</v>
      </c>
      <c r="G432" s="7">
        <v>6.08</v>
      </c>
      <c r="H432" s="7">
        <v>5.8460000000000001</v>
      </c>
      <c r="I432" s="7">
        <v>5.6630000000000003</v>
      </c>
      <c r="J432" s="7">
        <v>4.7290000000000001</v>
      </c>
      <c r="K432" s="7">
        <v>3.9889999999999999</v>
      </c>
      <c r="L432" s="7">
        <v>3.6869999999999998</v>
      </c>
      <c r="M432" s="7">
        <v>3.9319999999999999</v>
      </c>
      <c r="N432" s="7">
        <v>4.367</v>
      </c>
      <c r="O432" s="7">
        <v>5.157</v>
      </c>
      <c r="P432" s="7">
        <v>5.4260000000000002</v>
      </c>
      <c r="Q432" s="7">
        <v>5.8159999999999998</v>
      </c>
      <c r="R432" s="7">
        <v>6.0869999999999997</v>
      </c>
      <c r="S432" s="7">
        <f t="shared" si="6"/>
        <v>5.0649166666666678</v>
      </c>
    </row>
    <row r="433" spans="1:19">
      <c r="A433" s="5" t="str">
        <f>B433&amp;"-"&amp;COUNTIF($B$2:B433,B433)</f>
        <v>BAHIA-230</v>
      </c>
      <c r="B433" s="5" t="s">
        <v>296</v>
      </c>
      <c r="C433" s="5" t="s">
        <v>3909</v>
      </c>
      <c r="D433" s="6">
        <v>-41829</v>
      </c>
      <c r="E433" s="6">
        <v>-113855</v>
      </c>
      <c r="F433" s="7">
        <v>5.7510000000000003</v>
      </c>
      <c r="G433" s="7">
        <v>6.4480000000000004</v>
      </c>
      <c r="H433" s="7">
        <v>6.2169999999999996</v>
      </c>
      <c r="I433" s="7">
        <v>6.0010000000000003</v>
      </c>
      <c r="J433" s="7">
        <v>5.2430000000000003</v>
      </c>
      <c r="K433" s="7">
        <v>4.7649999999999997</v>
      </c>
      <c r="L433" s="7">
        <v>4.5819999999999999</v>
      </c>
      <c r="M433" s="7">
        <v>4.806</v>
      </c>
      <c r="N433" s="7">
        <v>5.577</v>
      </c>
      <c r="O433" s="7">
        <v>6.258</v>
      </c>
      <c r="P433" s="7">
        <v>6.452</v>
      </c>
      <c r="Q433" s="7">
        <v>6.2210000000000001</v>
      </c>
      <c r="R433" s="7">
        <v>6.4420000000000002</v>
      </c>
      <c r="S433" s="7">
        <f t="shared" si="6"/>
        <v>5.7510000000000003</v>
      </c>
    </row>
    <row r="434" spans="1:19">
      <c r="A434" s="5" t="str">
        <f>B434&amp;"-"&amp;COUNTIF($B$2:B434,B434)</f>
        <v>BAHIA-231</v>
      </c>
      <c r="B434" s="5" t="s">
        <v>296</v>
      </c>
      <c r="C434" s="5" t="s">
        <v>448</v>
      </c>
      <c r="D434" s="6">
        <v>-383213</v>
      </c>
      <c r="E434" s="6">
        <v>-128983</v>
      </c>
      <c r="F434" s="7">
        <v>5.2489999999999997</v>
      </c>
      <c r="G434" s="7">
        <v>6.2640000000000002</v>
      </c>
      <c r="H434" s="7">
        <v>6.1280000000000001</v>
      </c>
      <c r="I434" s="7">
        <v>5.8650000000000002</v>
      </c>
      <c r="J434" s="7">
        <v>4.6470000000000002</v>
      </c>
      <c r="K434" s="7">
        <v>4.0640000000000001</v>
      </c>
      <c r="L434" s="7">
        <v>3.75</v>
      </c>
      <c r="M434" s="7">
        <v>4.0060000000000002</v>
      </c>
      <c r="N434" s="7">
        <v>4.5890000000000004</v>
      </c>
      <c r="O434" s="7">
        <v>5.4240000000000004</v>
      </c>
      <c r="P434" s="7">
        <v>5.7880000000000003</v>
      </c>
      <c r="Q434" s="7">
        <v>6.0709999999999997</v>
      </c>
      <c r="R434" s="7">
        <v>6.3869999999999996</v>
      </c>
      <c r="S434" s="7">
        <f t="shared" si="6"/>
        <v>5.2485833333333325</v>
      </c>
    </row>
    <row r="435" spans="1:19">
      <c r="A435" s="5" t="str">
        <f>B435&amp;"-"&amp;COUNTIF($B$2:B435,B435)</f>
        <v>BAHIA-232</v>
      </c>
      <c r="B435" s="5" t="s">
        <v>296</v>
      </c>
      <c r="C435" s="5" t="s">
        <v>5059</v>
      </c>
      <c r="D435" s="6">
        <v>-413901</v>
      </c>
      <c r="E435" s="6">
        <v>-125626</v>
      </c>
      <c r="F435" s="7">
        <v>5.048</v>
      </c>
      <c r="G435" s="7">
        <v>5.89</v>
      </c>
      <c r="H435" s="7">
        <v>5.9340000000000002</v>
      </c>
      <c r="I435" s="7">
        <v>5.5910000000000002</v>
      </c>
      <c r="J435" s="7">
        <v>4.7510000000000003</v>
      </c>
      <c r="K435" s="7">
        <v>4.1440000000000001</v>
      </c>
      <c r="L435" s="7">
        <v>3.82</v>
      </c>
      <c r="M435" s="7">
        <v>3.9729999999999999</v>
      </c>
      <c r="N435" s="7">
        <v>4.6269999999999998</v>
      </c>
      <c r="O435" s="7">
        <v>5.351</v>
      </c>
      <c r="P435" s="7">
        <v>5.4130000000000003</v>
      </c>
      <c r="Q435" s="7">
        <v>5.3470000000000004</v>
      </c>
      <c r="R435" s="7">
        <v>5.726</v>
      </c>
      <c r="S435" s="7">
        <f t="shared" si="6"/>
        <v>5.04725</v>
      </c>
    </row>
    <row r="436" spans="1:19">
      <c r="A436" s="5" t="str">
        <f>B436&amp;"-"&amp;COUNTIF($B$2:B436,B436)</f>
        <v>BAHIA-233</v>
      </c>
      <c r="B436" s="5" t="s">
        <v>296</v>
      </c>
      <c r="C436" s="5" t="s">
        <v>449</v>
      </c>
      <c r="D436" s="6">
        <v>-425053</v>
      </c>
      <c r="E436" s="6">
        <v>-14682</v>
      </c>
      <c r="F436" s="7">
        <v>5.5890000000000004</v>
      </c>
      <c r="G436" s="7">
        <v>6.3239999999999998</v>
      </c>
      <c r="H436" s="7">
        <v>6.4470000000000001</v>
      </c>
      <c r="I436" s="7">
        <v>5.7770000000000001</v>
      </c>
      <c r="J436" s="7">
        <v>5.2320000000000002</v>
      </c>
      <c r="K436" s="7">
        <v>4.6310000000000002</v>
      </c>
      <c r="L436" s="7">
        <v>4.3940000000000001</v>
      </c>
      <c r="M436" s="7">
        <v>4.6459999999999999</v>
      </c>
      <c r="N436" s="7">
        <v>5.3620000000000001</v>
      </c>
      <c r="O436" s="7">
        <v>5.9359999999999999</v>
      </c>
      <c r="P436" s="7">
        <v>6.2190000000000003</v>
      </c>
      <c r="Q436" s="7">
        <v>5.7450000000000001</v>
      </c>
      <c r="R436" s="7">
        <v>6.3570000000000002</v>
      </c>
      <c r="S436" s="7">
        <f t="shared" si="6"/>
        <v>5.5891666666666673</v>
      </c>
    </row>
    <row r="437" spans="1:19">
      <c r="A437" s="5" t="str">
        <f>B437&amp;"-"&amp;COUNTIF($B$2:B437,B437)</f>
        <v>BAHIA-234</v>
      </c>
      <c r="B437" s="5" t="s">
        <v>296</v>
      </c>
      <c r="C437" s="5" t="s">
        <v>450</v>
      </c>
      <c r="D437" s="6">
        <v>-418395</v>
      </c>
      <c r="E437" s="6">
        <v>-136393</v>
      </c>
      <c r="F437" s="7">
        <v>5.492</v>
      </c>
      <c r="G437" s="7">
        <v>6.29</v>
      </c>
      <c r="H437" s="7">
        <v>6.2720000000000002</v>
      </c>
      <c r="I437" s="7">
        <v>5.7549999999999999</v>
      </c>
      <c r="J437" s="7">
        <v>4.9720000000000004</v>
      </c>
      <c r="K437" s="7">
        <v>4.4249999999999998</v>
      </c>
      <c r="L437" s="7">
        <v>4.1479999999999997</v>
      </c>
      <c r="M437" s="7">
        <v>4.4429999999999996</v>
      </c>
      <c r="N437" s="7">
        <v>5.19</v>
      </c>
      <c r="O437" s="7">
        <v>6.0179999999999998</v>
      </c>
      <c r="P437" s="7">
        <v>6.2210000000000001</v>
      </c>
      <c r="Q437" s="7">
        <v>5.7789999999999999</v>
      </c>
      <c r="R437" s="7">
        <v>6.391</v>
      </c>
      <c r="S437" s="7">
        <f t="shared" si="6"/>
        <v>5.492</v>
      </c>
    </row>
    <row r="438" spans="1:19">
      <c r="A438" s="5" t="str">
        <f>B438&amp;"-"&amp;COUNTIF($B$2:B438,B438)</f>
        <v>BAHIA-235</v>
      </c>
      <c r="B438" s="5" t="s">
        <v>296</v>
      </c>
      <c r="C438" s="5" t="s">
        <v>5346</v>
      </c>
      <c r="D438" s="6">
        <v>-457966</v>
      </c>
      <c r="E438" s="6">
        <v>-12087</v>
      </c>
      <c r="F438" s="7">
        <v>5.6390000000000002</v>
      </c>
      <c r="G438" s="7">
        <v>6.0540000000000003</v>
      </c>
      <c r="H438" s="7">
        <v>5.7670000000000003</v>
      </c>
      <c r="I438" s="7">
        <v>5.3460000000000001</v>
      </c>
      <c r="J438" s="7">
        <v>5.2919999999999998</v>
      </c>
      <c r="K438" s="7">
        <v>5.1989999999999998</v>
      </c>
      <c r="L438" s="7">
        <v>5.0730000000000004</v>
      </c>
      <c r="M438" s="7">
        <v>5.3810000000000002</v>
      </c>
      <c r="N438" s="7">
        <v>5.9379999999999997</v>
      </c>
      <c r="O438" s="7">
        <v>6.2160000000000002</v>
      </c>
      <c r="P438" s="7">
        <v>6.0049999999999999</v>
      </c>
      <c r="Q438" s="7">
        <v>5.5759999999999996</v>
      </c>
      <c r="R438" s="7">
        <v>5.8230000000000004</v>
      </c>
      <c r="S438" s="7">
        <f t="shared" si="6"/>
        <v>5.639166666666668</v>
      </c>
    </row>
    <row r="439" spans="1:19">
      <c r="A439" s="5" t="str">
        <f>B439&amp;"-"&amp;COUNTIF($B$2:B439,B439)</f>
        <v>BAHIA-236</v>
      </c>
      <c r="B439" s="5" t="s">
        <v>296</v>
      </c>
      <c r="C439" s="5" t="s">
        <v>4814</v>
      </c>
      <c r="D439" s="6">
        <v>-426949</v>
      </c>
      <c r="E439" s="6">
        <v>-13019</v>
      </c>
      <c r="F439" s="7">
        <v>5.88</v>
      </c>
      <c r="G439" s="7">
        <v>6.6509999999999998</v>
      </c>
      <c r="H439" s="7">
        <v>6.6369999999999996</v>
      </c>
      <c r="I439" s="7">
        <v>6.0439999999999996</v>
      </c>
      <c r="J439" s="7">
        <v>5.5570000000000004</v>
      </c>
      <c r="K439" s="7">
        <v>5.0060000000000002</v>
      </c>
      <c r="L439" s="7">
        <v>4.806</v>
      </c>
      <c r="M439" s="7">
        <v>5.0190000000000001</v>
      </c>
      <c r="N439" s="7">
        <v>5.665</v>
      </c>
      <c r="O439" s="7">
        <v>6.1139999999999999</v>
      </c>
      <c r="P439" s="7">
        <v>6.3819999999999997</v>
      </c>
      <c r="Q439" s="7">
        <v>6.0880000000000001</v>
      </c>
      <c r="R439" s="7">
        <v>6.5940000000000003</v>
      </c>
      <c r="S439" s="7">
        <f t="shared" si="6"/>
        <v>5.8802499999999993</v>
      </c>
    </row>
    <row r="440" spans="1:19">
      <c r="A440" s="5" t="str">
        <f>B440&amp;"-"&amp;COUNTIF($B$2:B440,B440)</f>
        <v>BAHIA-237</v>
      </c>
      <c r="B440" s="5" t="s">
        <v>296</v>
      </c>
      <c r="C440" s="5" t="s">
        <v>451</v>
      </c>
      <c r="D440" s="6">
        <v>-403603</v>
      </c>
      <c r="E440" s="6">
        <v>-121376</v>
      </c>
      <c r="F440" s="7">
        <v>4.9340000000000002</v>
      </c>
      <c r="G440" s="7">
        <v>5.83</v>
      </c>
      <c r="H440" s="7">
        <v>5.8559999999999999</v>
      </c>
      <c r="I440" s="7">
        <v>5.6550000000000002</v>
      </c>
      <c r="J440" s="7">
        <v>4.5720000000000001</v>
      </c>
      <c r="K440" s="7">
        <v>3.9489999999999998</v>
      </c>
      <c r="L440" s="7">
        <v>3.613</v>
      </c>
      <c r="M440" s="7">
        <v>3.7509999999999999</v>
      </c>
      <c r="N440" s="7">
        <v>4.32</v>
      </c>
      <c r="O440" s="7">
        <v>5.1909999999999998</v>
      </c>
      <c r="P440" s="7">
        <v>5.2229999999999999</v>
      </c>
      <c r="Q440" s="7">
        <v>5.4550000000000001</v>
      </c>
      <c r="R440" s="7">
        <v>5.7919999999999998</v>
      </c>
      <c r="S440" s="7">
        <f t="shared" si="6"/>
        <v>4.9339166666666667</v>
      </c>
    </row>
    <row r="441" spans="1:19">
      <c r="A441" s="5" t="str">
        <f>B441&amp;"-"&amp;COUNTIF($B$2:B441,B441)</f>
        <v>BAHIA-238</v>
      </c>
      <c r="B441" s="5" t="s">
        <v>296</v>
      </c>
      <c r="C441" s="5" t="s">
        <v>452</v>
      </c>
      <c r="D441" s="6">
        <v>-404212</v>
      </c>
      <c r="E441" s="6">
        <v>-15565</v>
      </c>
      <c r="F441" s="7">
        <v>4.8970000000000002</v>
      </c>
      <c r="G441" s="7">
        <v>5.9909999999999997</v>
      </c>
      <c r="H441" s="7">
        <v>6.1340000000000003</v>
      </c>
      <c r="I441" s="7">
        <v>5.4530000000000003</v>
      </c>
      <c r="J441" s="7">
        <v>4.6840000000000002</v>
      </c>
      <c r="K441" s="7">
        <v>3.9049999999999998</v>
      </c>
      <c r="L441" s="7">
        <v>3.4569999999999999</v>
      </c>
      <c r="M441" s="7">
        <v>3.6459999999999999</v>
      </c>
      <c r="N441" s="7">
        <v>4.1710000000000003</v>
      </c>
      <c r="O441" s="7">
        <v>4.9509999999999996</v>
      </c>
      <c r="P441" s="7">
        <v>5.0940000000000003</v>
      </c>
      <c r="Q441" s="7">
        <v>5.1740000000000004</v>
      </c>
      <c r="R441" s="7">
        <v>6.0979999999999999</v>
      </c>
      <c r="S441" s="7">
        <f t="shared" si="6"/>
        <v>4.8965000000000005</v>
      </c>
    </row>
    <row r="442" spans="1:19">
      <c r="A442" s="5" t="str">
        <f>B442&amp;"-"&amp;COUNTIF($B$2:B442,B442)</f>
        <v>BAHIA-239</v>
      </c>
      <c r="B442" s="5" t="s">
        <v>296</v>
      </c>
      <c r="C442" s="5" t="s">
        <v>4282</v>
      </c>
      <c r="D442" s="6">
        <v>-390528</v>
      </c>
      <c r="E442" s="6">
        <v>-91627</v>
      </c>
      <c r="F442" s="7">
        <v>5.5650000000000004</v>
      </c>
      <c r="G442" s="7">
        <v>6.2160000000000002</v>
      </c>
      <c r="H442" s="7">
        <v>5.992</v>
      </c>
      <c r="I442" s="7">
        <v>5.9059999999999997</v>
      </c>
      <c r="J442" s="7">
        <v>5.3049999999999997</v>
      </c>
      <c r="K442" s="7">
        <v>4.5810000000000004</v>
      </c>
      <c r="L442" s="7">
        <v>4.2119999999999997</v>
      </c>
      <c r="M442" s="7">
        <v>4.4059999999999997</v>
      </c>
      <c r="N442" s="7">
        <v>5.1289999999999996</v>
      </c>
      <c r="O442" s="7">
        <v>6.0419999999999998</v>
      </c>
      <c r="P442" s="7">
        <v>6.1989999999999998</v>
      </c>
      <c r="Q442" s="7">
        <v>6.452</v>
      </c>
      <c r="R442" s="7">
        <v>6.335</v>
      </c>
      <c r="S442" s="7">
        <f t="shared" si="6"/>
        <v>5.5645833333333323</v>
      </c>
    </row>
    <row r="443" spans="1:19">
      <c r="A443" s="5" t="str">
        <f>B443&amp;"-"&amp;COUNTIF($B$2:B443,B443)</f>
        <v>BAHIA-240</v>
      </c>
      <c r="B443" s="5" t="s">
        <v>296</v>
      </c>
      <c r="C443" s="5" t="s">
        <v>453</v>
      </c>
      <c r="D443" s="6">
        <v>-386156</v>
      </c>
      <c r="E443" s="6">
        <v>-127451</v>
      </c>
      <c r="F443" s="7">
        <v>5.218</v>
      </c>
      <c r="G443" s="7">
        <v>6.22</v>
      </c>
      <c r="H443" s="7">
        <v>6.0830000000000002</v>
      </c>
      <c r="I443" s="7">
        <v>5.9359999999999999</v>
      </c>
      <c r="J443" s="7">
        <v>4.8010000000000002</v>
      </c>
      <c r="K443" s="7">
        <v>4.093</v>
      </c>
      <c r="L443" s="7">
        <v>3.7690000000000001</v>
      </c>
      <c r="M443" s="7">
        <v>4.0250000000000004</v>
      </c>
      <c r="N443" s="7">
        <v>4.55</v>
      </c>
      <c r="O443" s="7">
        <v>5.3710000000000004</v>
      </c>
      <c r="P443" s="7">
        <v>5.6269999999999998</v>
      </c>
      <c r="Q443" s="7">
        <v>5.8559999999999999</v>
      </c>
      <c r="R443" s="7">
        <v>6.2839999999999998</v>
      </c>
      <c r="S443" s="7">
        <f t="shared" si="6"/>
        <v>5.2179166666666665</v>
      </c>
    </row>
    <row r="444" spans="1:19">
      <c r="A444" s="5" t="str">
        <f>B444&amp;"-"&amp;COUNTIF($B$2:B444,B444)</f>
        <v>BAHIA-241</v>
      </c>
      <c r="B444" s="5" t="s">
        <v>296</v>
      </c>
      <c r="C444" s="5" t="s">
        <v>454</v>
      </c>
      <c r="D444" s="6">
        <v>-414918</v>
      </c>
      <c r="E444" s="6">
        <v>-146628</v>
      </c>
      <c r="F444" s="7">
        <v>5.2990000000000004</v>
      </c>
      <c r="G444" s="7">
        <v>6.2629999999999999</v>
      </c>
      <c r="H444" s="7">
        <v>6.2270000000000003</v>
      </c>
      <c r="I444" s="7">
        <v>5.6429999999999998</v>
      </c>
      <c r="J444" s="7">
        <v>4.9050000000000002</v>
      </c>
      <c r="K444" s="7">
        <v>4.2960000000000003</v>
      </c>
      <c r="L444" s="7">
        <v>3.8959999999999999</v>
      </c>
      <c r="M444" s="7">
        <v>4.1849999999999996</v>
      </c>
      <c r="N444" s="7">
        <v>4.8079999999999998</v>
      </c>
      <c r="O444" s="7">
        <v>5.7069999999999999</v>
      </c>
      <c r="P444" s="7">
        <v>5.84</v>
      </c>
      <c r="Q444" s="7">
        <v>5.6</v>
      </c>
      <c r="R444" s="7">
        <v>6.218</v>
      </c>
      <c r="S444" s="7">
        <f t="shared" si="6"/>
        <v>5.2989999999999995</v>
      </c>
    </row>
    <row r="445" spans="1:19">
      <c r="A445" s="5" t="str">
        <f>B445&amp;"-"&amp;COUNTIF($B$2:B445,B445)</f>
        <v>BAHIA-242</v>
      </c>
      <c r="B445" s="5" t="s">
        <v>296</v>
      </c>
      <c r="C445" s="5" t="s">
        <v>455</v>
      </c>
      <c r="D445" s="6">
        <v>-402591</v>
      </c>
      <c r="E445" s="6">
        <v>-156244</v>
      </c>
      <c r="F445" s="7">
        <v>4.851</v>
      </c>
      <c r="G445" s="7">
        <v>5.8780000000000001</v>
      </c>
      <c r="H445" s="7">
        <v>6.024</v>
      </c>
      <c r="I445" s="7">
        <v>5.3550000000000004</v>
      </c>
      <c r="J445" s="7">
        <v>4.67</v>
      </c>
      <c r="K445" s="7">
        <v>3.9089999999999998</v>
      </c>
      <c r="L445" s="7">
        <v>3.4830000000000001</v>
      </c>
      <c r="M445" s="7">
        <v>3.649</v>
      </c>
      <c r="N445" s="7">
        <v>4.1459999999999999</v>
      </c>
      <c r="O445" s="7">
        <v>4.9180000000000001</v>
      </c>
      <c r="P445" s="7">
        <v>5.0679999999999996</v>
      </c>
      <c r="Q445" s="7">
        <v>5.1280000000000001</v>
      </c>
      <c r="R445" s="7">
        <v>5.99</v>
      </c>
      <c r="S445" s="7">
        <f t="shared" si="6"/>
        <v>4.8514999999999997</v>
      </c>
    </row>
    <row r="446" spans="1:19">
      <c r="A446" s="5" t="str">
        <f>B446&amp;"-"&amp;COUNTIF($B$2:B446,B446)</f>
        <v>BAHIA-243</v>
      </c>
      <c r="B446" s="5" t="s">
        <v>296</v>
      </c>
      <c r="C446" s="5" t="s">
        <v>456</v>
      </c>
      <c r="D446" s="6">
        <v>-401498</v>
      </c>
      <c r="E446" s="6">
        <v>-11706</v>
      </c>
      <c r="F446" s="7">
        <v>5.0209999999999999</v>
      </c>
      <c r="G446" s="7">
        <v>5.9690000000000003</v>
      </c>
      <c r="H446" s="7">
        <v>5.827</v>
      </c>
      <c r="I446" s="7">
        <v>5.7190000000000003</v>
      </c>
      <c r="J446" s="7">
        <v>4.6660000000000004</v>
      </c>
      <c r="K446" s="7">
        <v>3.9830000000000001</v>
      </c>
      <c r="L446" s="7">
        <v>3.677</v>
      </c>
      <c r="M446" s="7">
        <v>3.8740000000000001</v>
      </c>
      <c r="N446" s="7">
        <v>4.3949999999999996</v>
      </c>
      <c r="O446" s="7">
        <v>5.2649999999999997</v>
      </c>
      <c r="P446" s="7">
        <v>5.3789999999999996</v>
      </c>
      <c r="Q446" s="7">
        <v>5.609</v>
      </c>
      <c r="R446" s="7">
        <v>5.8860000000000001</v>
      </c>
      <c r="S446" s="7">
        <f t="shared" si="6"/>
        <v>5.0207500000000005</v>
      </c>
    </row>
    <row r="447" spans="1:19">
      <c r="A447" s="5" t="str">
        <f>B447&amp;"-"&amp;COUNTIF($B$2:B447,B447)</f>
        <v>BAHIA-244</v>
      </c>
      <c r="B447" s="5" t="s">
        <v>296</v>
      </c>
      <c r="C447" s="5" t="s">
        <v>457</v>
      </c>
      <c r="D447" s="6">
        <v>-43773</v>
      </c>
      <c r="E447" s="6">
        <v>-143389</v>
      </c>
      <c r="F447" s="7">
        <v>5.8639999999999999</v>
      </c>
      <c r="G447" s="7">
        <v>6.556</v>
      </c>
      <c r="H447" s="7">
        <v>6.7039999999999997</v>
      </c>
      <c r="I447" s="7">
        <v>6.032</v>
      </c>
      <c r="J447" s="7">
        <v>5.5960000000000001</v>
      </c>
      <c r="K447" s="7">
        <v>5.0510000000000002</v>
      </c>
      <c r="L447" s="7">
        <v>4.8390000000000004</v>
      </c>
      <c r="M447" s="7">
        <v>5.1470000000000002</v>
      </c>
      <c r="N447" s="7">
        <v>5.681</v>
      </c>
      <c r="O447" s="7">
        <v>6.0519999999999996</v>
      </c>
      <c r="P447" s="7">
        <v>6.3780000000000001</v>
      </c>
      <c r="Q447" s="7">
        <v>5.8879999999999999</v>
      </c>
      <c r="R447" s="7">
        <v>6.44</v>
      </c>
      <c r="S447" s="7">
        <f t="shared" si="6"/>
        <v>5.8636666666666661</v>
      </c>
    </row>
    <row r="448" spans="1:19">
      <c r="A448" s="5" t="str">
        <f>B448&amp;"-"&amp;COUNTIF($B$2:B448,B448)</f>
        <v>BAHIA-245</v>
      </c>
      <c r="B448" s="5" t="s">
        <v>296</v>
      </c>
      <c r="C448" s="5" t="s">
        <v>458</v>
      </c>
      <c r="D448" s="6">
        <v>-418846</v>
      </c>
      <c r="E448" s="6">
        <v>-143851</v>
      </c>
      <c r="F448" s="7">
        <v>5.4550000000000001</v>
      </c>
      <c r="G448" s="7">
        <v>6.4260000000000002</v>
      </c>
      <c r="H448" s="7">
        <v>6.4020000000000001</v>
      </c>
      <c r="I448" s="7">
        <v>5.7939999999999996</v>
      </c>
      <c r="J448" s="7">
        <v>4.96</v>
      </c>
      <c r="K448" s="7">
        <v>4.3719999999999999</v>
      </c>
      <c r="L448" s="7">
        <v>4.0030000000000001</v>
      </c>
      <c r="M448" s="7">
        <v>4.2889999999999997</v>
      </c>
      <c r="N448" s="7">
        <v>5.0049999999999999</v>
      </c>
      <c r="O448" s="7">
        <v>5.7809999999999997</v>
      </c>
      <c r="P448" s="7">
        <v>6.12</v>
      </c>
      <c r="Q448" s="7">
        <v>5.85</v>
      </c>
      <c r="R448" s="7">
        <v>6.4589999999999996</v>
      </c>
      <c r="S448" s="7">
        <f t="shared" si="6"/>
        <v>5.4550833333333335</v>
      </c>
    </row>
    <row r="449" spans="1:19">
      <c r="A449" s="5" t="str">
        <f>B449&amp;"-"&amp;COUNTIF($B$2:B449,B449)</f>
        <v>BAHIA-246</v>
      </c>
      <c r="B449" s="5" t="s">
        <v>296</v>
      </c>
      <c r="C449" s="5" t="s">
        <v>459</v>
      </c>
      <c r="D449" s="6">
        <v>-402402</v>
      </c>
      <c r="E449" s="6">
        <v>-141481</v>
      </c>
      <c r="F449" s="7">
        <v>4.95</v>
      </c>
      <c r="G449" s="7">
        <v>5.859</v>
      </c>
      <c r="H449" s="7">
        <v>5.8959999999999999</v>
      </c>
      <c r="I449" s="7">
        <v>5.4710000000000001</v>
      </c>
      <c r="J449" s="7">
        <v>4.5750000000000002</v>
      </c>
      <c r="K449" s="7">
        <v>3.9969999999999999</v>
      </c>
      <c r="L449" s="7">
        <v>3.6030000000000002</v>
      </c>
      <c r="M449" s="7">
        <v>3.766</v>
      </c>
      <c r="N449" s="7">
        <v>4.3040000000000003</v>
      </c>
      <c r="O449" s="7">
        <v>5.1269999999999998</v>
      </c>
      <c r="P449" s="7">
        <v>5.2889999999999997</v>
      </c>
      <c r="Q449" s="7">
        <v>5.4249999999999998</v>
      </c>
      <c r="R449" s="7">
        <v>6.0880000000000001</v>
      </c>
      <c r="S449" s="7">
        <f t="shared" si="6"/>
        <v>4.95</v>
      </c>
    </row>
    <row r="450" spans="1:19">
      <c r="A450" s="5" t="str">
        <f>B450&amp;"-"&amp;COUNTIF($B$2:B450,B450)</f>
        <v>BAHIA-247</v>
      </c>
      <c r="B450" s="5" t="s">
        <v>296</v>
      </c>
      <c r="C450" s="5" t="s">
        <v>3910</v>
      </c>
      <c r="D450" s="6">
        <v>-440432</v>
      </c>
      <c r="E450" s="6">
        <v>-107231</v>
      </c>
      <c r="F450" s="7">
        <v>5.8090000000000002</v>
      </c>
      <c r="G450" s="7">
        <v>6.0190000000000001</v>
      </c>
      <c r="H450" s="7">
        <v>5.87</v>
      </c>
      <c r="I450" s="7">
        <v>5.6109999999999998</v>
      </c>
      <c r="J450" s="7">
        <v>5.4409999999999998</v>
      </c>
      <c r="K450" s="7">
        <v>5.3529999999999998</v>
      </c>
      <c r="L450" s="7">
        <v>5.2430000000000003</v>
      </c>
      <c r="M450" s="7">
        <v>5.4589999999999996</v>
      </c>
      <c r="N450" s="7">
        <v>6.1340000000000003</v>
      </c>
      <c r="O450" s="7">
        <v>6.4749999999999996</v>
      </c>
      <c r="P450" s="7">
        <v>6.21</v>
      </c>
      <c r="Q450" s="7">
        <v>5.8310000000000004</v>
      </c>
      <c r="R450" s="7">
        <v>6.0579999999999998</v>
      </c>
      <c r="S450" s="7">
        <f t="shared" si="6"/>
        <v>5.8086666666666673</v>
      </c>
    </row>
    <row r="451" spans="1:19">
      <c r="A451" s="5" t="str">
        <f>B451&amp;"-"&amp;COUNTIF($B$2:B451,B451)</f>
        <v>BAHIA-248</v>
      </c>
      <c r="B451" s="5" t="s">
        <v>296</v>
      </c>
      <c r="C451" s="5" t="s">
        <v>4815</v>
      </c>
      <c r="D451" s="6">
        <v>-39014</v>
      </c>
      <c r="E451" s="6">
        <v>-14104</v>
      </c>
      <c r="F451" s="7">
        <v>5.0110000000000001</v>
      </c>
      <c r="G451" s="7">
        <v>5.984</v>
      </c>
      <c r="H451" s="7">
        <v>6.0270000000000001</v>
      </c>
      <c r="I451" s="7">
        <v>5.6470000000000002</v>
      </c>
      <c r="J451" s="7">
        <v>4.5670000000000002</v>
      </c>
      <c r="K451" s="7">
        <v>3.9710000000000001</v>
      </c>
      <c r="L451" s="7">
        <v>3.629</v>
      </c>
      <c r="M451" s="7">
        <v>3.8540000000000001</v>
      </c>
      <c r="N451" s="7">
        <v>4.4359999999999999</v>
      </c>
      <c r="O451" s="7">
        <v>5.0330000000000004</v>
      </c>
      <c r="P451" s="7">
        <v>5.2809999999999997</v>
      </c>
      <c r="Q451" s="7">
        <v>5.5259999999999998</v>
      </c>
      <c r="R451" s="7">
        <v>6.1820000000000004</v>
      </c>
      <c r="S451" s="7">
        <f t="shared" ref="S451:S514" si="7">(G451+H451+I451+J451+K451+L451+M451+N451+O451+P451+Q451+R451)/12</f>
        <v>5.0114166666666664</v>
      </c>
    </row>
    <row r="452" spans="1:19">
      <c r="A452" s="5" t="str">
        <f>B452&amp;"-"&amp;COUNTIF($B$2:B452,B452)</f>
        <v>BAHIA-249</v>
      </c>
      <c r="B452" s="5" t="s">
        <v>296</v>
      </c>
      <c r="C452" s="5" t="s">
        <v>5471</v>
      </c>
      <c r="D452" s="6">
        <v>-404327</v>
      </c>
      <c r="E452" s="6">
        <v>-134359</v>
      </c>
      <c r="F452" s="7">
        <v>4.9720000000000004</v>
      </c>
      <c r="G452" s="7">
        <v>5.72</v>
      </c>
      <c r="H452" s="7">
        <v>5.8090000000000002</v>
      </c>
      <c r="I452" s="7">
        <v>5.4009999999999998</v>
      </c>
      <c r="J452" s="7">
        <v>4.4560000000000004</v>
      </c>
      <c r="K452" s="7">
        <v>4.0069999999999997</v>
      </c>
      <c r="L452" s="7">
        <v>3.7050000000000001</v>
      </c>
      <c r="M452" s="7">
        <v>3.8839999999999999</v>
      </c>
      <c r="N452" s="7">
        <v>4.508</v>
      </c>
      <c r="O452" s="7">
        <v>5.4390000000000001</v>
      </c>
      <c r="P452" s="7">
        <v>5.4779999999999998</v>
      </c>
      <c r="Q452" s="7">
        <v>5.4039999999999999</v>
      </c>
      <c r="R452" s="7">
        <v>5.8550000000000004</v>
      </c>
      <c r="S452" s="7">
        <f t="shared" si="7"/>
        <v>4.9721666666666673</v>
      </c>
    </row>
    <row r="453" spans="1:19">
      <c r="A453" s="5" t="str">
        <f>B453&amp;"-"&amp;COUNTIF($B$2:B453,B453)</f>
        <v>BAHIA-250</v>
      </c>
      <c r="B453" s="5" t="s">
        <v>296</v>
      </c>
      <c r="C453" s="5" t="s">
        <v>460</v>
      </c>
      <c r="D453" s="6">
        <v>-389178</v>
      </c>
      <c r="E453" s="6">
        <v>-127765</v>
      </c>
      <c r="F453" s="7">
        <v>5.1239999999999997</v>
      </c>
      <c r="G453" s="7">
        <v>6.2279999999999998</v>
      </c>
      <c r="H453" s="7">
        <v>6.0209999999999999</v>
      </c>
      <c r="I453" s="7">
        <v>5.7930000000000001</v>
      </c>
      <c r="J453" s="7">
        <v>4.6509999999999998</v>
      </c>
      <c r="K453" s="7">
        <v>3.9710000000000001</v>
      </c>
      <c r="L453" s="7">
        <v>3.6120000000000001</v>
      </c>
      <c r="M453" s="7">
        <v>3.8639999999999999</v>
      </c>
      <c r="N453" s="7">
        <v>4.3890000000000002</v>
      </c>
      <c r="O453" s="7">
        <v>5.2539999999999996</v>
      </c>
      <c r="P453" s="7">
        <v>5.5659999999999998</v>
      </c>
      <c r="Q453" s="7">
        <v>5.8970000000000002</v>
      </c>
      <c r="R453" s="7">
        <v>6.2389999999999999</v>
      </c>
      <c r="S453" s="7">
        <f t="shared" si="7"/>
        <v>5.1237499999999994</v>
      </c>
    </row>
    <row r="454" spans="1:19">
      <c r="A454" s="5" t="str">
        <f>B454&amp;"-"&amp;COUNTIF($B$2:B454,B454)</f>
        <v>BAHIA-251</v>
      </c>
      <c r="B454" s="5" t="s">
        <v>296</v>
      </c>
      <c r="C454" s="5" t="s">
        <v>461</v>
      </c>
      <c r="D454" s="6">
        <v>-405298</v>
      </c>
      <c r="E454" s="6">
        <v>-130069</v>
      </c>
      <c r="F454" s="7">
        <v>5.1660000000000004</v>
      </c>
      <c r="G454" s="7">
        <v>6.0460000000000003</v>
      </c>
      <c r="H454" s="7">
        <v>6.0979999999999999</v>
      </c>
      <c r="I454" s="7">
        <v>5.7430000000000003</v>
      </c>
      <c r="J454" s="7">
        <v>4.7830000000000004</v>
      </c>
      <c r="K454" s="7">
        <v>4.1959999999999997</v>
      </c>
      <c r="L454" s="7">
        <v>3.7690000000000001</v>
      </c>
      <c r="M454" s="7">
        <v>4.008</v>
      </c>
      <c r="N454" s="7">
        <v>4.585</v>
      </c>
      <c r="O454" s="7">
        <v>5.4829999999999997</v>
      </c>
      <c r="P454" s="7">
        <v>5.5880000000000001</v>
      </c>
      <c r="Q454" s="7">
        <v>5.6479999999999997</v>
      </c>
      <c r="R454" s="7">
        <v>6.048</v>
      </c>
      <c r="S454" s="7">
        <f t="shared" si="7"/>
        <v>5.1662500000000007</v>
      </c>
    </row>
    <row r="455" spans="1:19">
      <c r="A455" s="5" t="str">
        <f>B455&amp;"-"&amp;COUNTIF($B$2:B455,B455)</f>
        <v>BAHIA-252</v>
      </c>
      <c r="B455" s="5" t="s">
        <v>296</v>
      </c>
      <c r="C455" s="5" t="s">
        <v>462</v>
      </c>
      <c r="D455" s="6">
        <v>-393021</v>
      </c>
      <c r="E455" s="6">
        <v>-155648</v>
      </c>
      <c r="F455" s="7">
        <v>4.8540000000000001</v>
      </c>
      <c r="G455" s="7">
        <v>5.883</v>
      </c>
      <c r="H455" s="7">
        <v>5.9340000000000002</v>
      </c>
      <c r="I455" s="7">
        <v>5.4429999999999996</v>
      </c>
      <c r="J455" s="7">
        <v>4.5419999999999998</v>
      </c>
      <c r="K455" s="7">
        <v>3.8410000000000002</v>
      </c>
      <c r="L455" s="7">
        <v>3.4660000000000002</v>
      </c>
      <c r="M455" s="7">
        <v>3.72</v>
      </c>
      <c r="N455" s="7">
        <v>4.3079999999999998</v>
      </c>
      <c r="O455" s="7">
        <v>4.8840000000000003</v>
      </c>
      <c r="P455" s="7">
        <v>5.069</v>
      </c>
      <c r="Q455" s="7">
        <v>5.1820000000000004</v>
      </c>
      <c r="R455" s="7">
        <v>5.98</v>
      </c>
      <c r="S455" s="7">
        <f t="shared" si="7"/>
        <v>4.8543333333333338</v>
      </c>
    </row>
    <row r="456" spans="1:19">
      <c r="A456" s="5" t="str">
        <f>B456&amp;"-"&amp;COUNTIF($B$2:B456,B456)</f>
        <v>BAHIA-253</v>
      </c>
      <c r="B456" s="5" t="s">
        <v>296</v>
      </c>
      <c r="C456" s="5" t="s">
        <v>3911</v>
      </c>
      <c r="D456" s="6">
        <v>-383012</v>
      </c>
      <c r="E456" s="6">
        <v>-125311</v>
      </c>
      <c r="F456" s="7">
        <v>5.0960000000000001</v>
      </c>
      <c r="G456" s="7">
        <v>6.1029999999999998</v>
      </c>
      <c r="H456" s="7">
        <v>5.9320000000000004</v>
      </c>
      <c r="I456" s="7">
        <v>5.7309999999999999</v>
      </c>
      <c r="J456" s="7">
        <v>4.5970000000000004</v>
      </c>
      <c r="K456" s="7">
        <v>3.931</v>
      </c>
      <c r="L456" s="7">
        <v>3.706</v>
      </c>
      <c r="M456" s="7">
        <v>3.8929999999999998</v>
      </c>
      <c r="N456" s="7">
        <v>4.4340000000000002</v>
      </c>
      <c r="O456" s="7">
        <v>5.2009999999999996</v>
      </c>
      <c r="P456" s="7">
        <v>5.5529999999999999</v>
      </c>
      <c r="Q456" s="7">
        <v>5.883</v>
      </c>
      <c r="R456" s="7">
        <v>6.1909999999999998</v>
      </c>
      <c r="S456" s="7">
        <f t="shared" si="7"/>
        <v>5.0962500000000004</v>
      </c>
    </row>
    <row r="457" spans="1:19">
      <c r="A457" s="5" t="str">
        <f>B457&amp;"-"&amp;COUNTIF($B$2:B457,B457)</f>
        <v>BAHIA-254</v>
      </c>
      <c r="B457" s="5" t="s">
        <v>296</v>
      </c>
      <c r="C457" s="5" t="s">
        <v>463</v>
      </c>
      <c r="D457" s="6">
        <v>-428443</v>
      </c>
      <c r="E457" s="6">
        <v>-139114</v>
      </c>
      <c r="F457" s="7">
        <v>5.8360000000000003</v>
      </c>
      <c r="G457" s="7">
        <v>6.6840000000000002</v>
      </c>
      <c r="H457" s="7">
        <v>6.617</v>
      </c>
      <c r="I457" s="7">
        <v>6.03</v>
      </c>
      <c r="J457" s="7">
        <v>5.5019999999999998</v>
      </c>
      <c r="K457" s="7">
        <v>4.952</v>
      </c>
      <c r="L457" s="7">
        <v>4.7309999999999999</v>
      </c>
      <c r="M457" s="7">
        <v>4.9720000000000004</v>
      </c>
      <c r="N457" s="7">
        <v>5.5949999999999998</v>
      </c>
      <c r="O457" s="7">
        <v>6.0629999999999997</v>
      </c>
      <c r="P457" s="7">
        <v>6.47</v>
      </c>
      <c r="Q457" s="7">
        <v>5.9039999999999999</v>
      </c>
      <c r="R457" s="7">
        <v>6.5090000000000003</v>
      </c>
      <c r="S457" s="7">
        <f t="shared" si="7"/>
        <v>5.83575</v>
      </c>
    </row>
    <row r="458" spans="1:19">
      <c r="A458" s="5" t="str">
        <f>B458&amp;"-"&amp;COUNTIF($B$2:B458,B458)</f>
        <v>BAHIA-255</v>
      </c>
      <c r="B458" s="5" t="s">
        <v>296</v>
      </c>
      <c r="C458" s="5" t="s">
        <v>464</v>
      </c>
      <c r="D458" s="6">
        <v>-402241</v>
      </c>
      <c r="E458" s="6">
        <v>-173711</v>
      </c>
      <c r="F458" s="7">
        <v>4.9589999999999996</v>
      </c>
      <c r="G458" s="7">
        <v>6.1559999999999997</v>
      </c>
      <c r="H458" s="7">
        <v>6.2039999999999997</v>
      </c>
      <c r="I458" s="7">
        <v>5.4509999999999996</v>
      </c>
      <c r="J458" s="7">
        <v>4.625</v>
      </c>
      <c r="K458" s="7">
        <v>3.855</v>
      </c>
      <c r="L458" s="7">
        <v>3.4740000000000002</v>
      </c>
      <c r="M458" s="7">
        <v>3.6419999999999999</v>
      </c>
      <c r="N458" s="7">
        <v>4.3289999999999997</v>
      </c>
      <c r="O458" s="7">
        <v>4.9889999999999999</v>
      </c>
      <c r="P458" s="7">
        <v>5.2850000000000001</v>
      </c>
      <c r="Q458" s="7">
        <v>5.32</v>
      </c>
      <c r="R458" s="7">
        <v>6.1840000000000002</v>
      </c>
      <c r="S458" s="7">
        <f t="shared" si="7"/>
        <v>4.9595000000000002</v>
      </c>
    </row>
    <row r="459" spans="1:19">
      <c r="A459" s="5" t="str">
        <f>B459&amp;"-"&amp;COUNTIF($B$2:B459,B459)</f>
        <v>BAHIA-256</v>
      </c>
      <c r="B459" s="5" t="s">
        <v>296</v>
      </c>
      <c r="C459" s="5" t="s">
        <v>465</v>
      </c>
      <c r="D459" s="6">
        <v>-405969</v>
      </c>
      <c r="E459" s="6">
        <v>-114312</v>
      </c>
      <c r="F459" s="7">
        <v>5.1710000000000003</v>
      </c>
      <c r="G459" s="7">
        <v>6.0709999999999997</v>
      </c>
      <c r="H459" s="7">
        <v>5.9340000000000002</v>
      </c>
      <c r="I459" s="7">
        <v>5.7729999999999997</v>
      </c>
      <c r="J459" s="7">
        <v>4.7649999999999997</v>
      </c>
      <c r="K459" s="7">
        <v>3.9950000000000001</v>
      </c>
      <c r="L459" s="7">
        <v>3.7240000000000002</v>
      </c>
      <c r="M459" s="7">
        <v>3.9089999999999998</v>
      </c>
      <c r="N459" s="7">
        <v>4.6310000000000002</v>
      </c>
      <c r="O459" s="7">
        <v>5.67</v>
      </c>
      <c r="P459" s="7">
        <v>5.726</v>
      </c>
      <c r="Q459" s="7">
        <v>5.8579999999999997</v>
      </c>
      <c r="R459" s="7">
        <v>5.9989999999999997</v>
      </c>
      <c r="S459" s="7">
        <f t="shared" si="7"/>
        <v>5.1712499999999997</v>
      </c>
    </row>
    <row r="460" spans="1:19">
      <c r="A460" s="5" t="str">
        <f>B460&amp;"-"&amp;COUNTIF($B$2:B460,B460)</f>
        <v>BAHIA-257</v>
      </c>
      <c r="B460" s="5" t="s">
        <v>296</v>
      </c>
      <c r="C460" s="5" t="s">
        <v>466</v>
      </c>
      <c r="D460" s="6">
        <v>-398615</v>
      </c>
      <c r="E460" s="6">
        <v>-128671</v>
      </c>
      <c r="F460" s="7">
        <v>4.9539999999999997</v>
      </c>
      <c r="G460" s="7">
        <v>5.8650000000000002</v>
      </c>
      <c r="H460" s="7">
        <v>5.8869999999999996</v>
      </c>
      <c r="I460" s="7">
        <v>5.5970000000000004</v>
      </c>
      <c r="J460" s="7">
        <v>4.5279999999999996</v>
      </c>
      <c r="K460" s="7">
        <v>3.952</v>
      </c>
      <c r="L460" s="7">
        <v>3.6309999999999998</v>
      </c>
      <c r="M460" s="7">
        <v>3.843</v>
      </c>
      <c r="N460" s="7">
        <v>4.4020000000000001</v>
      </c>
      <c r="O460" s="7">
        <v>5.2110000000000003</v>
      </c>
      <c r="P460" s="7">
        <v>5.27</v>
      </c>
      <c r="Q460" s="7">
        <v>5.3780000000000001</v>
      </c>
      <c r="R460" s="7">
        <v>5.883</v>
      </c>
      <c r="S460" s="7">
        <f t="shared" si="7"/>
        <v>4.9539166666666663</v>
      </c>
    </row>
    <row r="461" spans="1:19">
      <c r="A461" s="5" t="str">
        <f>B461&amp;"-"&amp;COUNTIF($B$2:B461,B461)</f>
        <v>BAHIA-258</v>
      </c>
      <c r="B461" s="5" t="s">
        <v>296</v>
      </c>
      <c r="C461" s="5" t="s">
        <v>467</v>
      </c>
      <c r="D461" s="6">
        <v>-405748</v>
      </c>
      <c r="E461" s="6">
        <v>-109543</v>
      </c>
      <c r="F461" s="7">
        <v>5.274</v>
      </c>
      <c r="G461" s="7">
        <v>6.1870000000000003</v>
      </c>
      <c r="H461" s="7">
        <v>5.968</v>
      </c>
      <c r="I461" s="7">
        <v>5.8310000000000004</v>
      </c>
      <c r="J461" s="7">
        <v>4.8550000000000004</v>
      </c>
      <c r="K461" s="7">
        <v>4.1260000000000003</v>
      </c>
      <c r="L461" s="7">
        <v>3.8450000000000002</v>
      </c>
      <c r="M461" s="7">
        <v>4.077</v>
      </c>
      <c r="N461" s="7">
        <v>4.7969999999999997</v>
      </c>
      <c r="O461" s="7">
        <v>5.7130000000000001</v>
      </c>
      <c r="P461" s="7">
        <v>5.8179999999999996</v>
      </c>
      <c r="Q461" s="7">
        <v>6.0030000000000001</v>
      </c>
      <c r="R461" s="7">
        <v>6.0739999999999998</v>
      </c>
      <c r="S461" s="7">
        <f t="shared" si="7"/>
        <v>5.2744999999999997</v>
      </c>
    </row>
    <row r="462" spans="1:19">
      <c r="A462" s="5" t="str">
        <f>B462&amp;"-"&amp;COUNTIF($B$2:B462,B462)</f>
        <v>BAHIA-259</v>
      </c>
      <c r="B462" s="5" t="s">
        <v>296</v>
      </c>
      <c r="C462" s="5" t="s">
        <v>468</v>
      </c>
      <c r="D462" s="6">
        <v>-407731</v>
      </c>
      <c r="E462" s="6">
        <v>-142405</v>
      </c>
      <c r="F462" s="7">
        <v>5.149</v>
      </c>
      <c r="G462" s="7">
        <v>6.0289999999999999</v>
      </c>
      <c r="H462" s="7">
        <v>6.0149999999999997</v>
      </c>
      <c r="I462" s="7">
        <v>5.5839999999999996</v>
      </c>
      <c r="J462" s="7">
        <v>4.7300000000000004</v>
      </c>
      <c r="K462" s="7">
        <v>4.1879999999999997</v>
      </c>
      <c r="L462" s="7">
        <v>3.778</v>
      </c>
      <c r="M462" s="7">
        <v>3.9660000000000002</v>
      </c>
      <c r="N462" s="7">
        <v>4.5949999999999998</v>
      </c>
      <c r="O462" s="7">
        <v>5.4749999999999996</v>
      </c>
      <c r="P462" s="7">
        <v>5.6360000000000001</v>
      </c>
      <c r="Q462" s="7">
        <v>5.6680000000000001</v>
      </c>
      <c r="R462" s="7">
        <v>6.1210000000000004</v>
      </c>
      <c r="S462" s="7">
        <f t="shared" si="7"/>
        <v>5.1487500000000006</v>
      </c>
    </row>
    <row r="463" spans="1:19">
      <c r="A463" s="5" t="str">
        <f>B463&amp;"-"&amp;COUNTIF($B$2:B463,B463)</f>
        <v>BAHIA-260</v>
      </c>
      <c r="B463" s="5" t="s">
        <v>296</v>
      </c>
      <c r="C463" s="5" t="s">
        <v>469</v>
      </c>
      <c r="D463" s="6">
        <v>-393324</v>
      </c>
      <c r="E463" s="6">
        <v>-104378</v>
      </c>
      <c r="F463" s="7">
        <v>5.2939999999999996</v>
      </c>
      <c r="G463" s="7">
        <v>6.1210000000000004</v>
      </c>
      <c r="H463" s="7">
        <v>5.96</v>
      </c>
      <c r="I463" s="7">
        <v>5.85</v>
      </c>
      <c r="J463" s="7">
        <v>4.9870000000000001</v>
      </c>
      <c r="K463" s="7">
        <v>4.2380000000000004</v>
      </c>
      <c r="L463" s="7">
        <v>3.8580000000000001</v>
      </c>
      <c r="M463" s="7">
        <v>4.069</v>
      </c>
      <c r="N463" s="7">
        <v>4.6239999999999997</v>
      </c>
      <c r="O463" s="7">
        <v>5.6929999999999996</v>
      </c>
      <c r="P463" s="7">
        <v>5.7530000000000001</v>
      </c>
      <c r="Q463" s="7">
        <v>6.2130000000000001</v>
      </c>
      <c r="R463" s="7">
        <v>6.1580000000000004</v>
      </c>
      <c r="S463" s="7">
        <f t="shared" si="7"/>
        <v>5.2936666666666667</v>
      </c>
    </row>
    <row r="464" spans="1:19">
      <c r="A464" s="5" t="str">
        <f>B464&amp;"-"&amp;COUNTIF($B$2:B464,B464)</f>
        <v>BAHIA-261</v>
      </c>
      <c r="B464" s="5" t="s">
        <v>296</v>
      </c>
      <c r="C464" s="5" t="s">
        <v>5472</v>
      </c>
      <c r="D464" s="6">
        <v>-432769</v>
      </c>
      <c r="E464" s="6">
        <v>-115573</v>
      </c>
      <c r="F464" s="7">
        <v>5.9690000000000003</v>
      </c>
      <c r="G464" s="7">
        <v>6.4089999999999998</v>
      </c>
      <c r="H464" s="7">
        <v>6.3</v>
      </c>
      <c r="I464" s="7">
        <v>6.0940000000000003</v>
      </c>
      <c r="J464" s="7">
        <v>5.7169999999999996</v>
      </c>
      <c r="K464" s="7">
        <v>5.3170000000000002</v>
      </c>
      <c r="L464" s="7">
        <v>5.0609999999999999</v>
      </c>
      <c r="M464" s="7">
        <v>5.3250000000000002</v>
      </c>
      <c r="N464" s="7">
        <v>5.9729999999999999</v>
      </c>
      <c r="O464" s="7">
        <v>6.4269999999999996</v>
      </c>
      <c r="P464" s="7">
        <v>6.44</v>
      </c>
      <c r="Q464" s="7">
        <v>6.1619999999999999</v>
      </c>
      <c r="R464" s="7">
        <v>6.4020000000000001</v>
      </c>
      <c r="S464" s="7">
        <f t="shared" si="7"/>
        <v>5.968916666666666</v>
      </c>
    </row>
    <row r="465" spans="1:19">
      <c r="A465" s="5" t="str">
        <f>B465&amp;"-"&amp;COUNTIF($B$2:B465,B465)</f>
        <v>BAHIA-262</v>
      </c>
      <c r="B465" s="5" t="s">
        <v>296</v>
      </c>
      <c r="C465" s="5" t="s">
        <v>4283</v>
      </c>
      <c r="D465" s="6">
        <v>-411568</v>
      </c>
      <c r="E465" s="6">
        <v>-115492</v>
      </c>
      <c r="F465" s="7">
        <v>5.2469999999999999</v>
      </c>
      <c r="G465" s="7">
        <v>6.0640000000000001</v>
      </c>
      <c r="H465" s="7">
        <v>5.9119999999999999</v>
      </c>
      <c r="I465" s="7">
        <v>5.7249999999999996</v>
      </c>
      <c r="J465" s="7">
        <v>4.7290000000000001</v>
      </c>
      <c r="K465" s="7">
        <v>4.1500000000000004</v>
      </c>
      <c r="L465" s="7">
        <v>3.903</v>
      </c>
      <c r="M465" s="7">
        <v>4.085</v>
      </c>
      <c r="N465" s="7">
        <v>4.798</v>
      </c>
      <c r="O465" s="7">
        <v>5.78</v>
      </c>
      <c r="P465" s="7">
        <v>5.97</v>
      </c>
      <c r="Q465" s="7">
        <v>5.8220000000000001</v>
      </c>
      <c r="R465" s="7">
        <v>6.0250000000000004</v>
      </c>
      <c r="S465" s="7">
        <f t="shared" si="7"/>
        <v>5.2469166666666665</v>
      </c>
    </row>
    <row r="466" spans="1:19">
      <c r="A466" s="5" t="str">
        <f>B466&amp;"-"&amp;COUNTIF($B$2:B466,B466)</f>
        <v>BAHIA-263</v>
      </c>
      <c r="B466" s="5" t="s">
        <v>296</v>
      </c>
      <c r="C466" s="5" t="s">
        <v>470</v>
      </c>
      <c r="D466" s="6">
        <v>-423697</v>
      </c>
      <c r="E466" s="6">
        <v>-150226</v>
      </c>
      <c r="F466" s="7">
        <v>5.3360000000000003</v>
      </c>
      <c r="G466" s="7">
        <v>6.1340000000000003</v>
      </c>
      <c r="H466" s="7">
        <v>6.3410000000000002</v>
      </c>
      <c r="I466" s="7">
        <v>5.5949999999999998</v>
      </c>
      <c r="J466" s="7">
        <v>4.8949999999999996</v>
      </c>
      <c r="K466" s="7">
        <v>4.3650000000000002</v>
      </c>
      <c r="L466" s="7">
        <v>4.0229999999999997</v>
      </c>
      <c r="M466" s="7">
        <v>4.3529999999999998</v>
      </c>
      <c r="N466" s="7">
        <v>5.0819999999999999</v>
      </c>
      <c r="O466" s="7">
        <v>5.7430000000000003</v>
      </c>
      <c r="P466" s="7">
        <v>5.9050000000000002</v>
      </c>
      <c r="Q466" s="7">
        <v>5.4450000000000003</v>
      </c>
      <c r="R466" s="7">
        <v>6.1449999999999996</v>
      </c>
      <c r="S466" s="7">
        <f t="shared" si="7"/>
        <v>5.3354999999999997</v>
      </c>
    </row>
    <row r="467" spans="1:19">
      <c r="A467" s="5" t="str">
        <f>B467&amp;"-"&amp;COUNTIF($B$2:B467,B467)</f>
        <v>BAHIA-264</v>
      </c>
      <c r="B467" s="5" t="s">
        <v>296</v>
      </c>
      <c r="C467" s="5" t="s">
        <v>5280</v>
      </c>
      <c r="D467" s="6">
        <v>-413706</v>
      </c>
      <c r="E467" s="6">
        <v>-130057</v>
      </c>
      <c r="F467" s="7">
        <v>5.0650000000000004</v>
      </c>
      <c r="G467" s="7">
        <v>5.8179999999999996</v>
      </c>
      <c r="H467" s="7">
        <v>5.9669999999999996</v>
      </c>
      <c r="I467" s="7">
        <v>5.5339999999999998</v>
      </c>
      <c r="J467" s="7">
        <v>4.6790000000000003</v>
      </c>
      <c r="K467" s="7">
        <v>4.1399999999999997</v>
      </c>
      <c r="L467" s="7">
        <v>3.835</v>
      </c>
      <c r="M467" s="7">
        <v>3.9790000000000001</v>
      </c>
      <c r="N467" s="7">
        <v>4.6710000000000003</v>
      </c>
      <c r="O467" s="7">
        <v>5.5279999999999996</v>
      </c>
      <c r="P467" s="7">
        <v>5.4729999999999999</v>
      </c>
      <c r="Q467" s="7">
        <v>5.2830000000000004</v>
      </c>
      <c r="R467" s="7">
        <v>5.8719999999999999</v>
      </c>
      <c r="S467" s="7">
        <f t="shared" si="7"/>
        <v>5.0649166666666661</v>
      </c>
    </row>
    <row r="468" spans="1:19">
      <c r="A468" s="5" t="str">
        <f>B468&amp;"-"&amp;COUNTIF($B$2:B468,B468)</f>
        <v>BAHIA-265</v>
      </c>
      <c r="B468" s="5" t="s">
        <v>296</v>
      </c>
      <c r="C468" s="5" t="s">
        <v>471</v>
      </c>
      <c r="D468" s="6">
        <v>-395568</v>
      </c>
      <c r="E468" s="6">
        <v>-180759</v>
      </c>
      <c r="F468" s="7">
        <v>5.1349999999999998</v>
      </c>
      <c r="G468" s="7">
        <v>6.3780000000000001</v>
      </c>
      <c r="H468" s="7">
        <v>6.4710000000000001</v>
      </c>
      <c r="I468" s="7">
        <v>5.6</v>
      </c>
      <c r="J468" s="7">
        <v>4.7430000000000003</v>
      </c>
      <c r="K468" s="7">
        <v>4.0030000000000001</v>
      </c>
      <c r="L468" s="7">
        <v>3.7170000000000001</v>
      </c>
      <c r="M468" s="7">
        <v>3.8420000000000001</v>
      </c>
      <c r="N468" s="7">
        <v>4.6340000000000003</v>
      </c>
      <c r="O468" s="7">
        <v>5.1749999999999998</v>
      </c>
      <c r="P468" s="7">
        <v>5.423</v>
      </c>
      <c r="Q468" s="7">
        <v>5.4039999999999999</v>
      </c>
      <c r="R468" s="7">
        <v>6.2220000000000004</v>
      </c>
      <c r="S468" s="7">
        <f t="shared" si="7"/>
        <v>5.1343333333333332</v>
      </c>
    </row>
    <row r="469" spans="1:19">
      <c r="A469" s="5" t="str">
        <f>B469&amp;"-"&amp;COUNTIF($B$2:B469,B469)</f>
        <v>BAHIA-266</v>
      </c>
      <c r="B469" s="5" t="s">
        <v>296</v>
      </c>
      <c r="C469" s="5" t="s">
        <v>472</v>
      </c>
      <c r="D469" s="6">
        <v>-416377</v>
      </c>
      <c r="E469" s="6">
        <v>-119652</v>
      </c>
      <c r="F469" s="7">
        <v>5.4</v>
      </c>
      <c r="G469" s="7">
        <v>6.15</v>
      </c>
      <c r="H469" s="7">
        <v>5.9880000000000004</v>
      </c>
      <c r="I469" s="7">
        <v>5.7839999999999998</v>
      </c>
      <c r="J469" s="7">
        <v>4.9139999999999997</v>
      </c>
      <c r="K469" s="7">
        <v>4.3579999999999997</v>
      </c>
      <c r="L469" s="7">
        <v>4.0869999999999997</v>
      </c>
      <c r="M469" s="7">
        <v>4.282</v>
      </c>
      <c r="N469" s="7">
        <v>5.0289999999999999</v>
      </c>
      <c r="O469" s="7">
        <v>5.9340000000000002</v>
      </c>
      <c r="P469" s="7">
        <v>6.13</v>
      </c>
      <c r="Q469" s="7">
        <v>5.907</v>
      </c>
      <c r="R469" s="7">
        <v>6.2309999999999999</v>
      </c>
      <c r="S469" s="7">
        <f t="shared" si="7"/>
        <v>5.3994999999999997</v>
      </c>
    </row>
    <row r="470" spans="1:19">
      <c r="A470" s="5" t="str">
        <f>B470&amp;"-"&amp;COUNTIF($B$2:B470,B470)</f>
        <v>BAHIA-267</v>
      </c>
      <c r="B470" s="5" t="s">
        <v>296</v>
      </c>
      <c r="C470" s="5" t="s">
        <v>473</v>
      </c>
      <c r="D470" s="6">
        <v>-404707</v>
      </c>
      <c r="E470" s="6">
        <v>-11866</v>
      </c>
      <c r="F470" s="7">
        <v>4.9429999999999996</v>
      </c>
      <c r="G470" s="7">
        <v>5.8890000000000002</v>
      </c>
      <c r="H470" s="7">
        <v>5.7859999999999996</v>
      </c>
      <c r="I470" s="7">
        <v>5.6630000000000003</v>
      </c>
      <c r="J470" s="7">
        <v>4.5919999999999996</v>
      </c>
      <c r="K470" s="7">
        <v>3.911</v>
      </c>
      <c r="L470" s="7">
        <v>3.6070000000000002</v>
      </c>
      <c r="M470" s="7">
        <v>3.7240000000000002</v>
      </c>
      <c r="N470" s="7">
        <v>4.3970000000000002</v>
      </c>
      <c r="O470" s="7">
        <v>5.22</v>
      </c>
      <c r="P470" s="7">
        <v>5.274</v>
      </c>
      <c r="Q470" s="7">
        <v>5.4889999999999999</v>
      </c>
      <c r="R470" s="7">
        <v>5.7560000000000002</v>
      </c>
      <c r="S470" s="7">
        <f t="shared" si="7"/>
        <v>4.942333333333333</v>
      </c>
    </row>
    <row r="471" spans="1:19">
      <c r="A471" s="5" t="str">
        <f>B471&amp;"-"&amp;COUNTIF($B$2:B471,B471)</f>
        <v>BAHIA-268</v>
      </c>
      <c r="B471" s="5" t="s">
        <v>296</v>
      </c>
      <c r="C471" s="5" t="s">
        <v>474</v>
      </c>
      <c r="D471" s="6">
        <v>-391086</v>
      </c>
      <c r="E471" s="6">
        <v>-13002</v>
      </c>
      <c r="F471" s="7">
        <v>5.0359999999999996</v>
      </c>
      <c r="G471" s="7">
        <v>6.0259999999999998</v>
      </c>
      <c r="H471" s="7">
        <v>5.9240000000000004</v>
      </c>
      <c r="I471" s="7">
        <v>5.6959999999999997</v>
      </c>
      <c r="J471" s="7">
        <v>4.6159999999999997</v>
      </c>
      <c r="K471" s="7">
        <v>4.0190000000000001</v>
      </c>
      <c r="L471" s="7">
        <v>3.589</v>
      </c>
      <c r="M471" s="7">
        <v>3.802</v>
      </c>
      <c r="N471" s="7">
        <v>4.4000000000000004</v>
      </c>
      <c r="O471" s="7">
        <v>5.181</v>
      </c>
      <c r="P471" s="7">
        <v>5.3630000000000004</v>
      </c>
      <c r="Q471" s="7">
        <v>5.7119999999999997</v>
      </c>
      <c r="R471" s="7">
        <v>6.0990000000000002</v>
      </c>
      <c r="S471" s="7">
        <f t="shared" si="7"/>
        <v>5.0355833333333324</v>
      </c>
    </row>
    <row r="472" spans="1:19">
      <c r="A472" s="5" t="str">
        <f>B472&amp;"-"&amp;COUNTIF($B$2:B472,B472)</f>
        <v>BAHIA-269</v>
      </c>
      <c r="B472" s="5" t="s">
        <v>296</v>
      </c>
      <c r="C472" s="5" t="s">
        <v>4284</v>
      </c>
      <c r="D472" s="6">
        <v>-435492</v>
      </c>
      <c r="E472" s="6">
        <v>-120654</v>
      </c>
      <c r="F472" s="7">
        <v>5.9119999999999999</v>
      </c>
      <c r="G472" s="7">
        <v>6.5449999999999999</v>
      </c>
      <c r="H472" s="7">
        <v>6.3259999999999996</v>
      </c>
      <c r="I472" s="7">
        <v>6.0469999999999997</v>
      </c>
      <c r="J472" s="7">
        <v>5.6849999999999996</v>
      </c>
      <c r="K472" s="7">
        <v>5.2830000000000004</v>
      </c>
      <c r="L472" s="7">
        <v>5.0170000000000003</v>
      </c>
      <c r="M472" s="7">
        <v>5.258</v>
      </c>
      <c r="N472" s="7">
        <v>5.8529999999999998</v>
      </c>
      <c r="O472" s="7">
        <v>6.1790000000000003</v>
      </c>
      <c r="P472" s="7">
        <v>6.2939999999999996</v>
      </c>
      <c r="Q472" s="7">
        <v>6.0369999999999999</v>
      </c>
      <c r="R472" s="7">
        <v>6.4260000000000002</v>
      </c>
      <c r="S472" s="7">
        <f t="shared" si="7"/>
        <v>5.9125000000000005</v>
      </c>
    </row>
    <row r="473" spans="1:19">
      <c r="A473" s="5" t="str">
        <f>B473&amp;"-"&amp;COUNTIF($B$2:B473,B473)</f>
        <v>BAHIA-270</v>
      </c>
      <c r="B473" s="5" t="s">
        <v>296</v>
      </c>
      <c r="C473" s="5" t="s">
        <v>475</v>
      </c>
      <c r="D473" s="6">
        <v>-389903</v>
      </c>
      <c r="E473" s="5" t="s">
        <v>476</v>
      </c>
      <c r="F473" s="7">
        <v>5.1059999999999999</v>
      </c>
      <c r="G473" s="7">
        <v>6.1020000000000003</v>
      </c>
      <c r="H473" s="7">
        <v>5.9790000000000001</v>
      </c>
      <c r="I473" s="7">
        <v>5.75</v>
      </c>
      <c r="J473" s="7">
        <v>4.6719999999999997</v>
      </c>
      <c r="K473" s="7">
        <v>4.0069999999999997</v>
      </c>
      <c r="L473" s="7">
        <v>3.6349999999999998</v>
      </c>
      <c r="M473" s="7">
        <v>3.9369999999999998</v>
      </c>
      <c r="N473" s="7">
        <v>4.4459999999999997</v>
      </c>
      <c r="O473" s="7">
        <v>5.2969999999999997</v>
      </c>
      <c r="P473" s="7">
        <v>5.5529999999999999</v>
      </c>
      <c r="Q473" s="7">
        <v>5.7960000000000003</v>
      </c>
      <c r="R473" s="7">
        <v>6.0910000000000002</v>
      </c>
      <c r="S473" s="7">
        <f t="shared" si="7"/>
        <v>5.1054166666666658</v>
      </c>
    </row>
    <row r="474" spans="1:19">
      <c r="A474" s="5" t="str">
        <f>B474&amp;"-"&amp;COUNTIF($B$2:B474,B474)</f>
        <v>BAHIA-271</v>
      </c>
      <c r="B474" s="5" t="s">
        <v>296</v>
      </c>
      <c r="C474" s="5" t="s">
        <v>477</v>
      </c>
      <c r="D474" s="6">
        <v>-395047</v>
      </c>
      <c r="E474" s="6">
        <v>-132288</v>
      </c>
      <c r="F474" s="7">
        <v>4.8010000000000002</v>
      </c>
      <c r="G474" s="7">
        <v>5.7809999999999997</v>
      </c>
      <c r="H474" s="7">
        <v>5.7469999999999999</v>
      </c>
      <c r="I474" s="7">
        <v>5.5469999999999997</v>
      </c>
      <c r="J474" s="7">
        <v>4.4820000000000002</v>
      </c>
      <c r="K474" s="7">
        <v>3.8839999999999999</v>
      </c>
      <c r="L474" s="7">
        <v>3.464</v>
      </c>
      <c r="M474" s="7">
        <v>3.6459999999999999</v>
      </c>
      <c r="N474" s="7">
        <v>4.1269999999999998</v>
      </c>
      <c r="O474" s="7">
        <v>4.8739999999999997</v>
      </c>
      <c r="P474" s="7">
        <v>4.984</v>
      </c>
      <c r="Q474" s="7">
        <v>5.23</v>
      </c>
      <c r="R474" s="7">
        <v>5.8520000000000003</v>
      </c>
      <c r="S474" s="7">
        <f t="shared" si="7"/>
        <v>4.8015000000000008</v>
      </c>
    </row>
    <row r="475" spans="1:19">
      <c r="A475" s="5" t="str">
        <f>B475&amp;"-"&amp;COUNTIF($B$2:B475,B475)</f>
        <v>BAHIA-272</v>
      </c>
      <c r="B475" s="5" t="s">
        <v>296</v>
      </c>
      <c r="C475" s="5" t="s">
        <v>4285</v>
      </c>
      <c r="D475" s="6">
        <v>-390104</v>
      </c>
      <c r="E475" s="6">
        <v>-130336</v>
      </c>
      <c r="F475" s="7">
        <v>5.048</v>
      </c>
      <c r="G475" s="7">
        <v>6.0540000000000003</v>
      </c>
      <c r="H475" s="7">
        <v>5.9580000000000002</v>
      </c>
      <c r="I475" s="7">
        <v>5.742</v>
      </c>
      <c r="J475" s="7">
        <v>4.63</v>
      </c>
      <c r="K475" s="7">
        <v>4.0010000000000003</v>
      </c>
      <c r="L475" s="7">
        <v>3.6150000000000002</v>
      </c>
      <c r="M475" s="7">
        <v>3.8479999999999999</v>
      </c>
      <c r="N475" s="7">
        <v>4.4210000000000003</v>
      </c>
      <c r="O475" s="7">
        <v>5.1509999999999998</v>
      </c>
      <c r="P475" s="7">
        <v>5.3529999999999998</v>
      </c>
      <c r="Q475" s="7">
        <v>5.69</v>
      </c>
      <c r="R475" s="7">
        <v>6.1150000000000002</v>
      </c>
      <c r="S475" s="7">
        <f t="shared" si="7"/>
        <v>5.0481666666666669</v>
      </c>
    </row>
    <row r="476" spans="1:19">
      <c r="A476" s="5" t="str">
        <f>B476&amp;"-"&amp;COUNTIF($B$2:B476,B476)</f>
        <v>BAHIA-273</v>
      </c>
      <c r="B476" s="5" t="s">
        <v>296</v>
      </c>
      <c r="C476" s="5" t="s">
        <v>4611</v>
      </c>
      <c r="D476" s="6">
        <v>-391059</v>
      </c>
      <c r="E476" s="6">
        <v>-136008</v>
      </c>
      <c r="F476" s="7">
        <v>4.91</v>
      </c>
      <c r="G476" s="7">
        <v>5.9470000000000001</v>
      </c>
      <c r="H476" s="7">
        <v>5.7949999999999999</v>
      </c>
      <c r="I476" s="7">
        <v>5.5330000000000004</v>
      </c>
      <c r="J476" s="7">
        <v>4.5350000000000001</v>
      </c>
      <c r="K476" s="7">
        <v>3.9279999999999999</v>
      </c>
      <c r="L476" s="7">
        <v>3.5550000000000002</v>
      </c>
      <c r="M476" s="7">
        <v>3.7949999999999999</v>
      </c>
      <c r="N476" s="7">
        <v>4.2889999999999997</v>
      </c>
      <c r="O476" s="7">
        <v>4.9770000000000003</v>
      </c>
      <c r="P476" s="7">
        <v>5.141</v>
      </c>
      <c r="Q476" s="7">
        <v>5.4539999999999997</v>
      </c>
      <c r="R476" s="7">
        <v>5.968</v>
      </c>
      <c r="S476" s="7">
        <f t="shared" si="7"/>
        <v>4.9097499999999998</v>
      </c>
    </row>
    <row r="477" spans="1:19">
      <c r="A477" s="5" t="str">
        <f>B477&amp;"-"&amp;COUNTIF($B$2:B477,B477)</f>
        <v>BAHIA-274</v>
      </c>
      <c r="B477" s="5" t="s">
        <v>296</v>
      </c>
      <c r="C477" s="5" t="s">
        <v>478</v>
      </c>
      <c r="D477" s="6">
        <v>-394301</v>
      </c>
      <c r="E477" s="6">
        <v>-108262</v>
      </c>
      <c r="F477" s="7">
        <v>5.2469999999999999</v>
      </c>
      <c r="G477" s="7">
        <v>6.141</v>
      </c>
      <c r="H477" s="7">
        <v>5.9809999999999999</v>
      </c>
      <c r="I477" s="7">
        <v>5.84</v>
      </c>
      <c r="J477" s="7">
        <v>4.93</v>
      </c>
      <c r="K477" s="7">
        <v>4.1500000000000004</v>
      </c>
      <c r="L477" s="7">
        <v>3.851</v>
      </c>
      <c r="M477" s="7">
        <v>4.0199999999999996</v>
      </c>
      <c r="N477" s="7">
        <v>4.6130000000000004</v>
      </c>
      <c r="O477" s="7">
        <v>5.5650000000000004</v>
      </c>
      <c r="P477" s="7">
        <v>5.694</v>
      </c>
      <c r="Q477" s="7">
        <v>6.0410000000000004</v>
      </c>
      <c r="R477" s="7">
        <v>6.1369999999999996</v>
      </c>
      <c r="S477" s="7">
        <f t="shared" si="7"/>
        <v>5.2469166666666665</v>
      </c>
    </row>
    <row r="478" spans="1:19">
      <c r="A478" s="5" t="str">
        <f>B478&amp;"-"&amp;COUNTIF($B$2:B478,B478)</f>
        <v>BAHIA-275</v>
      </c>
      <c r="B478" s="5" t="s">
        <v>296</v>
      </c>
      <c r="C478" s="5" t="s">
        <v>5347</v>
      </c>
      <c r="D478" s="6">
        <v>-401443</v>
      </c>
      <c r="E478" s="6">
        <v>-14795</v>
      </c>
      <c r="F478" s="7">
        <v>4.8879999999999999</v>
      </c>
      <c r="G478" s="7">
        <v>5.88</v>
      </c>
      <c r="H478" s="7">
        <v>5.9980000000000002</v>
      </c>
      <c r="I478" s="7">
        <v>5.46</v>
      </c>
      <c r="J478" s="7">
        <v>4.5599999999999996</v>
      </c>
      <c r="K478" s="7">
        <v>3.895</v>
      </c>
      <c r="L478" s="7">
        <v>3.4980000000000002</v>
      </c>
      <c r="M478" s="7">
        <v>3.649</v>
      </c>
      <c r="N478" s="7">
        <v>4.1470000000000002</v>
      </c>
      <c r="O478" s="7">
        <v>4.9560000000000004</v>
      </c>
      <c r="P478" s="7">
        <v>5.1740000000000004</v>
      </c>
      <c r="Q478" s="7">
        <v>5.3419999999999996</v>
      </c>
      <c r="R478" s="7">
        <v>6.1</v>
      </c>
      <c r="S478" s="7">
        <f t="shared" si="7"/>
        <v>4.8882500000000002</v>
      </c>
    </row>
    <row r="479" spans="1:19">
      <c r="A479" s="5" t="str">
        <f>B479&amp;"-"&amp;COUNTIF($B$2:B479,B479)</f>
        <v>BAHIA-276</v>
      </c>
      <c r="B479" s="5" t="s">
        <v>296</v>
      </c>
      <c r="C479" s="5" t="s">
        <v>5473</v>
      </c>
      <c r="D479" s="6">
        <v>-396301</v>
      </c>
      <c r="E479" s="6">
        <v>-116082</v>
      </c>
      <c r="F479" s="7">
        <v>5.1559999999999997</v>
      </c>
      <c r="G479" s="7">
        <v>6.1790000000000003</v>
      </c>
      <c r="H479" s="7">
        <v>5.9939999999999998</v>
      </c>
      <c r="I479" s="7">
        <v>5.8360000000000003</v>
      </c>
      <c r="J479" s="7">
        <v>4.8230000000000004</v>
      </c>
      <c r="K479" s="7">
        <v>4.0129999999999999</v>
      </c>
      <c r="L479" s="7">
        <v>3.706</v>
      </c>
      <c r="M479" s="7">
        <v>3.9529999999999998</v>
      </c>
      <c r="N479" s="7">
        <v>4.4859999999999998</v>
      </c>
      <c r="O479" s="7">
        <v>5.3890000000000002</v>
      </c>
      <c r="P479" s="7">
        <v>5.5830000000000002</v>
      </c>
      <c r="Q479" s="7">
        <v>5.86</v>
      </c>
      <c r="R479" s="7">
        <v>6.0449999999999999</v>
      </c>
      <c r="S479" s="7">
        <f t="shared" si="7"/>
        <v>5.1555833333333334</v>
      </c>
    </row>
    <row r="480" spans="1:19">
      <c r="A480" s="5" t="str">
        <f>B480&amp;"-"&amp;COUNTIF($B$2:B480,B480)</f>
        <v>BAHIA-277</v>
      </c>
      <c r="B480" s="5" t="s">
        <v>296</v>
      </c>
      <c r="C480" s="5" t="s">
        <v>5474</v>
      </c>
      <c r="D480" s="6">
        <v>-396256</v>
      </c>
      <c r="E480" s="6">
        <v>-13811</v>
      </c>
      <c r="F480" s="7">
        <v>4.8150000000000004</v>
      </c>
      <c r="G480" s="7">
        <v>5.8659999999999997</v>
      </c>
      <c r="H480" s="7">
        <v>5.8019999999999996</v>
      </c>
      <c r="I480" s="7">
        <v>5.45</v>
      </c>
      <c r="J480" s="7">
        <v>4.4349999999999996</v>
      </c>
      <c r="K480" s="7">
        <v>3.8460000000000001</v>
      </c>
      <c r="L480" s="7">
        <v>3.4609999999999999</v>
      </c>
      <c r="M480" s="7">
        <v>3.6</v>
      </c>
      <c r="N480" s="7">
        <v>4.1180000000000003</v>
      </c>
      <c r="O480" s="7">
        <v>4.827</v>
      </c>
      <c r="P480" s="7">
        <v>5.09</v>
      </c>
      <c r="Q480" s="7">
        <v>5.3710000000000004</v>
      </c>
      <c r="R480" s="7">
        <v>5.9169999999999998</v>
      </c>
      <c r="S480" s="7">
        <f t="shared" si="7"/>
        <v>4.8152499999999998</v>
      </c>
    </row>
    <row r="481" spans="1:19">
      <c r="A481" s="5" t="str">
        <f>B481&amp;"-"&amp;COUNTIF($B$2:B481,B481)</f>
        <v>BAHIA-278</v>
      </c>
      <c r="B481" s="5" t="s">
        <v>296</v>
      </c>
      <c r="C481" s="5" t="s">
        <v>479</v>
      </c>
      <c r="D481" s="6">
        <v>-400683</v>
      </c>
      <c r="E481" s="6">
        <v>-130269</v>
      </c>
      <c r="F481" s="7">
        <v>4.9020000000000001</v>
      </c>
      <c r="G481" s="7">
        <v>5.7530000000000001</v>
      </c>
      <c r="H481" s="7">
        <v>5.7380000000000004</v>
      </c>
      <c r="I481" s="7">
        <v>5.5019999999999998</v>
      </c>
      <c r="J481" s="7">
        <v>4.53</v>
      </c>
      <c r="K481" s="7">
        <v>3.9380000000000002</v>
      </c>
      <c r="L481" s="7">
        <v>3.5569999999999999</v>
      </c>
      <c r="M481" s="7">
        <v>3.81</v>
      </c>
      <c r="N481" s="7">
        <v>4.3419999999999996</v>
      </c>
      <c r="O481" s="7">
        <v>5.1870000000000003</v>
      </c>
      <c r="P481" s="7">
        <v>5.2619999999999996</v>
      </c>
      <c r="Q481" s="7">
        <v>5.3639999999999999</v>
      </c>
      <c r="R481" s="7">
        <v>5.8479999999999999</v>
      </c>
      <c r="S481" s="7">
        <f t="shared" si="7"/>
        <v>4.9025833333333324</v>
      </c>
    </row>
    <row r="482" spans="1:19">
      <c r="A482" s="5" t="str">
        <f>B482&amp;"-"&amp;COUNTIF($B$2:B482,B482)</f>
        <v>BAHIA-279</v>
      </c>
      <c r="B482" s="5" t="s">
        <v>296</v>
      </c>
      <c r="C482" s="5" t="s">
        <v>4612</v>
      </c>
      <c r="D482" s="6">
        <v>-410686</v>
      </c>
      <c r="E482" s="6">
        <v>-128167</v>
      </c>
      <c r="F482" s="7">
        <v>5.0049999999999999</v>
      </c>
      <c r="G482" s="7">
        <v>5.7380000000000004</v>
      </c>
      <c r="H482" s="7">
        <v>5.8639999999999999</v>
      </c>
      <c r="I482" s="7">
        <v>5.5830000000000002</v>
      </c>
      <c r="J482" s="7">
        <v>4.6820000000000004</v>
      </c>
      <c r="K482" s="7">
        <v>4.1029999999999998</v>
      </c>
      <c r="L482" s="7">
        <v>3.7719999999999998</v>
      </c>
      <c r="M482" s="7">
        <v>3.903</v>
      </c>
      <c r="N482" s="7">
        <v>4.5629999999999997</v>
      </c>
      <c r="O482" s="7">
        <v>5.4249999999999998</v>
      </c>
      <c r="P482" s="7">
        <v>5.3970000000000002</v>
      </c>
      <c r="Q482" s="7">
        <v>5.2969999999999997</v>
      </c>
      <c r="R482" s="7">
        <v>5.7350000000000003</v>
      </c>
      <c r="S482" s="7">
        <f t="shared" si="7"/>
        <v>5.0051666666666668</v>
      </c>
    </row>
    <row r="483" spans="1:19">
      <c r="A483" s="5" t="str">
        <f>B483&amp;"-"&amp;COUNTIF($B$2:B483,B483)</f>
        <v>BAHIA-280</v>
      </c>
      <c r="B483" s="5" t="s">
        <v>296</v>
      </c>
      <c r="C483" s="5" t="s">
        <v>480</v>
      </c>
      <c r="D483" s="6">
        <v>-38478</v>
      </c>
      <c r="E483" s="6">
        <v>-112379</v>
      </c>
      <c r="F483" s="7">
        <v>5.2229999999999999</v>
      </c>
      <c r="G483" s="7">
        <v>6.1520000000000001</v>
      </c>
      <c r="H483" s="7">
        <v>6.0209999999999999</v>
      </c>
      <c r="I483" s="7">
        <v>5.8550000000000004</v>
      </c>
      <c r="J483" s="7">
        <v>4.984</v>
      </c>
      <c r="K483" s="7">
        <v>4.141</v>
      </c>
      <c r="L483" s="7">
        <v>3.8849999999999998</v>
      </c>
      <c r="M483" s="7">
        <v>4.0720000000000001</v>
      </c>
      <c r="N483" s="7">
        <v>4.5469999999999997</v>
      </c>
      <c r="O483" s="7">
        <v>5.3239999999999998</v>
      </c>
      <c r="P483" s="7">
        <v>5.5990000000000002</v>
      </c>
      <c r="Q483" s="7">
        <v>6.0090000000000003</v>
      </c>
      <c r="R483" s="7">
        <v>6.0910000000000002</v>
      </c>
      <c r="S483" s="7">
        <f t="shared" si="7"/>
        <v>5.2233333333333336</v>
      </c>
    </row>
    <row r="484" spans="1:19">
      <c r="A484" s="5" t="str">
        <f>B484&amp;"-"&amp;COUNTIF($B$2:B484,B484)</f>
        <v>BAHIA-281</v>
      </c>
      <c r="B484" s="5" t="s">
        <v>296</v>
      </c>
      <c r="C484" s="5" t="s">
        <v>4613</v>
      </c>
      <c r="D484" s="6">
        <v>-393747</v>
      </c>
      <c r="E484" s="6">
        <v>-178931</v>
      </c>
      <c r="F484" s="7">
        <v>5.0659999999999998</v>
      </c>
      <c r="G484" s="7">
        <v>6.2149999999999999</v>
      </c>
      <c r="H484" s="7">
        <v>6.298</v>
      </c>
      <c r="I484" s="7">
        <v>5.5170000000000003</v>
      </c>
      <c r="J484" s="7">
        <v>4.6349999999999998</v>
      </c>
      <c r="K484" s="7">
        <v>3.964</v>
      </c>
      <c r="L484" s="7">
        <v>3.68</v>
      </c>
      <c r="M484" s="7">
        <v>3.8149999999999999</v>
      </c>
      <c r="N484" s="7">
        <v>4.5609999999999999</v>
      </c>
      <c r="O484" s="7">
        <v>5.0750000000000002</v>
      </c>
      <c r="P484" s="7">
        <v>5.3970000000000002</v>
      </c>
      <c r="Q484" s="7">
        <v>5.4039999999999999</v>
      </c>
      <c r="R484" s="7">
        <v>6.2279999999999998</v>
      </c>
      <c r="S484" s="7">
        <f t="shared" si="7"/>
        <v>5.0657499999999995</v>
      </c>
    </row>
    <row r="485" spans="1:19">
      <c r="A485" s="5" t="str">
        <f>B485&amp;"-"&amp;COUNTIF($B$2:B485,B485)</f>
        <v>BAHIA-282</v>
      </c>
      <c r="B485" s="5" t="s">
        <v>296</v>
      </c>
      <c r="C485" s="5" t="s">
        <v>481</v>
      </c>
      <c r="D485" s="6">
        <v>-421685</v>
      </c>
      <c r="E485" s="6">
        <v>-128088</v>
      </c>
      <c r="F485" s="7">
        <v>5.7389999999999999</v>
      </c>
      <c r="G485" s="7">
        <v>6.3390000000000004</v>
      </c>
      <c r="H485" s="7">
        <v>6.2969999999999997</v>
      </c>
      <c r="I485" s="7">
        <v>5.8719999999999999</v>
      </c>
      <c r="J485" s="7">
        <v>5.274</v>
      </c>
      <c r="K485" s="7">
        <v>4.7960000000000003</v>
      </c>
      <c r="L485" s="7">
        <v>4.6449999999999996</v>
      </c>
      <c r="M485" s="7">
        <v>4.891</v>
      </c>
      <c r="N485" s="7">
        <v>5.657</v>
      </c>
      <c r="O485" s="7">
        <v>6.2939999999999996</v>
      </c>
      <c r="P485" s="7">
        <v>6.3819999999999997</v>
      </c>
      <c r="Q485" s="7">
        <v>5.9290000000000003</v>
      </c>
      <c r="R485" s="7">
        <v>6.4859999999999998</v>
      </c>
      <c r="S485" s="7">
        <f t="shared" si="7"/>
        <v>5.7384999999999993</v>
      </c>
    </row>
    <row r="486" spans="1:19">
      <c r="A486" s="5" t="str">
        <f>B486&amp;"-"&amp;COUNTIF($B$2:B486,B486)</f>
        <v>BAHIA-283</v>
      </c>
      <c r="B486" s="5" t="s">
        <v>296</v>
      </c>
      <c r="C486" s="5" t="s">
        <v>482</v>
      </c>
      <c r="D486" s="6">
        <v>-38421</v>
      </c>
      <c r="E486" s="6">
        <v>-103346</v>
      </c>
      <c r="F486" s="7">
        <v>5.2270000000000003</v>
      </c>
      <c r="G486" s="7">
        <v>6.0750000000000002</v>
      </c>
      <c r="H486" s="7">
        <v>5.8970000000000002</v>
      </c>
      <c r="I486" s="7">
        <v>5.8140000000000001</v>
      </c>
      <c r="J486" s="7">
        <v>5.024</v>
      </c>
      <c r="K486" s="7">
        <v>4.2210000000000001</v>
      </c>
      <c r="L486" s="7">
        <v>3.8250000000000002</v>
      </c>
      <c r="M486" s="7">
        <v>3.952</v>
      </c>
      <c r="N486" s="7">
        <v>4.5279999999999996</v>
      </c>
      <c r="O486" s="7">
        <v>5.4</v>
      </c>
      <c r="P486" s="7">
        <v>5.6319999999999997</v>
      </c>
      <c r="Q486" s="7">
        <v>6.133</v>
      </c>
      <c r="R486" s="7">
        <v>6.22</v>
      </c>
      <c r="S486" s="7">
        <f t="shared" si="7"/>
        <v>5.22675</v>
      </c>
    </row>
    <row r="487" spans="1:19">
      <c r="A487" s="5" t="str">
        <f>B487&amp;"-"&amp;COUNTIF($B$2:B487,B487)</f>
        <v>BAHIA-284</v>
      </c>
      <c r="B487" s="5" t="s">
        <v>296</v>
      </c>
      <c r="C487" s="5" t="s">
        <v>483</v>
      </c>
      <c r="D487" s="6">
        <v>-383265</v>
      </c>
      <c r="E487" s="6">
        <v>-113592</v>
      </c>
      <c r="F487" s="7">
        <v>5.19</v>
      </c>
      <c r="G487" s="7">
        <v>6.1379999999999999</v>
      </c>
      <c r="H487" s="7">
        <v>5.9279999999999999</v>
      </c>
      <c r="I487" s="7">
        <v>5.7949999999999999</v>
      </c>
      <c r="J487" s="7">
        <v>4.8920000000000003</v>
      </c>
      <c r="K487" s="7">
        <v>4.0949999999999998</v>
      </c>
      <c r="L487" s="7">
        <v>3.867</v>
      </c>
      <c r="M487" s="7">
        <v>4.0350000000000001</v>
      </c>
      <c r="N487" s="7">
        <v>4.53</v>
      </c>
      <c r="O487" s="7">
        <v>5.3079999999999998</v>
      </c>
      <c r="P487" s="7">
        <v>5.585</v>
      </c>
      <c r="Q487" s="7">
        <v>6.0369999999999999</v>
      </c>
      <c r="R487" s="7">
        <v>6.0739999999999998</v>
      </c>
      <c r="S487" s="7">
        <f t="shared" si="7"/>
        <v>5.1903333333333332</v>
      </c>
    </row>
    <row r="488" spans="1:19">
      <c r="A488" s="5" t="str">
        <f>B488&amp;"-"&amp;COUNTIF($B$2:B488,B488)</f>
        <v>BAHIA-285</v>
      </c>
      <c r="B488" s="5" t="s">
        <v>296</v>
      </c>
      <c r="C488" s="5" t="s">
        <v>484</v>
      </c>
      <c r="D488" s="6">
        <v>-428898</v>
      </c>
      <c r="E488" s="6">
        <v>-123177</v>
      </c>
      <c r="F488" s="7">
        <v>5.9610000000000003</v>
      </c>
      <c r="G488" s="7">
        <v>6.5810000000000004</v>
      </c>
      <c r="H488" s="7">
        <v>6.4459999999999997</v>
      </c>
      <c r="I488" s="7">
        <v>6.1139999999999999</v>
      </c>
      <c r="J488" s="7">
        <v>5.657</v>
      </c>
      <c r="K488" s="7">
        <v>5.181</v>
      </c>
      <c r="L488" s="7">
        <v>4.9989999999999997</v>
      </c>
      <c r="M488" s="7">
        <v>5.1970000000000001</v>
      </c>
      <c r="N488" s="7">
        <v>5.883</v>
      </c>
      <c r="O488" s="7">
        <v>6.2889999999999997</v>
      </c>
      <c r="P488" s="7">
        <v>6.5389999999999997</v>
      </c>
      <c r="Q488" s="7">
        <v>6.1630000000000003</v>
      </c>
      <c r="R488" s="7">
        <v>6.4880000000000004</v>
      </c>
      <c r="S488" s="7">
        <f t="shared" si="7"/>
        <v>5.9614166666666675</v>
      </c>
    </row>
    <row r="489" spans="1:19">
      <c r="A489" s="5" t="str">
        <f>B489&amp;"-"&amp;COUNTIF($B$2:B489,B489)</f>
        <v>BAHIA-286</v>
      </c>
      <c r="B489" s="5" t="s">
        <v>296</v>
      </c>
      <c r="C489" s="5" t="s">
        <v>4614</v>
      </c>
      <c r="D489" s="6">
        <v>-386295</v>
      </c>
      <c r="E489" s="6">
        <v>-120117</v>
      </c>
      <c r="F489" s="7">
        <v>5.109</v>
      </c>
      <c r="G489" s="7">
        <v>6.101</v>
      </c>
      <c r="H489" s="7">
        <v>5.8710000000000004</v>
      </c>
      <c r="I489" s="7">
        <v>5.7140000000000004</v>
      </c>
      <c r="J489" s="7">
        <v>4.7270000000000003</v>
      </c>
      <c r="K489" s="7">
        <v>3.9580000000000002</v>
      </c>
      <c r="L489" s="7">
        <v>3.7040000000000002</v>
      </c>
      <c r="M489" s="7">
        <v>3.9710000000000001</v>
      </c>
      <c r="N489" s="7">
        <v>4.4340000000000002</v>
      </c>
      <c r="O489" s="7">
        <v>5.3109999999999999</v>
      </c>
      <c r="P489" s="7">
        <v>5.5579999999999998</v>
      </c>
      <c r="Q489" s="7">
        <v>5.8730000000000002</v>
      </c>
      <c r="R489" s="7">
        <v>6.0869999999999997</v>
      </c>
      <c r="S489" s="7">
        <f t="shared" si="7"/>
        <v>5.1090833333333334</v>
      </c>
    </row>
    <row r="490" spans="1:19">
      <c r="A490" s="5" t="str">
        <f>B490&amp;"-"&amp;COUNTIF($B$2:B490,B490)</f>
        <v>BAHIA-287</v>
      </c>
      <c r="B490" s="5" t="s">
        <v>296</v>
      </c>
      <c r="C490" s="5" t="s">
        <v>4902</v>
      </c>
      <c r="D490" s="6">
        <v>-410812</v>
      </c>
      <c r="E490" s="6">
        <v>-109703</v>
      </c>
      <c r="F490" s="7">
        <v>5.4189999999999996</v>
      </c>
      <c r="G490" s="7">
        <v>6.2450000000000001</v>
      </c>
      <c r="H490" s="7">
        <v>5.9260000000000002</v>
      </c>
      <c r="I490" s="7">
        <v>5.8280000000000003</v>
      </c>
      <c r="J490" s="7">
        <v>4.9080000000000004</v>
      </c>
      <c r="K490" s="7">
        <v>4.3730000000000002</v>
      </c>
      <c r="L490" s="7">
        <v>4.1260000000000003</v>
      </c>
      <c r="M490" s="7">
        <v>4.3049999999999997</v>
      </c>
      <c r="N490" s="7">
        <v>5.056</v>
      </c>
      <c r="O490" s="7">
        <v>5.984</v>
      </c>
      <c r="P490" s="7">
        <v>6.0439999999999996</v>
      </c>
      <c r="Q490" s="7">
        <v>6.0970000000000004</v>
      </c>
      <c r="R490" s="7">
        <v>6.1340000000000003</v>
      </c>
      <c r="S490" s="7">
        <f t="shared" si="7"/>
        <v>5.4188333333333327</v>
      </c>
    </row>
    <row r="491" spans="1:19">
      <c r="A491" s="5" t="str">
        <f>B491&amp;"-"&amp;COUNTIF($B$2:B491,B491)</f>
        <v>BAHIA-288</v>
      </c>
      <c r="B491" s="5" t="s">
        <v>296</v>
      </c>
      <c r="C491" s="5" t="s">
        <v>4286</v>
      </c>
      <c r="D491" s="6">
        <v>-396114</v>
      </c>
      <c r="E491" s="6">
        <v>-118317</v>
      </c>
      <c r="F491" s="7">
        <v>5.1109999999999998</v>
      </c>
      <c r="G491" s="7">
        <v>6.0549999999999997</v>
      </c>
      <c r="H491" s="7">
        <v>5.9530000000000003</v>
      </c>
      <c r="I491" s="7">
        <v>5.81</v>
      </c>
      <c r="J491" s="7">
        <v>4.782</v>
      </c>
      <c r="K491" s="7">
        <v>3.9830000000000001</v>
      </c>
      <c r="L491" s="7">
        <v>3.6930000000000001</v>
      </c>
      <c r="M491" s="7">
        <v>3.91</v>
      </c>
      <c r="N491" s="7">
        <v>4.452</v>
      </c>
      <c r="O491" s="7">
        <v>5.3330000000000002</v>
      </c>
      <c r="P491" s="7">
        <v>5.548</v>
      </c>
      <c r="Q491" s="7">
        <v>5.7969999999999997</v>
      </c>
      <c r="R491" s="7">
        <v>6.0170000000000003</v>
      </c>
      <c r="S491" s="7">
        <f t="shared" si="7"/>
        <v>5.1110833333333332</v>
      </c>
    </row>
    <row r="492" spans="1:19">
      <c r="A492" s="5" t="str">
        <f>B492&amp;"-"&amp;COUNTIF($B$2:B492,B492)</f>
        <v>BAHIA-289</v>
      </c>
      <c r="B492" s="5" t="s">
        <v>296</v>
      </c>
      <c r="C492" s="5" t="s">
        <v>485</v>
      </c>
      <c r="D492" s="6">
        <v>-431612</v>
      </c>
      <c r="E492" s="6">
        <v>-14268</v>
      </c>
      <c r="F492" s="7">
        <v>5.8230000000000004</v>
      </c>
      <c r="G492" s="7">
        <v>6.5679999999999996</v>
      </c>
      <c r="H492" s="7">
        <v>6.6150000000000002</v>
      </c>
      <c r="I492" s="7">
        <v>5.9560000000000004</v>
      </c>
      <c r="J492" s="7">
        <v>5.5179999999999998</v>
      </c>
      <c r="K492" s="7">
        <v>4.8499999999999996</v>
      </c>
      <c r="L492" s="7">
        <v>4.76</v>
      </c>
      <c r="M492" s="7">
        <v>5.0220000000000002</v>
      </c>
      <c r="N492" s="7">
        <v>5.6849999999999996</v>
      </c>
      <c r="O492" s="7">
        <v>6.1070000000000002</v>
      </c>
      <c r="P492" s="7">
        <v>6.3959999999999999</v>
      </c>
      <c r="Q492" s="7">
        <v>5.92</v>
      </c>
      <c r="R492" s="7">
        <v>6.476</v>
      </c>
      <c r="S492" s="7">
        <f t="shared" si="7"/>
        <v>5.8227500000000001</v>
      </c>
    </row>
    <row r="493" spans="1:19">
      <c r="A493" s="5" t="str">
        <f>B493&amp;"-"&amp;COUNTIF($B$2:B493,B493)</f>
        <v>BAHIA-290</v>
      </c>
      <c r="B493" s="5" t="s">
        <v>296</v>
      </c>
      <c r="C493" s="5" t="s">
        <v>486</v>
      </c>
      <c r="D493" s="6">
        <v>-415812</v>
      </c>
      <c r="E493" s="6">
        <v>-125063</v>
      </c>
      <c r="F493" s="7">
        <v>5.29</v>
      </c>
      <c r="G493" s="7">
        <v>6.0339999999999998</v>
      </c>
      <c r="H493" s="7">
        <v>6.077</v>
      </c>
      <c r="I493" s="7">
        <v>5.6950000000000003</v>
      </c>
      <c r="J493" s="7">
        <v>4.8810000000000002</v>
      </c>
      <c r="K493" s="7">
        <v>4.3689999999999998</v>
      </c>
      <c r="L493" s="7">
        <v>4.0419999999999998</v>
      </c>
      <c r="M493" s="7">
        <v>4.218</v>
      </c>
      <c r="N493" s="7">
        <v>4.859</v>
      </c>
      <c r="O493" s="7">
        <v>5.7050000000000001</v>
      </c>
      <c r="P493" s="7">
        <v>5.8579999999999997</v>
      </c>
      <c r="Q493" s="7">
        <v>5.6529999999999996</v>
      </c>
      <c r="R493" s="7">
        <v>6.0910000000000002</v>
      </c>
      <c r="S493" s="7">
        <f t="shared" si="7"/>
        <v>5.2901666666666669</v>
      </c>
    </row>
    <row r="494" spans="1:19">
      <c r="A494" s="5" t="str">
        <f>B494&amp;"-"&amp;COUNTIF($B$2:B494,B494)</f>
        <v>BAHIA-291</v>
      </c>
      <c r="B494" s="5" t="s">
        <v>296</v>
      </c>
      <c r="C494" s="5" t="s">
        <v>487</v>
      </c>
      <c r="D494" s="6">
        <v>-422424</v>
      </c>
      <c r="E494" s="6">
        <v>-134445</v>
      </c>
      <c r="F494" s="7">
        <v>5.859</v>
      </c>
      <c r="G494" s="7">
        <v>6.5720000000000001</v>
      </c>
      <c r="H494" s="7">
        <v>6.6040000000000001</v>
      </c>
      <c r="I494" s="7">
        <v>6.0890000000000004</v>
      </c>
      <c r="J494" s="7">
        <v>5.5380000000000003</v>
      </c>
      <c r="K494" s="7">
        <v>5.0140000000000002</v>
      </c>
      <c r="L494" s="7">
        <v>4.7750000000000004</v>
      </c>
      <c r="M494" s="7">
        <v>4.9340000000000002</v>
      </c>
      <c r="N494" s="7">
        <v>5.5369999999999999</v>
      </c>
      <c r="O494" s="7">
        <v>6.1130000000000004</v>
      </c>
      <c r="P494" s="7">
        <v>6.4749999999999996</v>
      </c>
      <c r="Q494" s="7">
        <v>6.0750000000000002</v>
      </c>
      <c r="R494" s="7">
        <v>6.577</v>
      </c>
      <c r="S494" s="7">
        <f t="shared" si="7"/>
        <v>5.8585833333333328</v>
      </c>
    </row>
    <row r="495" spans="1:19">
      <c r="A495" s="5" t="str">
        <f>B495&amp;"-"&amp;COUNTIF($B$2:B495,B495)</f>
        <v>BAHIA-292</v>
      </c>
      <c r="B495" s="5" t="s">
        <v>296</v>
      </c>
      <c r="C495" s="5" t="s">
        <v>488</v>
      </c>
      <c r="D495" s="6">
        <v>-431801</v>
      </c>
      <c r="E495" s="6">
        <v>-126874</v>
      </c>
      <c r="F495" s="7">
        <v>5.9130000000000003</v>
      </c>
      <c r="G495" s="7">
        <v>6.6189999999999998</v>
      </c>
      <c r="H495" s="7">
        <v>6.53</v>
      </c>
      <c r="I495" s="7">
        <v>6.0739999999999998</v>
      </c>
      <c r="J495" s="7">
        <v>5.6630000000000003</v>
      </c>
      <c r="K495" s="7">
        <v>5.109</v>
      </c>
      <c r="L495" s="7">
        <v>4.891</v>
      </c>
      <c r="M495" s="7">
        <v>5.1719999999999997</v>
      </c>
      <c r="N495" s="7">
        <v>5.867</v>
      </c>
      <c r="O495" s="7">
        <v>6.141</v>
      </c>
      <c r="P495" s="7">
        <v>6.3760000000000003</v>
      </c>
      <c r="Q495" s="7">
        <v>6.0069999999999997</v>
      </c>
      <c r="R495" s="7">
        <v>6.5129999999999999</v>
      </c>
      <c r="S495" s="7">
        <f t="shared" si="7"/>
        <v>5.9134999999999991</v>
      </c>
    </row>
    <row r="496" spans="1:19">
      <c r="A496" s="5" t="str">
        <f>B496&amp;"-"&amp;COUNTIF($B$2:B496,B496)</f>
        <v>BAHIA-293</v>
      </c>
      <c r="B496" s="5" t="s">
        <v>296</v>
      </c>
      <c r="C496" s="5" t="s">
        <v>489</v>
      </c>
      <c r="D496" s="6">
        <v>-378629</v>
      </c>
      <c r="E496" s="6">
        <v>-106863</v>
      </c>
      <c r="F496" s="7">
        <v>5.2190000000000003</v>
      </c>
      <c r="G496" s="7">
        <v>6.1120000000000001</v>
      </c>
      <c r="H496" s="7">
        <v>5.827</v>
      </c>
      <c r="I496" s="7">
        <v>5.7619999999999996</v>
      </c>
      <c r="J496" s="7">
        <v>5.0839999999999996</v>
      </c>
      <c r="K496" s="7">
        <v>4.2530000000000001</v>
      </c>
      <c r="L496" s="7">
        <v>3.8660000000000001</v>
      </c>
      <c r="M496" s="7">
        <v>4.0330000000000004</v>
      </c>
      <c r="N496" s="7">
        <v>4.5540000000000003</v>
      </c>
      <c r="O496" s="7">
        <v>5.2789999999999999</v>
      </c>
      <c r="P496" s="7">
        <v>5.59</v>
      </c>
      <c r="Q496" s="7">
        <v>6.1479999999999997</v>
      </c>
      <c r="R496" s="7">
        <v>6.1180000000000003</v>
      </c>
      <c r="S496" s="7">
        <f t="shared" si="7"/>
        <v>5.2188333333333334</v>
      </c>
    </row>
    <row r="497" spans="1:19">
      <c r="A497" s="5" t="str">
        <f>B497&amp;"-"&amp;COUNTIF($B$2:B497,B497)</f>
        <v>BAHIA-294</v>
      </c>
      <c r="B497" s="5" t="s">
        <v>296</v>
      </c>
      <c r="C497" s="5" t="s">
        <v>490</v>
      </c>
      <c r="D497" s="6">
        <v>-396434</v>
      </c>
      <c r="E497" s="6">
        <v>-154599</v>
      </c>
      <c r="F497" s="7">
        <v>4.88</v>
      </c>
      <c r="G497" s="7">
        <v>5.8479999999999999</v>
      </c>
      <c r="H497" s="7">
        <v>5.9589999999999996</v>
      </c>
      <c r="I497" s="7">
        <v>5.3369999999999997</v>
      </c>
      <c r="J497" s="7">
        <v>4.569</v>
      </c>
      <c r="K497" s="7">
        <v>3.8359999999999999</v>
      </c>
      <c r="L497" s="7">
        <v>3.49</v>
      </c>
      <c r="M497" s="7">
        <v>3.7120000000000002</v>
      </c>
      <c r="N497" s="7">
        <v>4.3529999999999998</v>
      </c>
      <c r="O497" s="7">
        <v>5.0620000000000003</v>
      </c>
      <c r="P497" s="7">
        <v>5.2240000000000002</v>
      </c>
      <c r="Q497" s="7">
        <v>5.2110000000000003</v>
      </c>
      <c r="R497" s="7">
        <v>5.9580000000000002</v>
      </c>
      <c r="S497" s="7">
        <f t="shared" si="7"/>
        <v>4.8799166666666665</v>
      </c>
    </row>
    <row r="498" spans="1:19">
      <c r="A498" s="5" t="str">
        <f>B498&amp;"-"&amp;COUNTIF($B$2:B498,B498)</f>
        <v>BAHIA-295</v>
      </c>
      <c r="B498" s="5" t="s">
        <v>296</v>
      </c>
      <c r="C498" s="5" t="s">
        <v>491</v>
      </c>
      <c r="D498" s="6">
        <v>-382219</v>
      </c>
      <c r="E498" s="6">
        <v>-93987</v>
      </c>
      <c r="F498" s="7">
        <v>5.5389999999999997</v>
      </c>
      <c r="G498" s="7">
        <v>6.327</v>
      </c>
      <c r="H498" s="7">
        <v>6.2389999999999999</v>
      </c>
      <c r="I498" s="7">
        <v>6.0620000000000003</v>
      </c>
      <c r="J498" s="7">
        <v>5.3949999999999996</v>
      </c>
      <c r="K498" s="7">
        <v>4.5449999999999999</v>
      </c>
      <c r="L498" s="7">
        <v>4.0670000000000002</v>
      </c>
      <c r="M498" s="7">
        <v>4.2080000000000002</v>
      </c>
      <c r="N498" s="7">
        <v>4.8390000000000004</v>
      </c>
      <c r="O498" s="7">
        <v>5.7960000000000003</v>
      </c>
      <c r="P498" s="7">
        <v>6.093</v>
      </c>
      <c r="Q498" s="7">
        <v>6.4210000000000003</v>
      </c>
      <c r="R498" s="7">
        <v>6.4720000000000004</v>
      </c>
      <c r="S498" s="7">
        <f t="shared" si="7"/>
        <v>5.5386666666666668</v>
      </c>
    </row>
    <row r="499" spans="1:19">
      <c r="A499" s="5" t="str">
        <f>B499&amp;"-"&amp;COUNTIF($B$2:B499,B499)</f>
        <v>BAHIA-296</v>
      </c>
      <c r="B499" s="5" t="s">
        <v>296</v>
      </c>
      <c r="C499" s="5" t="s">
        <v>3912</v>
      </c>
      <c r="D499" s="6">
        <v>-386428</v>
      </c>
      <c r="E499" s="6">
        <v>-121456</v>
      </c>
      <c r="F499" s="7">
        <v>5.0960000000000001</v>
      </c>
      <c r="G499" s="7">
        <v>6.0810000000000004</v>
      </c>
      <c r="H499" s="7">
        <v>5.835</v>
      </c>
      <c r="I499" s="7">
        <v>5.7160000000000002</v>
      </c>
      <c r="J499" s="7">
        <v>4.7149999999999999</v>
      </c>
      <c r="K499" s="7">
        <v>3.9609999999999999</v>
      </c>
      <c r="L499" s="7">
        <v>3.69</v>
      </c>
      <c r="M499" s="7">
        <v>3.9329999999999998</v>
      </c>
      <c r="N499" s="7">
        <v>4.4340000000000002</v>
      </c>
      <c r="O499" s="7">
        <v>5.2889999999999997</v>
      </c>
      <c r="P499" s="7">
        <v>5.524</v>
      </c>
      <c r="Q499" s="7">
        <v>5.8689999999999998</v>
      </c>
      <c r="R499" s="7">
        <v>6.109</v>
      </c>
      <c r="S499" s="7">
        <f t="shared" si="7"/>
        <v>5.0963333333333329</v>
      </c>
    </row>
    <row r="500" spans="1:19">
      <c r="A500" s="5" t="str">
        <f>B500&amp;"-"&amp;COUNTIF($B$2:B500,B500)</f>
        <v>BAHIA-297</v>
      </c>
      <c r="B500" s="5" t="s">
        <v>296</v>
      </c>
      <c r="C500" s="5" t="s">
        <v>492</v>
      </c>
      <c r="D500" s="6">
        <v>-378935</v>
      </c>
      <c r="E500" s="6">
        <v>-100124</v>
      </c>
      <c r="F500" s="7">
        <v>5.2480000000000002</v>
      </c>
      <c r="G500" s="7">
        <v>6.0119999999999996</v>
      </c>
      <c r="H500" s="7">
        <v>5.8339999999999996</v>
      </c>
      <c r="I500" s="7">
        <v>5.7859999999999996</v>
      </c>
      <c r="J500" s="7">
        <v>5.0519999999999996</v>
      </c>
      <c r="K500" s="7">
        <v>4.2590000000000003</v>
      </c>
      <c r="L500" s="7">
        <v>3.9409999999999998</v>
      </c>
      <c r="M500" s="7">
        <v>4.0650000000000004</v>
      </c>
      <c r="N500" s="7">
        <v>4.6520000000000001</v>
      </c>
      <c r="O500" s="7">
        <v>5.4139999999999997</v>
      </c>
      <c r="P500" s="7">
        <v>5.6360000000000001</v>
      </c>
      <c r="Q500" s="7">
        <v>6.173</v>
      </c>
      <c r="R500" s="7">
        <v>6.1539999999999999</v>
      </c>
      <c r="S500" s="7">
        <f t="shared" si="7"/>
        <v>5.2481666666666671</v>
      </c>
    </row>
    <row r="501" spans="1:19">
      <c r="A501" s="5" t="str">
        <f>B501&amp;"-"&amp;COUNTIF($B$2:B501,B501)</f>
        <v>BAHIA-298</v>
      </c>
      <c r="B501" s="5" t="s">
        <v>296</v>
      </c>
      <c r="C501" s="5" t="s">
        <v>5348</v>
      </c>
      <c r="D501" s="6">
        <v>-417704</v>
      </c>
      <c r="E501" s="6">
        <v>-131526</v>
      </c>
      <c r="F501" s="7">
        <v>5.2649999999999997</v>
      </c>
      <c r="G501" s="7">
        <v>5.923</v>
      </c>
      <c r="H501" s="7">
        <v>6.0659999999999998</v>
      </c>
      <c r="I501" s="7">
        <v>5.5190000000000001</v>
      </c>
      <c r="J501" s="7">
        <v>4.7590000000000003</v>
      </c>
      <c r="K501" s="7">
        <v>4.2430000000000003</v>
      </c>
      <c r="L501" s="7">
        <v>4.0030000000000001</v>
      </c>
      <c r="M501" s="7">
        <v>4.2270000000000003</v>
      </c>
      <c r="N501" s="7">
        <v>4.9850000000000003</v>
      </c>
      <c r="O501" s="7">
        <v>5.8380000000000001</v>
      </c>
      <c r="P501" s="7">
        <v>5.9080000000000004</v>
      </c>
      <c r="Q501" s="7">
        <v>5.5919999999999996</v>
      </c>
      <c r="R501" s="7">
        <v>6.1139999999999999</v>
      </c>
      <c r="S501" s="7">
        <f t="shared" si="7"/>
        <v>5.2647500000000003</v>
      </c>
    </row>
    <row r="502" spans="1:19">
      <c r="A502" s="5" t="str">
        <f>B502&amp;"-"&amp;COUNTIF($B$2:B502,B502)</f>
        <v>BAHIA-299</v>
      </c>
      <c r="B502" s="5" t="s">
        <v>296</v>
      </c>
      <c r="C502" s="5" t="s">
        <v>3913</v>
      </c>
      <c r="D502" s="6">
        <v>-42482</v>
      </c>
      <c r="E502" s="6">
        <v>-9997</v>
      </c>
      <c r="F502" s="7">
        <v>6.0179999999999998</v>
      </c>
      <c r="G502" s="7">
        <v>6.5039999999999996</v>
      </c>
      <c r="H502" s="7">
        <v>6.226</v>
      </c>
      <c r="I502" s="7">
        <v>6.0369999999999999</v>
      </c>
      <c r="J502" s="7">
        <v>5.6070000000000002</v>
      </c>
      <c r="K502" s="7">
        <v>5.41</v>
      </c>
      <c r="L502" s="7">
        <v>5.1779999999999999</v>
      </c>
      <c r="M502" s="7">
        <v>5.4630000000000001</v>
      </c>
      <c r="N502" s="7">
        <v>6.0149999999999997</v>
      </c>
      <c r="O502" s="7">
        <v>6.3570000000000002</v>
      </c>
      <c r="P502" s="7">
        <v>6.5460000000000003</v>
      </c>
      <c r="Q502" s="7">
        <v>6.476</v>
      </c>
      <c r="R502" s="7">
        <v>6.3949999999999996</v>
      </c>
      <c r="S502" s="7">
        <f t="shared" si="7"/>
        <v>6.0178333333333329</v>
      </c>
    </row>
    <row r="503" spans="1:19">
      <c r="A503" s="5" t="str">
        <f>B503&amp;"-"&amp;COUNTIF($B$2:B503,B503)</f>
        <v>BAHIA-300</v>
      </c>
      <c r="B503" s="5" t="s">
        <v>296</v>
      </c>
      <c r="C503" s="5" t="s">
        <v>493</v>
      </c>
      <c r="D503" s="6">
        <v>-426863</v>
      </c>
      <c r="E503" s="6">
        <v>-144926</v>
      </c>
      <c r="F503" s="7">
        <v>5.8369999999999997</v>
      </c>
      <c r="G503" s="7">
        <v>6.7190000000000003</v>
      </c>
      <c r="H503" s="7">
        <v>6.681</v>
      </c>
      <c r="I503" s="7">
        <v>6.0430000000000001</v>
      </c>
      <c r="J503" s="7">
        <v>5.492</v>
      </c>
      <c r="K503" s="7">
        <v>4.8819999999999997</v>
      </c>
      <c r="L503" s="7">
        <v>4.67</v>
      </c>
      <c r="M503" s="7">
        <v>4.8860000000000001</v>
      </c>
      <c r="N503" s="7">
        <v>5.5720000000000001</v>
      </c>
      <c r="O503" s="7">
        <v>6.0170000000000003</v>
      </c>
      <c r="P503" s="7">
        <v>6.4829999999999997</v>
      </c>
      <c r="Q503" s="7">
        <v>6.0380000000000003</v>
      </c>
      <c r="R503" s="7">
        <v>6.5629999999999997</v>
      </c>
      <c r="S503" s="7">
        <f t="shared" si="7"/>
        <v>5.8371666666666675</v>
      </c>
    </row>
    <row r="504" spans="1:19">
      <c r="A504" s="5" t="str">
        <f>B504&amp;"-"&amp;COUNTIF($B$2:B504,B504)</f>
        <v>BAHIA-301</v>
      </c>
      <c r="B504" s="5" t="s">
        <v>296</v>
      </c>
      <c r="C504" s="5" t="s">
        <v>4615</v>
      </c>
      <c r="D504" s="6">
        <v>-403678</v>
      </c>
      <c r="E504" s="6">
        <v>-107438</v>
      </c>
      <c r="F504" s="7">
        <v>5.0919999999999996</v>
      </c>
      <c r="G504" s="7">
        <v>6.016</v>
      </c>
      <c r="H504" s="7">
        <v>5.8170000000000002</v>
      </c>
      <c r="I504" s="7">
        <v>5.6790000000000003</v>
      </c>
      <c r="J504" s="7">
        <v>4.673</v>
      </c>
      <c r="K504" s="7">
        <v>3.911</v>
      </c>
      <c r="L504" s="7">
        <v>3.6070000000000002</v>
      </c>
      <c r="M504" s="7">
        <v>3.86</v>
      </c>
      <c r="N504" s="7">
        <v>4.5069999999999997</v>
      </c>
      <c r="O504" s="7">
        <v>5.569</v>
      </c>
      <c r="P504" s="7">
        <v>5.6529999999999996</v>
      </c>
      <c r="Q504" s="7">
        <v>5.867</v>
      </c>
      <c r="R504" s="7">
        <v>5.9470000000000001</v>
      </c>
      <c r="S504" s="7">
        <f t="shared" si="7"/>
        <v>5.0921666666666665</v>
      </c>
    </row>
    <row r="505" spans="1:19">
      <c r="A505" s="5" t="str">
        <f>B505&amp;"-"&amp;COUNTIF($B$2:B505,B505)</f>
        <v>BAHIA-302</v>
      </c>
      <c r="B505" s="5" t="s">
        <v>296</v>
      </c>
      <c r="C505" s="5" t="s">
        <v>494</v>
      </c>
      <c r="D505" s="6">
        <v>-399087</v>
      </c>
      <c r="E505" s="6">
        <v>-118122</v>
      </c>
      <c r="F505" s="7">
        <v>5.0250000000000004</v>
      </c>
      <c r="G505" s="7">
        <v>6.0490000000000004</v>
      </c>
      <c r="H505" s="7">
        <v>5.8579999999999997</v>
      </c>
      <c r="I505" s="7">
        <v>5.7220000000000004</v>
      </c>
      <c r="J505" s="7">
        <v>4.6909999999999998</v>
      </c>
      <c r="K505" s="7">
        <v>3.9119999999999999</v>
      </c>
      <c r="L505" s="7">
        <v>3.661</v>
      </c>
      <c r="M505" s="7">
        <v>3.7690000000000001</v>
      </c>
      <c r="N505" s="7">
        <v>4.3280000000000003</v>
      </c>
      <c r="O505" s="7">
        <v>5.25</v>
      </c>
      <c r="P505" s="7">
        <v>5.3959999999999999</v>
      </c>
      <c r="Q505" s="7">
        <v>5.69</v>
      </c>
      <c r="R505" s="7">
        <v>5.9690000000000003</v>
      </c>
      <c r="S505" s="7">
        <f t="shared" si="7"/>
        <v>5.0245833333333332</v>
      </c>
    </row>
    <row r="506" spans="1:19">
      <c r="A506" s="5" t="str">
        <f>B506&amp;"-"&amp;COUNTIF($B$2:B506,B506)</f>
        <v>BAHIA-303</v>
      </c>
      <c r="B506" s="5" t="s">
        <v>296</v>
      </c>
      <c r="C506" s="5" t="s">
        <v>495</v>
      </c>
      <c r="D506" s="6">
        <v>-393772</v>
      </c>
      <c r="E506" s="6">
        <v>-137604</v>
      </c>
      <c r="F506" s="7">
        <v>4.8109999999999999</v>
      </c>
      <c r="G506" s="7">
        <v>5.8410000000000002</v>
      </c>
      <c r="H506" s="7">
        <v>5.782</v>
      </c>
      <c r="I506" s="7">
        <v>5.4790000000000001</v>
      </c>
      <c r="J506" s="7">
        <v>4.4109999999999996</v>
      </c>
      <c r="K506" s="7">
        <v>3.823</v>
      </c>
      <c r="L506" s="7">
        <v>3.4750000000000001</v>
      </c>
      <c r="M506" s="7">
        <v>3.6819999999999999</v>
      </c>
      <c r="N506" s="7">
        <v>4.1420000000000003</v>
      </c>
      <c r="O506" s="7">
        <v>4.8330000000000002</v>
      </c>
      <c r="P506" s="7">
        <v>5.0599999999999996</v>
      </c>
      <c r="Q506" s="7">
        <v>5.3010000000000002</v>
      </c>
      <c r="R506" s="7">
        <v>5.8949999999999996</v>
      </c>
      <c r="S506" s="7">
        <f t="shared" si="7"/>
        <v>4.8103333333333333</v>
      </c>
    </row>
    <row r="507" spans="1:19">
      <c r="A507" s="5" t="str">
        <f>B507&amp;"-"&amp;COUNTIF($B$2:B507,B507)</f>
        <v>BAHIA-304</v>
      </c>
      <c r="B507" s="5" t="s">
        <v>296</v>
      </c>
      <c r="C507" s="5" t="s">
        <v>5475</v>
      </c>
      <c r="D507" s="6">
        <v>-417172</v>
      </c>
      <c r="E507" s="6">
        <v>-149448</v>
      </c>
      <c r="F507" s="7">
        <v>5.3239999999999998</v>
      </c>
      <c r="G507" s="7">
        <v>6.2119999999999997</v>
      </c>
      <c r="H507" s="7">
        <v>6.3689999999999998</v>
      </c>
      <c r="I507" s="7">
        <v>5.6449999999999996</v>
      </c>
      <c r="J507" s="7">
        <v>5.0110000000000001</v>
      </c>
      <c r="K507" s="7">
        <v>4.3070000000000004</v>
      </c>
      <c r="L507" s="7">
        <v>3.879</v>
      </c>
      <c r="M507" s="7">
        <v>4.2329999999999997</v>
      </c>
      <c r="N507" s="7">
        <v>4.92</v>
      </c>
      <c r="O507" s="7">
        <v>5.6859999999999999</v>
      </c>
      <c r="P507" s="7">
        <v>5.8780000000000001</v>
      </c>
      <c r="Q507" s="7">
        <v>5.5640000000000001</v>
      </c>
      <c r="R507" s="7">
        <v>6.1840000000000002</v>
      </c>
      <c r="S507" s="7">
        <f t="shared" si="7"/>
        <v>5.3239999999999998</v>
      </c>
    </row>
    <row r="508" spans="1:19">
      <c r="A508" s="5" t="str">
        <f>B508&amp;"-"&amp;COUNTIF($B$2:B508,B508)</f>
        <v>BAHIA-305</v>
      </c>
      <c r="B508" s="5" t="s">
        <v>296</v>
      </c>
      <c r="C508" s="5" t="s">
        <v>496</v>
      </c>
      <c r="D508" s="6">
        <v>-405548</v>
      </c>
      <c r="E508" s="6">
        <v>-117308</v>
      </c>
      <c r="F508" s="7">
        <v>5.008</v>
      </c>
      <c r="G508" s="7">
        <v>6.0030000000000001</v>
      </c>
      <c r="H508" s="7">
        <v>5.8029999999999999</v>
      </c>
      <c r="I508" s="7">
        <v>5.6390000000000002</v>
      </c>
      <c r="J508" s="7">
        <v>4.673</v>
      </c>
      <c r="K508" s="7">
        <v>3.94</v>
      </c>
      <c r="L508" s="7">
        <v>3.6680000000000001</v>
      </c>
      <c r="M508" s="7">
        <v>3.78</v>
      </c>
      <c r="N508" s="7">
        <v>4.4249999999999998</v>
      </c>
      <c r="O508" s="7">
        <v>5.3710000000000004</v>
      </c>
      <c r="P508" s="7">
        <v>5.3810000000000002</v>
      </c>
      <c r="Q508" s="7">
        <v>5.5960000000000001</v>
      </c>
      <c r="R508" s="7">
        <v>5.8150000000000004</v>
      </c>
      <c r="S508" s="7">
        <f t="shared" si="7"/>
        <v>5.0078333333333331</v>
      </c>
    </row>
    <row r="509" spans="1:19">
      <c r="A509" s="5" t="str">
        <f>B509&amp;"-"&amp;COUNTIF($B$2:B509,B509)</f>
        <v>BAHIA-306</v>
      </c>
      <c r="B509" s="5" t="s">
        <v>296</v>
      </c>
      <c r="C509" s="5" t="s">
        <v>497</v>
      </c>
      <c r="D509" s="6">
        <v>-403695</v>
      </c>
      <c r="E509" s="6">
        <v>-132591</v>
      </c>
      <c r="F509" s="7">
        <v>4.9859999999999998</v>
      </c>
      <c r="G509" s="7">
        <v>5.81</v>
      </c>
      <c r="H509" s="7">
        <v>5.94</v>
      </c>
      <c r="I509" s="7">
        <v>5.5220000000000002</v>
      </c>
      <c r="J509" s="7">
        <v>4.5069999999999997</v>
      </c>
      <c r="K509" s="7">
        <v>4.0529999999999999</v>
      </c>
      <c r="L509" s="7">
        <v>3.673</v>
      </c>
      <c r="M509" s="7">
        <v>3.8740000000000001</v>
      </c>
      <c r="N509" s="7">
        <v>4.4729999999999999</v>
      </c>
      <c r="O509" s="7">
        <v>5.3680000000000003</v>
      </c>
      <c r="P509" s="7">
        <v>5.4269999999999996</v>
      </c>
      <c r="Q509" s="7">
        <v>5.367</v>
      </c>
      <c r="R509" s="7">
        <v>5.8140000000000001</v>
      </c>
      <c r="S509" s="7">
        <f t="shared" si="7"/>
        <v>4.985666666666666</v>
      </c>
    </row>
    <row r="510" spans="1:19">
      <c r="A510" s="5" t="str">
        <f>B510&amp;"-"&amp;COUNTIF($B$2:B510,B510)</f>
        <v>BAHIA-307</v>
      </c>
      <c r="B510" s="5" t="s">
        <v>296</v>
      </c>
      <c r="C510" s="5" t="s">
        <v>498</v>
      </c>
      <c r="D510" s="6">
        <v>-404746</v>
      </c>
      <c r="E510" s="6">
        <v>-14668</v>
      </c>
      <c r="F510" s="7">
        <v>4.9329999999999998</v>
      </c>
      <c r="G510" s="7">
        <v>5.8339999999999996</v>
      </c>
      <c r="H510" s="7">
        <v>5.8650000000000002</v>
      </c>
      <c r="I510" s="7">
        <v>5.3570000000000002</v>
      </c>
      <c r="J510" s="7">
        <v>4.5510000000000002</v>
      </c>
      <c r="K510" s="7">
        <v>4.0129999999999999</v>
      </c>
      <c r="L510" s="7">
        <v>3.6120000000000001</v>
      </c>
      <c r="M510" s="7">
        <v>3.806</v>
      </c>
      <c r="N510" s="7">
        <v>4.3250000000000002</v>
      </c>
      <c r="O510" s="7">
        <v>5.194</v>
      </c>
      <c r="P510" s="7">
        <v>5.41</v>
      </c>
      <c r="Q510" s="7">
        <v>5.2949999999999999</v>
      </c>
      <c r="R510" s="7">
        <v>5.93</v>
      </c>
      <c r="S510" s="7">
        <f t="shared" si="7"/>
        <v>4.932666666666667</v>
      </c>
    </row>
    <row r="511" spans="1:19">
      <c r="A511" s="5" t="str">
        <f>B511&amp;"-"&amp;COUNTIF($B$2:B511,B511)</f>
        <v>BAHIA-308</v>
      </c>
      <c r="B511" s="5" t="s">
        <v>296</v>
      </c>
      <c r="C511" s="5" t="s">
        <v>5429</v>
      </c>
      <c r="D511" s="6">
        <v>-403637</v>
      </c>
      <c r="E511" s="6">
        <v>-145238</v>
      </c>
      <c r="F511" s="7">
        <v>4.9589999999999996</v>
      </c>
      <c r="G511" s="7">
        <v>5.8540000000000001</v>
      </c>
      <c r="H511" s="7">
        <v>5.8360000000000003</v>
      </c>
      <c r="I511" s="7">
        <v>5.3949999999999996</v>
      </c>
      <c r="J511" s="7">
        <v>4.617</v>
      </c>
      <c r="K511" s="7">
        <v>4.0759999999999996</v>
      </c>
      <c r="L511" s="7">
        <v>3.6440000000000001</v>
      </c>
      <c r="M511" s="7">
        <v>3.8690000000000002</v>
      </c>
      <c r="N511" s="7">
        <v>4.3440000000000003</v>
      </c>
      <c r="O511" s="7">
        <v>5.1680000000000001</v>
      </c>
      <c r="P511" s="7">
        <v>5.3849999999999998</v>
      </c>
      <c r="Q511" s="7">
        <v>5.3570000000000002</v>
      </c>
      <c r="R511" s="7">
        <v>5.968</v>
      </c>
      <c r="S511" s="7">
        <f t="shared" si="7"/>
        <v>4.9594166666666668</v>
      </c>
    </row>
    <row r="512" spans="1:19">
      <c r="A512" s="5" t="str">
        <f>B512&amp;"-"&amp;COUNTIF($B$2:B512,B512)</f>
        <v>BAHIA-309</v>
      </c>
      <c r="B512" s="5" t="s">
        <v>296</v>
      </c>
      <c r="C512" s="5" t="s">
        <v>499</v>
      </c>
      <c r="D512" s="6">
        <v>-383375</v>
      </c>
      <c r="E512" s="6">
        <v>-124307</v>
      </c>
      <c r="F512" s="7">
        <v>5.09</v>
      </c>
      <c r="G512" s="7">
        <v>6.0739999999999998</v>
      </c>
      <c r="H512" s="7">
        <v>5.9080000000000004</v>
      </c>
      <c r="I512" s="7">
        <v>5.6980000000000004</v>
      </c>
      <c r="J512" s="7">
        <v>4.6349999999999998</v>
      </c>
      <c r="K512" s="7">
        <v>3.9430000000000001</v>
      </c>
      <c r="L512" s="7">
        <v>3.734</v>
      </c>
      <c r="M512" s="7">
        <v>3.9089999999999998</v>
      </c>
      <c r="N512" s="7">
        <v>4.4429999999999996</v>
      </c>
      <c r="O512" s="7">
        <v>5.1970000000000001</v>
      </c>
      <c r="P512" s="7">
        <v>5.53</v>
      </c>
      <c r="Q512" s="7">
        <v>5.8529999999999998</v>
      </c>
      <c r="R512" s="7">
        <v>6.157</v>
      </c>
      <c r="S512" s="7">
        <f t="shared" si="7"/>
        <v>5.0900833333333333</v>
      </c>
    </row>
    <row r="513" spans="1:19">
      <c r="A513" s="5" t="str">
        <f>B513&amp;"-"&amp;COUNTIF($B$2:B513,B513)</f>
        <v>BAHIA-310</v>
      </c>
      <c r="B513" s="5" t="s">
        <v>296</v>
      </c>
      <c r="C513" s="5" t="s">
        <v>500</v>
      </c>
      <c r="D513" s="6">
        <v>-401334</v>
      </c>
      <c r="E513" s="6">
        <v>-108618</v>
      </c>
      <c r="F513" s="7">
        <v>5.1680000000000001</v>
      </c>
      <c r="G513" s="7">
        <v>6.181</v>
      </c>
      <c r="H513" s="7">
        <v>5.9480000000000004</v>
      </c>
      <c r="I513" s="7">
        <v>5.7729999999999997</v>
      </c>
      <c r="J513" s="7">
        <v>4.7329999999999997</v>
      </c>
      <c r="K513" s="7">
        <v>4.0419999999999998</v>
      </c>
      <c r="L513" s="7">
        <v>3.7850000000000001</v>
      </c>
      <c r="M513" s="7">
        <v>3.98</v>
      </c>
      <c r="N513" s="7">
        <v>4.53</v>
      </c>
      <c r="O513" s="7">
        <v>5.5179999999999998</v>
      </c>
      <c r="P513" s="7">
        <v>5.6159999999999997</v>
      </c>
      <c r="Q513" s="7">
        <v>5.9619999999999997</v>
      </c>
      <c r="R513" s="7">
        <v>5.9550000000000001</v>
      </c>
      <c r="S513" s="7">
        <f t="shared" si="7"/>
        <v>5.1685833333333333</v>
      </c>
    </row>
    <row r="514" spans="1:19">
      <c r="A514" s="5" t="str">
        <f>B514&amp;"-"&amp;COUNTIF($B$2:B514,B514)</f>
        <v>BAHIA-311</v>
      </c>
      <c r="B514" s="5" t="s">
        <v>296</v>
      </c>
      <c r="C514" s="5" t="s">
        <v>501</v>
      </c>
      <c r="D514" s="6">
        <v>-390646</v>
      </c>
      <c r="E514" s="6">
        <v>-164439</v>
      </c>
      <c r="F514" s="7">
        <v>5.1269999999999998</v>
      </c>
      <c r="G514" s="7">
        <v>6.2309999999999999</v>
      </c>
      <c r="H514" s="7">
        <v>6.351</v>
      </c>
      <c r="I514" s="7">
        <v>5.6879999999999997</v>
      </c>
      <c r="J514" s="7">
        <v>4.7</v>
      </c>
      <c r="K514" s="7">
        <v>4.0209999999999999</v>
      </c>
      <c r="L514" s="7">
        <v>3.6859999999999999</v>
      </c>
      <c r="M514" s="7">
        <v>3.903</v>
      </c>
      <c r="N514" s="7">
        <v>4.577</v>
      </c>
      <c r="O514" s="7">
        <v>5.1289999999999996</v>
      </c>
      <c r="P514" s="7">
        <v>5.4580000000000002</v>
      </c>
      <c r="Q514" s="7">
        <v>5.4909999999999997</v>
      </c>
      <c r="R514" s="7">
        <v>6.2949999999999999</v>
      </c>
      <c r="S514" s="7">
        <f t="shared" si="7"/>
        <v>5.1274999999999995</v>
      </c>
    </row>
    <row r="515" spans="1:19">
      <c r="A515" s="5" t="str">
        <f>B515&amp;"-"&amp;COUNTIF($B$2:B515,B515)</f>
        <v>BAHIA-312</v>
      </c>
      <c r="B515" s="5" t="s">
        <v>296</v>
      </c>
      <c r="C515" s="5" t="s">
        <v>5476</v>
      </c>
      <c r="D515" s="6">
        <v>-398743</v>
      </c>
      <c r="E515" s="6">
        <v>-155932</v>
      </c>
      <c r="F515" s="7">
        <v>4.859</v>
      </c>
      <c r="G515" s="7">
        <v>5.907</v>
      </c>
      <c r="H515" s="7">
        <v>5.9989999999999997</v>
      </c>
      <c r="I515" s="7">
        <v>5.3849999999999998</v>
      </c>
      <c r="J515" s="7">
        <v>4.5919999999999996</v>
      </c>
      <c r="K515" s="7">
        <v>3.8519999999999999</v>
      </c>
      <c r="L515" s="7">
        <v>3.4769999999999999</v>
      </c>
      <c r="M515" s="7">
        <v>3.6680000000000001</v>
      </c>
      <c r="N515" s="7">
        <v>4.2619999999999996</v>
      </c>
      <c r="O515" s="7">
        <v>4.8929999999999998</v>
      </c>
      <c r="P515" s="7">
        <v>5.0880000000000001</v>
      </c>
      <c r="Q515" s="7">
        <v>5.165</v>
      </c>
      <c r="R515" s="7">
        <v>6.0209999999999999</v>
      </c>
      <c r="S515" s="7">
        <f t="shared" ref="S515:S578" si="8">(G515+H515+I515+J515+K515+L515+M515+N515+O515+P515+Q515+R515)/12</f>
        <v>4.8590833333333334</v>
      </c>
    </row>
    <row r="516" spans="1:19">
      <c r="A516" s="5" t="str">
        <f>B516&amp;"-"&amp;COUNTIF($B$2:B516,B516)</f>
        <v>BAHIA-313</v>
      </c>
      <c r="B516" s="5" t="s">
        <v>296</v>
      </c>
      <c r="C516" s="5" t="s">
        <v>502</v>
      </c>
      <c r="D516" s="6">
        <v>-392231</v>
      </c>
      <c r="E516" s="6">
        <v>-173368</v>
      </c>
      <c r="F516" s="7">
        <v>5.1269999999999998</v>
      </c>
      <c r="G516" s="7">
        <v>6.3520000000000003</v>
      </c>
      <c r="H516" s="7">
        <v>6.444</v>
      </c>
      <c r="I516" s="7">
        <v>5.58</v>
      </c>
      <c r="J516" s="7">
        <v>4.5759999999999996</v>
      </c>
      <c r="K516" s="7">
        <v>3.9529999999999998</v>
      </c>
      <c r="L516" s="7">
        <v>3.6840000000000002</v>
      </c>
      <c r="M516" s="7">
        <v>3.8410000000000002</v>
      </c>
      <c r="N516" s="7">
        <v>4.5679999999999996</v>
      </c>
      <c r="O516" s="7">
        <v>5.1369999999999996</v>
      </c>
      <c r="P516" s="7">
        <v>5.4729999999999999</v>
      </c>
      <c r="Q516" s="7">
        <v>5.5369999999999999</v>
      </c>
      <c r="R516" s="7">
        <v>6.3780000000000001</v>
      </c>
      <c r="S516" s="7">
        <f t="shared" si="8"/>
        <v>5.1269166666666663</v>
      </c>
    </row>
    <row r="517" spans="1:19">
      <c r="A517" s="5" t="str">
        <f>B517&amp;"-"&amp;COUNTIF($B$2:B517,B517)</f>
        <v>BAHIA-314</v>
      </c>
      <c r="B517" s="5" t="s">
        <v>296</v>
      </c>
      <c r="C517" s="5" t="s">
        <v>503</v>
      </c>
      <c r="D517" s="6">
        <v>-419847</v>
      </c>
      <c r="E517" s="6">
        <v>-112928</v>
      </c>
      <c r="F517" s="7">
        <v>5.7889999999999997</v>
      </c>
      <c r="G517" s="7">
        <v>6.4009999999999998</v>
      </c>
      <c r="H517" s="7">
        <v>6.24</v>
      </c>
      <c r="I517" s="7">
        <v>5.9850000000000003</v>
      </c>
      <c r="J517" s="7">
        <v>5.298</v>
      </c>
      <c r="K517" s="7">
        <v>4.8360000000000003</v>
      </c>
      <c r="L517" s="7">
        <v>4.6719999999999997</v>
      </c>
      <c r="M517" s="7">
        <v>4.9260000000000002</v>
      </c>
      <c r="N517" s="7">
        <v>5.6719999999999997</v>
      </c>
      <c r="O517" s="7">
        <v>6.3479999999999999</v>
      </c>
      <c r="P517" s="7">
        <v>6.4640000000000004</v>
      </c>
      <c r="Q517" s="7">
        <v>6.1989999999999998</v>
      </c>
      <c r="R517" s="7">
        <v>6.42</v>
      </c>
      <c r="S517" s="7">
        <f t="shared" si="8"/>
        <v>5.7884166666666657</v>
      </c>
    </row>
    <row r="518" spans="1:19">
      <c r="A518" s="5" t="str">
        <f>B518&amp;"-"&amp;COUNTIF($B$2:B518,B518)</f>
        <v>BAHIA-315</v>
      </c>
      <c r="B518" s="5" t="s">
        <v>296</v>
      </c>
      <c r="C518" s="5" t="s">
        <v>4903</v>
      </c>
      <c r="D518" s="6">
        <v>-416801</v>
      </c>
      <c r="E518" s="6">
        <v>-146889</v>
      </c>
      <c r="F518" s="7">
        <v>5.3090000000000002</v>
      </c>
      <c r="G518" s="7">
        <v>6.133</v>
      </c>
      <c r="H518" s="7">
        <v>6.2889999999999997</v>
      </c>
      <c r="I518" s="7">
        <v>5.6029999999999998</v>
      </c>
      <c r="J518" s="7">
        <v>4.9290000000000003</v>
      </c>
      <c r="K518" s="7">
        <v>4.3410000000000002</v>
      </c>
      <c r="L518" s="7">
        <v>3.911</v>
      </c>
      <c r="M518" s="7">
        <v>4.2320000000000002</v>
      </c>
      <c r="N518" s="7">
        <v>4.843</v>
      </c>
      <c r="O518" s="7">
        <v>5.6790000000000003</v>
      </c>
      <c r="P518" s="7">
        <v>5.8860000000000001</v>
      </c>
      <c r="Q518" s="7">
        <v>5.6260000000000003</v>
      </c>
      <c r="R518" s="7">
        <v>6.2380000000000004</v>
      </c>
      <c r="S518" s="7">
        <f t="shared" si="8"/>
        <v>5.309166666666667</v>
      </c>
    </row>
    <row r="519" spans="1:19">
      <c r="A519" s="5" t="str">
        <f>B519&amp;"-"&amp;COUNTIF($B$2:B519,B519)</f>
        <v>BAHIA-316</v>
      </c>
      <c r="B519" s="5" t="s">
        <v>296</v>
      </c>
      <c r="C519" s="5" t="s">
        <v>504</v>
      </c>
      <c r="D519" s="6">
        <v>-394229</v>
      </c>
      <c r="E519" s="6">
        <v>-134536</v>
      </c>
      <c r="F519" s="7">
        <v>4.7939999999999996</v>
      </c>
      <c r="G519" s="7">
        <v>5.8650000000000002</v>
      </c>
      <c r="H519" s="7">
        <v>5.6870000000000003</v>
      </c>
      <c r="I519" s="7">
        <v>5.5220000000000002</v>
      </c>
      <c r="J519" s="7">
        <v>4.4189999999999996</v>
      </c>
      <c r="K519" s="7">
        <v>3.891</v>
      </c>
      <c r="L519" s="7">
        <v>3.4430000000000001</v>
      </c>
      <c r="M519" s="7">
        <v>3.66</v>
      </c>
      <c r="N519" s="7">
        <v>4.1440000000000001</v>
      </c>
      <c r="O519" s="7">
        <v>4.8259999999999996</v>
      </c>
      <c r="P519" s="7">
        <v>4.9740000000000002</v>
      </c>
      <c r="Q519" s="7">
        <v>5.29</v>
      </c>
      <c r="R519" s="7">
        <v>5.81</v>
      </c>
      <c r="S519" s="7">
        <f t="shared" si="8"/>
        <v>4.7942499999999999</v>
      </c>
    </row>
    <row r="520" spans="1:19">
      <c r="A520" s="5" t="str">
        <f>B520&amp;"-"&amp;COUNTIF($B$2:B520,B520)</f>
        <v>BAHIA-317</v>
      </c>
      <c r="B520" s="5" t="s">
        <v>296</v>
      </c>
      <c r="C520" s="5" t="s">
        <v>505</v>
      </c>
      <c r="D520" s="6">
        <v>-396297</v>
      </c>
      <c r="E520" s="6">
        <v>-10974</v>
      </c>
      <c r="F520" s="7">
        <v>5.2</v>
      </c>
      <c r="G520" s="7">
        <v>6.2050000000000001</v>
      </c>
      <c r="H520" s="7">
        <v>5.9859999999999998</v>
      </c>
      <c r="I520" s="7">
        <v>5.8150000000000004</v>
      </c>
      <c r="J520" s="7">
        <v>4.8639999999999999</v>
      </c>
      <c r="K520" s="7">
        <v>4.0670000000000002</v>
      </c>
      <c r="L520" s="7">
        <v>3.7679999999999998</v>
      </c>
      <c r="M520" s="7">
        <v>4</v>
      </c>
      <c r="N520" s="7">
        <v>4.5350000000000001</v>
      </c>
      <c r="O520" s="7">
        <v>5.45</v>
      </c>
      <c r="P520" s="7">
        <v>5.6660000000000004</v>
      </c>
      <c r="Q520" s="7">
        <v>5.9539999999999997</v>
      </c>
      <c r="R520" s="7">
        <v>6.0890000000000004</v>
      </c>
      <c r="S520" s="7">
        <f t="shared" si="8"/>
        <v>5.1999166666666659</v>
      </c>
    </row>
    <row r="521" spans="1:19">
      <c r="A521" s="5" t="str">
        <f>B521&amp;"-"&amp;COUNTIF($B$2:B521,B521)</f>
        <v>BAHIA-318</v>
      </c>
      <c r="B521" s="5" t="s">
        <v>296</v>
      </c>
      <c r="C521" s="5" t="s">
        <v>506</v>
      </c>
      <c r="D521" s="6">
        <v>-392095</v>
      </c>
      <c r="E521" s="6">
        <v>-107533</v>
      </c>
      <c r="F521" s="7">
        <v>5.2549999999999999</v>
      </c>
      <c r="G521" s="7">
        <v>6.1310000000000002</v>
      </c>
      <c r="H521" s="7">
        <v>5.9749999999999996</v>
      </c>
      <c r="I521" s="7">
        <v>5.8920000000000003</v>
      </c>
      <c r="J521" s="7">
        <v>4.9420000000000002</v>
      </c>
      <c r="K521" s="7">
        <v>4.1950000000000003</v>
      </c>
      <c r="L521" s="7">
        <v>3.8159999999999998</v>
      </c>
      <c r="M521" s="7">
        <v>4.0389999999999997</v>
      </c>
      <c r="N521" s="7">
        <v>4.58</v>
      </c>
      <c r="O521" s="7">
        <v>5.5709999999999997</v>
      </c>
      <c r="P521" s="7">
        <v>5.7050000000000001</v>
      </c>
      <c r="Q521" s="7">
        <v>6.1340000000000003</v>
      </c>
      <c r="R521" s="7">
        <v>6.0750000000000002</v>
      </c>
      <c r="S521" s="7">
        <f t="shared" si="8"/>
        <v>5.2545833333333336</v>
      </c>
    </row>
    <row r="522" spans="1:19">
      <c r="A522" s="5" t="str">
        <f>B522&amp;"-"&amp;COUNTIF($B$2:B522,B522)</f>
        <v>BAHIA-319</v>
      </c>
      <c r="B522" s="5" t="s">
        <v>296</v>
      </c>
      <c r="C522" s="5" t="s">
        <v>507</v>
      </c>
      <c r="D522" s="6">
        <v>-401262</v>
      </c>
      <c r="E522" s="6">
        <v>-114108</v>
      </c>
      <c r="F522" s="7">
        <v>5.0910000000000002</v>
      </c>
      <c r="G522" s="7">
        <v>6.0620000000000003</v>
      </c>
      <c r="H522" s="7">
        <v>5.9560000000000004</v>
      </c>
      <c r="I522" s="7">
        <v>5.7549999999999999</v>
      </c>
      <c r="J522" s="7">
        <v>4.6989999999999998</v>
      </c>
      <c r="K522" s="7">
        <v>4.0279999999999996</v>
      </c>
      <c r="L522" s="7">
        <v>3.7370000000000001</v>
      </c>
      <c r="M522" s="7">
        <v>3.9009999999999998</v>
      </c>
      <c r="N522" s="7">
        <v>4.492</v>
      </c>
      <c r="O522" s="7">
        <v>5.415</v>
      </c>
      <c r="P522" s="7">
        <v>5.4610000000000003</v>
      </c>
      <c r="Q522" s="7">
        <v>5.7050000000000001</v>
      </c>
      <c r="R522" s="7">
        <v>5.8869999999999996</v>
      </c>
      <c r="S522" s="7">
        <f t="shared" si="8"/>
        <v>5.0914999999999999</v>
      </c>
    </row>
    <row r="523" spans="1:19">
      <c r="A523" s="5" t="str">
        <f>B523&amp;"-"&amp;COUNTIF($B$2:B523,B523)</f>
        <v>BAHIA-320</v>
      </c>
      <c r="B523" s="5" t="s">
        <v>296</v>
      </c>
      <c r="C523" s="5" t="s">
        <v>508</v>
      </c>
      <c r="D523" s="6">
        <v>-39501</v>
      </c>
      <c r="E523" s="6">
        <v>-124057</v>
      </c>
      <c r="F523" s="7">
        <v>5.0119999999999996</v>
      </c>
      <c r="G523" s="7">
        <v>5.9969999999999999</v>
      </c>
      <c r="H523" s="7">
        <v>5.8319999999999999</v>
      </c>
      <c r="I523" s="7">
        <v>5.6890000000000001</v>
      </c>
      <c r="J523" s="7">
        <v>4.6459999999999999</v>
      </c>
      <c r="K523" s="7">
        <v>3.9809999999999999</v>
      </c>
      <c r="L523" s="7">
        <v>3.6259999999999999</v>
      </c>
      <c r="M523" s="7">
        <v>3.8639999999999999</v>
      </c>
      <c r="N523" s="7">
        <v>4.4480000000000004</v>
      </c>
      <c r="O523" s="7">
        <v>5.1920000000000002</v>
      </c>
      <c r="P523" s="7">
        <v>5.3380000000000001</v>
      </c>
      <c r="Q523" s="7">
        <v>5.6059999999999999</v>
      </c>
      <c r="R523" s="7">
        <v>5.923</v>
      </c>
      <c r="S523" s="7">
        <f t="shared" si="8"/>
        <v>5.0118333333333345</v>
      </c>
    </row>
    <row r="524" spans="1:19">
      <c r="A524" s="5" t="str">
        <f>B524&amp;"-"&amp;COUNTIF($B$2:B524,B524)</f>
        <v>BAHIA-321</v>
      </c>
      <c r="B524" s="5" t="s">
        <v>296</v>
      </c>
      <c r="C524" s="5" t="s">
        <v>509</v>
      </c>
      <c r="D524" s="6">
        <v>-420852</v>
      </c>
      <c r="E524" s="6">
        <v>-96199</v>
      </c>
      <c r="F524" s="7">
        <v>5.95</v>
      </c>
      <c r="G524" s="7">
        <v>6.4710000000000001</v>
      </c>
      <c r="H524" s="7">
        <v>6.1859999999999999</v>
      </c>
      <c r="I524" s="7">
        <v>6.1079999999999997</v>
      </c>
      <c r="J524" s="7">
        <v>5.6390000000000002</v>
      </c>
      <c r="K524" s="7">
        <v>5.3789999999999996</v>
      </c>
      <c r="L524" s="7">
        <v>5.202</v>
      </c>
      <c r="M524" s="7">
        <v>5.383</v>
      </c>
      <c r="N524" s="7">
        <v>5.6559999999999997</v>
      </c>
      <c r="O524" s="7">
        <v>5.9409999999999998</v>
      </c>
      <c r="P524" s="7">
        <v>6.5119999999999996</v>
      </c>
      <c r="Q524" s="7">
        <v>6.5540000000000003</v>
      </c>
      <c r="R524" s="7">
        <v>6.37</v>
      </c>
      <c r="S524" s="7">
        <f t="shared" si="8"/>
        <v>5.9500833333333345</v>
      </c>
    </row>
    <row r="525" spans="1:19">
      <c r="A525" s="5" t="str">
        <f>B525&amp;"-"&amp;COUNTIF($B$2:B525,B525)</f>
        <v>BAHIA-322</v>
      </c>
      <c r="B525" s="5" t="s">
        <v>296</v>
      </c>
      <c r="C525" s="5" t="s">
        <v>4904</v>
      </c>
      <c r="D525" s="6">
        <v>-394283</v>
      </c>
      <c r="E525" s="6">
        <v>-114935</v>
      </c>
      <c r="F525" s="7">
        <v>5.1449999999999996</v>
      </c>
      <c r="G525" s="7">
        <v>6.0960000000000001</v>
      </c>
      <c r="H525" s="7">
        <v>5.8920000000000003</v>
      </c>
      <c r="I525" s="7">
        <v>5.8330000000000002</v>
      </c>
      <c r="J525" s="7">
        <v>4.8140000000000001</v>
      </c>
      <c r="K525" s="7">
        <v>4.0460000000000003</v>
      </c>
      <c r="L525" s="7">
        <v>3.7570000000000001</v>
      </c>
      <c r="M525" s="7">
        <v>3.9929999999999999</v>
      </c>
      <c r="N525" s="7">
        <v>4.4989999999999997</v>
      </c>
      <c r="O525" s="7">
        <v>5.4009999999999998</v>
      </c>
      <c r="P525" s="7">
        <v>5.58</v>
      </c>
      <c r="Q525" s="7">
        <v>5.8559999999999999</v>
      </c>
      <c r="R525" s="7">
        <v>5.9729999999999999</v>
      </c>
      <c r="S525" s="7">
        <f t="shared" si="8"/>
        <v>5.1450000000000005</v>
      </c>
    </row>
    <row r="526" spans="1:19">
      <c r="A526" s="5" t="str">
        <f>B526&amp;"-"&amp;COUNTIF($B$2:B526,B526)</f>
        <v>BAHIA-323</v>
      </c>
      <c r="B526" s="5" t="s">
        <v>296</v>
      </c>
      <c r="C526" s="5" t="s">
        <v>3914</v>
      </c>
      <c r="D526" s="6">
        <v>-449122</v>
      </c>
      <c r="E526" s="6">
        <v>-11749</v>
      </c>
      <c r="F526" s="7">
        <v>5.8479999999999999</v>
      </c>
      <c r="G526" s="7">
        <v>6.25</v>
      </c>
      <c r="H526" s="7">
        <v>6.02</v>
      </c>
      <c r="I526" s="7">
        <v>5.6779999999999999</v>
      </c>
      <c r="J526" s="7">
        <v>5.5060000000000002</v>
      </c>
      <c r="K526" s="7">
        <v>5.3550000000000004</v>
      </c>
      <c r="L526" s="7">
        <v>5.274</v>
      </c>
      <c r="M526" s="7">
        <v>5.524</v>
      </c>
      <c r="N526" s="7">
        <v>6.0679999999999996</v>
      </c>
      <c r="O526" s="7">
        <v>6.3120000000000003</v>
      </c>
      <c r="P526" s="7">
        <v>6.1879999999999997</v>
      </c>
      <c r="Q526" s="7">
        <v>5.8540000000000001</v>
      </c>
      <c r="R526" s="7">
        <v>6.1429999999999998</v>
      </c>
      <c r="S526" s="7">
        <f t="shared" si="8"/>
        <v>5.8476666666666661</v>
      </c>
    </row>
    <row r="527" spans="1:19">
      <c r="A527" s="5" t="str">
        <f>B527&amp;"-"&amp;COUNTIF($B$2:B527,B527)</f>
        <v>BAHIA-324</v>
      </c>
      <c r="B527" s="5" t="s">
        <v>296</v>
      </c>
      <c r="C527" s="5" t="s">
        <v>3915</v>
      </c>
      <c r="D527" s="6">
        <v>-393821</v>
      </c>
      <c r="E527" s="6">
        <v>-118071</v>
      </c>
      <c r="F527" s="7">
        <v>5.117</v>
      </c>
      <c r="G527" s="7">
        <v>6.1829999999999998</v>
      </c>
      <c r="H527" s="7">
        <v>5.9459999999999997</v>
      </c>
      <c r="I527" s="7">
        <v>5.7779999999999996</v>
      </c>
      <c r="J527" s="7">
        <v>4.7720000000000002</v>
      </c>
      <c r="K527" s="7">
        <v>3.9870000000000001</v>
      </c>
      <c r="L527" s="7">
        <v>3.6989999999999998</v>
      </c>
      <c r="M527" s="7">
        <v>3.931</v>
      </c>
      <c r="N527" s="7">
        <v>4.4459999999999997</v>
      </c>
      <c r="O527" s="7">
        <v>5.33</v>
      </c>
      <c r="P527" s="7">
        <v>5.5410000000000004</v>
      </c>
      <c r="Q527" s="7">
        <v>5.82</v>
      </c>
      <c r="R527" s="7">
        <v>5.9669999999999996</v>
      </c>
      <c r="S527" s="7">
        <f t="shared" si="8"/>
        <v>5.1166666666666663</v>
      </c>
    </row>
    <row r="528" spans="1:19">
      <c r="A528" s="5" t="str">
        <f>B528&amp;"-"&amp;COUNTIF($B$2:B528,B528)</f>
        <v>BAHIA-325</v>
      </c>
      <c r="B528" s="5" t="s">
        <v>296</v>
      </c>
      <c r="C528" s="5" t="s">
        <v>510</v>
      </c>
      <c r="D528" s="6">
        <v>-429364</v>
      </c>
      <c r="E528" s="6">
        <v>-13613</v>
      </c>
      <c r="F528" s="7">
        <v>5.8159999999999998</v>
      </c>
      <c r="G528" s="7">
        <v>6.5309999999999997</v>
      </c>
      <c r="H528" s="7">
        <v>6.5529999999999999</v>
      </c>
      <c r="I528" s="7">
        <v>5.9809999999999999</v>
      </c>
      <c r="J528" s="7">
        <v>5.5140000000000002</v>
      </c>
      <c r="K528" s="7">
        <v>5.0019999999999998</v>
      </c>
      <c r="L528" s="7">
        <v>4.7850000000000001</v>
      </c>
      <c r="M528" s="7">
        <v>5.0739999999999998</v>
      </c>
      <c r="N528" s="7">
        <v>5.7009999999999996</v>
      </c>
      <c r="O528" s="7">
        <v>6.1859999999999999</v>
      </c>
      <c r="P528" s="7">
        <v>6.2610000000000001</v>
      </c>
      <c r="Q528" s="7">
        <v>5.7750000000000004</v>
      </c>
      <c r="R528" s="7">
        <v>6.4349999999999996</v>
      </c>
      <c r="S528" s="7">
        <f t="shared" si="8"/>
        <v>5.8165000000000004</v>
      </c>
    </row>
    <row r="529" spans="1:19">
      <c r="A529" s="5" t="str">
        <f>B529&amp;"-"&amp;COUNTIF($B$2:B529,B529)</f>
        <v>BAHIA-326</v>
      </c>
      <c r="B529" s="5" t="s">
        <v>296</v>
      </c>
      <c r="C529" s="5" t="s">
        <v>511</v>
      </c>
      <c r="D529" s="6">
        <v>-384245</v>
      </c>
      <c r="E529" s="6">
        <v>-110425</v>
      </c>
      <c r="F529" s="7">
        <v>5.1459999999999999</v>
      </c>
      <c r="G529" s="7">
        <v>6.1050000000000004</v>
      </c>
      <c r="H529" s="7">
        <v>5.8310000000000004</v>
      </c>
      <c r="I529" s="7">
        <v>5.8029999999999999</v>
      </c>
      <c r="J529" s="7">
        <v>4.9109999999999996</v>
      </c>
      <c r="K529" s="7">
        <v>4.1349999999999998</v>
      </c>
      <c r="L529" s="7">
        <v>3.81</v>
      </c>
      <c r="M529" s="7">
        <v>3.9430000000000001</v>
      </c>
      <c r="N529" s="7">
        <v>4.4409999999999998</v>
      </c>
      <c r="O529" s="7">
        <v>5.218</v>
      </c>
      <c r="P529" s="7">
        <v>5.5170000000000003</v>
      </c>
      <c r="Q529" s="7">
        <v>5.984</v>
      </c>
      <c r="R529" s="7">
        <v>6.0519999999999996</v>
      </c>
      <c r="S529" s="7">
        <f t="shared" si="8"/>
        <v>5.1458333333333339</v>
      </c>
    </row>
    <row r="530" spans="1:19">
      <c r="A530" s="5" t="str">
        <f>B530&amp;"-"&amp;COUNTIF($B$2:B530,B530)</f>
        <v>BAHIA-327</v>
      </c>
      <c r="B530" s="5" t="s">
        <v>296</v>
      </c>
      <c r="C530" s="5" t="s">
        <v>512</v>
      </c>
      <c r="D530" s="6">
        <v>-385385</v>
      </c>
      <c r="E530" s="6">
        <v>-108377</v>
      </c>
      <c r="F530" s="7">
        <v>5.2190000000000003</v>
      </c>
      <c r="G530" s="7">
        <v>6.11</v>
      </c>
      <c r="H530" s="7">
        <v>5.9089999999999998</v>
      </c>
      <c r="I530" s="7">
        <v>5.8680000000000003</v>
      </c>
      <c r="J530" s="7">
        <v>5.0339999999999998</v>
      </c>
      <c r="K530" s="7">
        <v>4.2080000000000002</v>
      </c>
      <c r="L530" s="7">
        <v>3.8479999999999999</v>
      </c>
      <c r="M530" s="7">
        <v>4.0199999999999996</v>
      </c>
      <c r="N530" s="7">
        <v>4.4950000000000001</v>
      </c>
      <c r="O530" s="7">
        <v>5.3520000000000003</v>
      </c>
      <c r="P530" s="7">
        <v>5.5979999999999999</v>
      </c>
      <c r="Q530" s="7">
        <v>6.0759999999999996</v>
      </c>
      <c r="R530" s="7">
        <v>6.11</v>
      </c>
      <c r="S530" s="7">
        <f t="shared" si="8"/>
        <v>5.2189999999999994</v>
      </c>
    </row>
    <row r="531" spans="1:19">
      <c r="A531" s="5" t="str">
        <f>B531&amp;"-"&amp;COUNTIF($B$2:B531,B531)</f>
        <v>BAHIA-328</v>
      </c>
      <c r="B531" s="5" t="s">
        <v>296</v>
      </c>
      <c r="C531" s="5" t="s">
        <v>3916</v>
      </c>
      <c r="D531" s="6">
        <v>-407445</v>
      </c>
      <c r="E531" s="6">
        <v>-154512</v>
      </c>
      <c r="F531" s="7">
        <v>4.9290000000000003</v>
      </c>
      <c r="G531" s="7">
        <v>5.9989999999999997</v>
      </c>
      <c r="H531" s="7">
        <v>6.0129999999999999</v>
      </c>
      <c r="I531" s="7">
        <v>5.3630000000000004</v>
      </c>
      <c r="J531" s="7">
        <v>4.6230000000000002</v>
      </c>
      <c r="K531" s="7">
        <v>3.9129999999999998</v>
      </c>
      <c r="L531" s="7">
        <v>3.5289999999999999</v>
      </c>
      <c r="M531" s="7">
        <v>3.742</v>
      </c>
      <c r="N531" s="7">
        <v>4.282</v>
      </c>
      <c r="O531" s="7">
        <v>5.13</v>
      </c>
      <c r="P531" s="7">
        <v>5.3170000000000002</v>
      </c>
      <c r="Q531" s="7">
        <v>5.2169999999999996</v>
      </c>
      <c r="R531" s="7">
        <v>6.0149999999999997</v>
      </c>
      <c r="S531" s="7">
        <f t="shared" si="8"/>
        <v>4.9285833333333331</v>
      </c>
    </row>
    <row r="532" spans="1:19">
      <c r="A532" s="5" t="str">
        <f>B532&amp;"-"&amp;COUNTIF($B$2:B532,B532)</f>
        <v>BAHIA-329</v>
      </c>
      <c r="B532" s="5" t="s">
        <v>296</v>
      </c>
      <c r="C532" s="5" t="s">
        <v>513</v>
      </c>
      <c r="D532" s="6">
        <v>-418107</v>
      </c>
      <c r="E532" s="6">
        <v>-135796</v>
      </c>
      <c r="F532" s="7">
        <v>5.492</v>
      </c>
      <c r="G532" s="7">
        <v>6.29</v>
      </c>
      <c r="H532" s="7">
        <v>6.2720000000000002</v>
      </c>
      <c r="I532" s="7">
        <v>5.7549999999999999</v>
      </c>
      <c r="J532" s="7">
        <v>4.9720000000000004</v>
      </c>
      <c r="K532" s="7">
        <v>4.4249999999999998</v>
      </c>
      <c r="L532" s="7">
        <v>4.1479999999999997</v>
      </c>
      <c r="M532" s="7">
        <v>4.4429999999999996</v>
      </c>
      <c r="N532" s="7">
        <v>5.19</v>
      </c>
      <c r="O532" s="7">
        <v>6.0179999999999998</v>
      </c>
      <c r="P532" s="7">
        <v>6.2210000000000001</v>
      </c>
      <c r="Q532" s="7">
        <v>5.7789999999999999</v>
      </c>
      <c r="R532" s="7">
        <v>6.391</v>
      </c>
      <c r="S532" s="7">
        <f t="shared" si="8"/>
        <v>5.492</v>
      </c>
    </row>
    <row r="533" spans="1:19">
      <c r="A533" s="5" t="str">
        <f>B533&amp;"-"&amp;COUNTIF($B$2:B533,B533)</f>
        <v>BAHIA-330</v>
      </c>
      <c r="B533" s="5" t="s">
        <v>296</v>
      </c>
      <c r="C533" s="5" t="s">
        <v>4539</v>
      </c>
      <c r="D533" s="6">
        <v>-420748</v>
      </c>
      <c r="E533" s="6">
        <v>-144095</v>
      </c>
      <c r="F533" s="7">
        <v>5.4710000000000001</v>
      </c>
      <c r="G533" s="7">
        <v>6.3810000000000002</v>
      </c>
      <c r="H533" s="7">
        <v>6.4160000000000004</v>
      </c>
      <c r="I533" s="7">
        <v>5.7</v>
      </c>
      <c r="J533" s="7">
        <v>4.9729999999999999</v>
      </c>
      <c r="K533" s="7">
        <v>4.4550000000000001</v>
      </c>
      <c r="L533" s="7">
        <v>4.0620000000000003</v>
      </c>
      <c r="M533" s="7">
        <v>4.3639999999999999</v>
      </c>
      <c r="N533" s="7">
        <v>5.08</v>
      </c>
      <c r="O533" s="7">
        <v>5.7809999999999997</v>
      </c>
      <c r="P533" s="7">
        <v>6.1790000000000003</v>
      </c>
      <c r="Q533" s="7">
        <v>5.84</v>
      </c>
      <c r="R533" s="7">
        <v>6.4160000000000004</v>
      </c>
      <c r="S533" s="7">
        <f t="shared" si="8"/>
        <v>5.4705833333333329</v>
      </c>
    </row>
    <row r="534" spans="1:19">
      <c r="A534" s="5" t="str">
        <f>B534&amp;"-"&amp;COUNTIF($B$2:B534,B534)</f>
        <v>BAHIA-331</v>
      </c>
      <c r="B534" s="5" t="s">
        <v>296</v>
      </c>
      <c r="C534" s="5" t="s">
        <v>514</v>
      </c>
      <c r="D534" s="6">
        <v>-42292</v>
      </c>
      <c r="E534" s="6">
        <v>-13126</v>
      </c>
      <c r="F534" s="7">
        <v>5.8529999999999998</v>
      </c>
      <c r="G534" s="7">
        <v>6.516</v>
      </c>
      <c r="H534" s="7">
        <v>6.6029999999999998</v>
      </c>
      <c r="I534" s="7">
        <v>6.0590000000000002</v>
      </c>
      <c r="J534" s="7">
        <v>5.4649999999999999</v>
      </c>
      <c r="K534" s="7">
        <v>4.9960000000000004</v>
      </c>
      <c r="L534" s="7">
        <v>4.7359999999999998</v>
      </c>
      <c r="M534" s="7">
        <v>4.9379999999999997</v>
      </c>
      <c r="N534" s="7">
        <v>5.657</v>
      </c>
      <c r="O534" s="7">
        <v>6.2190000000000003</v>
      </c>
      <c r="P534" s="7">
        <v>6.4080000000000004</v>
      </c>
      <c r="Q534" s="7">
        <v>6.0579999999999998</v>
      </c>
      <c r="R534" s="7">
        <v>6.5789999999999997</v>
      </c>
      <c r="S534" s="7">
        <f t="shared" si="8"/>
        <v>5.8528333333333329</v>
      </c>
    </row>
    <row r="535" spans="1:19">
      <c r="A535" s="5" t="str">
        <f>B535&amp;"-"&amp;COUNTIF($B$2:B535,B535)</f>
        <v>BAHIA-332</v>
      </c>
      <c r="B535" s="5" t="s">
        <v>296</v>
      </c>
      <c r="C535" s="5" t="s">
        <v>515</v>
      </c>
      <c r="D535" s="6">
        <v>-379336</v>
      </c>
      <c r="E535" s="6">
        <v>-114818</v>
      </c>
      <c r="F535" s="7">
        <v>5.218</v>
      </c>
      <c r="G535" s="7">
        <v>6.1909999999999998</v>
      </c>
      <c r="H535" s="7">
        <v>5.9930000000000003</v>
      </c>
      <c r="I535" s="7">
        <v>5.7690000000000001</v>
      </c>
      <c r="J535" s="7">
        <v>4.8639999999999999</v>
      </c>
      <c r="K535" s="7">
        <v>4.1189999999999998</v>
      </c>
      <c r="L535" s="7">
        <v>3.9169999999999998</v>
      </c>
      <c r="M535" s="7">
        <v>4.048</v>
      </c>
      <c r="N535" s="7">
        <v>4.5179999999999998</v>
      </c>
      <c r="O535" s="7">
        <v>5.3090000000000002</v>
      </c>
      <c r="P535" s="7">
        <v>5.6529999999999996</v>
      </c>
      <c r="Q535" s="7">
        <v>6.0209999999999999</v>
      </c>
      <c r="R535" s="7">
        <v>6.2149999999999999</v>
      </c>
      <c r="S535" s="7">
        <f t="shared" si="8"/>
        <v>5.2180833333333334</v>
      </c>
    </row>
    <row r="536" spans="1:19">
      <c r="A536" s="5" t="str">
        <f>B536&amp;"-"&amp;COUNTIF($B$2:B536,B536)</f>
        <v>BAHIA-333</v>
      </c>
      <c r="B536" s="5" t="s">
        <v>296</v>
      </c>
      <c r="C536" s="5" t="s">
        <v>516</v>
      </c>
      <c r="D536" s="6">
        <v>-387803</v>
      </c>
      <c r="E536" s="6">
        <v>-88506</v>
      </c>
      <c r="F536" s="7">
        <v>5.7960000000000003</v>
      </c>
      <c r="G536" s="7">
        <v>6.4909999999999997</v>
      </c>
      <c r="H536" s="7">
        <v>6.3049999999999997</v>
      </c>
      <c r="I536" s="7">
        <v>6.2910000000000004</v>
      </c>
      <c r="J536" s="7">
        <v>5.6260000000000003</v>
      </c>
      <c r="K536" s="7">
        <v>4.827</v>
      </c>
      <c r="L536" s="7">
        <v>4.3680000000000003</v>
      </c>
      <c r="M536" s="7">
        <v>4.5970000000000004</v>
      </c>
      <c r="N536" s="7">
        <v>5.2949999999999999</v>
      </c>
      <c r="O536" s="7">
        <v>6.1420000000000003</v>
      </c>
      <c r="P536" s="7">
        <v>6.3730000000000002</v>
      </c>
      <c r="Q536" s="7">
        <v>6.5830000000000002</v>
      </c>
      <c r="R536" s="7">
        <v>6.649</v>
      </c>
      <c r="S536" s="7">
        <f t="shared" si="8"/>
        <v>5.7955833333333331</v>
      </c>
    </row>
    <row r="537" spans="1:19">
      <c r="A537" s="5" t="str">
        <f>B537&amp;"-"&amp;COUNTIF($B$2:B537,B537)</f>
        <v>BAHIA-334</v>
      </c>
      <c r="B537" s="5" t="s">
        <v>296</v>
      </c>
      <c r="C537" s="5" t="s">
        <v>517</v>
      </c>
      <c r="D537" s="6">
        <v>-404934</v>
      </c>
      <c r="E537" s="6">
        <v>-122821</v>
      </c>
      <c r="F537" s="7">
        <v>4.9770000000000003</v>
      </c>
      <c r="G537" s="7">
        <v>5.8579999999999997</v>
      </c>
      <c r="H537" s="7">
        <v>5.8479999999999999</v>
      </c>
      <c r="I537" s="7">
        <v>5.7110000000000003</v>
      </c>
      <c r="J537" s="7">
        <v>4.6559999999999997</v>
      </c>
      <c r="K537" s="7">
        <v>3.9889999999999999</v>
      </c>
      <c r="L537" s="7">
        <v>3.6779999999999999</v>
      </c>
      <c r="M537" s="7">
        <v>3.7949999999999999</v>
      </c>
      <c r="N537" s="7">
        <v>4.3689999999999998</v>
      </c>
      <c r="O537" s="7">
        <v>5.2409999999999997</v>
      </c>
      <c r="P537" s="7">
        <v>5.2770000000000001</v>
      </c>
      <c r="Q537" s="7">
        <v>5.4610000000000003</v>
      </c>
      <c r="R537" s="7">
        <v>5.84</v>
      </c>
      <c r="S537" s="7">
        <f t="shared" si="8"/>
        <v>4.9769166666666669</v>
      </c>
    </row>
    <row r="538" spans="1:19">
      <c r="A538" s="5" t="str">
        <f>B538&amp;"-"&amp;COUNTIF($B$2:B538,B538)</f>
        <v>BAHIA-335</v>
      </c>
      <c r="B538" s="5" t="s">
        <v>296</v>
      </c>
      <c r="C538" s="5" t="s">
        <v>5477</v>
      </c>
      <c r="D538" s="6">
        <v>-385814</v>
      </c>
      <c r="E538" s="6">
        <v>-11604</v>
      </c>
      <c r="F538" s="7">
        <v>5.1390000000000002</v>
      </c>
      <c r="G538" s="7">
        <v>6.0259999999999998</v>
      </c>
      <c r="H538" s="7">
        <v>5.8789999999999996</v>
      </c>
      <c r="I538" s="7">
        <v>5.7530000000000001</v>
      </c>
      <c r="J538" s="7">
        <v>4.8079999999999998</v>
      </c>
      <c r="K538" s="7">
        <v>4.0720000000000001</v>
      </c>
      <c r="L538" s="7">
        <v>3.819</v>
      </c>
      <c r="M538" s="7">
        <v>3.9980000000000002</v>
      </c>
      <c r="N538" s="7">
        <v>4.5049999999999999</v>
      </c>
      <c r="O538" s="7">
        <v>5.298</v>
      </c>
      <c r="P538" s="7">
        <v>5.5229999999999997</v>
      </c>
      <c r="Q538" s="7">
        <v>5.9279999999999999</v>
      </c>
      <c r="R538" s="7">
        <v>6.0570000000000004</v>
      </c>
      <c r="S538" s="7">
        <f t="shared" si="8"/>
        <v>5.1388333333333334</v>
      </c>
    </row>
    <row r="539" spans="1:19">
      <c r="A539" s="5" t="str">
        <f>B539&amp;"-"&amp;COUNTIF($B$2:B539,B539)</f>
        <v>BAHIA-336</v>
      </c>
      <c r="B539" s="5" t="s">
        <v>296</v>
      </c>
      <c r="C539" s="5" t="s">
        <v>4287</v>
      </c>
      <c r="D539" s="6">
        <v>-449746</v>
      </c>
      <c r="E539" s="6">
        <v>-123615</v>
      </c>
      <c r="F539" s="7">
        <v>5.82</v>
      </c>
      <c r="G539" s="7">
        <v>6.2859999999999996</v>
      </c>
      <c r="H539" s="7">
        <v>6.0860000000000003</v>
      </c>
      <c r="I539" s="7">
        <v>5.7080000000000002</v>
      </c>
      <c r="J539" s="7">
        <v>5.5359999999999996</v>
      </c>
      <c r="K539" s="7">
        <v>5.3070000000000004</v>
      </c>
      <c r="L539" s="7">
        <v>5.09</v>
      </c>
      <c r="M539" s="7">
        <v>5.5179999999999998</v>
      </c>
      <c r="N539" s="7">
        <v>6.1070000000000002</v>
      </c>
      <c r="O539" s="7">
        <v>6.16</v>
      </c>
      <c r="P539" s="7">
        <v>6.1310000000000002</v>
      </c>
      <c r="Q539" s="7">
        <v>5.7270000000000003</v>
      </c>
      <c r="R539" s="7">
        <v>6.1790000000000003</v>
      </c>
      <c r="S539" s="7">
        <f t="shared" si="8"/>
        <v>5.819583333333334</v>
      </c>
    </row>
    <row r="540" spans="1:19">
      <c r="A540" s="5" t="str">
        <f>B540&amp;"-"&amp;COUNTIF($B$2:B540,B540)</f>
        <v>BAHIA-337</v>
      </c>
      <c r="B540" s="5" t="s">
        <v>296</v>
      </c>
      <c r="C540" s="5" t="s">
        <v>3917</v>
      </c>
      <c r="D540" s="6">
        <v>-395271</v>
      </c>
      <c r="E540" s="6">
        <v>-114654</v>
      </c>
      <c r="F540" s="7">
        <v>5.1340000000000003</v>
      </c>
      <c r="G540" s="7">
        <v>6.077</v>
      </c>
      <c r="H540" s="7">
        <v>5.915</v>
      </c>
      <c r="I540" s="7">
        <v>5.8360000000000003</v>
      </c>
      <c r="J540" s="7">
        <v>4.7990000000000004</v>
      </c>
      <c r="K540" s="7">
        <v>4.0339999999999998</v>
      </c>
      <c r="L540" s="7">
        <v>3.7290000000000001</v>
      </c>
      <c r="M540" s="7">
        <v>3.9630000000000001</v>
      </c>
      <c r="N540" s="7">
        <v>4.4859999999999998</v>
      </c>
      <c r="O540" s="7">
        <v>5.4020000000000001</v>
      </c>
      <c r="P540" s="7">
        <v>5.5659999999999998</v>
      </c>
      <c r="Q540" s="7">
        <v>5.8449999999999998</v>
      </c>
      <c r="R540" s="7">
        <v>5.9539999999999997</v>
      </c>
      <c r="S540" s="7">
        <f t="shared" si="8"/>
        <v>5.1338333333333335</v>
      </c>
    </row>
    <row r="541" spans="1:19">
      <c r="A541" s="5" t="str">
        <f>B541&amp;"-"&amp;COUNTIF($B$2:B541,B541)</f>
        <v>BAHIA-338</v>
      </c>
      <c r="B541" s="5" t="s">
        <v>296</v>
      </c>
      <c r="C541" s="5" t="s">
        <v>4288</v>
      </c>
      <c r="D541" s="6">
        <v>-389742</v>
      </c>
      <c r="E541" s="6">
        <v>-126129</v>
      </c>
      <c r="F541" s="7">
        <v>5.1059999999999999</v>
      </c>
      <c r="G541" s="7">
        <v>6.1020000000000003</v>
      </c>
      <c r="H541" s="7">
        <v>5.9790000000000001</v>
      </c>
      <c r="I541" s="7">
        <v>5.75</v>
      </c>
      <c r="J541" s="7">
        <v>4.6719999999999997</v>
      </c>
      <c r="K541" s="7">
        <v>4.0069999999999997</v>
      </c>
      <c r="L541" s="7">
        <v>3.6349999999999998</v>
      </c>
      <c r="M541" s="7">
        <v>3.9369999999999998</v>
      </c>
      <c r="N541" s="7">
        <v>4.4459999999999997</v>
      </c>
      <c r="O541" s="7">
        <v>5.2969999999999997</v>
      </c>
      <c r="P541" s="7">
        <v>5.5529999999999999</v>
      </c>
      <c r="Q541" s="7">
        <v>5.7960000000000003</v>
      </c>
      <c r="R541" s="7">
        <v>6.0910000000000002</v>
      </c>
      <c r="S541" s="7">
        <f t="shared" si="8"/>
        <v>5.1054166666666658</v>
      </c>
    </row>
    <row r="542" spans="1:19">
      <c r="A542" s="5" t="str">
        <f>B542&amp;"-"&amp;COUNTIF($B$2:B542,B542)</f>
        <v>BAHIA-339</v>
      </c>
      <c r="B542" s="5" t="s">
        <v>296</v>
      </c>
      <c r="C542" s="5" t="s">
        <v>4289</v>
      </c>
      <c r="D542" s="6">
        <v>-441942</v>
      </c>
      <c r="E542" s="6">
        <v>-134055</v>
      </c>
      <c r="F542" s="7">
        <v>5.8609999999999998</v>
      </c>
      <c r="G542" s="7">
        <v>6.5810000000000004</v>
      </c>
      <c r="H542" s="7">
        <v>6.3680000000000003</v>
      </c>
      <c r="I542" s="7">
        <v>5.8360000000000003</v>
      </c>
      <c r="J542" s="7">
        <v>5.5910000000000002</v>
      </c>
      <c r="K542" s="7">
        <v>5.1619999999999999</v>
      </c>
      <c r="L542" s="7">
        <v>4.9820000000000002</v>
      </c>
      <c r="M542" s="7">
        <v>5.2869999999999999</v>
      </c>
      <c r="N542" s="7">
        <v>5.7880000000000003</v>
      </c>
      <c r="O542" s="7">
        <v>6.2169999999999996</v>
      </c>
      <c r="P542" s="7">
        <v>6.3380000000000001</v>
      </c>
      <c r="Q542" s="7">
        <v>5.8280000000000003</v>
      </c>
      <c r="R542" s="7">
        <v>6.3529999999999998</v>
      </c>
      <c r="S542" s="7">
        <f t="shared" si="8"/>
        <v>5.8609166666666672</v>
      </c>
    </row>
    <row r="543" spans="1:19">
      <c r="A543" s="5" t="str">
        <f>B543&amp;"-"&amp;COUNTIF($B$2:B543,B543)</f>
        <v>BAHIA-340</v>
      </c>
      <c r="B543" s="5" t="s">
        <v>296</v>
      </c>
      <c r="C543" s="5" t="s">
        <v>3918</v>
      </c>
      <c r="D543" s="6">
        <v>-390871</v>
      </c>
      <c r="E543" s="6">
        <v>-128455</v>
      </c>
      <c r="F543" s="7">
        <v>5.0460000000000003</v>
      </c>
      <c r="G543" s="7">
        <v>6.0679999999999996</v>
      </c>
      <c r="H543" s="7">
        <v>5.9119999999999999</v>
      </c>
      <c r="I543" s="7">
        <v>5.6980000000000004</v>
      </c>
      <c r="J543" s="7">
        <v>4.5970000000000004</v>
      </c>
      <c r="K543" s="7">
        <v>3.968</v>
      </c>
      <c r="L543" s="7">
        <v>3.6030000000000002</v>
      </c>
      <c r="M543" s="7">
        <v>3.827</v>
      </c>
      <c r="N543" s="7">
        <v>4.3710000000000004</v>
      </c>
      <c r="O543" s="7">
        <v>5.1920000000000002</v>
      </c>
      <c r="P543" s="7">
        <v>5.4660000000000002</v>
      </c>
      <c r="Q543" s="7">
        <v>5.7569999999999997</v>
      </c>
      <c r="R543" s="7">
        <v>6.0910000000000002</v>
      </c>
      <c r="S543" s="7">
        <f t="shared" si="8"/>
        <v>5.0458333333333334</v>
      </c>
    </row>
    <row r="544" spans="1:19">
      <c r="A544" s="5" t="str">
        <f>B544&amp;"-"&amp;COUNTIF($B$2:B544,B544)</f>
        <v>BAHIA-341</v>
      </c>
      <c r="B544" s="5" t="s">
        <v>296</v>
      </c>
      <c r="C544" s="5" t="s">
        <v>3919</v>
      </c>
      <c r="D544" s="6">
        <v>-386762</v>
      </c>
      <c r="E544" s="6">
        <v>-126221</v>
      </c>
      <c r="F544" s="7">
        <v>5.05</v>
      </c>
      <c r="G544" s="7">
        <v>6.0750000000000002</v>
      </c>
      <c r="H544" s="7">
        <v>5.8079999999999998</v>
      </c>
      <c r="I544" s="7">
        <v>5.7290000000000001</v>
      </c>
      <c r="J544" s="7">
        <v>4.6349999999999998</v>
      </c>
      <c r="K544" s="7">
        <v>3.968</v>
      </c>
      <c r="L544" s="7">
        <v>3.6429999999999998</v>
      </c>
      <c r="M544" s="7">
        <v>3.8839999999999999</v>
      </c>
      <c r="N544" s="7">
        <v>4.3369999999999997</v>
      </c>
      <c r="O544" s="7">
        <v>5.14</v>
      </c>
      <c r="P544" s="7">
        <v>5.4720000000000004</v>
      </c>
      <c r="Q544" s="7">
        <v>5.7549999999999999</v>
      </c>
      <c r="R544" s="7">
        <v>6.1520000000000001</v>
      </c>
      <c r="S544" s="7">
        <f t="shared" si="8"/>
        <v>5.049833333333333</v>
      </c>
    </row>
    <row r="545" spans="1:19">
      <c r="A545" s="5" t="str">
        <f>B545&amp;"-"&amp;COUNTIF($B$2:B545,B545)</f>
        <v>BAHIA-342</v>
      </c>
      <c r="B545" s="5" t="s">
        <v>296</v>
      </c>
      <c r="C545" s="5" t="s">
        <v>3920</v>
      </c>
      <c r="D545" s="6">
        <v>-418797</v>
      </c>
      <c r="E545" s="6">
        <v>-112274</v>
      </c>
      <c r="F545" s="7">
        <v>5.774</v>
      </c>
      <c r="G545" s="7">
        <v>6.367</v>
      </c>
      <c r="H545" s="7">
        <v>6.1929999999999996</v>
      </c>
      <c r="I545" s="7">
        <v>5.9249999999999998</v>
      </c>
      <c r="J545" s="7">
        <v>5.2560000000000002</v>
      </c>
      <c r="K545" s="7">
        <v>4.8250000000000002</v>
      </c>
      <c r="L545" s="7">
        <v>4.6719999999999997</v>
      </c>
      <c r="M545" s="7">
        <v>4.9260000000000002</v>
      </c>
      <c r="N545" s="7">
        <v>5.66</v>
      </c>
      <c r="O545" s="7">
        <v>6.3659999999999997</v>
      </c>
      <c r="P545" s="7">
        <v>6.44</v>
      </c>
      <c r="Q545" s="7">
        <v>6.24</v>
      </c>
      <c r="R545" s="7">
        <v>6.4189999999999996</v>
      </c>
      <c r="S545" s="7">
        <f t="shared" si="8"/>
        <v>5.7740833333333335</v>
      </c>
    </row>
    <row r="546" spans="1:19">
      <c r="A546" s="5" t="str">
        <f>B546&amp;"-"&amp;COUNTIF($B$2:B546,B546)</f>
        <v>BAHIA-343</v>
      </c>
      <c r="B546" s="5" t="s">
        <v>296</v>
      </c>
      <c r="C546" s="5" t="s">
        <v>4616</v>
      </c>
      <c r="D546" s="6">
        <v>-389495</v>
      </c>
      <c r="E546" s="6">
        <v>-124352</v>
      </c>
      <c r="F546" s="7">
        <v>5.0410000000000004</v>
      </c>
      <c r="G546" s="7">
        <v>6.03</v>
      </c>
      <c r="H546" s="7">
        <v>5.8529999999999998</v>
      </c>
      <c r="I546" s="7">
        <v>5.6710000000000003</v>
      </c>
      <c r="J546" s="7">
        <v>4.641</v>
      </c>
      <c r="K546" s="7">
        <v>3.9580000000000002</v>
      </c>
      <c r="L546" s="7">
        <v>3.5840000000000001</v>
      </c>
      <c r="M546" s="7">
        <v>3.84</v>
      </c>
      <c r="N546" s="7">
        <v>4.3600000000000003</v>
      </c>
      <c r="O546" s="7">
        <v>5.2539999999999996</v>
      </c>
      <c r="P546" s="7">
        <v>5.5179999999999998</v>
      </c>
      <c r="Q546" s="7">
        <v>5.7329999999999997</v>
      </c>
      <c r="R546" s="7">
        <v>6.0419999999999998</v>
      </c>
      <c r="S546" s="7">
        <f t="shared" si="8"/>
        <v>5.0403333333333329</v>
      </c>
    </row>
    <row r="547" spans="1:19">
      <c r="A547" s="5" t="str">
        <f>B547&amp;"-"&amp;COUNTIF($B$2:B547,B547)</f>
        <v>BAHIA-344</v>
      </c>
      <c r="B547" s="5" t="s">
        <v>296</v>
      </c>
      <c r="C547" s="5" t="s">
        <v>5060</v>
      </c>
      <c r="D547" s="6">
        <v>-393411</v>
      </c>
      <c r="E547" s="6">
        <v>-150784</v>
      </c>
      <c r="F547" s="7">
        <v>4.7119999999999997</v>
      </c>
      <c r="G547" s="7">
        <v>5.7060000000000004</v>
      </c>
      <c r="H547" s="7">
        <v>5.7560000000000002</v>
      </c>
      <c r="I547" s="7">
        <v>5.2110000000000003</v>
      </c>
      <c r="J547" s="7">
        <v>4.3970000000000002</v>
      </c>
      <c r="K547" s="7">
        <v>3.7509999999999999</v>
      </c>
      <c r="L547" s="7">
        <v>3.4049999999999998</v>
      </c>
      <c r="M547" s="7">
        <v>3.6480000000000001</v>
      </c>
      <c r="N547" s="7">
        <v>4.17</v>
      </c>
      <c r="O547" s="7">
        <v>4.7699999999999996</v>
      </c>
      <c r="P547" s="7">
        <v>4.9089999999999998</v>
      </c>
      <c r="Q547" s="7">
        <v>4.9790000000000001</v>
      </c>
      <c r="R547" s="7">
        <v>5.8440000000000003</v>
      </c>
      <c r="S547" s="7">
        <f t="shared" si="8"/>
        <v>4.7121666666666675</v>
      </c>
    </row>
    <row r="548" spans="1:19">
      <c r="A548" s="5" t="str">
        <f>B548&amp;"-"&amp;COUNTIF($B$2:B548,B548)</f>
        <v>BAHIA-345</v>
      </c>
      <c r="B548" s="5" t="s">
        <v>296</v>
      </c>
      <c r="C548" s="5" t="s">
        <v>4290</v>
      </c>
      <c r="D548" s="6">
        <v>-400239</v>
      </c>
      <c r="E548" s="6">
        <v>-115051</v>
      </c>
      <c r="F548" s="7">
        <v>5.0739999999999998</v>
      </c>
      <c r="G548" s="7">
        <v>6.0670000000000002</v>
      </c>
      <c r="H548" s="7">
        <v>5.8929999999999998</v>
      </c>
      <c r="I548" s="7">
        <v>5.7439999999999998</v>
      </c>
      <c r="J548" s="7">
        <v>4.66</v>
      </c>
      <c r="K548" s="7">
        <v>3.992</v>
      </c>
      <c r="L548" s="7">
        <v>3.7</v>
      </c>
      <c r="M548" s="7">
        <v>3.8679999999999999</v>
      </c>
      <c r="N548" s="7">
        <v>4.4390000000000001</v>
      </c>
      <c r="O548" s="7">
        <v>5.36</v>
      </c>
      <c r="P548" s="7">
        <v>5.49</v>
      </c>
      <c r="Q548" s="7">
        <v>5.7610000000000001</v>
      </c>
      <c r="R548" s="7">
        <v>5.9180000000000001</v>
      </c>
      <c r="S548" s="7">
        <f t="shared" si="8"/>
        <v>5.0743333333333336</v>
      </c>
    </row>
    <row r="549" spans="1:19">
      <c r="A549" s="5" t="str">
        <f>B549&amp;"-"&amp;COUNTIF($B$2:B549,B549)</f>
        <v>BAHIA-346</v>
      </c>
      <c r="B549" s="5" t="s">
        <v>296</v>
      </c>
      <c r="C549" s="5" t="s">
        <v>3921</v>
      </c>
      <c r="D549" s="6">
        <v>-394582</v>
      </c>
      <c r="E549" s="6">
        <v>-130438</v>
      </c>
      <c r="F549" s="7">
        <v>4.8979999999999997</v>
      </c>
      <c r="G549" s="7">
        <v>5.8220000000000001</v>
      </c>
      <c r="H549" s="7">
        <v>5.8250000000000002</v>
      </c>
      <c r="I549" s="7">
        <v>5.5869999999999997</v>
      </c>
      <c r="J549" s="7">
        <v>4.524</v>
      </c>
      <c r="K549" s="7">
        <v>3.931</v>
      </c>
      <c r="L549" s="7">
        <v>3.5310000000000001</v>
      </c>
      <c r="M549" s="7">
        <v>3.7349999999999999</v>
      </c>
      <c r="N549" s="7">
        <v>4.2619999999999996</v>
      </c>
      <c r="O549" s="7">
        <v>5.0259999999999998</v>
      </c>
      <c r="P549" s="7">
        <v>5.181</v>
      </c>
      <c r="Q549" s="7">
        <v>5.44</v>
      </c>
      <c r="R549" s="7">
        <v>5.9139999999999997</v>
      </c>
      <c r="S549" s="7">
        <f t="shared" si="8"/>
        <v>4.8981666666666674</v>
      </c>
    </row>
    <row r="550" spans="1:19">
      <c r="A550" s="5" t="str">
        <f>B550&amp;"-"&amp;COUNTIF($B$2:B550,B550)</f>
        <v>BAHIA-347</v>
      </c>
      <c r="B550" s="5" t="s">
        <v>296</v>
      </c>
      <c r="C550" s="5" t="s">
        <v>4291</v>
      </c>
      <c r="D550" s="6">
        <v>-384908</v>
      </c>
      <c r="E550" s="6">
        <v>-125127</v>
      </c>
      <c r="F550" s="7">
        <v>5.048</v>
      </c>
      <c r="G550" s="7">
        <v>6.0510000000000002</v>
      </c>
      <c r="H550" s="7">
        <v>5.87</v>
      </c>
      <c r="I550" s="7">
        <v>5.6909999999999998</v>
      </c>
      <c r="J550" s="7">
        <v>4.5430000000000001</v>
      </c>
      <c r="K550" s="7">
        <v>3.887</v>
      </c>
      <c r="L550" s="7">
        <v>3.6269999999999998</v>
      </c>
      <c r="M550" s="7">
        <v>3.8330000000000002</v>
      </c>
      <c r="N550" s="7">
        <v>4.3659999999999997</v>
      </c>
      <c r="O550" s="7">
        <v>5.165</v>
      </c>
      <c r="P550" s="7">
        <v>5.5549999999999997</v>
      </c>
      <c r="Q550" s="7">
        <v>5.851</v>
      </c>
      <c r="R550" s="7">
        <v>6.1390000000000002</v>
      </c>
      <c r="S550" s="7">
        <f t="shared" si="8"/>
        <v>5.048166666666666</v>
      </c>
    </row>
    <row r="551" spans="1:19">
      <c r="A551" s="5" t="str">
        <f>B551&amp;"-"&amp;COUNTIF($B$2:B551,B551)</f>
        <v>BAHIA-348</v>
      </c>
      <c r="B551" s="5" t="s">
        <v>296</v>
      </c>
      <c r="C551" s="5" t="s">
        <v>4816</v>
      </c>
      <c r="D551" s="6">
        <v>-404204</v>
      </c>
      <c r="E551" s="6">
        <v>-109412</v>
      </c>
      <c r="F551" s="7">
        <v>5.202</v>
      </c>
      <c r="G551" s="7">
        <v>6.1920000000000002</v>
      </c>
      <c r="H551" s="7">
        <v>5.9290000000000003</v>
      </c>
      <c r="I551" s="7">
        <v>5.7359999999999998</v>
      </c>
      <c r="J551" s="7">
        <v>4.7729999999999997</v>
      </c>
      <c r="K551" s="7">
        <v>4.0389999999999997</v>
      </c>
      <c r="L551" s="7">
        <v>3.738</v>
      </c>
      <c r="M551" s="7">
        <v>4</v>
      </c>
      <c r="N551" s="7">
        <v>4.6790000000000003</v>
      </c>
      <c r="O551" s="7">
        <v>5.6369999999999996</v>
      </c>
      <c r="P551" s="7">
        <v>5.7629999999999999</v>
      </c>
      <c r="Q551" s="7">
        <v>5.9409999999999998</v>
      </c>
      <c r="R551" s="7">
        <v>5.9969999999999999</v>
      </c>
      <c r="S551" s="7">
        <f t="shared" si="8"/>
        <v>5.202</v>
      </c>
    </row>
    <row r="552" spans="1:19">
      <c r="A552" s="5" t="str">
        <f>B552&amp;"-"&amp;COUNTIF($B$2:B552,B552)</f>
        <v>BAHIA-349</v>
      </c>
      <c r="B552" s="5" t="s">
        <v>296</v>
      </c>
      <c r="C552" s="5" t="s">
        <v>518</v>
      </c>
      <c r="D552" s="6">
        <v>-387565</v>
      </c>
      <c r="E552" s="6">
        <v>-128735</v>
      </c>
      <c r="F552" s="7">
        <v>5.3120000000000003</v>
      </c>
      <c r="G552" s="7">
        <v>6.42</v>
      </c>
      <c r="H552" s="7">
        <v>6.2140000000000004</v>
      </c>
      <c r="I552" s="7">
        <v>5.9960000000000004</v>
      </c>
      <c r="J552" s="7">
        <v>4.7699999999999996</v>
      </c>
      <c r="K552" s="7">
        <v>4.069</v>
      </c>
      <c r="L552" s="7">
        <v>3.7360000000000002</v>
      </c>
      <c r="M552" s="7">
        <v>3.9990000000000001</v>
      </c>
      <c r="N552" s="7">
        <v>4.5880000000000001</v>
      </c>
      <c r="O552" s="7">
        <v>5.4960000000000004</v>
      </c>
      <c r="P552" s="7">
        <v>5.883</v>
      </c>
      <c r="Q552" s="7">
        <v>6.1280000000000001</v>
      </c>
      <c r="R552" s="7">
        <v>6.4459999999999997</v>
      </c>
      <c r="S552" s="7">
        <f t="shared" si="8"/>
        <v>5.3120833333333337</v>
      </c>
    </row>
    <row r="553" spans="1:19">
      <c r="A553" s="5" t="str">
        <f>B553&amp;"-"&amp;COUNTIF($B$2:B553,B553)</f>
        <v>BAHIA-350</v>
      </c>
      <c r="B553" s="5" t="s">
        <v>296</v>
      </c>
      <c r="C553" s="5" t="s">
        <v>519</v>
      </c>
      <c r="D553" s="6">
        <v>-385017</v>
      </c>
      <c r="E553" s="6">
        <v>-129727</v>
      </c>
      <c r="F553" s="7">
        <v>5.3650000000000002</v>
      </c>
      <c r="G553" s="7">
        <v>6.4429999999999996</v>
      </c>
      <c r="H553" s="7">
        <v>6.2919999999999998</v>
      </c>
      <c r="I553" s="7">
        <v>6.0380000000000003</v>
      </c>
      <c r="J553" s="7">
        <v>4.8390000000000004</v>
      </c>
      <c r="K553" s="7">
        <v>4.1070000000000002</v>
      </c>
      <c r="L553" s="7">
        <v>3.8620000000000001</v>
      </c>
      <c r="M553" s="7">
        <v>4.0629999999999997</v>
      </c>
      <c r="N553" s="7">
        <v>4.76</v>
      </c>
      <c r="O553" s="7">
        <v>5.5229999999999997</v>
      </c>
      <c r="P553" s="7">
        <v>5.87</v>
      </c>
      <c r="Q553" s="7">
        <v>6.0979999999999999</v>
      </c>
      <c r="R553" s="7">
        <v>6.4820000000000002</v>
      </c>
      <c r="S553" s="7">
        <f t="shared" si="8"/>
        <v>5.3647500000000008</v>
      </c>
    </row>
    <row r="554" spans="1:19">
      <c r="A554" s="5" t="str">
        <f>B554&amp;"-"&amp;COUNTIF($B$2:B554,B554)</f>
        <v>BAHIA-351</v>
      </c>
      <c r="B554" s="5" t="s">
        <v>296</v>
      </c>
      <c r="C554" s="5" t="s">
        <v>5478</v>
      </c>
      <c r="D554" s="6">
        <v>-389748</v>
      </c>
      <c r="E554" s="6">
        <v>-119527</v>
      </c>
      <c r="F554" s="7">
        <v>5.07</v>
      </c>
      <c r="G554" s="7">
        <v>6.1050000000000004</v>
      </c>
      <c r="H554" s="7">
        <v>5.9059999999999997</v>
      </c>
      <c r="I554" s="7">
        <v>5.6859999999999999</v>
      </c>
      <c r="J554" s="7">
        <v>4.6959999999999997</v>
      </c>
      <c r="K554" s="7">
        <v>3.972</v>
      </c>
      <c r="L554" s="7">
        <v>3.669</v>
      </c>
      <c r="M554" s="7">
        <v>3.9420000000000002</v>
      </c>
      <c r="N554" s="7">
        <v>4.4169999999999998</v>
      </c>
      <c r="O554" s="7">
        <v>5.2</v>
      </c>
      <c r="P554" s="7">
        <v>5.4329999999999998</v>
      </c>
      <c r="Q554" s="7">
        <v>5.7489999999999997</v>
      </c>
      <c r="R554" s="7">
        <v>6.0679999999999996</v>
      </c>
      <c r="S554" s="7">
        <f t="shared" si="8"/>
        <v>5.0702500000000006</v>
      </c>
    </row>
    <row r="555" spans="1:19">
      <c r="A555" s="5" t="str">
        <f>B555&amp;"-"&amp;COUNTIF($B$2:B555,B555)</f>
        <v>BAHIA-352</v>
      </c>
      <c r="B555" s="5" t="s">
        <v>296</v>
      </c>
      <c r="C555" s="5" t="s">
        <v>520</v>
      </c>
      <c r="D555" s="6">
        <v>-381288</v>
      </c>
      <c r="E555" s="6">
        <v>-9735</v>
      </c>
      <c r="F555" s="7">
        <v>5.36</v>
      </c>
      <c r="G555" s="7">
        <v>6.1719999999999997</v>
      </c>
      <c r="H555" s="7">
        <v>6.0289999999999999</v>
      </c>
      <c r="I555" s="7">
        <v>5.8650000000000002</v>
      </c>
      <c r="J555" s="7">
        <v>5.2009999999999996</v>
      </c>
      <c r="K555" s="7">
        <v>4.3719999999999999</v>
      </c>
      <c r="L555" s="7">
        <v>3.9249999999999998</v>
      </c>
      <c r="M555" s="7">
        <v>4.1349999999999998</v>
      </c>
      <c r="N555" s="7">
        <v>4.6559999999999997</v>
      </c>
      <c r="O555" s="7">
        <v>5.4989999999999997</v>
      </c>
      <c r="P555" s="7">
        <v>5.84</v>
      </c>
      <c r="Q555" s="7">
        <v>6.3390000000000004</v>
      </c>
      <c r="R555" s="7">
        <v>6.29</v>
      </c>
      <c r="S555" s="7">
        <f t="shared" si="8"/>
        <v>5.3602500000000006</v>
      </c>
    </row>
    <row r="556" spans="1:19">
      <c r="A556" s="5" t="str">
        <f>B556&amp;"-"&amp;COUNTIF($B$2:B556,B556)</f>
        <v>BAHIA-353</v>
      </c>
      <c r="B556" s="5" t="s">
        <v>296</v>
      </c>
      <c r="C556" s="5" t="s">
        <v>5479</v>
      </c>
      <c r="D556" s="6">
        <v>-390228</v>
      </c>
      <c r="E556" s="6">
        <v>-162821</v>
      </c>
      <c r="F556" s="7">
        <v>5.0780000000000003</v>
      </c>
      <c r="G556" s="7">
        <v>6.19</v>
      </c>
      <c r="H556" s="7">
        <v>6.28</v>
      </c>
      <c r="I556" s="7">
        <v>5.6130000000000004</v>
      </c>
      <c r="J556" s="7">
        <v>4.6870000000000003</v>
      </c>
      <c r="K556" s="7">
        <v>3.9710000000000001</v>
      </c>
      <c r="L556" s="7">
        <v>3.6819999999999999</v>
      </c>
      <c r="M556" s="7">
        <v>3.8660000000000001</v>
      </c>
      <c r="N556" s="7">
        <v>4.5650000000000004</v>
      </c>
      <c r="O556" s="7">
        <v>5.0640000000000001</v>
      </c>
      <c r="P556" s="7">
        <v>5.3959999999999999</v>
      </c>
      <c r="Q556" s="7">
        <v>5.4020000000000001</v>
      </c>
      <c r="R556" s="7">
        <v>6.2240000000000002</v>
      </c>
      <c r="S556" s="7">
        <f t="shared" si="8"/>
        <v>5.0783333333333331</v>
      </c>
    </row>
    <row r="557" spans="1:19">
      <c r="A557" s="5" t="str">
        <f>B557&amp;"-"&amp;COUNTIF($B$2:B557,B557)</f>
        <v>BAHIA-354</v>
      </c>
      <c r="B557" s="5" t="s">
        <v>296</v>
      </c>
      <c r="C557" s="5" t="s">
        <v>5061</v>
      </c>
      <c r="D557" s="6">
        <v>-398118</v>
      </c>
      <c r="E557" s="6">
        <v>-149644</v>
      </c>
      <c r="F557" s="7">
        <v>4.8339999999999996</v>
      </c>
      <c r="G557" s="7">
        <v>5.8479999999999999</v>
      </c>
      <c r="H557" s="7">
        <v>5.8230000000000004</v>
      </c>
      <c r="I557" s="7">
        <v>5.3650000000000002</v>
      </c>
      <c r="J557" s="7">
        <v>4.57</v>
      </c>
      <c r="K557" s="7">
        <v>3.86</v>
      </c>
      <c r="L557" s="7">
        <v>3.5019999999999998</v>
      </c>
      <c r="M557" s="7">
        <v>3.714</v>
      </c>
      <c r="N557" s="7">
        <v>4.2229999999999999</v>
      </c>
      <c r="O557" s="7">
        <v>4.8789999999999996</v>
      </c>
      <c r="P557" s="7">
        <v>5.0419999999999998</v>
      </c>
      <c r="Q557" s="7">
        <v>5.2060000000000004</v>
      </c>
      <c r="R557" s="7">
        <v>5.9770000000000003</v>
      </c>
      <c r="S557" s="7">
        <f t="shared" si="8"/>
        <v>4.8340833333333331</v>
      </c>
    </row>
    <row r="558" spans="1:19">
      <c r="A558" s="5" t="str">
        <f>B558&amp;"-"&amp;COUNTIF($B$2:B558,B558)</f>
        <v>BAHIA-355</v>
      </c>
      <c r="B558" s="5" t="s">
        <v>296</v>
      </c>
      <c r="C558" s="5" t="s">
        <v>5281</v>
      </c>
      <c r="D558" s="6">
        <v>-398215</v>
      </c>
      <c r="E558" s="6">
        <v>-132954</v>
      </c>
      <c r="F558" s="7">
        <v>4.8559999999999999</v>
      </c>
      <c r="G558" s="7">
        <v>5.7539999999999996</v>
      </c>
      <c r="H558" s="7">
        <v>5.774</v>
      </c>
      <c r="I558" s="7">
        <v>5.5090000000000003</v>
      </c>
      <c r="J558" s="7">
        <v>4.4530000000000003</v>
      </c>
      <c r="K558" s="7">
        <v>3.8140000000000001</v>
      </c>
      <c r="L558" s="7">
        <v>3.4390000000000001</v>
      </c>
      <c r="M558" s="7">
        <v>3.6859999999999999</v>
      </c>
      <c r="N558" s="7">
        <v>4.2229999999999999</v>
      </c>
      <c r="O558" s="7">
        <v>5.0919999999999996</v>
      </c>
      <c r="P558" s="7">
        <v>5.24</v>
      </c>
      <c r="Q558" s="7">
        <v>5.38</v>
      </c>
      <c r="R558" s="7">
        <v>5.9160000000000004</v>
      </c>
      <c r="S558" s="7">
        <f t="shared" si="8"/>
        <v>4.8566666666666665</v>
      </c>
    </row>
    <row r="559" spans="1:19">
      <c r="A559" s="5" t="str">
        <f>B559&amp;"-"&amp;COUNTIF($B$2:B559,B559)</f>
        <v>BAHIA-356</v>
      </c>
      <c r="B559" s="5" t="s">
        <v>296</v>
      </c>
      <c r="C559" s="5" t="s">
        <v>521</v>
      </c>
      <c r="D559" s="6">
        <v>-39329</v>
      </c>
      <c r="E559" s="6">
        <v>-154346</v>
      </c>
      <c r="F559" s="7">
        <v>4.7619999999999996</v>
      </c>
      <c r="G559" s="7">
        <v>5.7939999999999996</v>
      </c>
      <c r="H559" s="7">
        <v>5.827</v>
      </c>
      <c r="I559" s="7">
        <v>5.31</v>
      </c>
      <c r="J559" s="7">
        <v>4.4279999999999999</v>
      </c>
      <c r="K559" s="7">
        <v>3.778</v>
      </c>
      <c r="L559" s="7">
        <v>3.4079999999999999</v>
      </c>
      <c r="M559" s="7">
        <v>3.6019999999999999</v>
      </c>
      <c r="N559" s="7">
        <v>4.2309999999999999</v>
      </c>
      <c r="O559" s="7">
        <v>4.7859999999999996</v>
      </c>
      <c r="P559" s="7">
        <v>4.9359999999999999</v>
      </c>
      <c r="Q559" s="7">
        <v>5.0910000000000002</v>
      </c>
      <c r="R559" s="7">
        <v>5.9480000000000004</v>
      </c>
      <c r="S559" s="7">
        <f t="shared" si="8"/>
        <v>4.7615833333333333</v>
      </c>
    </row>
    <row r="560" spans="1:19">
      <c r="A560" s="5" t="str">
        <f>B560&amp;"-"&amp;COUNTIF($B$2:B560,B560)</f>
        <v>BAHIA-357</v>
      </c>
      <c r="B560" s="5" t="s">
        <v>296</v>
      </c>
      <c r="C560" s="5" t="s">
        <v>5062</v>
      </c>
      <c r="D560" s="6">
        <v>-442014</v>
      </c>
      <c r="E560" s="6">
        <v>-133863</v>
      </c>
      <c r="F560" s="7">
        <v>5.8609999999999998</v>
      </c>
      <c r="G560" s="7">
        <v>6.5759999999999996</v>
      </c>
      <c r="H560" s="7">
        <v>6.3730000000000002</v>
      </c>
      <c r="I560" s="7">
        <v>5.8419999999999996</v>
      </c>
      <c r="J560" s="7">
        <v>5.5910000000000002</v>
      </c>
      <c r="K560" s="7">
        <v>5.194</v>
      </c>
      <c r="L560" s="7">
        <v>5.0010000000000003</v>
      </c>
      <c r="M560" s="7">
        <v>5.3220000000000001</v>
      </c>
      <c r="N560" s="7">
        <v>5.8289999999999997</v>
      </c>
      <c r="O560" s="7">
        <v>6.18</v>
      </c>
      <c r="P560" s="7">
        <v>6.2949999999999999</v>
      </c>
      <c r="Q560" s="7">
        <v>5.798</v>
      </c>
      <c r="R560" s="7">
        <v>6.33</v>
      </c>
      <c r="S560" s="7">
        <f t="shared" si="8"/>
        <v>5.8609166666666672</v>
      </c>
    </row>
    <row r="561" spans="1:19">
      <c r="A561" s="5" t="str">
        <f>B561&amp;"-"&amp;COUNTIF($B$2:B561,B561)</f>
        <v>BAHIA-358</v>
      </c>
      <c r="B561" s="5" t="s">
        <v>296</v>
      </c>
      <c r="C561" s="5" t="s">
        <v>5480</v>
      </c>
      <c r="D561" s="6">
        <v>-445214</v>
      </c>
      <c r="E561" s="6">
        <v>-109962</v>
      </c>
      <c r="F561" s="7">
        <v>5.8650000000000002</v>
      </c>
      <c r="G561" s="7">
        <v>6.2389999999999999</v>
      </c>
      <c r="H561" s="7">
        <v>5.9420000000000002</v>
      </c>
      <c r="I561" s="7">
        <v>5.6580000000000004</v>
      </c>
      <c r="J561" s="7">
        <v>5.4859999999999998</v>
      </c>
      <c r="K561" s="7">
        <v>5.415</v>
      </c>
      <c r="L561" s="7">
        <v>5.2450000000000001</v>
      </c>
      <c r="M561" s="7">
        <v>5.516</v>
      </c>
      <c r="N561" s="7">
        <v>6.1070000000000002</v>
      </c>
      <c r="O561" s="7">
        <v>6.4480000000000004</v>
      </c>
      <c r="P561" s="7">
        <v>6.2389999999999999</v>
      </c>
      <c r="Q561" s="7">
        <v>5.94</v>
      </c>
      <c r="R561" s="7">
        <v>6.1429999999999998</v>
      </c>
      <c r="S561" s="7">
        <f t="shared" si="8"/>
        <v>5.8648333333333333</v>
      </c>
    </row>
    <row r="562" spans="1:19">
      <c r="A562" s="5" t="str">
        <f>B562&amp;"-"&amp;COUNTIF($B$2:B562,B562)</f>
        <v>BAHIA-359</v>
      </c>
      <c r="B562" s="5" t="s">
        <v>296</v>
      </c>
      <c r="C562" s="5" t="s">
        <v>522</v>
      </c>
      <c r="D562" s="6">
        <v>-395227</v>
      </c>
      <c r="E562" s="6">
        <v>-127696</v>
      </c>
      <c r="F562" s="7">
        <v>4.9450000000000003</v>
      </c>
      <c r="G562" s="7">
        <v>5.835</v>
      </c>
      <c r="H562" s="7">
        <v>5.8490000000000002</v>
      </c>
      <c r="I562" s="7">
        <v>5.5869999999999997</v>
      </c>
      <c r="J562" s="7">
        <v>4.5430000000000001</v>
      </c>
      <c r="K562" s="7">
        <v>3.9510000000000001</v>
      </c>
      <c r="L562" s="7">
        <v>3.6629999999999998</v>
      </c>
      <c r="M562" s="7">
        <v>3.8559999999999999</v>
      </c>
      <c r="N562" s="7">
        <v>4.3570000000000002</v>
      </c>
      <c r="O562" s="7">
        <v>5.1180000000000003</v>
      </c>
      <c r="P562" s="7">
        <v>5.2690000000000001</v>
      </c>
      <c r="Q562" s="7">
        <v>5.4329999999999998</v>
      </c>
      <c r="R562" s="7">
        <v>5.8769999999999998</v>
      </c>
      <c r="S562" s="7">
        <f t="shared" si="8"/>
        <v>4.9448333333333334</v>
      </c>
    </row>
    <row r="563" spans="1:19">
      <c r="A563" s="5" t="str">
        <f>B563&amp;"-"&amp;COUNTIF($B$2:B563,B563)</f>
        <v>BAHIA-360</v>
      </c>
      <c r="B563" s="5" t="s">
        <v>296</v>
      </c>
      <c r="C563" s="5" t="s">
        <v>523</v>
      </c>
      <c r="D563" s="6">
        <v>-393753</v>
      </c>
      <c r="E563" s="6">
        <v>-112513</v>
      </c>
      <c r="F563" s="7">
        <v>5.157</v>
      </c>
      <c r="G563" s="7">
        <v>6.1369999999999996</v>
      </c>
      <c r="H563" s="7">
        <v>5.8979999999999997</v>
      </c>
      <c r="I563" s="7">
        <v>5.7910000000000004</v>
      </c>
      <c r="J563" s="7">
        <v>4.8090000000000002</v>
      </c>
      <c r="K563" s="7">
        <v>4.0289999999999999</v>
      </c>
      <c r="L563" s="7">
        <v>3.758</v>
      </c>
      <c r="M563" s="7">
        <v>3.9710000000000001</v>
      </c>
      <c r="N563" s="7">
        <v>4.4569999999999999</v>
      </c>
      <c r="O563" s="7">
        <v>5.3840000000000003</v>
      </c>
      <c r="P563" s="7">
        <v>5.577</v>
      </c>
      <c r="Q563" s="7">
        <v>6.0250000000000004</v>
      </c>
      <c r="R563" s="7">
        <v>6.0460000000000003</v>
      </c>
      <c r="S563" s="7">
        <f t="shared" si="8"/>
        <v>5.1568333333333332</v>
      </c>
    </row>
    <row r="564" spans="1:19">
      <c r="A564" s="5" t="str">
        <f>B564&amp;"-"&amp;COUNTIF($B$2:B564,B564)</f>
        <v>BAHIA-361</v>
      </c>
      <c r="B564" s="5" t="s">
        <v>296</v>
      </c>
      <c r="C564" s="5" t="s">
        <v>223</v>
      </c>
      <c r="D564" s="6">
        <v>-44051</v>
      </c>
      <c r="E564" s="6">
        <v>-129797</v>
      </c>
      <c r="F564" s="7">
        <v>5.8840000000000003</v>
      </c>
      <c r="G564" s="7">
        <v>6.5720000000000001</v>
      </c>
      <c r="H564" s="7">
        <v>6.4210000000000003</v>
      </c>
      <c r="I564" s="7">
        <v>5.8710000000000004</v>
      </c>
      <c r="J564" s="7">
        <v>5.6189999999999998</v>
      </c>
      <c r="K564" s="7">
        <v>5.2190000000000003</v>
      </c>
      <c r="L564" s="7">
        <v>5.0259999999999998</v>
      </c>
      <c r="M564" s="7">
        <v>5.3079999999999998</v>
      </c>
      <c r="N564" s="7">
        <v>5.843</v>
      </c>
      <c r="O564" s="7">
        <v>6.1680000000000001</v>
      </c>
      <c r="P564" s="7">
        <v>6.3090000000000002</v>
      </c>
      <c r="Q564" s="7">
        <v>5.8760000000000003</v>
      </c>
      <c r="R564" s="7">
        <v>6.38</v>
      </c>
      <c r="S564" s="7">
        <f t="shared" si="8"/>
        <v>5.8843333333333332</v>
      </c>
    </row>
    <row r="565" spans="1:19">
      <c r="A565" s="5" t="str">
        <f>B565&amp;"-"&amp;COUNTIF($B$2:B565,B565)</f>
        <v>BAHIA-362</v>
      </c>
      <c r="B565" s="5" t="s">
        <v>296</v>
      </c>
      <c r="C565" s="5" t="s">
        <v>5063</v>
      </c>
      <c r="D565" s="6">
        <v>-388658</v>
      </c>
      <c r="E565" s="6">
        <v>-120251</v>
      </c>
      <c r="F565" s="7">
        <v>5.1050000000000004</v>
      </c>
      <c r="G565" s="7">
        <v>6.0640000000000001</v>
      </c>
      <c r="H565" s="7">
        <v>5.899</v>
      </c>
      <c r="I565" s="7">
        <v>5.7080000000000002</v>
      </c>
      <c r="J565" s="7">
        <v>4.7450000000000001</v>
      </c>
      <c r="K565" s="7">
        <v>3.9489999999999998</v>
      </c>
      <c r="L565" s="7">
        <v>3.69</v>
      </c>
      <c r="M565" s="7">
        <v>3.9510000000000001</v>
      </c>
      <c r="N565" s="7">
        <v>4.4729999999999999</v>
      </c>
      <c r="O565" s="7">
        <v>5.3339999999999996</v>
      </c>
      <c r="P565" s="7">
        <v>5.5149999999999997</v>
      </c>
      <c r="Q565" s="7">
        <v>5.8369999999999997</v>
      </c>
      <c r="R565" s="7">
        <v>6.0919999999999996</v>
      </c>
      <c r="S565" s="7">
        <f t="shared" si="8"/>
        <v>5.1047500000000001</v>
      </c>
    </row>
    <row r="566" spans="1:19">
      <c r="A566" s="5" t="str">
        <f>B566&amp;"-"&amp;COUNTIF($B$2:B566,B566)</f>
        <v>BAHIA-363</v>
      </c>
      <c r="B566" s="5" t="s">
        <v>296</v>
      </c>
      <c r="C566" s="5" t="s">
        <v>524</v>
      </c>
      <c r="D566" s="6">
        <v>-38706</v>
      </c>
      <c r="E566" s="6">
        <v>-125485</v>
      </c>
      <c r="F566" s="7">
        <v>5.0640000000000001</v>
      </c>
      <c r="G566" s="7">
        <v>6.1139999999999999</v>
      </c>
      <c r="H566" s="7">
        <v>5.8940000000000001</v>
      </c>
      <c r="I566" s="7">
        <v>5.7270000000000003</v>
      </c>
      <c r="J566" s="7">
        <v>4.6420000000000003</v>
      </c>
      <c r="K566" s="7">
        <v>3.988</v>
      </c>
      <c r="L566" s="7">
        <v>3.6349999999999998</v>
      </c>
      <c r="M566" s="7">
        <v>3.867</v>
      </c>
      <c r="N566" s="7">
        <v>4.3369999999999997</v>
      </c>
      <c r="O566" s="7">
        <v>5.1609999999999996</v>
      </c>
      <c r="P566" s="7">
        <v>5.4889999999999999</v>
      </c>
      <c r="Q566" s="7">
        <v>5.7480000000000002</v>
      </c>
      <c r="R566" s="7">
        <v>6.1619999999999999</v>
      </c>
      <c r="S566" s="7">
        <f t="shared" si="8"/>
        <v>5.0636666666666654</v>
      </c>
    </row>
    <row r="567" spans="1:19">
      <c r="A567" s="5" t="str">
        <f>B567&amp;"-"&amp;COUNTIF($B$2:B567,B567)</f>
        <v>BAHIA-364</v>
      </c>
      <c r="B567" s="5" t="s">
        <v>296</v>
      </c>
      <c r="C567" s="5" t="s">
        <v>4540</v>
      </c>
      <c r="D567" s="6">
        <v>-392587</v>
      </c>
      <c r="E567" s="6">
        <v>-129618</v>
      </c>
      <c r="F567" s="7">
        <v>4.992</v>
      </c>
      <c r="G567" s="7">
        <v>5.984</v>
      </c>
      <c r="H567" s="7">
        <v>5.92</v>
      </c>
      <c r="I567" s="7">
        <v>5.6440000000000001</v>
      </c>
      <c r="J567" s="7">
        <v>4.5869999999999997</v>
      </c>
      <c r="K567" s="7">
        <v>3.984</v>
      </c>
      <c r="L567" s="7">
        <v>3.6040000000000001</v>
      </c>
      <c r="M567" s="7">
        <v>3.7749999999999999</v>
      </c>
      <c r="N567" s="7">
        <v>4.3280000000000003</v>
      </c>
      <c r="O567" s="7">
        <v>5.1230000000000002</v>
      </c>
      <c r="P567" s="7">
        <v>5.3289999999999997</v>
      </c>
      <c r="Q567" s="7">
        <v>5.6120000000000001</v>
      </c>
      <c r="R567" s="7">
        <v>6.008</v>
      </c>
      <c r="S567" s="7">
        <f t="shared" si="8"/>
        <v>4.9915000000000003</v>
      </c>
    </row>
    <row r="568" spans="1:19">
      <c r="A568" s="5" t="str">
        <f>B568&amp;"-"&amp;COUNTIF($B$2:B568,B568)</f>
        <v>BAHIA-365</v>
      </c>
      <c r="B568" s="5" t="s">
        <v>296</v>
      </c>
      <c r="C568" s="5" t="s">
        <v>5282</v>
      </c>
      <c r="D568" s="6">
        <v>-392509</v>
      </c>
      <c r="E568" s="6">
        <v>-124284</v>
      </c>
      <c r="F568" s="7">
        <v>5.0730000000000004</v>
      </c>
      <c r="G568" s="7">
        <v>6.03</v>
      </c>
      <c r="H568" s="7">
        <v>5.931</v>
      </c>
      <c r="I568" s="7">
        <v>5.7770000000000001</v>
      </c>
      <c r="J568" s="7">
        <v>4.71</v>
      </c>
      <c r="K568" s="7">
        <v>3.9980000000000002</v>
      </c>
      <c r="L568" s="7">
        <v>3.6930000000000001</v>
      </c>
      <c r="M568" s="7">
        <v>3.8759999999999999</v>
      </c>
      <c r="N568" s="7">
        <v>4.4850000000000003</v>
      </c>
      <c r="O568" s="7">
        <v>5.2220000000000004</v>
      </c>
      <c r="P568" s="7">
        <v>5.4530000000000003</v>
      </c>
      <c r="Q568" s="7">
        <v>5.6980000000000004</v>
      </c>
      <c r="R568" s="7">
        <v>5.9989999999999997</v>
      </c>
      <c r="S568" s="7">
        <f t="shared" si="8"/>
        <v>5.0726666666666675</v>
      </c>
    </row>
    <row r="569" spans="1:19">
      <c r="A569" s="5" t="str">
        <f>B569&amp;"-"&amp;COUNTIF($B$2:B569,B569)</f>
        <v>BAHIA-366</v>
      </c>
      <c r="B569" s="5" t="s">
        <v>296</v>
      </c>
      <c r="C569" s="5" t="s">
        <v>4617</v>
      </c>
      <c r="D569" s="6">
        <v>-39187</v>
      </c>
      <c r="E569" s="6">
        <v>-127298</v>
      </c>
      <c r="F569" s="7">
        <v>5.05</v>
      </c>
      <c r="G569" s="7">
        <v>6.0670000000000002</v>
      </c>
      <c r="H569" s="7">
        <v>5.89</v>
      </c>
      <c r="I569" s="7">
        <v>5.673</v>
      </c>
      <c r="J569" s="7">
        <v>4.6189999999999998</v>
      </c>
      <c r="K569" s="7">
        <v>3.988</v>
      </c>
      <c r="L569" s="7">
        <v>3.649</v>
      </c>
      <c r="M569" s="7">
        <v>3.859</v>
      </c>
      <c r="N569" s="7">
        <v>4.4160000000000004</v>
      </c>
      <c r="O569" s="7">
        <v>5.24</v>
      </c>
      <c r="P569" s="7">
        <v>5.4809999999999999</v>
      </c>
      <c r="Q569" s="7">
        <v>5.6980000000000004</v>
      </c>
      <c r="R569" s="7">
        <v>6.0229999999999997</v>
      </c>
      <c r="S569" s="7">
        <f t="shared" si="8"/>
        <v>5.050250000000001</v>
      </c>
    </row>
    <row r="570" spans="1:19">
      <c r="A570" s="5" t="str">
        <f>B570&amp;"-"&amp;COUNTIF($B$2:B570,B570)</f>
        <v>BAHIA-367</v>
      </c>
      <c r="B570" s="5" t="s">
        <v>296</v>
      </c>
      <c r="C570" s="5" t="s">
        <v>525</v>
      </c>
      <c r="D570" s="6">
        <v>-43469</v>
      </c>
      <c r="E570" s="6">
        <v>-130831</v>
      </c>
      <c r="F570" s="7">
        <v>5.9059999999999997</v>
      </c>
      <c r="G570" s="7">
        <v>6.649</v>
      </c>
      <c r="H570" s="7">
        <v>6.5720000000000001</v>
      </c>
      <c r="I570" s="7">
        <v>6.0469999999999997</v>
      </c>
      <c r="J570" s="7">
        <v>5.6909999999999998</v>
      </c>
      <c r="K570" s="7">
        <v>5.15</v>
      </c>
      <c r="L570" s="7">
        <v>4.9409999999999998</v>
      </c>
      <c r="M570" s="7">
        <v>5.1970000000000001</v>
      </c>
      <c r="N570" s="7">
        <v>5.7080000000000002</v>
      </c>
      <c r="O570" s="7">
        <v>6.0869999999999997</v>
      </c>
      <c r="P570" s="7">
        <v>6.4</v>
      </c>
      <c r="Q570" s="7">
        <v>5.9450000000000003</v>
      </c>
      <c r="R570" s="7">
        <v>6.4870000000000001</v>
      </c>
      <c r="S570" s="7">
        <f t="shared" si="8"/>
        <v>5.9061666666666666</v>
      </c>
    </row>
    <row r="571" spans="1:19">
      <c r="A571" s="5" t="str">
        <f>B571&amp;"-"&amp;COUNTIF($B$2:B571,B571)</f>
        <v>BAHIA-368</v>
      </c>
      <c r="B571" s="5" t="s">
        <v>296</v>
      </c>
      <c r="C571" s="5" t="s">
        <v>526</v>
      </c>
      <c r="D571" s="6">
        <v>-382046</v>
      </c>
      <c r="E571" s="6">
        <v>-103685</v>
      </c>
      <c r="F571" s="7">
        <v>5.2409999999999997</v>
      </c>
      <c r="G571" s="7">
        <v>6.1260000000000003</v>
      </c>
      <c r="H571" s="7">
        <v>5.8490000000000002</v>
      </c>
      <c r="I571" s="7">
        <v>5.782</v>
      </c>
      <c r="J571" s="7">
        <v>5.085</v>
      </c>
      <c r="K571" s="7">
        <v>4.2619999999999996</v>
      </c>
      <c r="L571" s="7">
        <v>3.887</v>
      </c>
      <c r="M571" s="7">
        <v>4.0570000000000004</v>
      </c>
      <c r="N571" s="7">
        <v>4.5410000000000004</v>
      </c>
      <c r="O571" s="7">
        <v>5.3760000000000003</v>
      </c>
      <c r="P571" s="7">
        <v>5.617</v>
      </c>
      <c r="Q571" s="7">
        <v>6.1630000000000003</v>
      </c>
      <c r="R571" s="7">
        <v>6.1479999999999997</v>
      </c>
      <c r="S571" s="7">
        <f t="shared" si="8"/>
        <v>5.2410833333333322</v>
      </c>
    </row>
    <row r="572" spans="1:19">
      <c r="A572" s="5" t="str">
        <f>B572&amp;"-"&amp;COUNTIF($B$2:B572,B572)</f>
        <v>BAHIA-369</v>
      </c>
      <c r="B572" s="5" t="s">
        <v>296</v>
      </c>
      <c r="C572" s="5" t="s">
        <v>527</v>
      </c>
      <c r="D572" s="6">
        <v>-38767</v>
      </c>
      <c r="E572" s="6">
        <v>-127398</v>
      </c>
      <c r="F572" s="7">
        <v>5.3109999999999999</v>
      </c>
      <c r="G572" s="7">
        <v>6.3659999999999997</v>
      </c>
      <c r="H572" s="7">
        <v>6.2169999999999996</v>
      </c>
      <c r="I572" s="7">
        <v>5.9989999999999997</v>
      </c>
      <c r="J572" s="7">
        <v>4.8490000000000002</v>
      </c>
      <c r="K572" s="7">
        <v>4.13</v>
      </c>
      <c r="L572" s="7">
        <v>3.7759999999999998</v>
      </c>
      <c r="M572" s="7">
        <v>4.05</v>
      </c>
      <c r="N572" s="7">
        <v>4.6260000000000003</v>
      </c>
      <c r="O572" s="7">
        <v>5.49</v>
      </c>
      <c r="P572" s="7">
        <v>5.8090000000000002</v>
      </c>
      <c r="Q572" s="7">
        <v>6.0309999999999997</v>
      </c>
      <c r="R572" s="7">
        <v>6.3860000000000001</v>
      </c>
      <c r="S572" s="7">
        <f t="shared" si="8"/>
        <v>5.3107499999999996</v>
      </c>
    </row>
    <row r="573" spans="1:19">
      <c r="A573" s="5" t="str">
        <f>B573&amp;"-"&amp;COUNTIF($B$2:B573,B573)</f>
        <v>BAHIA-370</v>
      </c>
      <c r="B573" s="5" t="s">
        <v>296</v>
      </c>
      <c r="C573" s="5" t="s">
        <v>528</v>
      </c>
      <c r="D573" s="6">
        <v>-417725</v>
      </c>
      <c r="E573" s="6">
        <v>-124173</v>
      </c>
      <c r="F573" s="7">
        <v>5.2329999999999997</v>
      </c>
      <c r="G573" s="7">
        <v>5.9530000000000003</v>
      </c>
      <c r="H573" s="7">
        <v>5.9539999999999997</v>
      </c>
      <c r="I573" s="7">
        <v>5.6369999999999996</v>
      </c>
      <c r="J573" s="7">
        <v>4.8230000000000004</v>
      </c>
      <c r="K573" s="7">
        <v>4.3360000000000003</v>
      </c>
      <c r="L573" s="7">
        <v>3.9969999999999999</v>
      </c>
      <c r="M573" s="7">
        <v>4.2050000000000001</v>
      </c>
      <c r="N573" s="7">
        <v>4.8659999999999997</v>
      </c>
      <c r="O573" s="7">
        <v>5.6980000000000004</v>
      </c>
      <c r="P573" s="7">
        <v>5.8049999999999997</v>
      </c>
      <c r="Q573" s="7">
        <v>5.5730000000000004</v>
      </c>
      <c r="R573" s="7">
        <v>5.9470000000000001</v>
      </c>
      <c r="S573" s="7">
        <f t="shared" si="8"/>
        <v>5.2328333333333337</v>
      </c>
    </row>
    <row r="574" spans="1:19">
      <c r="A574" s="5" t="str">
        <f>B574&amp;"-"&amp;COUNTIF($B$2:B574,B574)</f>
        <v>BAHIA-371</v>
      </c>
      <c r="B574" s="5" t="s">
        <v>296</v>
      </c>
      <c r="C574" s="5" t="s">
        <v>3922</v>
      </c>
      <c r="D574" s="6">
        <v>-429438</v>
      </c>
      <c r="E574" s="6">
        <v>-145715</v>
      </c>
      <c r="F574" s="7">
        <v>5.8090000000000002</v>
      </c>
      <c r="G574" s="7">
        <v>6.6550000000000002</v>
      </c>
      <c r="H574" s="7">
        <v>6.6420000000000003</v>
      </c>
      <c r="I574" s="7">
        <v>5.9550000000000001</v>
      </c>
      <c r="J574" s="7">
        <v>5.5110000000000001</v>
      </c>
      <c r="K574" s="7">
        <v>4.8780000000000001</v>
      </c>
      <c r="L574" s="7">
        <v>4.7640000000000002</v>
      </c>
      <c r="M574" s="7">
        <v>4.9470000000000001</v>
      </c>
      <c r="N574" s="7">
        <v>5.5819999999999999</v>
      </c>
      <c r="O574" s="7">
        <v>6.0720000000000001</v>
      </c>
      <c r="P574" s="7">
        <v>6.3689999999999998</v>
      </c>
      <c r="Q574" s="7">
        <v>5.85</v>
      </c>
      <c r="R574" s="7">
        <v>6.48</v>
      </c>
      <c r="S574" s="7">
        <f t="shared" si="8"/>
        <v>5.8087500000000007</v>
      </c>
    </row>
    <row r="575" spans="1:19">
      <c r="A575" s="5" t="str">
        <f>B575&amp;"-"&amp;COUNTIF($B$2:B575,B575)</f>
        <v>BAHIA-372</v>
      </c>
      <c r="B575" s="5" t="s">
        <v>296</v>
      </c>
      <c r="C575" s="5" t="s">
        <v>529</v>
      </c>
      <c r="D575" s="6">
        <v>-401869</v>
      </c>
      <c r="E575" s="6">
        <v>-104598</v>
      </c>
      <c r="F575" s="7">
        <v>5.1449999999999996</v>
      </c>
      <c r="G575" s="7">
        <v>6.0140000000000002</v>
      </c>
      <c r="H575" s="7">
        <v>5.827</v>
      </c>
      <c r="I575" s="7">
        <v>5.7169999999999996</v>
      </c>
      <c r="J575" s="7">
        <v>4.7610000000000001</v>
      </c>
      <c r="K575" s="7">
        <v>4.0629999999999997</v>
      </c>
      <c r="L575" s="7">
        <v>3.722</v>
      </c>
      <c r="M575" s="7">
        <v>3.9630000000000001</v>
      </c>
      <c r="N575" s="7">
        <v>4.5460000000000003</v>
      </c>
      <c r="O575" s="7">
        <v>5.5650000000000004</v>
      </c>
      <c r="P575" s="7">
        <v>5.6420000000000003</v>
      </c>
      <c r="Q575" s="7">
        <v>5.9359999999999999</v>
      </c>
      <c r="R575" s="7">
        <v>5.9790000000000001</v>
      </c>
      <c r="S575" s="7">
        <f t="shared" si="8"/>
        <v>5.1445833333333333</v>
      </c>
    </row>
    <row r="576" spans="1:19">
      <c r="A576" s="5" t="str">
        <f>B576&amp;"-"&amp;COUNTIF($B$2:B576,B576)</f>
        <v>BAHIA-373</v>
      </c>
      <c r="B576" s="5" t="s">
        <v>296</v>
      </c>
      <c r="C576" s="5" t="s">
        <v>4292</v>
      </c>
      <c r="D576" s="6">
        <v>-418789</v>
      </c>
      <c r="E576" s="6">
        <v>-97418</v>
      </c>
      <c r="F576" s="7">
        <v>6.01</v>
      </c>
      <c r="G576" s="7">
        <v>6.4390000000000001</v>
      </c>
      <c r="H576" s="7">
        <v>6.2859999999999996</v>
      </c>
      <c r="I576" s="7">
        <v>6.2809999999999997</v>
      </c>
      <c r="J576" s="7">
        <v>5.6550000000000002</v>
      </c>
      <c r="K576" s="7">
        <v>5.423</v>
      </c>
      <c r="L576" s="7">
        <v>5.3369999999999997</v>
      </c>
      <c r="M576" s="7">
        <v>5.5289999999999999</v>
      </c>
      <c r="N576" s="7">
        <v>5.9340000000000002</v>
      </c>
      <c r="O576" s="7">
        <v>5.9649999999999999</v>
      </c>
      <c r="P576" s="7">
        <v>6.3129999999999997</v>
      </c>
      <c r="Q576" s="7">
        <v>6.577</v>
      </c>
      <c r="R576" s="7">
        <v>6.3769999999999998</v>
      </c>
      <c r="S576" s="7">
        <f t="shared" si="8"/>
        <v>6.0096666666666669</v>
      </c>
    </row>
    <row r="577" spans="1:19">
      <c r="A577" s="5" t="str">
        <f>B577&amp;"-"&amp;COUNTIF($B$2:B577,B577)</f>
        <v>BAHIA-374</v>
      </c>
      <c r="B577" s="5" t="s">
        <v>296</v>
      </c>
      <c r="C577" s="5" t="s">
        <v>530</v>
      </c>
      <c r="D577" s="6">
        <v>-435773</v>
      </c>
      <c r="E577" s="6">
        <v>-135421</v>
      </c>
      <c r="F577" s="7">
        <v>5.891</v>
      </c>
      <c r="G577" s="7">
        <v>6.681</v>
      </c>
      <c r="H577" s="7">
        <v>6.6020000000000003</v>
      </c>
      <c r="I577" s="7">
        <v>5.9669999999999996</v>
      </c>
      <c r="J577" s="7">
        <v>5.6449999999999996</v>
      </c>
      <c r="K577" s="7">
        <v>5.1109999999999998</v>
      </c>
      <c r="L577" s="7">
        <v>4.883</v>
      </c>
      <c r="M577" s="7">
        <v>5.1390000000000002</v>
      </c>
      <c r="N577" s="7">
        <v>5.6390000000000002</v>
      </c>
      <c r="O577" s="7">
        <v>6.0570000000000004</v>
      </c>
      <c r="P577" s="7">
        <v>6.4610000000000003</v>
      </c>
      <c r="Q577" s="7">
        <v>6.0069999999999997</v>
      </c>
      <c r="R577" s="7">
        <v>6.4960000000000004</v>
      </c>
      <c r="S577" s="7">
        <f t="shared" si="8"/>
        <v>5.8906666666666672</v>
      </c>
    </row>
    <row r="578" spans="1:19">
      <c r="A578" s="5" t="str">
        <f>B578&amp;"-"&amp;COUNTIF($B$2:B578,B578)</f>
        <v>BAHIA-375</v>
      </c>
      <c r="B578" s="5" t="s">
        <v>296</v>
      </c>
      <c r="C578" s="5" t="s">
        <v>531</v>
      </c>
      <c r="D578" s="6">
        <v>-439508</v>
      </c>
      <c r="E578" s="6">
        <v>-127594</v>
      </c>
      <c r="F578" s="7">
        <v>5.8940000000000001</v>
      </c>
      <c r="G578" s="7">
        <v>6.5750000000000002</v>
      </c>
      <c r="H578" s="7">
        <v>6.391</v>
      </c>
      <c r="I578" s="7">
        <v>5.8780000000000001</v>
      </c>
      <c r="J578" s="7">
        <v>5.6269999999999998</v>
      </c>
      <c r="K578" s="7">
        <v>5.2119999999999997</v>
      </c>
      <c r="L578" s="7">
        <v>5.016</v>
      </c>
      <c r="M578" s="7">
        <v>5.2759999999999998</v>
      </c>
      <c r="N578" s="7">
        <v>5.8209999999999997</v>
      </c>
      <c r="O578" s="7">
        <v>6.101</v>
      </c>
      <c r="P578" s="7">
        <v>6.3639999999999999</v>
      </c>
      <c r="Q578" s="7">
        <v>5.98</v>
      </c>
      <c r="R578" s="7">
        <v>6.484</v>
      </c>
      <c r="S578" s="7">
        <f t="shared" si="8"/>
        <v>5.893749999999998</v>
      </c>
    </row>
    <row r="579" spans="1:19">
      <c r="A579" s="5" t="str">
        <f>B579&amp;"-"&amp;COUNTIF($B$2:B579,B579)</f>
        <v>BAHIA-376</v>
      </c>
      <c r="B579" s="5" t="s">
        <v>296</v>
      </c>
      <c r="C579" s="5" t="s">
        <v>532</v>
      </c>
      <c r="D579" s="6">
        <v>-39332</v>
      </c>
      <c r="E579" s="6">
        <v>-121598</v>
      </c>
      <c r="F579" s="7">
        <v>5.0309999999999997</v>
      </c>
      <c r="G579" s="7">
        <v>6.0049999999999999</v>
      </c>
      <c r="H579" s="7">
        <v>5.8860000000000001</v>
      </c>
      <c r="I579" s="7">
        <v>5.6840000000000002</v>
      </c>
      <c r="J579" s="7">
        <v>4.6619999999999999</v>
      </c>
      <c r="K579" s="7">
        <v>3.9870000000000001</v>
      </c>
      <c r="L579" s="7">
        <v>3.617</v>
      </c>
      <c r="M579" s="7">
        <v>3.847</v>
      </c>
      <c r="N579" s="7">
        <v>4.4320000000000004</v>
      </c>
      <c r="O579" s="7">
        <v>5.2450000000000001</v>
      </c>
      <c r="P579" s="7">
        <v>5.4119999999999999</v>
      </c>
      <c r="Q579" s="7">
        <v>5.6580000000000004</v>
      </c>
      <c r="R579" s="7">
        <v>5.9379999999999997</v>
      </c>
      <c r="S579" s="7">
        <f t="shared" ref="S579:S642" si="9">(G579+H579+I579+J579+K579+L579+M579+N579+O579+P579+Q579+R579)/12</f>
        <v>5.0310833333333331</v>
      </c>
    </row>
    <row r="580" spans="1:19">
      <c r="A580" s="5" t="str">
        <f>B580&amp;"-"&amp;COUNTIF($B$2:B580,B580)</f>
        <v>BAHIA-377</v>
      </c>
      <c r="B580" s="5" t="s">
        <v>296</v>
      </c>
      <c r="C580" s="5" t="s">
        <v>533</v>
      </c>
      <c r="D580" s="6">
        <v>-390103</v>
      </c>
      <c r="E580" s="6">
        <v>-116588</v>
      </c>
      <c r="F580" s="7">
        <v>5.141</v>
      </c>
      <c r="G580" s="7">
        <v>6.1929999999999996</v>
      </c>
      <c r="H580" s="7">
        <v>5.9249999999999998</v>
      </c>
      <c r="I580" s="7">
        <v>5.766</v>
      </c>
      <c r="J580" s="7">
        <v>4.7709999999999999</v>
      </c>
      <c r="K580" s="7">
        <v>4.0250000000000004</v>
      </c>
      <c r="L580" s="7">
        <v>3.6890000000000001</v>
      </c>
      <c r="M580" s="7">
        <v>3.9390000000000001</v>
      </c>
      <c r="N580" s="7">
        <v>4.4509999999999996</v>
      </c>
      <c r="O580" s="7">
        <v>5.3220000000000001</v>
      </c>
      <c r="P580" s="7">
        <v>5.5759999999999996</v>
      </c>
      <c r="Q580" s="7">
        <v>5.9260000000000002</v>
      </c>
      <c r="R580" s="7">
        <v>6.11</v>
      </c>
      <c r="S580" s="7">
        <f t="shared" si="9"/>
        <v>5.1410833333333334</v>
      </c>
    </row>
    <row r="581" spans="1:19">
      <c r="A581" s="5" t="str">
        <f>B581&amp;"-"&amp;COUNTIF($B$2:B581,B581)</f>
        <v>BAHIA-378</v>
      </c>
      <c r="B581" s="5" t="s">
        <v>296</v>
      </c>
      <c r="C581" s="5" t="s">
        <v>4905</v>
      </c>
      <c r="D581" s="6">
        <v>-40301</v>
      </c>
      <c r="E581" s="6">
        <v>-114166</v>
      </c>
      <c r="F581" s="7">
        <v>4.992</v>
      </c>
      <c r="G581" s="7">
        <v>6.0389999999999997</v>
      </c>
      <c r="H581" s="7">
        <v>5.8170000000000002</v>
      </c>
      <c r="I581" s="7">
        <v>5.61</v>
      </c>
      <c r="J581" s="7">
        <v>4.6269999999999998</v>
      </c>
      <c r="K581" s="7">
        <v>3.8959999999999999</v>
      </c>
      <c r="L581" s="7">
        <v>3.6320000000000001</v>
      </c>
      <c r="M581" s="7">
        <v>3.798</v>
      </c>
      <c r="N581" s="7">
        <v>4.4320000000000004</v>
      </c>
      <c r="O581" s="7">
        <v>5.3280000000000003</v>
      </c>
      <c r="P581" s="7">
        <v>5.343</v>
      </c>
      <c r="Q581" s="7">
        <v>5.6050000000000004</v>
      </c>
      <c r="R581" s="7">
        <v>5.7750000000000004</v>
      </c>
      <c r="S581" s="7">
        <f t="shared" si="9"/>
        <v>4.991833333333334</v>
      </c>
    </row>
    <row r="582" spans="1:19">
      <c r="A582" s="5" t="str">
        <f>B582&amp;"-"&amp;COUNTIF($B$2:B582,B582)</f>
        <v>BAHIA-379</v>
      </c>
      <c r="B582" s="5" t="s">
        <v>296</v>
      </c>
      <c r="C582" s="5" t="s">
        <v>5430</v>
      </c>
      <c r="D582" s="6">
        <v>-384033</v>
      </c>
      <c r="E582" s="6">
        <v>-12787</v>
      </c>
      <c r="F582" s="7">
        <v>5.0910000000000002</v>
      </c>
      <c r="G582" s="7">
        <v>6.1719999999999997</v>
      </c>
      <c r="H582" s="7">
        <v>5.9740000000000002</v>
      </c>
      <c r="I582" s="7">
        <v>5.6989999999999998</v>
      </c>
      <c r="J582" s="7">
        <v>4.5289999999999999</v>
      </c>
      <c r="K582" s="7">
        <v>3.94</v>
      </c>
      <c r="L582" s="7">
        <v>3.6560000000000001</v>
      </c>
      <c r="M582" s="7">
        <v>3.8879999999999999</v>
      </c>
      <c r="N582" s="7">
        <v>4.4160000000000004</v>
      </c>
      <c r="O582" s="7">
        <v>5.1849999999999996</v>
      </c>
      <c r="P582" s="7">
        <v>5.5830000000000002</v>
      </c>
      <c r="Q582" s="7">
        <v>5.8460000000000001</v>
      </c>
      <c r="R582" s="7">
        <v>6.2069999999999999</v>
      </c>
      <c r="S582" s="7">
        <f t="shared" si="9"/>
        <v>5.0912500000000005</v>
      </c>
    </row>
    <row r="583" spans="1:19">
      <c r="A583" s="5" t="str">
        <f>B583&amp;"-"&amp;COUNTIF($B$2:B583,B583)</f>
        <v>BAHIA-380</v>
      </c>
      <c r="B583" s="5" t="s">
        <v>296</v>
      </c>
      <c r="C583" s="5" t="s">
        <v>534</v>
      </c>
      <c r="D583" s="6">
        <v>-407945</v>
      </c>
      <c r="E583" s="6">
        <v>-94687</v>
      </c>
      <c r="F583" s="7">
        <v>5.8109999999999999</v>
      </c>
      <c r="G583" s="7">
        <v>6.4080000000000004</v>
      </c>
      <c r="H583" s="7">
        <v>6.0890000000000004</v>
      </c>
      <c r="I583" s="7">
        <v>6.01</v>
      </c>
      <c r="J583" s="7">
        <v>5.2460000000000004</v>
      </c>
      <c r="K583" s="7">
        <v>4.944</v>
      </c>
      <c r="L583" s="7">
        <v>4.7089999999999996</v>
      </c>
      <c r="M583" s="7">
        <v>4.9790000000000001</v>
      </c>
      <c r="N583" s="7">
        <v>5.681</v>
      </c>
      <c r="O583" s="7">
        <v>6.3339999999999996</v>
      </c>
      <c r="P583" s="7">
        <v>6.4249999999999998</v>
      </c>
      <c r="Q583" s="7">
        <v>6.5810000000000004</v>
      </c>
      <c r="R583" s="7">
        <v>6.3330000000000002</v>
      </c>
      <c r="S583" s="7">
        <f t="shared" si="9"/>
        <v>5.8115833333333322</v>
      </c>
    </row>
    <row r="584" spans="1:19">
      <c r="A584" s="5" t="str">
        <f>B584&amp;"-"&amp;COUNTIF($B$2:B584,B584)</f>
        <v>BAHIA-381</v>
      </c>
      <c r="B584" s="5" t="s">
        <v>296</v>
      </c>
      <c r="C584" s="5" t="s">
        <v>535</v>
      </c>
      <c r="D584" s="6">
        <v>-416431</v>
      </c>
      <c r="E584" s="6">
        <v>-120885</v>
      </c>
      <c r="F584" s="7">
        <v>5.3049999999999997</v>
      </c>
      <c r="G584" s="7">
        <v>6.0670000000000002</v>
      </c>
      <c r="H584" s="7">
        <v>5.9279999999999999</v>
      </c>
      <c r="I584" s="7">
        <v>5.694</v>
      </c>
      <c r="J584" s="7">
        <v>4.8490000000000002</v>
      </c>
      <c r="K584" s="7">
        <v>4.2720000000000002</v>
      </c>
      <c r="L584" s="7">
        <v>3.9849999999999999</v>
      </c>
      <c r="M584" s="7">
        <v>4.1660000000000004</v>
      </c>
      <c r="N584" s="7">
        <v>4.9039999999999999</v>
      </c>
      <c r="O584" s="7">
        <v>5.8220000000000001</v>
      </c>
      <c r="P584" s="7">
        <v>5.9889999999999999</v>
      </c>
      <c r="Q584" s="7">
        <v>5.8079999999999998</v>
      </c>
      <c r="R584" s="7">
        <v>6.1790000000000003</v>
      </c>
      <c r="S584" s="7">
        <f t="shared" si="9"/>
        <v>5.30525</v>
      </c>
    </row>
    <row r="585" spans="1:19">
      <c r="A585" s="5" t="str">
        <f>B585&amp;"-"&amp;COUNTIF($B$2:B585,B585)</f>
        <v>BAHIA-382</v>
      </c>
      <c r="B585" s="5" t="s">
        <v>296</v>
      </c>
      <c r="C585" s="5" t="s">
        <v>536</v>
      </c>
      <c r="D585" s="6">
        <v>-440078</v>
      </c>
      <c r="E585" s="6">
        <v>-127031</v>
      </c>
      <c r="F585" s="7">
        <v>5.8789999999999996</v>
      </c>
      <c r="G585" s="7">
        <v>6.4580000000000002</v>
      </c>
      <c r="H585" s="7">
        <v>6.35</v>
      </c>
      <c r="I585" s="7">
        <v>5.8360000000000003</v>
      </c>
      <c r="J585" s="7">
        <v>5.6130000000000004</v>
      </c>
      <c r="K585" s="7">
        <v>5.2380000000000004</v>
      </c>
      <c r="L585" s="7">
        <v>5.08</v>
      </c>
      <c r="M585" s="7">
        <v>5.3520000000000003</v>
      </c>
      <c r="N585" s="7">
        <v>5.8860000000000001</v>
      </c>
      <c r="O585" s="7">
        <v>6.157</v>
      </c>
      <c r="P585" s="7">
        <v>6.351</v>
      </c>
      <c r="Q585" s="7">
        <v>5.8570000000000002</v>
      </c>
      <c r="R585" s="7">
        <v>6.367</v>
      </c>
      <c r="S585" s="7">
        <f t="shared" si="9"/>
        <v>5.8787500000000001</v>
      </c>
    </row>
    <row r="586" spans="1:19">
      <c r="A586" s="5" t="str">
        <f>B586&amp;"-"&amp;COUNTIF($B$2:B586,B586)</f>
        <v>BAHIA-383</v>
      </c>
      <c r="B586" s="5" t="s">
        <v>296</v>
      </c>
      <c r="C586" s="5" t="s">
        <v>4618</v>
      </c>
      <c r="D586" s="6">
        <v>-412476</v>
      </c>
      <c r="E586" s="6">
        <v>-140201</v>
      </c>
      <c r="F586" s="7">
        <v>5.3550000000000004</v>
      </c>
      <c r="G586" s="7">
        <v>6.2850000000000001</v>
      </c>
      <c r="H586" s="7">
        <v>6.2629999999999999</v>
      </c>
      <c r="I586" s="7">
        <v>5.7489999999999997</v>
      </c>
      <c r="J586" s="7">
        <v>4.8940000000000001</v>
      </c>
      <c r="K586" s="7">
        <v>4.3250000000000002</v>
      </c>
      <c r="L586" s="7">
        <v>3.9489999999999998</v>
      </c>
      <c r="M586" s="7">
        <v>4.1109999999999998</v>
      </c>
      <c r="N586" s="7">
        <v>4.8019999999999996</v>
      </c>
      <c r="O586" s="7">
        <v>5.6779999999999999</v>
      </c>
      <c r="P586" s="7">
        <v>5.91</v>
      </c>
      <c r="Q586" s="7">
        <v>5.851</v>
      </c>
      <c r="R586" s="7">
        <v>6.4489999999999998</v>
      </c>
      <c r="S586" s="7">
        <f t="shared" si="9"/>
        <v>5.3554999999999993</v>
      </c>
    </row>
    <row r="587" spans="1:19">
      <c r="A587" s="5" t="str">
        <f>B587&amp;"-"&amp;COUNTIF($B$2:B587,B587)</f>
        <v>BAHIA-384</v>
      </c>
      <c r="B587" s="5" t="s">
        <v>296</v>
      </c>
      <c r="C587" s="5" t="s">
        <v>537</v>
      </c>
      <c r="D587" s="6">
        <v>-424908</v>
      </c>
      <c r="E587" s="6">
        <v>-135476</v>
      </c>
      <c r="F587" s="7">
        <v>5.8319999999999999</v>
      </c>
      <c r="G587" s="7">
        <v>6.5650000000000004</v>
      </c>
      <c r="H587" s="7">
        <v>6.5990000000000002</v>
      </c>
      <c r="I587" s="7">
        <v>6.008</v>
      </c>
      <c r="J587" s="7">
        <v>5.476</v>
      </c>
      <c r="K587" s="7">
        <v>4.9859999999999998</v>
      </c>
      <c r="L587" s="7">
        <v>4.7080000000000002</v>
      </c>
      <c r="M587" s="7">
        <v>4.9610000000000003</v>
      </c>
      <c r="N587" s="7">
        <v>5.6079999999999997</v>
      </c>
      <c r="O587" s="7">
        <v>6.14</v>
      </c>
      <c r="P587" s="7">
        <v>6.44</v>
      </c>
      <c r="Q587" s="7">
        <v>5.94</v>
      </c>
      <c r="R587" s="7">
        <v>6.5469999999999997</v>
      </c>
      <c r="S587" s="7">
        <f t="shared" si="9"/>
        <v>5.8314999999999992</v>
      </c>
    </row>
    <row r="588" spans="1:19">
      <c r="A588" s="5" t="str">
        <f>B588&amp;"-"&amp;COUNTIF($B$2:B588,B588)</f>
        <v>BAHIA-385</v>
      </c>
      <c r="B588" s="5" t="s">
        <v>296</v>
      </c>
      <c r="C588" s="5" t="s">
        <v>538</v>
      </c>
      <c r="D588" s="6">
        <v>-391048</v>
      </c>
      <c r="E588" s="6">
        <v>-119751</v>
      </c>
      <c r="F588" s="7">
        <v>5.0659999999999998</v>
      </c>
      <c r="G588" s="7">
        <v>6.05</v>
      </c>
      <c r="H588" s="7">
        <v>5.9130000000000003</v>
      </c>
      <c r="I588" s="7">
        <v>5.702</v>
      </c>
      <c r="J588" s="7">
        <v>4.718</v>
      </c>
      <c r="K588" s="7">
        <v>4.024</v>
      </c>
      <c r="L588" s="7">
        <v>3.6829999999999998</v>
      </c>
      <c r="M588" s="7">
        <v>3.915</v>
      </c>
      <c r="N588" s="7">
        <v>4.4109999999999996</v>
      </c>
      <c r="O588" s="7">
        <v>5.2169999999999996</v>
      </c>
      <c r="P588" s="7">
        <v>5.4489999999999998</v>
      </c>
      <c r="Q588" s="7">
        <v>5.7210000000000001</v>
      </c>
      <c r="R588" s="7">
        <v>5.992</v>
      </c>
      <c r="S588" s="7">
        <f t="shared" si="9"/>
        <v>5.0662499999999993</v>
      </c>
    </row>
    <row r="589" spans="1:19">
      <c r="A589" s="5" t="str">
        <f>B589&amp;"-"&amp;COUNTIF($B$2:B589,B589)</f>
        <v>BAHIA-386</v>
      </c>
      <c r="B589" s="5" t="s">
        <v>296</v>
      </c>
      <c r="C589" s="5" t="s">
        <v>5481</v>
      </c>
      <c r="D589" s="6">
        <v>-391005</v>
      </c>
      <c r="E589" s="6">
        <v>-135392</v>
      </c>
      <c r="F589" s="7">
        <v>4.931</v>
      </c>
      <c r="G589" s="7">
        <v>5.97</v>
      </c>
      <c r="H589" s="7">
        <v>5.89</v>
      </c>
      <c r="I589" s="7">
        <v>5.5549999999999997</v>
      </c>
      <c r="J589" s="7">
        <v>4.5090000000000003</v>
      </c>
      <c r="K589" s="7">
        <v>3.91</v>
      </c>
      <c r="L589" s="7">
        <v>3.548</v>
      </c>
      <c r="M589" s="7">
        <v>3.7850000000000001</v>
      </c>
      <c r="N589" s="7">
        <v>4.2960000000000003</v>
      </c>
      <c r="O589" s="7">
        <v>5.0039999999999996</v>
      </c>
      <c r="P589" s="7">
        <v>5.1580000000000004</v>
      </c>
      <c r="Q589" s="7">
        <v>5.52</v>
      </c>
      <c r="R589" s="7">
        <v>6.0289999999999999</v>
      </c>
      <c r="S589" s="7">
        <f t="shared" si="9"/>
        <v>4.931166666666666</v>
      </c>
    </row>
    <row r="590" spans="1:19">
      <c r="A590" s="5" t="str">
        <f>B590&amp;"-"&amp;COUNTIF($B$2:B590,B590)</f>
        <v>BAHIA-387</v>
      </c>
      <c r="B590" s="5" t="s">
        <v>296</v>
      </c>
      <c r="C590" s="5" t="s">
        <v>5482</v>
      </c>
      <c r="D590" s="6">
        <v>-40793</v>
      </c>
      <c r="E590" s="6">
        <v>-118479</v>
      </c>
      <c r="F590" s="7">
        <v>4.9749999999999996</v>
      </c>
      <c r="G590" s="7">
        <v>5.89</v>
      </c>
      <c r="H590" s="7">
        <v>5.76</v>
      </c>
      <c r="I590" s="7">
        <v>5.5570000000000004</v>
      </c>
      <c r="J590" s="7">
        <v>4.593</v>
      </c>
      <c r="K590" s="7">
        <v>3.923</v>
      </c>
      <c r="L590" s="7">
        <v>3.6509999999999998</v>
      </c>
      <c r="M590" s="7">
        <v>3.7930000000000001</v>
      </c>
      <c r="N590" s="7">
        <v>4.4729999999999999</v>
      </c>
      <c r="O590" s="7">
        <v>5.4089999999999998</v>
      </c>
      <c r="P590" s="7">
        <v>5.3840000000000003</v>
      </c>
      <c r="Q590" s="7">
        <v>5.5039999999999996</v>
      </c>
      <c r="R590" s="7">
        <v>5.7649999999999997</v>
      </c>
      <c r="S590" s="7">
        <f t="shared" si="9"/>
        <v>4.9751666666666665</v>
      </c>
    </row>
    <row r="591" spans="1:19">
      <c r="A591" s="5" t="str">
        <f>B591&amp;"-"&amp;COUNTIF($B$2:B591,B591)</f>
        <v>BAHIA-388</v>
      </c>
      <c r="B591" s="5" t="s">
        <v>296</v>
      </c>
      <c r="C591" s="5" t="s">
        <v>539</v>
      </c>
      <c r="D591" s="6">
        <v>-397403</v>
      </c>
      <c r="E591" s="6">
        <v>-175404</v>
      </c>
      <c r="F591" s="7">
        <v>4.8920000000000003</v>
      </c>
      <c r="G591" s="7">
        <v>6.1580000000000004</v>
      </c>
      <c r="H591" s="7">
        <v>6.069</v>
      </c>
      <c r="I591" s="7">
        <v>5.2290000000000001</v>
      </c>
      <c r="J591" s="7">
        <v>4.508</v>
      </c>
      <c r="K591" s="7">
        <v>3.839</v>
      </c>
      <c r="L591" s="7">
        <v>3.4630000000000001</v>
      </c>
      <c r="M591" s="7">
        <v>3.6549999999999998</v>
      </c>
      <c r="N591" s="7">
        <v>4.34</v>
      </c>
      <c r="O591" s="7">
        <v>4.883</v>
      </c>
      <c r="P591" s="7">
        <v>5.1849999999999996</v>
      </c>
      <c r="Q591" s="7">
        <v>5.2430000000000003</v>
      </c>
      <c r="R591" s="7">
        <v>6.1269999999999998</v>
      </c>
      <c r="S591" s="7">
        <f t="shared" si="9"/>
        <v>4.8915833333333341</v>
      </c>
    </row>
    <row r="592" spans="1:19">
      <c r="A592" s="5" t="str">
        <f>B592&amp;"-"&amp;COUNTIF($B$2:B592,B592)</f>
        <v>BAHIA-389</v>
      </c>
      <c r="B592" s="5" t="s">
        <v>296</v>
      </c>
      <c r="C592" s="5" t="s">
        <v>540</v>
      </c>
      <c r="D592" s="6">
        <v>-386402</v>
      </c>
      <c r="E592" s="6">
        <v>-123026</v>
      </c>
      <c r="F592" s="7">
        <v>5.0570000000000004</v>
      </c>
      <c r="G592" s="7">
        <v>6.0350000000000001</v>
      </c>
      <c r="H592" s="7">
        <v>5.8650000000000002</v>
      </c>
      <c r="I592" s="7">
        <v>5.6950000000000003</v>
      </c>
      <c r="J592" s="7">
        <v>4.6609999999999996</v>
      </c>
      <c r="K592" s="7">
        <v>3.9390000000000001</v>
      </c>
      <c r="L592" s="7">
        <v>3.6440000000000001</v>
      </c>
      <c r="M592" s="7">
        <v>3.891</v>
      </c>
      <c r="N592" s="7">
        <v>4.3710000000000004</v>
      </c>
      <c r="O592" s="7">
        <v>5.2320000000000002</v>
      </c>
      <c r="P592" s="7">
        <v>5.4850000000000003</v>
      </c>
      <c r="Q592" s="7">
        <v>5.8</v>
      </c>
      <c r="R592" s="7">
        <v>6.0609999999999999</v>
      </c>
      <c r="S592" s="7">
        <f t="shared" si="9"/>
        <v>5.0565833333333332</v>
      </c>
    </row>
    <row r="593" spans="1:19">
      <c r="A593" s="5" t="str">
        <f>B593&amp;"-"&amp;COUNTIF($B$2:B593,B593)</f>
        <v>BAHIA-390</v>
      </c>
      <c r="B593" s="5" t="s">
        <v>296</v>
      </c>
      <c r="C593" s="5" t="s">
        <v>4906</v>
      </c>
      <c r="D593" s="6">
        <v>-389971</v>
      </c>
      <c r="E593" s="6">
        <v>-11479</v>
      </c>
      <c r="F593" s="7">
        <v>5.1829999999999998</v>
      </c>
      <c r="G593" s="7">
        <v>6.1639999999999997</v>
      </c>
      <c r="H593" s="7">
        <v>5.9420000000000002</v>
      </c>
      <c r="I593" s="7">
        <v>5.7880000000000003</v>
      </c>
      <c r="J593" s="7">
        <v>4.8789999999999996</v>
      </c>
      <c r="K593" s="7">
        <v>4.1040000000000001</v>
      </c>
      <c r="L593" s="7">
        <v>3.8340000000000001</v>
      </c>
      <c r="M593" s="7">
        <v>4.0599999999999996</v>
      </c>
      <c r="N593" s="7">
        <v>4.5289999999999999</v>
      </c>
      <c r="O593" s="7">
        <v>5.3440000000000003</v>
      </c>
      <c r="P593" s="7">
        <v>5.577</v>
      </c>
      <c r="Q593" s="7">
        <v>5.9109999999999996</v>
      </c>
      <c r="R593" s="7">
        <v>6.0679999999999996</v>
      </c>
      <c r="S593" s="7">
        <f t="shared" si="9"/>
        <v>5.1833333333333327</v>
      </c>
    </row>
    <row r="594" spans="1:19">
      <c r="A594" s="5" t="str">
        <f>B594&amp;"-"&amp;COUNTIF($B$2:B594,B594)</f>
        <v>BAHIA-391</v>
      </c>
      <c r="B594" s="5" t="s">
        <v>296</v>
      </c>
      <c r="C594" s="5" t="s">
        <v>4907</v>
      </c>
      <c r="D594" s="6">
        <v>-394888</v>
      </c>
      <c r="E594" s="6">
        <v>-135924</v>
      </c>
      <c r="F594" s="7">
        <v>4.8490000000000002</v>
      </c>
      <c r="G594" s="7">
        <v>5.931</v>
      </c>
      <c r="H594" s="7">
        <v>5.7789999999999999</v>
      </c>
      <c r="I594" s="7">
        <v>5.5490000000000004</v>
      </c>
      <c r="J594" s="7">
        <v>4.476</v>
      </c>
      <c r="K594" s="7">
        <v>3.8959999999999999</v>
      </c>
      <c r="L594" s="7">
        <v>3.4609999999999999</v>
      </c>
      <c r="M594" s="7">
        <v>3.6909999999999998</v>
      </c>
      <c r="N594" s="7">
        <v>4.1840000000000002</v>
      </c>
      <c r="O594" s="7">
        <v>4.9219999999999997</v>
      </c>
      <c r="P594" s="7">
        <v>5.0579999999999998</v>
      </c>
      <c r="Q594" s="7">
        <v>5.327</v>
      </c>
      <c r="R594" s="7">
        <v>5.907</v>
      </c>
      <c r="S594" s="7">
        <f t="shared" si="9"/>
        <v>4.8484166666666662</v>
      </c>
    </row>
    <row r="595" spans="1:19">
      <c r="A595" s="5" t="str">
        <f>B595&amp;"-"&amp;COUNTIF($B$2:B595,B595)</f>
        <v>BAHIA-392</v>
      </c>
      <c r="B595" s="5" t="s">
        <v>296</v>
      </c>
      <c r="C595" s="5" t="s">
        <v>541</v>
      </c>
      <c r="D595" s="6">
        <v>-386203</v>
      </c>
      <c r="E595" s="6">
        <v>-124039</v>
      </c>
      <c r="F595" s="7">
        <v>5.0069999999999997</v>
      </c>
      <c r="G595" s="7">
        <v>5.9619999999999997</v>
      </c>
      <c r="H595" s="7">
        <v>5.7629999999999999</v>
      </c>
      <c r="I595" s="7">
        <v>5.6360000000000001</v>
      </c>
      <c r="J595" s="7">
        <v>4.6079999999999997</v>
      </c>
      <c r="K595" s="7">
        <v>3.9340000000000002</v>
      </c>
      <c r="L595" s="7">
        <v>3.5950000000000002</v>
      </c>
      <c r="M595" s="7">
        <v>3.8140000000000001</v>
      </c>
      <c r="N595" s="7">
        <v>4.306</v>
      </c>
      <c r="O595" s="7">
        <v>5.181</v>
      </c>
      <c r="P595" s="7">
        <v>5.4649999999999999</v>
      </c>
      <c r="Q595" s="7">
        <v>5.7439999999999998</v>
      </c>
      <c r="R595" s="7">
        <v>6.077</v>
      </c>
      <c r="S595" s="7">
        <f t="shared" si="9"/>
        <v>5.0070833333333331</v>
      </c>
    </row>
    <row r="596" spans="1:19">
      <c r="A596" s="5" t="str">
        <f>B596&amp;"-"&amp;COUNTIF($B$2:B596,B596)</f>
        <v>BAHIA-393</v>
      </c>
      <c r="B596" s="5" t="s">
        <v>296</v>
      </c>
      <c r="C596" s="5" t="s">
        <v>542</v>
      </c>
      <c r="D596" s="6">
        <v>-41409</v>
      </c>
      <c r="E596" s="6">
        <v>-149769</v>
      </c>
      <c r="F596" s="7">
        <v>5.25</v>
      </c>
      <c r="G596" s="7">
        <v>6.1609999999999996</v>
      </c>
      <c r="H596" s="7">
        <v>6.2930000000000001</v>
      </c>
      <c r="I596" s="7">
        <v>5.6139999999999999</v>
      </c>
      <c r="J596" s="7">
        <v>4.875</v>
      </c>
      <c r="K596" s="7">
        <v>4.2629999999999999</v>
      </c>
      <c r="L596" s="7">
        <v>3.8639999999999999</v>
      </c>
      <c r="M596" s="7">
        <v>4.125</v>
      </c>
      <c r="N596" s="7">
        <v>4.7089999999999996</v>
      </c>
      <c r="O596" s="7">
        <v>5.6159999999999997</v>
      </c>
      <c r="P596" s="7">
        <v>5.7560000000000002</v>
      </c>
      <c r="Q596" s="7">
        <v>5.5720000000000001</v>
      </c>
      <c r="R596" s="7">
        <v>6.149</v>
      </c>
      <c r="S596" s="7">
        <f t="shared" si="9"/>
        <v>5.2497500000000015</v>
      </c>
    </row>
    <row r="597" spans="1:19">
      <c r="A597" s="5" t="str">
        <f>B597&amp;"-"&amp;COUNTIF($B$2:B597,B597)</f>
        <v>BAHIA-394</v>
      </c>
      <c r="B597" s="5" t="s">
        <v>296</v>
      </c>
      <c r="C597" s="5" t="s">
        <v>543</v>
      </c>
      <c r="D597" s="6">
        <v>-387897</v>
      </c>
      <c r="E597" s="6">
        <v>-109588</v>
      </c>
      <c r="F597" s="7">
        <v>5.3250000000000002</v>
      </c>
      <c r="G597" s="7">
        <v>6.234</v>
      </c>
      <c r="H597" s="7">
        <v>6.0679999999999996</v>
      </c>
      <c r="I597" s="7">
        <v>5.976</v>
      </c>
      <c r="J597" s="7">
        <v>5.0860000000000003</v>
      </c>
      <c r="K597" s="7">
        <v>4.2510000000000003</v>
      </c>
      <c r="L597" s="7">
        <v>3.9380000000000002</v>
      </c>
      <c r="M597" s="7">
        <v>4.1269999999999998</v>
      </c>
      <c r="N597" s="7">
        <v>4.6429999999999998</v>
      </c>
      <c r="O597" s="7">
        <v>5.5019999999999998</v>
      </c>
      <c r="P597" s="7">
        <v>5.7539999999999996</v>
      </c>
      <c r="Q597" s="7">
        <v>6.149</v>
      </c>
      <c r="R597" s="7">
        <v>6.1740000000000004</v>
      </c>
      <c r="S597" s="7">
        <f t="shared" si="9"/>
        <v>5.325166666666667</v>
      </c>
    </row>
    <row r="598" spans="1:19">
      <c r="A598" s="5" t="str">
        <f>B598&amp;"-"&amp;COUNTIF($B$2:B598,B598)</f>
        <v>BAHIA-395</v>
      </c>
      <c r="B598" s="5" t="s">
        <v>296</v>
      </c>
      <c r="C598" s="5" t="s">
        <v>5483</v>
      </c>
      <c r="D598" s="6">
        <v>-394795</v>
      </c>
      <c r="E598" s="6">
        <v>-98421</v>
      </c>
      <c r="F598" s="7">
        <v>5.4870000000000001</v>
      </c>
      <c r="G598" s="7">
        <v>6.2469999999999999</v>
      </c>
      <c r="H598" s="7">
        <v>6.069</v>
      </c>
      <c r="I598" s="7">
        <v>5.8970000000000002</v>
      </c>
      <c r="J598" s="7">
        <v>5.1420000000000003</v>
      </c>
      <c r="K598" s="7">
        <v>4.4930000000000003</v>
      </c>
      <c r="L598" s="7">
        <v>4.1479999999999997</v>
      </c>
      <c r="M598" s="7">
        <v>4.3230000000000004</v>
      </c>
      <c r="N598" s="7">
        <v>4.9569999999999999</v>
      </c>
      <c r="O598" s="7">
        <v>5.9459999999999997</v>
      </c>
      <c r="P598" s="7">
        <v>6.0410000000000004</v>
      </c>
      <c r="Q598" s="7">
        <v>6.2910000000000004</v>
      </c>
      <c r="R598" s="7">
        <v>6.2869999999999999</v>
      </c>
      <c r="S598" s="7">
        <f t="shared" si="9"/>
        <v>5.4867500000000007</v>
      </c>
    </row>
    <row r="599" spans="1:19">
      <c r="A599" s="5" t="str">
        <f>B599&amp;"-"&amp;COUNTIF($B$2:B599,B599)</f>
        <v>BAHIA-396</v>
      </c>
      <c r="B599" s="5" t="s">
        <v>296</v>
      </c>
      <c r="C599" s="5" t="s">
        <v>544</v>
      </c>
      <c r="D599" s="6">
        <v>-396627</v>
      </c>
      <c r="E599" s="6">
        <v>-132685</v>
      </c>
      <c r="F599" s="7">
        <v>4.8360000000000003</v>
      </c>
      <c r="G599" s="7">
        <v>5.8079999999999998</v>
      </c>
      <c r="H599" s="7">
        <v>5.8460000000000001</v>
      </c>
      <c r="I599" s="7">
        <v>5.5519999999999996</v>
      </c>
      <c r="J599" s="7">
        <v>4.4630000000000001</v>
      </c>
      <c r="K599" s="7">
        <v>3.843</v>
      </c>
      <c r="L599" s="7">
        <v>3.4510000000000001</v>
      </c>
      <c r="M599" s="7">
        <v>3.6480000000000001</v>
      </c>
      <c r="N599" s="7">
        <v>4.1689999999999996</v>
      </c>
      <c r="O599" s="7">
        <v>4.9669999999999996</v>
      </c>
      <c r="P599" s="7">
        <v>5.0890000000000004</v>
      </c>
      <c r="Q599" s="7">
        <v>5.306</v>
      </c>
      <c r="R599" s="7">
        <v>5.8879999999999999</v>
      </c>
      <c r="S599" s="7">
        <f t="shared" si="9"/>
        <v>4.8358333333333325</v>
      </c>
    </row>
    <row r="600" spans="1:19">
      <c r="A600" s="5" t="str">
        <f>B600&amp;"-"&amp;COUNTIF($B$2:B600,B600)</f>
        <v>BAHIA-397</v>
      </c>
      <c r="B600" s="5" t="s">
        <v>296</v>
      </c>
      <c r="C600" s="5" t="s">
        <v>545</v>
      </c>
      <c r="D600" s="6">
        <v>-393227</v>
      </c>
      <c r="E600" s="6">
        <v>-142998</v>
      </c>
      <c r="F600" s="7">
        <v>4.8680000000000003</v>
      </c>
      <c r="G600" s="7">
        <v>5.8869999999999996</v>
      </c>
      <c r="H600" s="7">
        <v>5.83</v>
      </c>
      <c r="I600" s="7">
        <v>5.5030000000000001</v>
      </c>
      <c r="J600" s="7">
        <v>4.516</v>
      </c>
      <c r="K600" s="7">
        <v>3.84</v>
      </c>
      <c r="L600" s="7">
        <v>3.508</v>
      </c>
      <c r="M600" s="7">
        <v>3.7429999999999999</v>
      </c>
      <c r="N600" s="7">
        <v>4.2460000000000004</v>
      </c>
      <c r="O600" s="7">
        <v>4.9180000000000001</v>
      </c>
      <c r="P600" s="7">
        <v>5.1429999999999998</v>
      </c>
      <c r="Q600" s="7">
        <v>5.2619999999999996</v>
      </c>
      <c r="R600" s="7">
        <v>6.02</v>
      </c>
      <c r="S600" s="7">
        <f t="shared" si="9"/>
        <v>4.8679999999999994</v>
      </c>
    </row>
    <row r="601" spans="1:19">
      <c r="A601" s="5" t="str">
        <f>B601&amp;"-"&amp;COUNTIF($B$2:B601,B601)</f>
        <v>BAHIA-398</v>
      </c>
      <c r="B601" s="5" t="s">
        <v>296</v>
      </c>
      <c r="C601" s="5" t="s">
        <v>5349</v>
      </c>
      <c r="D601" s="6">
        <v>-395181</v>
      </c>
      <c r="E601" s="6">
        <v>-142157</v>
      </c>
      <c r="F601" s="7">
        <v>4.87</v>
      </c>
      <c r="G601" s="7">
        <v>5.8319999999999999</v>
      </c>
      <c r="H601" s="7">
        <v>5.835</v>
      </c>
      <c r="I601" s="7">
        <v>5.5220000000000002</v>
      </c>
      <c r="J601" s="7">
        <v>4.5220000000000002</v>
      </c>
      <c r="K601" s="7">
        <v>3.8490000000000002</v>
      </c>
      <c r="L601" s="7">
        <v>3.5310000000000001</v>
      </c>
      <c r="M601" s="7">
        <v>3.7610000000000001</v>
      </c>
      <c r="N601" s="7">
        <v>4.2439999999999998</v>
      </c>
      <c r="O601" s="7">
        <v>4.952</v>
      </c>
      <c r="P601" s="7">
        <v>5.1790000000000003</v>
      </c>
      <c r="Q601" s="7">
        <v>5.282</v>
      </c>
      <c r="R601" s="7">
        <v>5.9260000000000002</v>
      </c>
      <c r="S601" s="7">
        <f t="shared" si="9"/>
        <v>4.8695833333333338</v>
      </c>
    </row>
    <row r="602" spans="1:19">
      <c r="A602" s="5" t="str">
        <f>B602&amp;"-"&amp;COUNTIF($B$2:B602,B602)</f>
        <v>BAHIA-399</v>
      </c>
      <c r="B602" s="5" t="s">
        <v>296</v>
      </c>
      <c r="C602" s="5" t="s">
        <v>546</v>
      </c>
      <c r="D602" s="6">
        <v>-421357</v>
      </c>
      <c r="E602" s="6">
        <v>-113399</v>
      </c>
      <c r="F602" s="7">
        <v>5.8289999999999997</v>
      </c>
      <c r="G602" s="7">
        <v>6.4340000000000002</v>
      </c>
      <c r="H602" s="7">
        <v>6.218</v>
      </c>
      <c r="I602" s="7">
        <v>6.0119999999999996</v>
      </c>
      <c r="J602" s="7">
        <v>5.3719999999999999</v>
      </c>
      <c r="K602" s="7">
        <v>4.92</v>
      </c>
      <c r="L602" s="7">
        <v>4.7729999999999997</v>
      </c>
      <c r="M602" s="7">
        <v>5.024</v>
      </c>
      <c r="N602" s="7">
        <v>5.7629999999999999</v>
      </c>
      <c r="O602" s="7">
        <v>6.3650000000000002</v>
      </c>
      <c r="P602" s="7">
        <v>6.4560000000000004</v>
      </c>
      <c r="Q602" s="7">
        <v>6.1989999999999998</v>
      </c>
      <c r="R602" s="7">
        <v>6.4109999999999996</v>
      </c>
      <c r="S602" s="7">
        <f t="shared" si="9"/>
        <v>5.8289166666666672</v>
      </c>
    </row>
    <row r="603" spans="1:19">
      <c r="A603" s="5" t="str">
        <f>B603&amp;"-"&amp;COUNTIF($B$2:B603,B603)</f>
        <v>BAHIA-400</v>
      </c>
      <c r="B603" s="5" t="s">
        <v>296</v>
      </c>
      <c r="C603" s="5" t="s">
        <v>547</v>
      </c>
      <c r="D603" s="6">
        <v>-413263</v>
      </c>
      <c r="E603" s="6">
        <v>-107309</v>
      </c>
      <c r="F603" s="7">
        <v>5.5919999999999996</v>
      </c>
      <c r="G603" s="7">
        <v>6.3570000000000002</v>
      </c>
      <c r="H603" s="7">
        <v>5.952</v>
      </c>
      <c r="I603" s="7">
        <v>5.9139999999999997</v>
      </c>
      <c r="J603" s="7">
        <v>5.0019999999999998</v>
      </c>
      <c r="K603" s="7">
        <v>4.5609999999999999</v>
      </c>
      <c r="L603" s="7">
        <v>4.3280000000000003</v>
      </c>
      <c r="M603" s="7">
        <v>4.6059999999999999</v>
      </c>
      <c r="N603" s="7">
        <v>5.3849999999999998</v>
      </c>
      <c r="O603" s="7">
        <v>6.1879999999999997</v>
      </c>
      <c r="P603" s="7">
        <v>6.2560000000000002</v>
      </c>
      <c r="Q603" s="7">
        <v>6.306</v>
      </c>
      <c r="R603" s="7">
        <v>6.2489999999999997</v>
      </c>
      <c r="S603" s="7">
        <f t="shared" si="9"/>
        <v>5.5919999999999996</v>
      </c>
    </row>
    <row r="604" spans="1:19">
      <c r="A604" s="5" t="str">
        <f>B604&amp;"-"&amp;COUNTIF($B$2:B604,B604)</f>
        <v>BAHIA-401</v>
      </c>
      <c r="B604" s="5" t="s">
        <v>296</v>
      </c>
      <c r="C604" s="5" t="s">
        <v>548</v>
      </c>
      <c r="D604" s="6">
        <v>-39075</v>
      </c>
      <c r="E604" s="6">
        <v>-152937</v>
      </c>
      <c r="F604" s="7">
        <v>5.0439999999999996</v>
      </c>
      <c r="G604" s="7">
        <v>6.1180000000000003</v>
      </c>
      <c r="H604" s="7">
        <v>6.2080000000000002</v>
      </c>
      <c r="I604" s="7">
        <v>5.58</v>
      </c>
      <c r="J604" s="7">
        <v>4.6379999999999999</v>
      </c>
      <c r="K604" s="7">
        <v>3.915</v>
      </c>
      <c r="L604" s="7">
        <v>3.6240000000000001</v>
      </c>
      <c r="M604" s="7">
        <v>3.8490000000000002</v>
      </c>
      <c r="N604" s="7">
        <v>4.484</v>
      </c>
      <c r="O604" s="7">
        <v>5.0449999999999999</v>
      </c>
      <c r="P604" s="7">
        <v>5.3150000000000004</v>
      </c>
      <c r="Q604" s="7">
        <v>5.4749999999999996</v>
      </c>
      <c r="R604" s="7">
        <v>6.2759999999999998</v>
      </c>
      <c r="S604" s="7">
        <f t="shared" si="9"/>
        <v>5.043916666666667</v>
      </c>
    </row>
    <row r="605" spans="1:19">
      <c r="A605" s="5" t="str">
        <f>B605&amp;"-"&amp;COUNTIF($B$2:B605,B605)</f>
        <v>BAHIA-402</v>
      </c>
      <c r="B605" s="5" t="s">
        <v>296</v>
      </c>
      <c r="C605" s="5" t="s">
        <v>549</v>
      </c>
      <c r="D605" s="6">
        <v>-426576</v>
      </c>
      <c r="E605" s="6">
        <v>-147691</v>
      </c>
      <c r="F605" s="7">
        <v>5.7930000000000001</v>
      </c>
      <c r="G605" s="7">
        <v>6.6369999999999996</v>
      </c>
      <c r="H605" s="7">
        <v>6.68</v>
      </c>
      <c r="I605" s="7">
        <v>5.9779999999999998</v>
      </c>
      <c r="J605" s="7">
        <v>5.4480000000000004</v>
      </c>
      <c r="K605" s="7">
        <v>4.8419999999999996</v>
      </c>
      <c r="L605" s="7">
        <v>4.6470000000000002</v>
      </c>
      <c r="M605" s="7">
        <v>4.8220000000000001</v>
      </c>
      <c r="N605" s="7">
        <v>5.508</v>
      </c>
      <c r="O605" s="7">
        <v>6.0890000000000004</v>
      </c>
      <c r="P605" s="7">
        <v>6.32</v>
      </c>
      <c r="Q605" s="7">
        <v>5.9480000000000004</v>
      </c>
      <c r="R605" s="7">
        <v>6.6029999999999998</v>
      </c>
      <c r="S605" s="7">
        <f t="shared" si="9"/>
        <v>5.7935000000000008</v>
      </c>
    </row>
    <row r="606" spans="1:19">
      <c r="A606" s="5" t="str">
        <f>B606&amp;"-"&amp;COUNTIF($B$2:B606,B606)</f>
        <v>BAHIA-403</v>
      </c>
      <c r="B606" s="5" t="s">
        <v>296</v>
      </c>
      <c r="C606" s="5" t="s">
        <v>4619</v>
      </c>
      <c r="D606" s="6">
        <v>-392851</v>
      </c>
      <c r="E606" s="6">
        <v>-145911</v>
      </c>
      <c r="F606" s="7">
        <v>4.87</v>
      </c>
      <c r="G606" s="7">
        <v>5.8929999999999998</v>
      </c>
      <c r="H606" s="7">
        <v>5.9050000000000002</v>
      </c>
      <c r="I606" s="7">
        <v>5.5</v>
      </c>
      <c r="J606" s="7">
        <v>4.5309999999999997</v>
      </c>
      <c r="K606" s="7">
        <v>3.843</v>
      </c>
      <c r="L606" s="7">
        <v>3.577</v>
      </c>
      <c r="M606" s="7">
        <v>3.7749999999999999</v>
      </c>
      <c r="N606" s="7">
        <v>4.3</v>
      </c>
      <c r="O606" s="7">
        <v>4.8970000000000002</v>
      </c>
      <c r="P606" s="7">
        <v>5.0599999999999996</v>
      </c>
      <c r="Q606" s="7">
        <v>5.2089999999999996</v>
      </c>
      <c r="R606" s="7">
        <v>5.9569999999999999</v>
      </c>
      <c r="S606" s="7">
        <f t="shared" si="9"/>
        <v>4.8705833333333333</v>
      </c>
    </row>
    <row r="607" spans="1:19">
      <c r="A607" s="5" t="str">
        <f>B607&amp;"-"&amp;COUNTIF($B$2:B607,B607)</f>
        <v>BAHIA-404</v>
      </c>
      <c r="B607" s="5" t="s">
        <v>296</v>
      </c>
      <c r="C607" s="5" t="s">
        <v>550</v>
      </c>
      <c r="D607" s="6">
        <v>-410958</v>
      </c>
      <c r="E607" s="6">
        <v>-120787</v>
      </c>
      <c r="F607" s="7">
        <v>4.976</v>
      </c>
      <c r="G607" s="7">
        <v>5.7990000000000004</v>
      </c>
      <c r="H607" s="7">
        <v>5.7160000000000002</v>
      </c>
      <c r="I607" s="7">
        <v>5.4889999999999999</v>
      </c>
      <c r="J607" s="7">
        <v>4.5369999999999999</v>
      </c>
      <c r="K607" s="7">
        <v>3.9409999999999998</v>
      </c>
      <c r="L607" s="7">
        <v>3.6709999999999998</v>
      </c>
      <c r="M607" s="7">
        <v>3.8519999999999999</v>
      </c>
      <c r="N607" s="7">
        <v>4.5229999999999997</v>
      </c>
      <c r="O607" s="7">
        <v>5.4509999999999996</v>
      </c>
      <c r="P607" s="7">
        <v>5.48</v>
      </c>
      <c r="Q607" s="7">
        <v>5.4820000000000002</v>
      </c>
      <c r="R607" s="7">
        <v>5.7709999999999999</v>
      </c>
      <c r="S607" s="7">
        <f t="shared" si="9"/>
        <v>4.9759999999999991</v>
      </c>
    </row>
    <row r="608" spans="1:19">
      <c r="A608" s="5" t="str">
        <f>B608&amp;"-"&amp;COUNTIF($B$2:B608,B608)</f>
        <v>BAHIA-405</v>
      </c>
      <c r="B608" s="5" t="s">
        <v>296</v>
      </c>
      <c r="C608" s="5" t="s">
        <v>5484</v>
      </c>
      <c r="D608" s="6">
        <v>-401386</v>
      </c>
      <c r="E608" s="6">
        <v>-11607</v>
      </c>
      <c r="F608" s="7">
        <v>5.0679999999999996</v>
      </c>
      <c r="G608" s="7">
        <v>6.0250000000000004</v>
      </c>
      <c r="H608" s="7">
        <v>5.8730000000000002</v>
      </c>
      <c r="I608" s="7">
        <v>5.7229999999999999</v>
      </c>
      <c r="J608" s="7">
        <v>4.6760000000000002</v>
      </c>
      <c r="K608" s="7">
        <v>3.9980000000000002</v>
      </c>
      <c r="L608" s="7">
        <v>3.7240000000000002</v>
      </c>
      <c r="M608" s="7">
        <v>3.895</v>
      </c>
      <c r="N608" s="7">
        <v>4.4379999999999997</v>
      </c>
      <c r="O608" s="7">
        <v>5.3929999999999998</v>
      </c>
      <c r="P608" s="7">
        <v>5.44</v>
      </c>
      <c r="Q608" s="7">
        <v>5.7009999999999996</v>
      </c>
      <c r="R608" s="7">
        <v>5.9320000000000004</v>
      </c>
      <c r="S608" s="7">
        <f t="shared" si="9"/>
        <v>5.0681666666666674</v>
      </c>
    </row>
    <row r="609" spans="1:19">
      <c r="A609" s="5" t="str">
        <f>B609&amp;"-"&amp;COUNTIF($B$2:B609,B609)</f>
        <v>BAHIA-406</v>
      </c>
      <c r="B609" s="5" t="s">
        <v>296</v>
      </c>
      <c r="C609" s="5" t="s">
        <v>5485</v>
      </c>
      <c r="D609" s="6">
        <v>-403187</v>
      </c>
      <c r="E609" s="6">
        <v>-115274</v>
      </c>
      <c r="F609" s="7">
        <v>4.9800000000000004</v>
      </c>
      <c r="G609" s="7">
        <v>5.984</v>
      </c>
      <c r="H609" s="7">
        <v>5.8150000000000004</v>
      </c>
      <c r="I609" s="7">
        <v>5.6029999999999998</v>
      </c>
      <c r="J609" s="7">
        <v>4.6100000000000003</v>
      </c>
      <c r="K609" s="7">
        <v>3.879</v>
      </c>
      <c r="L609" s="7">
        <v>3.6320000000000001</v>
      </c>
      <c r="M609" s="7">
        <v>3.7839999999999998</v>
      </c>
      <c r="N609" s="7">
        <v>4.4020000000000001</v>
      </c>
      <c r="O609" s="7">
        <v>5.3010000000000002</v>
      </c>
      <c r="P609" s="7">
        <v>5.36</v>
      </c>
      <c r="Q609" s="7">
        <v>5.5970000000000004</v>
      </c>
      <c r="R609" s="7">
        <v>5.7949999999999999</v>
      </c>
      <c r="S609" s="7">
        <f t="shared" si="9"/>
        <v>4.9801666666666673</v>
      </c>
    </row>
    <row r="610" spans="1:19">
      <c r="A610" s="5" t="str">
        <f>B610&amp;"-"&amp;COUNTIF($B$2:B610,B610)</f>
        <v>BAHIA-407</v>
      </c>
      <c r="B610" s="5" t="s">
        <v>296</v>
      </c>
      <c r="C610" s="5" t="s">
        <v>5486</v>
      </c>
      <c r="D610" s="6">
        <v>-409435</v>
      </c>
      <c r="E610" s="6">
        <v>-112561</v>
      </c>
      <c r="F610" s="7">
        <v>5.343</v>
      </c>
      <c r="G610" s="7">
        <v>6.2009999999999996</v>
      </c>
      <c r="H610" s="7">
        <v>5.9340000000000002</v>
      </c>
      <c r="I610" s="7">
        <v>5.7990000000000004</v>
      </c>
      <c r="J610" s="7">
        <v>4.859</v>
      </c>
      <c r="K610" s="7">
        <v>4.2770000000000001</v>
      </c>
      <c r="L610" s="7">
        <v>4.0309999999999997</v>
      </c>
      <c r="M610" s="7">
        <v>4.2590000000000003</v>
      </c>
      <c r="N610" s="7">
        <v>4.8490000000000002</v>
      </c>
      <c r="O610" s="7">
        <v>5.83</v>
      </c>
      <c r="P610" s="7">
        <v>5.9820000000000002</v>
      </c>
      <c r="Q610" s="7">
        <v>5.9829999999999997</v>
      </c>
      <c r="R610" s="7">
        <v>6.1079999999999997</v>
      </c>
      <c r="S610" s="7">
        <f t="shared" si="9"/>
        <v>5.3426666666666662</v>
      </c>
    </row>
    <row r="611" spans="1:19">
      <c r="A611" s="5" t="str">
        <f>B611&amp;"-"&amp;COUNTIF($B$2:B611,B611)</f>
        <v>BAHIA-408</v>
      </c>
      <c r="B611" s="5" t="s">
        <v>296</v>
      </c>
      <c r="C611" s="5" t="s">
        <v>4620</v>
      </c>
      <c r="D611" s="6">
        <v>-390733</v>
      </c>
      <c r="E611" s="6">
        <v>-133674</v>
      </c>
      <c r="F611" s="7">
        <v>5.0780000000000003</v>
      </c>
      <c r="G611" s="7">
        <v>6.18</v>
      </c>
      <c r="H611" s="7">
        <v>6.0259999999999998</v>
      </c>
      <c r="I611" s="7">
        <v>5.7809999999999997</v>
      </c>
      <c r="J611" s="7">
        <v>4.5469999999999997</v>
      </c>
      <c r="K611" s="7">
        <v>3.9830000000000001</v>
      </c>
      <c r="L611" s="7">
        <v>3.5910000000000002</v>
      </c>
      <c r="M611" s="7">
        <v>3.8220000000000001</v>
      </c>
      <c r="N611" s="7">
        <v>4.3419999999999996</v>
      </c>
      <c r="O611" s="7">
        <v>5.1760000000000002</v>
      </c>
      <c r="P611" s="7">
        <v>5.4379999999999997</v>
      </c>
      <c r="Q611" s="7">
        <v>5.798</v>
      </c>
      <c r="R611" s="7">
        <v>6.258</v>
      </c>
      <c r="S611" s="7">
        <f t="shared" si="9"/>
        <v>5.0785000000000009</v>
      </c>
    </row>
    <row r="612" spans="1:19">
      <c r="A612" s="5" t="str">
        <f>B612&amp;"-"&amp;COUNTIF($B$2:B612,B612)</f>
        <v>BAHIA-409</v>
      </c>
      <c r="B612" s="5" t="s">
        <v>296</v>
      </c>
      <c r="C612" s="5" t="s">
        <v>551</v>
      </c>
      <c r="D612" s="6">
        <v>-394653</v>
      </c>
      <c r="E612" s="6">
        <v>-114133</v>
      </c>
      <c r="F612" s="7">
        <v>5.15</v>
      </c>
      <c r="G612" s="7">
        <v>6.08</v>
      </c>
      <c r="H612" s="7">
        <v>5.91</v>
      </c>
      <c r="I612" s="7">
        <v>5.819</v>
      </c>
      <c r="J612" s="7">
        <v>4.8380000000000001</v>
      </c>
      <c r="K612" s="7">
        <v>4.0679999999999996</v>
      </c>
      <c r="L612" s="7">
        <v>3.782</v>
      </c>
      <c r="M612" s="7">
        <v>3.99</v>
      </c>
      <c r="N612" s="7">
        <v>4.5090000000000003</v>
      </c>
      <c r="O612" s="7">
        <v>5.383</v>
      </c>
      <c r="P612" s="7">
        <v>5.5519999999999996</v>
      </c>
      <c r="Q612" s="7">
        <v>5.8789999999999996</v>
      </c>
      <c r="R612" s="7">
        <v>5.9880000000000004</v>
      </c>
      <c r="S612" s="7">
        <f t="shared" si="9"/>
        <v>5.1498333333333335</v>
      </c>
    </row>
    <row r="613" spans="1:19">
      <c r="A613" s="5" t="str">
        <f>B613&amp;"-"&amp;COUNTIF($B$2:B613,B613)</f>
        <v>BAHIA-410</v>
      </c>
      <c r="B613" s="5" t="s">
        <v>296</v>
      </c>
      <c r="C613" s="5" t="s">
        <v>552</v>
      </c>
      <c r="D613" s="6">
        <v>-393922</v>
      </c>
      <c r="E613" s="6">
        <v>-129676</v>
      </c>
      <c r="F613" s="7">
        <v>4.9390000000000001</v>
      </c>
      <c r="G613" s="7">
        <v>5.9130000000000003</v>
      </c>
      <c r="H613" s="7">
        <v>5.875</v>
      </c>
      <c r="I613" s="7">
        <v>5.6459999999999999</v>
      </c>
      <c r="J613" s="7">
        <v>4.5720000000000001</v>
      </c>
      <c r="K613" s="7">
        <v>3.9590000000000001</v>
      </c>
      <c r="L613" s="7">
        <v>3.5659999999999998</v>
      </c>
      <c r="M613" s="7">
        <v>3.746</v>
      </c>
      <c r="N613" s="7">
        <v>4.2830000000000004</v>
      </c>
      <c r="O613" s="7">
        <v>5.0439999999999996</v>
      </c>
      <c r="P613" s="7">
        <v>5.2220000000000004</v>
      </c>
      <c r="Q613" s="7">
        <v>5.4960000000000004</v>
      </c>
      <c r="R613" s="7">
        <v>5.9470000000000001</v>
      </c>
      <c r="S613" s="7">
        <f t="shared" si="9"/>
        <v>4.9390833333333335</v>
      </c>
    </row>
    <row r="614" spans="1:19">
      <c r="A614" s="5" t="str">
        <f>B614&amp;"-"&amp;COUNTIF($B$2:B614,B614)</f>
        <v>BAHIA-411</v>
      </c>
      <c r="B614" s="5" t="s">
        <v>296</v>
      </c>
      <c r="C614" s="5" t="s">
        <v>553</v>
      </c>
      <c r="D614" s="6">
        <v>-386177</v>
      </c>
      <c r="E614" s="6">
        <v>-129637</v>
      </c>
      <c r="F614" s="7">
        <v>5.327</v>
      </c>
      <c r="G614" s="7">
        <v>6.4480000000000004</v>
      </c>
      <c r="H614" s="7">
        <v>6.29</v>
      </c>
      <c r="I614" s="7">
        <v>5.9459999999999997</v>
      </c>
      <c r="J614" s="7">
        <v>4.7919999999999998</v>
      </c>
      <c r="K614" s="7">
        <v>4.05</v>
      </c>
      <c r="L614" s="7">
        <v>3.8109999999999999</v>
      </c>
      <c r="M614" s="7">
        <v>4.0389999999999997</v>
      </c>
      <c r="N614" s="7">
        <v>4.6920000000000002</v>
      </c>
      <c r="O614" s="7">
        <v>5.4980000000000002</v>
      </c>
      <c r="P614" s="7">
        <v>5.8419999999999996</v>
      </c>
      <c r="Q614" s="7">
        <v>6.0629999999999997</v>
      </c>
      <c r="R614" s="7">
        <v>6.45</v>
      </c>
      <c r="S614" s="7">
        <f t="shared" si="9"/>
        <v>5.3267499999999997</v>
      </c>
    </row>
    <row r="615" spans="1:19">
      <c r="A615" s="5" t="str">
        <f>B615&amp;"-"&amp;COUNTIF($B$2:B615,B615)</f>
        <v>BAHIA-412</v>
      </c>
      <c r="B615" s="5" t="s">
        <v>296</v>
      </c>
      <c r="C615" s="5" t="s">
        <v>554</v>
      </c>
      <c r="D615" s="6">
        <v>-400977</v>
      </c>
      <c r="E615" s="6">
        <v>-172187</v>
      </c>
      <c r="F615" s="7">
        <v>4.9809999999999999</v>
      </c>
      <c r="G615" s="7">
        <v>6.1390000000000002</v>
      </c>
      <c r="H615" s="7">
        <v>6.27</v>
      </c>
      <c r="I615" s="7">
        <v>5.5019999999999998</v>
      </c>
      <c r="J615" s="7">
        <v>4.63</v>
      </c>
      <c r="K615" s="7">
        <v>3.871</v>
      </c>
      <c r="L615" s="7">
        <v>3.5</v>
      </c>
      <c r="M615" s="7">
        <v>3.6739999999999999</v>
      </c>
      <c r="N615" s="7">
        <v>4.3440000000000003</v>
      </c>
      <c r="O615" s="7">
        <v>5.0179999999999998</v>
      </c>
      <c r="P615" s="7">
        <v>5.2960000000000003</v>
      </c>
      <c r="Q615" s="7">
        <v>5.3159999999999998</v>
      </c>
      <c r="R615" s="7">
        <v>6.2089999999999996</v>
      </c>
      <c r="S615" s="7">
        <f t="shared" si="9"/>
        <v>4.9807500000000005</v>
      </c>
    </row>
    <row r="616" spans="1:19">
      <c r="A616" s="5" t="str">
        <f>B616&amp;"-"&amp;COUNTIF($B$2:B616,B616)</f>
        <v>BAHIA-413</v>
      </c>
      <c r="B616" s="5" t="s">
        <v>296</v>
      </c>
      <c r="C616" s="5" t="s">
        <v>5064</v>
      </c>
      <c r="D616" s="6">
        <v>-408445</v>
      </c>
      <c r="E616" s="6">
        <v>-148619</v>
      </c>
      <c r="F616" s="7">
        <v>5.0810000000000004</v>
      </c>
      <c r="G616" s="7">
        <v>6.0670000000000002</v>
      </c>
      <c r="H616" s="7">
        <v>6</v>
      </c>
      <c r="I616" s="7">
        <v>5.4169999999999998</v>
      </c>
      <c r="J616" s="7">
        <v>4.75</v>
      </c>
      <c r="K616" s="7">
        <v>4.0970000000000004</v>
      </c>
      <c r="L616" s="7">
        <v>3.7080000000000002</v>
      </c>
      <c r="M616" s="7">
        <v>3.9140000000000001</v>
      </c>
      <c r="N616" s="7">
        <v>4.5039999999999996</v>
      </c>
      <c r="O616" s="7">
        <v>5.4509999999999996</v>
      </c>
      <c r="P616" s="7">
        <v>5.6070000000000002</v>
      </c>
      <c r="Q616" s="7">
        <v>5.3869999999999996</v>
      </c>
      <c r="R616" s="7">
        <v>6.0709999999999997</v>
      </c>
      <c r="S616" s="7">
        <f t="shared" si="9"/>
        <v>5.081083333333333</v>
      </c>
    </row>
    <row r="617" spans="1:19">
      <c r="A617" s="5" t="str">
        <f>B617&amp;"-"&amp;COUNTIF($B$2:B617,B617)</f>
        <v>BAHIA-414</v>
      </c>
      <c r="B617" s="5" t="s">
        <v>296</v>
      </c>
      <c r="C617" s="5" t="s">
        <v>555</v>
      </c>
      <c r="D617" s="6">
        <v>-411668</v>
      </c>
      <c r="E617" s="6">
        <v>-122791</v>
      </c>
      <c r="F617" s="7">
        <v>4.9189999999999996</v>
      </c>
      <c r="G617" s="7">
        <v>5.7510000000000003</v>
      </c>
      <c r="H617" s="7">
        <v>5.6520000000000001</v>
      </c>
      <c r="I617" s="7">
        <v>5.4489999999999998</v>
      </c>
      <c r="J617" s="7">
        <v>4.5709999999999997</v>
      </c>
      <c r="K617" s="7">
        <v>3.968</v>
      </c>
      <c r="L617" s="7">
        <v>3.6720000000000002</v>
      </c>
      <c r="M617" s="7">
        <v>3.794</v>
      </c>
      <c r="N617" s="7">
        <v>4.4880000000000004</v>
      </c>
      <c r="O617" s="7">
        <v>5.343</v>
      </c>
      <c r="P617" s="7">
        <v>5.3659999999999997</v>
      </c>
      <c r="Q617" s="7">
        <v>5.3259999999999996</v>
      </c>
      <c r="R617" s="7">
        <v>5.6529999999999996</v>
      </c>
      <c r="S617" s="7">
        <f t="shared" si="9"/>
        <v>4.9194166666666668</v>
      </c>
    </row>
    <row r="618" spans="1:19">
      <c r="A618" s="5" t="str">
        <f>B618&amp;"-"&amp;COUNTIF($B$2:B618,B618)</f>
        <v>BAHIA-415</v>
      </c>
      <c r="B618" s="5" t="s">
        <v>296</v>
      </c>
      <c r="C618" s="5" t="s">
        <v>556</v>
      </c>
      <c r="D618" s="6">
        <v>-438987</v>
      </c>
      <c r="E618" s="6">
        <v>-121121</v>
      </c>
      <c r="F618" s="7">
        <v>5.9050000000000002</v>
      </c>
      <c r="G618" s="7">
        <v>6.5220000000000002</v>
      </c>
      <c r="H618" s="7">
        <v>6.3129999999999997</v>
      </c>
      <c r="I618" s="7">
        <v>5.9349999999999996</v>
      </c>
      <c r="J618" s="7">
        <v>5.6669999999999998</v>
      </c>
      <c r="K618" s="7">
        <v>5.3170000000000002</v>
      </c>
      <c r="L618" s="7">
        <v>5.0430000000000001</v>
      </c>
      <c r="M618" s="7">
        <v>5.2990000000000004</v>
      </c>
      <c r="N618" s="7">
        <v>5.891</v>
      </c>
      <c r="O618" s="7">
        <v>6.2</v>
      </c>
      <c r="P618" s="7">
        <v>6.282</v>
      </c>
      <c r="Q618" s="7">
        <v>5.9889999999999999</v>
      </c>
      <c r="R618" s="7">
        <v>6.399</v>
      </c>
      <c r="S618" s="7">
        <f t="shared" si="9"/>
        <v>5.9047499999999999</v>
      </c>
    </row>
    <row r="619" spans="1:19">
      <c r="A619" s="5" t="str">
        <f>B619&amp;"-"&amp;COUNTIF($B$2:B619,B619)</f>
        <v>BAHIA-416</v>
      </c>
      <c r="B619" s="5" t="s">
        <v>296</v>
      </c>
      <c r="C619" s="5" t="s">
        <v>5350</v>
      </c>
      <c r="D619" s="6">
        <v>-394785</v>
      </c>
      <c r="E619" s="6">
        <v>-136869</v>
      </c>
      <c r="F619" s="7">
        <v>4.8440000000000003</v>
      </c>
      <c r="G619" s="7">
        <v>5.8979999999999997</v>
      </c>
      <c r="H619" s="7">
        <v>5.8460000000000001</v>
      </c>
      <c r="I619" s="7">
        <v>5.53</v>
      </c>
      <c r="J619" s="7">
        <v>4.4619999999999997</v>
      </c>
      <c r="K619" s="7">
        <v>3.8290000000000002</v>
      </c>
      <c r="L619" s="7">
        <v>3.4359999999999999</v>
      </c>
      <c r="M619" s="7">
        <v>3.7050000000000001</v>
      </c>
      <c r="N619" s="7">
        <v>4.1840000000000002</v>
      </c>
      <c r="O619" s="7">
        <v>4.8869999999999996</v>
      </c>
      <c r="P619" s="7">
        <v>5.0890000000000004</v>
      </c>
      <c r="Q619" s="7">
        <v>5.3369999999999997</v>
      </c>
      <c r="R619" s="7">
        <v>5.9240000000000004</v>
      </c>
      <c r="S619" s="7">
        <f t="shared" si="9"/>
        <v>4.8439166666666669</v>
      </c>
    </row>
    <row r="620" spans="1:19">
      <c r="A620" s="5" t="str">
        <f>B620&amp;"-"&amp;COUNTIF($B$2:B620,B620)</f>
        <v>BAHIA-417</v>
      </c>
      <c r="B620" s="5" t="s">
        <v>296</v>
      </c>
      <c r="C620" s="5" t="s">
        <v>557</v>
      </c>
      <c r="D620" s="6">
        <v>-427249</v>
      </c>
      <c r="E620" s="6">
        <v>-108234</v>
      </c>
      <c r="F620" s="7">
        <v>6.0209999999999999</v>
      </c>
      <c r="G620" s="7">
        <v>6.4390000000000001</v>
      </c>
      <c r="H620" s="7">
        <v>6.2809999999999997</v>
      </c>
      <c r="I620" s="7">
        <v>6.23</v>
      </c>
      <c r="J620" s="7">
        <v>5.6379999999999999</v>
      </c>
      <c r="K620" s="7">
        <v>5.2930000000000001</v>
      </c>
      <c r="L620" s="7">
        <v>5.1189999999999998</v>
      </c>
      <c r="M620" s="7">
        <v>5.351</v>
      </c>
      <c r="N620" s="7">
        <v>6.0590000000000002</v>
      </c>
      <c r="O620" s="7">
        <v>6.4790000000000001</v>
      </c>
      <c r="P620" s="7">
        <v>6.5330000000000004</v>
      </c>
      <c r="Q620" s="7">
        <v>6.3849999999999998</v>
      </c>
      <c r="R620" s="7">
        <v>6.4409999999999998</v>
      </c>
      <c r="S620" s="7">
        <f t="shared" si="9"/>
        <v>6.0206666666666671</v>
      </c>
    </row>
    <row r="621" spans="1:19">
      <c r="A621" s="5" t="str">
        <f>B621&amp;"-"&amp;COUNTIF($B$2:B621,B621)</f>
        <v>CEARA-1</v>
      </c>
      <c r="B621" s="5" t="s">
        <v>558</v>
      </c>
      <c r="C621" s="5" t="s">
        <v>559</v>
      </c>
      <c r="D621" s="6">
        <v>-390485</v>
      </c>
      <c r="E621" s="6">
        <v>-73609</v>
      </c>
      <c r="F621" s="7">
        <v>5.9029999999999996</v>
      </c>
      <c r="G621" s="7">
        <v>6.0309999999999997</v>
      </c>
      <c r="H621" s="7">
        <v>5.9450000000000003</v>
      </c>
      <c r="I621" s="7">
        <v>5.8949999999999996</v>
      </c>
      <c r="J621" s="7">
        <v>5.6449999999999996</v>
      </c>
      <c r="K621" s="7">
        <v>5.1760000000000002</v>
      </c>
      <c r="L621" s="7">
        <v>4.9240000000000004</v>
      </c>
      <c r="M621" s="7">
        <v>5.2270000000000003</v>
      </c>
      <c r="N621" s="7">
        <v>5.9630000000000001</v>
      </c>
      <c r="O621" s="7">
        <v>6.5679999999999996</v>
      </c>
      <c r="P621" s="7">
        <v>6.5609999999999999</v>
      </c>
      <c r="Q621" s="7">
        <v>6.6189999999999998</v>
      </c>
      <c r="R621" s="7">
        <v>6.2809999999999997</v>
      </c>
      <c r="S621" s="7">
        <f t="shared" si="9"/>
        <v>5.902916666666667</v>
      </c>
    </row>
    <row r="622" spans="1:19">
      <c r="A622" s="5" t="str">
        <f>B622&amp;"-"&amp;COUNTIF($B$2:B622,B622)</f>
        <v>CEARA-2</v>
      </c>
      <c r="B622" s="5" t="s">
        <v>558</v>
      </c>
      <c r="C622" s="5" t="s">
        <v>4817</v>
      </c>
      <c r="D622" s="6">
        <v>-401186</v>
      </c>
      <c r="E622" s="6">
        <v>-28881</v>
      </c>
      <c r="F622" s="7">
        <v>5.577</v>
      </c>
      <c r="G622" s="7">
        <v>5.4939999999999998</v>
      </c>
      <c r="H622" s="7">
        <v>5.4</v>
      </c>
      <c r="I622" s="7">
        <v>5.15</v>
      </c>
      <c r="J622" s="7">
        <v>4.5759999999999996</v>
      </c>
      <c r="K622" s="7">
        <v>5.12</v>
      </c>
      <c r="L622" s="7">
        <v>5.2210000000000001</v>
      </c>
      <c r="M622" s="7">
        <v>5.48</v>
      </c>
      <c r="N622" s="7">
        <v>5.9880000000000004</v>
      </c>
      <c r="O622" s="7">
        <v>6.1390000000000002</v>
      </c>
      <c r="P622" s="7">
        <v>6.0730000000000004</v>
      </c>
      <c r="Q622" s="7">
        <v>6.3310000000000004</v>
      </c>
      <c r="R622" s="7">
        <v>5.9539999999999997</v>
      </c>
      <c r="S622" s="7">
        <f t="shared" si="9"/>
        <v>5.5771666666666668</v>
      </c>
    </row>
    <row r="623" spans="1:19">
      <c r="A623" s="5" t="str">
        <f>B623&amp;"-"&amp;COUNTIF($B$2:B623,B623)</f>
        <v>CEARA-3</v>
      </c>
      <c r="B623" s="5" t="s">
        <v>558</v>
      </c>
      <c r="C623" s="5" t="s">
        <v>560</v>
      </c>
      <c r="D623" s="6">
        <v>-387058</v>
      </c>
      <c r="E623" s="6">
        <v>-42212</v>
      </c>
      <c r="F623" s="7">
        <v>5.41</v>
      </c>
      <c r="G623" s="7">
        <v>5.1269999999999998</v>
      </c>
      <c r="H623" s="7">
        <v>5.1849999999999996</v>
      </c>
      <c r="I623" s="7">
        <v>5.1239999999999997</v>
      </c>
      <c r="J623" s="7">
        <v>4.6950000000000003</v>
      </c>
      <c r="K623" s="7">
        <v>4.9619999999999997</v>
      </c>
      <c r="L623" s="7">
        <v>4.8710000000000004</v>
      </c>
      <c r="M623" s="7">
        <v>5.3209999999999997</v>
      </c>
      <c r="N623" s="7">
        <v>6.0019999999999998</v>
      </c>
      <c r="O623" s="7">
        <v>6.2640000000000002</v>
      </c>
      <c r="P623" s="7">
        <v>6.0659999999999998</v>
      </c>
      <c r="Q623" s="7">
        <v>5.9550000000000001</v>
      </c>
      <c r="R623" s="7">
        <v>5.3460000000000001</v>
      </c>
      <c r="S623" s="7">
        <f t="shared" si="9"/>
        <v>5.4098333333333342</v>
      </c>
    </row>
    <row r="624" spans="1:19">
      <c r="A624" s="5" t="str">
        <f>B624&amp;"-"&amp;COUNTIF($B$2:B624,B624)</f>
        <v>CEARA-4</v>
      </c>
      <c r="B624" s="5" t="s">
        <v>558</v>
      </c>
      <c r="C624" s="5" t="s">
        <v>561</v>
      </c>
      <c r="D624" s="6">
        <v>-394484</v>
      </c>
      <c r="E624" s="6">
        <v>-60895</v>
      </c>
      <c r="F624" s="7">
        <v>5.7210000000000001</v>
      </c>
      <c r="G624" s="7">
        <v>5.52</v>
      </c>
      <c r="H624" s="7">
        <v>5.6520000000000001</v>
      </c>
      <c r="I624" s="7">
        <v>5.5860000000000003</v>
      </c>
      <c r="J624" s="7">
        <v>5.2480000000000002</v>
      </c>
      <c r="K624" s="7">
        <v>5.0410000000000004</v>
      </c>
      <c r="L624" s="7">
        <v>5.0030000000000001</v>
      </c>
      <c r="M624" s="7">
        <v>5.3520000000000003</v>
      </c>
      <c r="N624" s="7">
        <v>6.141</v>
      </c>
      <c r="O624" s="7">
        <v>6.5270000000000001</v>
      </c>
      <c r="P624" s="7">
        <v>6.4580000000000002</v>
      </c>
      <c r="Q624" s="7">
        <v>6.3280000000000003</v>
      </c>
      <c r="R624" s="7">
        <v>5.7919999999999998</v>
      </c>
      <c r="S624" s="7">
        <f t="shared" si="9"/>
        <v>5.7206666666666663</v>
      </c>
    </row>
    <row r="625" spans="1:19">
      <c r="A625" s="5" t="str">
        <f>B625&amp;"-"&amp;COUNTIF($B$2:B625,B625)</f>
        <v>CEARA-5</v>
      </c>
      <c r="B625" s="5" t="s">
        <v>558</v>
      </c>
      <c r="C625" s="5" t="s">
        <v>562</v>
      </c>
      <c r="D625" s="6">
        <v>-401218</v>
      </c>
      <c r="E625" s="6">
        <v>-65693</v>
      </c>
      <c r="F625" s="7">
        <v>5.7190000000000003</v>
      </c>
      <c r="G625" s="7">
        <v>5.5039999999999996</v>
      </c>
      <c r="H625" s="7">
        <v>5.4359999999999999</v>
      </c>
      <c r="I625" s="7">
        <v>5.5129999999999999</v>
      </c>
      <c r="J625" s="7">
        <v>5.1740000000000004</v>
      </c>
      <c r="K625" s="7">
        <v>5.0720000000000001</v>
      </c>
      <c r="L625" s="7">
        <v>5.117</v>
      </c>
      <c r="M625" s="7">
        <v>5.4539999999999997</v>
      </c>
      <c r="N625" s="7">
        <v>6.2439999999999998</v>
      </c>
      <c r="O625" s="7">
        <v>6.5679999999999996</v>
      </c>
      <c r="P625" s="7">
        <v>6.45</v>
      </c>
      <c r="Q625" s="7">
        <v>6.3120000000000003</v>
      </c>
      <c r="R625" s="7">
        <v>5.7850000000000001</v>
      </c>
      <c r="S625" s="7">
        <f t="shared" si="9"/>
        <v>5.7190833333333329</v>
      </c>
    </row>
    <row r="626" spans="1:19">
      <c r="A626" s="5" t="str">
        <f>B626&amp;"-"&amp;COUNTIF($B$2:B626,B626)</f>
        <v>CEARA-6</v>
      </c>
      <c r="B626" s="5" t="s">
        <v>558</v>
      </c>
      <c r="C626" s="5" t="s">
        <v>4908</v>
      </c>
      <c r="D626" s="6">
        <v>-405436</v>
      </c>
      <c r="E626" s="6">
        <v>-35838</v>
      </c>
      <c r="F626" s="7">
        <v>5.4989999999999997</v>
      </c>
      <c r="G626" s="7">
        <v>4.9589999999999996</v>
      </c>
      <c r="H626" s="7">
        <v>5.1340000000000003</v>
      </c>
      <c r="I626" s="7">
        <v>4.9960000000000004</v>
      </c>
      <c r="J626" s="7">
        <v>4.6959999999999997</v>
      </c>
      <c r="K626" s="7">
        <v>4.9589999999999996</v>
      </c>
      <c r="L626" s="7">
        <v>5.0620000000000003</v>
      </c>
      <c r="M626" s="7">
        <v>5.3390000000000004</v>
      </c>
      <c r="N626" s="7">
        <v>6.0789999999999997</v>
      </c>
      <c r="O626" s="7">
        <v>6.569</v>
      </c>
      <c r="P626" s="7">
        <v>6.4779999999999998</v>
      </c>
      <c r="Q626" s="7">
        <v>6.23</v>
      </c>
      <c r="R626" s="7">
        <v>5.4870000000000001</v>
      </c>
      <c r="S626" s="7">
        <f t="shared" si="9"/>
        <v>5.4989999999999997</v>
      </c>
    </row>
    <row r="627" spans="1:19">
      <c r="A627" s="5" t="str">
        <f>B627&amp;"-"&amp;COUNTIF($B$2:B627,B627)</f>
        <v>CEARA-7</v>
      </c>
      <c r="B627" s="5" t="s">
        <v>558</v>
      </c>
      <c r="C627" s="5" t="s">
        <v>563</v>
      </c>
      <c r="D627" s="6">
        <v>-397359</v>
      </c>
      <c r="E627" s="6">
        <v>-69988</v>
      </c>
      <c r="F627" s="7">
        <v>5.8520000000000003</v>
      </c>
      <c r="G627" s="7">
        <v>5.774</v>
      </c>
      <c r="H627" s="7">
        <v>5.7069999999999999</v>
      </c>
      <c r="I627" s="7">
        <v>5.766</v>
      </c>
      <c r="J627" s="7">
        <v>5.4109999999999996</v>
      </c>
      <c r="K627" s="7">
        <v>5.2140000000000004</v>
      </c>
      <c r="L627" s="7">
        <v>5.0839999999999996</v>
      </c>
      <c r="M627" s="7">
        <v>5.3970000000000002</v>
      </c>
      <c r="N627" s="7">
        <v>6.1390000000000002</v>
      </c>
      <c r="O627" s="7">
        <v>6.6239999999999997</v>
      </c>
      <c r="P627" s="7">
        <v>6.5519999999999996</v>
      </c>
      <c r="Q627" s="7">
        <v>6.4729999999999999</v>
      </c>
      <c r="R627" s="7">
        <v>6.0830000000000002</v>
      </c>
      <c r="S627" s="7">
        <f t="shared" si="9"/>
        <v>5.8520000000000003</v>
      </c>
    </row>
    <row r="628" spans="1:19">
      <c r="A628" s="5" t="str">
        <f>B628&amp;"-"&amp;COUNTIF($B$2:B628,B628)</f>
        <v>CEARA-8</v>
      </c>
      <c r="B628" s="5" t="s">
        <v>558</v>
      </c>
      <c r="C628" s="5" t="s">
        <v>564</v>
      </c>
      <c r="D628" s="6">
        <v>-382746</v>
      </c>
      <c r="E628" s="6">
        <v>-55093</v>
      </c>
      <c r="F628" s="7">
        <v>5.8609999999999998</v>
      </c>
      <c r="G628" s="7">
        <v>5.7480000000000002</v>
      </c>
      <c r="H628" s="7">
        <v>5.8819999999999997</v>
      </c>
      <c r="I628" s="7">
        <v>5.9020000000000001</v>
      </c>
      <c r="J628" s="7">
        <v>5.5510000000000002</v>
      </c>
      <c r="K628" s="7">
        <v>5.26</v>
      </c>
      <c r="L628" s="7">
        <v>5.03</v>
      </c>
      <c r="M628" s="7">
        <v>5.3680000000000003</v>
      </c>
      <c r="N628" s="7">
        <v>6.0410000000000004</v>
      </c>
      <c r="O628" s="7">
        <v>6.4459999999999997</v>
      </c>
      <c r="P628" s="7">
        <v>6.5869999999999997</v>
      </c>
      <c r="Q628" s="7">
        <v>6.4989999999999997</v>
      </c>
      <c r="R628" s="7">
        <v>6.0190000000000001</v>
      </c>
      <c r="S628" s="7">
        <f t="shared" si="9"/>
        <v>5.8610833333333332</v>
      </c>
    </row>
    <row r="629" spans="1:19">
      <c r="A629" s="5" t="str">
        <f>B629&amp;"-"&amp;COUNTIF($B$2:B629,B629)</f>
        <v>CEARA-9</v>
      </c>
      <c r="B629" s="5" t="s">
        <v>558</v>
      </c>
      <c r="C629" s="5" t="s">
        <v>565</v>
      </c>
      <c r="D629" s="6">
        <v>-398296</v>
      </c>
      <c r="E629" s="6">
        <v>-33632</v>
      </c>
      <c r="F629" s="7">
        <v>5.58</v>
      </c>
      <c r="G629" s="7">
        <v>5.306</v>
      </c>
      <c r="H629" s="7">
        <v>5.3630000000000004</v>
      </c>
      <c r="I629" s="7">
        <v>5.2089999999999996</v>
      </c>
      <c r="J629" s="7">
        <v>4.7549999999999999</v>
      </c>
      <c r="K629" s="7">
        <v>5.133</v>
      </c>
      <c r="L629" s="7">
        <v>5.1159999999999997</v>
      </c>
      <c r="M629" s="7">
        <v>5.27</v>
      </c>
      <c r="N629" s="7">
        <v>6.0439999999999996</v>
      </c>
      <c r="O629" s="7">
        <v>6.4489999999999998</v>
      </c>
      <c r="P629" s="7">
        <v>6.3780000000000001</v>
      </c>
      <c r="Q629" s="7">
        <v>6.2770000000000001</v>
      </c>
      <c r="R629" s="7">
        <v>5.6589999999999998</v>
      </c>
      <c r="S629" s="7">
        <f t="shared" si="9"/>
        <v>5.5799166666666666</v>
      </c>
    </row>
    <row r="630" spans="1:19">
      <c r="A630" s="5" t="str">
        <f>B630&amp;"-"&amp;COUNTIF($B$2:B630,B630)</f>
        <v>CEARA-10</v>
      </c>
      <c r="B630" s="5" t="s">
        <v>558</v>
      </c>
      <c r="C630" s="5" t="s">
        <v>566</v>
      </c>
      <c r="D630" s="6">
        <v>-399871</v>
      </c>
      <c r="E630" s="6">
        <v>-67747</v>
      </c>
      <c r="F630" s="7">
        <v>5.7590000000000003</v>
      </c>
      <c r="G630" s="7">
        <v>5.54</v>
      </c>
      <c r="H630" s="7">
        <v>5.5830000000000002</v>
      </c>
      <c r="I630" s="7">
        <v>5.7060000000000004</v>
      </c>
      <c r="J630" s="7">
        <v>5.351</v>
      </c>
      <c r="K630" s="7">
        <v>5.1550000000000002</v>
      </c>
      <c r="L630" s="7">
        <v>4.9800000000000004</v>
      </c>
      <c r="M630" s="7">
        <v>5.343</v>
      </c>
      <c r="N630" s="7">
        <v>6.1509999999999998</v>
      </c>
      <c r="O630" s="7">
        <v>6.5439999999999996</v>
      </c>
      <c r="P630" s="7">
        <v>6.4870000000000001</v>
      </c>
      <c r="Q630" s="7">
        <v>6.3550000000000004</v>
      </c>
      <c r="R630" s="7">
        <v>5.9119999999999999</v>
      </c>
      <c r="S630" s="7">
        <f t="shared" si="9"/>
        <v>5.7589166666666669</v>
      </c>
    </row>
    <row r="631" spans="1:19">
      <c r="A631" s="5" t="str">
        <f>B631&amp;"-"&amp;COUNTIF($B$2:B631,B631)</f>
        <v>CEARA-11</v>
      </c>
      <c r="B631" s="5" t="s">
        <v>558</v>
      </c>
      <c r="C631" s="5" t="s">
        <v>4293</v>
      </c>
      <c r="D631" s="6">
        <v>-394362</v>
      </c>
      <c r="E631" s="6">
        <v>-39455</v>
      </c>
      <c r="F631" s="7">
        <v>5.5090000000000003</v>
      </c>
      <c r="G631" s="7">
        <v>5.1440000000000001</v>
      </c>
      <c r="H631" s="7">
        <v>5.3369999999999997</v>
      </c>
      <c r="I631" s="7">
        <v>5.25</v>
      </c>
      <c r="J631" s="7">
        <v>4.8040000000000003</v>
      </c>
      <c r="K631" s="7">
        <v>5.0789999999999997</v>
      </c>
      <c r="L631" s="7">
        <v>4.9420000000000002</v>
      </c>
      <c r="M631" s="7">
        <v>5.25</v>
      </c>
      <c r="N631" s="7">
        <v>5.9740000000000002</v>
      </c>
      <c r="O631" s="7">
        <v>6.468</v>
      </c>
      <c r="P631" s="7">
        <v>6.3049999999999997</v>
      </c>
      <c r="Q631" s="7">
        <v>6.0579999999999998</v>
      </c>
      <c r="R631" s="7">
        <v>5.5</v>
      </c>
      <c r="S631" s="7">
        <f t="shared" si="9"/>
        <v>5.5092500000000006</v>
      </c>
    </row>
    <row r="632" spans="1:19">
      <c r="A632" s="5" t="str">
        <f>B632&amp;"-"&amp;COUNTIF($B$2:B632,B632)</f>
        <v>CEARA-12</v>
      </c>
      <c r="B632" s="5" t="s">
        <v>558</v>
      </c>
      <c r="C632" s="5" t="s">
        <v>567</v>
      </c>
      <c r="D632" s="6">
        <v>-383899</v>
      </c>
      <c r="E632" s="6">
        <v>-38997</v>
      </c>
      <c r="F632" s="7">
        <v>5.7290000000000001</v>
      </c>
      <c r="G632" s="7">
        <v>5.8049999999999997</v>
      </c>
      <c r="H632" s="7">
        <v>5.8949999999999996</v>
      </c>
      <c r="I632" s="7">
        <v>5.6719999999999997</v>
      </c>
      <c r="J632" s="7">
        <v>5.0110000000000001</v>
      </c>
      <c r="K632" s="7">
        <v>5.2830000000000004</v>
      </c>
      <c r="L632" s="7">
        <v>5.2549999999999999</v>
      </c>
      <c r="M632" s="7">
        <v>5.4029999999999996</v>
      </c>
      <c r="N632" s="7">
        <v>5.782</v>
      </c>
      <c r="O632" s="7">
        <v>5.9870000000000001</v>
      </c>
      <c r="P632" s="7">
        <v>6.2220000000000004</v>
      </c>
      <c r="Q632" s="7">
        <v>6.367</v>
      </c>
      <c r="R632" s="7">
        <v>6.0730000000000004</v>
      </c>
      <c r="S632" s="7">
        <f t="shared" si="9"/>
        <v>5.7295833333333333</v>
      </c>
    </row>
    <row r="633" spans="1:19">
      <c r="A633" s="5" t="str">
        <f>B633&amp;"-"&amp;COUNTIF($B$2:B633,B633)</f>
        <v>CEARA-13</v>
      </c>
      <c r="B633" s="5" t="s">
        <v>558</v>
      </c>
      <c r="C633" s="5" t="s">
        <v>568</v>
      </c>
      <c r="D633" s="6">
        <v>-377682</v>
      </c>
      <c r="E633" s="6">
        <v>-45587</v>
      </c>
      <c r="F633" s="7">
        <v>5.9080000000000004</v>
      </c>
      <c r="G633" s="7">
        <v>6.0750000000000002</v>
      </c>
      <c r="H633" s="7">
        <v>6.1280000000000001</v>
      </c>
      <c r="I633" s="7">
        <v>6.0309999999999997</v>
      </c>
      <c r="J633" s="7">
        <v>5.4039999999999999</v>
      </c>
      <c r="K633" s="7">
        <v>5.3479999999999999</v>
      </c>
      <c r="L633" s="7">
        <v>5.1020000000000003</v>
      </c>
      <c r="M633" s="7">
        <v>5.43</v>
      </c>
      <c r="N633" s="7">
        <v>6.0469999999999997</v>
      </c>
      <c r="O633" s="7">
        <v>6.2220000000000004</v>
      </c>
      <c r="P633" s="7">
        <v>6.3470000000000004</v>
      </c>
      <c r="Q633" s="7">
        <v>6.42</v>
      </c>
      <c r="R633" s="7">
        <v>6.3460000000000001</v>
      </c>
      <c r="S633" s="7">
        <f t="shared" si="9"/>
        <v>5.9083333333333323</v>
      </c>
    </row>
    <row r="634" spans="1:19">
      <c r="A634" s="5" t="str">
        <f>B634&amp;"-"&amp;COUNTIF($B$2:B634,B634)</f>
        <v>CEARA-14</v>
      </c>
      <c r="B634" s="5" t="s">
        <v>558</v>
      </c>
      <c r="C634" s="5" t="s">
        <v>569</v>
      </c>
      <c r="D634" s="6">
        <v>-388128</v>
      </c>
      <c r="E634" s="6">
        <v>-43691</v>
      </c>
      <c r="F634" s="7">
        <v>5.4429999999999996</v>
      </c>
      <c r="G634" s="7">
        <v>5.258</v>
      </c>
      <c r="H634" s="7">
        <v>5.3239999999999998</v>
      </c>
      <c r="I634" s="7">
        <v>5.3339999999999996</v>
      </c>
      <c r="J634" s="7">
        <v>4.82</v>
      </c>
      <c r="K634" s="7">
        <v>4.9240000000000004</v>
      </c>
      <c r="L634" s="7">
        <v>4.7539999999999996</v>
      </c>
      <c r="M634" s="7">
        <v>5.1680000000000001</v>
      </c>
      <c r="N634" s="7">
        <v>5.8860000000000001</v>
      </c>
      <c r="O634" s="7">
        <v>6.2080000000000002</v>
      </c>
      <c r="P634" s="7">
        <v>6.141</v>
      </c>
      <c r="Q634" s="7">
        <v>6.0119999999999996</v>
      </c>
      <c r="R634" s="7">
        <v>5.4829999999999997</v>
      </c>
      <c r="S634" s="7">
        <f t="shared" si="9"/>
        <v>5.4426666666666668</v>
      </c>
    </row>
    <row r="635" spans="1:19">
      <c r="A635" s="5" t="str">
        <f>B635&amp;"-"&amp;COUNTIF($B$2:B635,B635)</f>
        <v>CEARA-15</v>
      </c>
      <c r="B635" s="5" t="s">
        <v>558</v>
      </c>
      <c r="C635" s="5" t="s">
        <v>5487</v>
      </c>
      <c r="D635" s="6">
        <v>-408313</v>
      </c>
      <c r="E635" s="6">
        <v>-47461</v>
      </c>
      <c r="F635" s="7">
        <v>5.5259999999999998</v>
      </c>
      <c r="G635" s="7">
        <v>4.9850000000000003</v>
      </c>
      <c r="H635" s="7">
        <v>5.0839999999999996</v>
      </c>
      <c r="I635" s="7">
        <v>5.1710000000000003</v>
      </c>
      <c r="J635" s="7">
        <v>4.7329999999999997</v>
      </c>
      <c r="K635" s="7">
        <v>4.819</v>
      </c>
      <c r="L635" s="7">
        <v>4.819</v>
      </c>
      <c r="M635" s="7">
        <v>5.3559999999999999</v>
      </c>
      <c r="N635" s="7">
        <v>6.1639999999999997</v>
      </c>
      <c r="O635" s="7">
        <v>6.67</v>
      </c>
      <c r="P635" s="7">
        <v>6.5640000000000001</v>
      </c>
      <c r="Q635" s="7">
        <v>6.3380000000000001</v>
      </c>
      <c r="R635" s="7">
        <v>5.6120000000000001</v>
      </c>
      <c r="S635" s="7">
        <f t="shared" si="9"/>
        <v>5.5262500000000001</v>
      </c>
    </row>
    <row r="636" spans="1:19">
      <c r="A636" s="5" t="str">
        <f>B636&amp;"-"&amp;COUNTIF($B$2:B636,B636)</f>
        <v>CEARA-16</v>
      </c>
      <c r="B636" s="5" t="s">
        <v>558</v>
      </c>
      <c r="C636" s="5" t="s">
        <v>570</v>
      </c>
      <c r="D636" s="6">
        <v>-401362</v>
      </c>
      <c r="E636" s="6">
        <v>-72136</v>
      </c>
      <c r="F636" s="7">
        <v>5.7380000000000004</v>
      </c>
      <c r="G636" s="7">
        <v>5.4710000000000001</v>
      </c>
      <c r="H636" s="7">
        <v>5.45</v>
      </c>
      <c r="I636" s="7">
        <v>5.4960000000000004</v>
      </c>
      <c r="J636" s="7">
        <v>5.2359999999999998</v>
      </c>
      <c r="K636" s="7">
        <v>5.08</v>
      </c>
      <c r="L636" s="7">
        <v>5.1180000000000003</v>
      </c>
      <c r="M636" s="7">
        <v>5.47</v>
      </c>
      <c r="N636" s="7">
        <v>6.2089999999999996</v>
      </c>
      <c r="O636" s="7">
        <v>6.5529999999999999</v>
      </c>
      <c r="P636" s="7">
        <v>6.4450000000000003</v>
      </c>
      <c r="Q636" s="7">
        <v>6.383</v>
      </c>
      <c r="R636" s="7">
        <v>5.9480000000000004</v>
      </c>
      <c r="S636" s="7">
        <f t="shared" si="9"/>
        <v>5.7382500000000007</v>
      </c>
    </row>
    <row r="637" spans="1:19">
      <c r="A637" s="5" t="str">
        <f>B637&amp;"-"&amp;COUNTIF($B$2:B637,B637)</f>
        <v>CEARA-17</v>
      </c>
      <c r="B637" s="5" t="s">
        <v>558</v>
      </c>
      <c r="C637" s="5" t="s">
        <v>571</v>
      </c>
      <c r="D637" s="6">
        <v>-390474</v>
      </c>
      <c r="E637" s="6">
        <v>-44127</v>
      </c>
      <c r="F637" s="7">
        <v>5.6289999999999996</v>
      </c>
      <c r="G637" s="7">
        <v>5.4020000000000001</v>
      </c>
      <c r="H637" s="7">
        <v>5.3929999999999998</v>
      </c>
      <c r="I637" s="7">
        <v>5.3159999999999998</v>
      </c>
      <c r="J637" s="7">
        <v>4.7960000000000003</v>
      </c>
      <c r="K637" s="7">
        <v>5.0279999999999996</v>
      </c>
      <c r="L637" s="7">
        <v>4.931</v>
      </c>
      <c r="M637" s="7">
        <v>5.3630000000000004</v>
      </c>
      <c r="N637" s="7">
        <v>6.2140000000000004</v>
      </c>
      <c r="O637" s="7">
        <v>6.633</v>
      </c>
      <c r="P637" s="7">
        <v>6.4770000000000003</v>
      </c>
      <c r="Q637" s="7">
        <v>6.3220000000000001</v>
      </c>
      <c r="R637" s="7">
        <v>5.6749999999999998</v>
      </c>
      <c r="S637" s="7">
        <f t="shared" si="9"/>
        <v>5.6291666666666664</v>
      </c>
    </row>
    <row r="638" spans="1:19">
      <c r="A638" s="5" t="str">
        <f>B638&amp;"-"&amp;COUNTIF($B$2:B638,B638)</f>
        <v>CEARA-18</v>
      </c>
      <c r="B638" s="5" t="s">
        <v>558</v>
      </c>
      <c r="C638" s="5" t="s">
        <v>572</v>
      </c>
      <c r="D638" s="6">
        <v>-401656</v>
      </c>
      <c r="E638" s="6">
        <v>-63169</v>
      </c>
      <c r="F638" s="7">
        <v>5.6829999999999998</v>
      </c>
      <c r="G638" s="7">
        <v>5.3920000000000003</v>
      </c>
      <c r="H638" s="7">
        <v>5.4340000000000002</v>
      </c>
      <c r="I638" s="7">
        <v>5.4409999999999998</v>
      </c>
      <c r="J638" s="7">
        <v>5.19</v>
      </c>
      <c r="K638" s="7">
        <v>5.0869999999999997</v>
      </c>
      <c r="L638" s="7">
        <v>5.032</v>
      </c>
      <c r="M638" s="7">
        <v>5.45</v>
      </c>
      <c r="N638" s="7">
        <v>6.2130000000000001</v>
      </c>
      <c r="O638" s="7">
        <v>6.5229999999999997</v>
      </c>
      <c r="P638" s="7">
        <v>6.41</v>
      </c>
      <c r="Q638" s="7">
        <v>6.2759999999999998</v>
      </c>
      <c r="R638" s="7">
        <v>5.7489999999999997</v>
      </c>
      <c r="S638" s="7">
        <f t="shared" si="9"/>
        <v>5.6830833333333324</v>
      </c>
    </row>
    <row r="639" spans="1:19">
      <c r="A639" s="5" t="str">
        <f>B639&amp;"-"&amp;COUNTIF($B$2:B639,B639)</f>
        <v>CEARA-19</v>
      </c>
      <c r="B639" s="5" t="s">
        <v>558</v>
      </c>
      <c r="C639" s="5" t="s">
        <v>4294</v>
      </c>
      <c r="D639" s="6">
        <v>-398711</v>
      </c>
      <c r="E639" s="6">
        <v>-68713</v>
      </c>
      <c r="F639" s="7">
        <v>5.8120000000000003</v>
      </c>
      <c r="G639" s="7">
        <v>5.6539999999999999</v>
      </c>
      <c r="H639" s="7">
        <v>5.6619999999999999</v>
      </c>
      <c r="I639" s="7">
        <v>5.718</v>
      </c>
      <c r="J639" s="7">
        <v>5.3369999999999997</v>
      </c>
      <c r="K639" s="7">
        <v>5.23</v>
      </c>
      <c r="L639" s="7">
        <v>5.0860000000000003</v>
      </c>
      <c r="M639" s="7">
        <v>5.39</v>
      </c>
      <c r="N639" s="7">
        <v>6.1420000000000003</v>
      </c>
      <c r="O639" s="7">
        <v>6.5549999999999997</v>
      </c>
      <c r="P639" s="7">
        <v>6.548</v>
      </c>
      <c r="Q639" s="7">
        <v>6.4210000000000003</v>
      </c>
      <c r="R639" s="7">
        <v>6.0039999999999996</v>
      </c>
      <c r="S639" s="7">
        <f t="shared" si="9"/>
        <v>5.8122499999999997</v>
      </c>
    </row>
    <row r="640" spans="1:19">
      <c r="A640" s="5" t="str">
        <f>B640&amp;"-"&amp;COUNTIF($B$2:B640,B640)</f>
        <v>CEARA-20</v>
      </c>
      <c r="B640" s="5" t="s">
        <v>558</v>
      </c>
      <c r="C640" s="5" t="s">
        <v>573</v>
      </c>
      <c r="D640" s="6">
        <v>-389745</v>
      </c>
      <c r="E640" s="6">
        <v>-69339</v>
      </c>
      <c r="F640" s="7">
        <v>5.8970000000000002</v>
      </c>
      <c r="G640" s="7">
        <v>5.9390000000000001</v>
      </c>
      <c r="H640" s="7">
        <v>5.9390000000000001</v>
      </c>
      <c r="I640" s="7">
        <v>5.859</v>
      </c>
      <c r="J640" s="7">
        <v>5.61</v>
      </c>
      <c r="K640" s="7">
        <v>5.2</v>
      </c>
      <c r="L640" s="7">
        <v>4.9770000000000003</v>
      </c>
      <c r="M640" s="7">
        <v>5.2990000000000004</v>
      </c>
      <c r="N640" s="7">
        <v>6.0289999999999999</v>
      </c>
      <c r="O640" s="7">
        <v>6.5030000000000001</v>
      </c>
      <c r="P640" s="7">
        <v>6.55</v>
      </c>
      <c r="Q640" s="7">
        <v>6.6360000000000001</v>
      </c>
      <c r="R640" s="7">
        <v>6.2169999999999996</v>
      </c>
      <c r="S640" s="7">
        <f t="shared" si="9"/>
        <v>5.8964999999999996</v>
      </c>
    </row>
    <row r="641" spans="1:19">
      <c r="A641" s="5" t="str">
        <f>B641&amp;"-"&amp;COUNTIF($B$2:B641,B641)</f>
        <v>CEARA-21</v>
      </c>
      <c r="B641" s="5" t="s">
        <v>558</v>
      </c>
      <c r="C641" s="5" t="s">
        <v>574</v>
      </c>
      <c r="D641" s="6">
        <v>-38714</v>
      </c>
      <c r="E641" s="6">
        <v>-67203</v>
      </c>
      <c r="F641" s="7">
        <v>5.9740000000000002</v>
      </c>
      <c r="G641" s="7">
        <v>6.0730000000000004</v>
      </c>
      <c r="H641" s="7">
        <v>6.0490000000000004</v>
      </c>
      <c r="I641" s="7">
        <v>6.0289999999999999</v>
      </c>
      <c r="J641" s="7">
        <v>5.7149999999999999</v>
      </c>
      <c r="K641" s="7">
        <v>5.24</v>
      </c>
      <c r="L641" s="7">
        <v>5.0529999999999999</v>
      </c>
      <c r="M641" s="7">
        <v>5.3570000000000002</v>
      </c>
      <c r="N641" s="7">
        <v>6.0650000000000004</v>
      </c>
      <c r="O641" s="7">
        <v>6.4669999999999996</v>
      </c>
      <c r="P641" s="7">
        <v>6.6349999999999998</v>
      </c>
      <c r="Q641" s="7">
        <v>6.7270000000000003</v>
      </c>
      <c r="R641" s="7">
        <v>6.282</v>
      </c>
      <c r="S641" s="7">
        <f t="shared" si="9"/>
        <v>5.9743333333333331</v>
      </c>
    </row>
    <row r="642" spans="1:19">
      <c r="A642" s="5" t="str">
        <f>B642&amp;"-"&amp;COUNTIF($B$2:B642,B642)</f>
        <v>CEARA-22</v>
      </c>
      <c r="B642" s="5" t="s">
        <v>558</v>
      </c>
      <c r="C642" s="5" t="s">
        <v>4818</v>
      </c>
      <c r="D642" s="6">
        <v>-389135</v>
      </c>
      <c r="E642" s="6">
        <v>-53049</v>
      </c>
      <c r="F642" s="7">
        <v>5.7539999999999996</v>
      </c>
      <c r="G642" s="7">
        <v>5.5860000000000003</v>
      </c>
      <c r="H642" s="7">
        <v>5.641</v>
      </c>
      <c r="I642" s="7">
        <v>5.78</v>
      </c>
      <c r="J642" s="7">
        <v>5.2930000000000001</v>
      </c>
      <c r="K642" s="7">
        <v>5.1749999999999998</v>
      </c>
      <c r="L642" s="7">
        <v>4.9740000000000002</v>
      </c>
      <c r="M642" s="7">
        <v>5.3319999999999999</v>
      </c>
      <c r="N642" s="7">
        <v>6.0659999999999998</v>
      </c>
      <c r="O642" s="7">
        <v>6.4729999999999999</v>
      </c>
      <c r="P642" s="7">
        <v>6.4619999999999997</v>
      </c>
      <c r="Q642" s="7">
        <v>6.3780000000000001</v>
      </c>
      <c r="R642" s="7">
        <v>5.8840000000000003</v>
      </c>
      <c r="S642" s="7">
        <f t="shared" si="9"/>
        <v>5.7536666666666667</v>
      </c>
    </row>
    <row r="643" spans="1:19">
      <c r="A643" s="5" t="str">
        <f>B643&amp;"-"&amp;COUNTIF($B$2:B643,B643)</f>
        <v>CEARA-23</v>
      </c>
      <c r="B643" s="5" t="s">
        <v>558</v>
      </c>
      <c r="C643" s="5" t="s">
        <v>575</v>
      </c>
      <c r="D643" s="6">
        <v>-393088</v>
      </c>
      <c r="E643" s="6">
        <v>-73008</v>
      </c>
      <c r="F643" s="7">
        <v>5.8310000000000004</v>
      </c>
      <c r="G643" s="7">
        <v>5.9050000000000002</v>
      </c>
      <c r="H643" s="7">
        <v>5.8330000000000002</v>
      </c>
      <c r="I643" s="7">
        <v>5.8019999999999996</v>
      </c>
      <c r="J643" s="7">
        <v>5.4489999999999998</v>
      </c>
      <c r="K643" s="7">
        <v>5.0869999999999997</v>
      </c>
      <c r="L643" s="7">
        <v>4.923</v>
      </c>
      <c r="M643" s="7">
        <v>5.1849999999999996</v>
      </c>
      <c r="N643" s="7">
        <v>5.9649999999999999</v>
      </c>
      <c r="O643" s="7">
        <v>6.5270000000000001</v>
      </c>
      <c r="P643" s="7">
        <v>6.508</v>
      </c>
      <c r="Q643" s="7">
        <v>6.5670000000000002</v>
      </c>
      <c r="R643" s="7">
        <v>6.2210000000000001</v>
      </c>
      <c r="S643" s="7">
        <f t="shared" ref="S643:S706" si="10">(G643+H643+I643+J643+K643+L643+M643+N643+O643+P643+Q643+R643)/12</f>
        <v>5.8310000000000004</v>
      </c>
    </row>
    <row r="644" spans="1:19">
      <c r="A644" s="5" t="str">
        <f>B644&amp;"-"&amp;COUNTIF($B$2:B644,B644)</f>
        <v>CEARA-24</v>
      </c>
      <c r="B644" s="5" t="s">
        <v>558</v>
      </c>
      <c r="C644" s="5" t="s">
        <v>576</v>
      </c>
      <c r="D644" s="6">
        <v>-386432</v>
      </c>
      <c r="E644" s="6">
        <v>-42896</v>
      </c>
      <c r="F644" s="7">
        <v>5.5259999999999998</v>
      </c>
      <c r="G644" s="7">
        <v>5.3579999999999997</v>
      </c>
      <c r="H644" s="7">
        <v>5.4139999999999997</v>
      </c>
      <c r="I644" s="7">
        <v>5.3109999999999999</v>
      </c>
      <c r="J644" s="7">
        <v>4.8410000000000002</v>
      </c>
      <c r="K644" s="7">
        <v>5.0449999999999999</v>
      </c>
      <c r="L644" s="7">
        <v>4.8970000000000002</v>
      </c>
      <c r="M644" s="7">
        <v>5.2949999999999999</v>
      </c>
      <c r="N644" s="7">
        <v>5.9729999999999999</v>
      </c>
      <c r="O644" s="7">
        <v>6.2869999999999999</v>
      </c>
      <c r="P644" s="7">
        <v>6.2069999999999999</v>
      </c>
      <c r="Q644" s="7">
        <v>6.0979999999999999</v>
      </c>
      <c r="R644" s="7">
        <v>5.5819999999999999</v>
      </c>
      <c r="S644" s="7">
        <f t="shared" si="10"/>
        <v>5.5256666666666661</v>
      </c>
    </row>
    <row r="645" spans="1:19">
      <c r="A645" s="5" t="str">
        <f>B645&amp;"-"&amp;COUNTIF($B$2:B645,B645)</f>
        <v>CEARA-25</v>
      </c>
      <c r="B645" s="5" t="s">
        <v>558</v>
      </c>
      <c r="C645" s="5" t="s">
        <v>577</v>
      </c>
      <c r="D645" s="6">
        <v>-387794</v>
      </c>
      <c r="E645" s="6">
        <v>-7177</v>
      </c>
      <c r="F645" s="7">
        <v>5.875</v>
      </c>
      <c r="G645" s="7">
        <v>5.9269999999999996</v>
      </c>
      <c r="H645" s="7">
        <v>5.9109999999999996</v>
      </c>
      <c r="I645" s="7">
        <v>5.843</v>
      </c>
      <c r="J645" s="7">
        <v>5.55</v>
      </c>
      <c r="K645" s="7">
        <v>5.1189999999999998</v>
      </c>
      <c r="L645" s="7">
        <v>4.8949999999999996</v>
      </c>
      <c r="M645" s="7">
        <v>5.2309999999999999</v>
      </c>
      <c r="N645" s="7">
        <v>5.9359999999999999</v>
      </c>
      <c r="O645" s="7">
        <v>6.5670000000000002</v>
      </c>
      <c r="P645" s="7">
        <v>6.5780000000000003</v>
      </c>
      <c r="Q645" s="7">
        <v>6.7</v>
      </c>
      <c r="R645" s="7">
        <v>6.242</v>
      </c>
      <c r="S645" s="7">
        <f t="shared" si="10"/>
        <v>5.8749166666666675</v>
      </c>
    </row>
    <row r="646" spans="1:19">
      <c r="A646" s="5" t="str">
        <f>B646&amp;"-"&amp;COUNTIF($B$2:B646,B646)</f>
        <v>CEARA-26</v>
      </c>
      <c r="B646" s="5" t="s">
        <v>558</v>
      </c>
      <c r="C646" s="5" t="s">
        <v>578</v>
      </c>
      <c r="D646" s="6">
        <v>-411362</v>
      </c>
      <c r="E646" s="6">
        <v>-30209</v>
      </c>
      <c r="F646" s="7">
        <v>5.6040000000000001</v>
      </c>
      <c r="G646" s="7">
        <v>5.319</v>
      </c>
      <c r="H646" s="7">
        <v>5.1319999999999997</v>
      </c>
      <c r="I646" s="7">
        <v>4.9320000000000004</v>
      </c>
      <c r="J646" s="7">
        <v>4.7919999999999998</v>
      </c>
      <c r="K646" s="7">
        <v>5.0419999999999998</v>
      </c>
      <c r="L646" s="7">
        <v>5.28</v>
      </c>
      <c r="M646" s="7">
        <v>5.5609999999999999</v>
      </c>
      <c r="N646" s="7">
        <v>6.17</v>
      </c>
      <c r="O646" s="7">
        <v>6.4</v>
      </c>
      <c r="P646" s="7">
        <v>6.4080000000000004</v>
      </c>
      <c r="Q646" s="7">
        <v>6.3630000000000004</v>
      </c>
      <c r="R646" s="7">
        <v>5.8520000000000003</v>
      </c>
      <c r="S646" s="7">
        <f t="shared" si="10"/>
        <v>5.6042500000000004</v>
      </c>
    </row>
    <row r="647" spans="1:19">
      <c r="A647" s="5" t="str">
        <f>B647&amp;"-"&amp;COUNTIF($B$2:B647,B647)</f>
        <v>CEARA-27</v>
      </c>
      <c r="B647" s="5" t="s">
        <v>558</v>
      </c>
      <c r="C647" s="5" t="s">
        <v>4295</v>
      </c>
      <c r="D647" s="6">
        <v>-388815</v>
      </c>
      <c r="E647" s="6">
        <v>-43264</v>
      </c>
      <c r="F647" s="7">
        <v>5.2910000000000004</v>
      </c>
      <c r="G647" s="7">
        <v>5.0430000000000001</v>
      </c>
      <c r="H647" s="7">
        <v>5.069</v>
      </c>
      <c r="I647" s="7">
        <v>5.1230000000000002</v>
      </c>
      <c r="J647" s="7">
        <v>4.6100000000000003</v>
      </c>
      <c r="K647" s="7">
        <v>4.8010000000000002</v>
      </c>
      <c r="L647" s="7">
        <v>4.5819999999999999</v>
      </c>
      <c r="M647" s="7">
        <v>5.1040000000000001</v>
      </c>
      <c r="N647" s="7">
        <v>5.8360000000000003</v>
      </c>
      <c r="O647" s="7">
        <v>6.1360000000000001</v>
      </c>
      <c r="P647" s="7">
        <v>5.9909999999999997</v>
      </c>
      <c r="Q647" s="7">
        <v>5.8949999999999996</v>
      </c>
      <c r="R647" s="7">
        <v>5.3079999999999998</v>
      </c>
      <c r="S647" s="7">
        <f t="shared" si="10"/>
        <v>5.2915000000000001</v>
      </c>
    </row>
    <row r="648" spans="1:19">
      <c r="A648" s="5" t="str">
        <f>B648&amp;"-"&amp;COUNTIF($B$2:B648,B648)</f>
        <v>CEARA-28</v>
      </c>
      <c r="B648" s="5" t="s">
        <v>558</v>
      </c>
      <c r="C648" s="5" t="s">
        <v>579</v>
      </c>
      <c r="D648" s="6">
        <v>-381274</v>
      </c>
      <c r="E648" s="6">
        <v>-41778</v>
      </c>
      <c r="F648" s="7">
        <v>5.8719999999999999</v>
      </c>
      <c r="G648" s="7">
        <v>5.9470000000000001</v>
      </c>
      <c r="H648" s="7">
        <v>6.05</v>
      </c>
      <c r="I648" s="7">
        <v>5.806</v>
      </c>
      <c r="J648" s="7">
        <v>5.2169999999999996</v>
      </c>
      <c r="K648" s="7">
        <v>5.3460000000000001</v>
      </c>
      <c r="L648" s="7">
        <v>5.31</v>
      </c>
      <c r="M648" s="7">
        <v>5.5529999999999999</v>
      </c>
      <c r="N648" s="7">
        <v>6.1029999999999998</v>
      </c>
      <c r="O648" s="7">
        <v>6.0839999999999996</v>
      </c>
      <c r="P648" s="7">
        <v>6.431</v>
      </c>
      <c r="Q648" s="7">
        <v>6.431</v>
      </c>
      <c r="R648" s="7">
        <v>6.181</v>
      </c>
      <c r="S648" s="7">
        <f t="shared" si="10"/>
        <v>5.8715833333333327</v>
      </c>
    </row>
    <row r="649" spans="1:19">
      <c r="A649" s="5" t="str">
        <f>B649&amp;"-"&amp;COUNTIF($B$2:B649,B649)</f>
        <v>CEARA-29</v>
      </c>
      <c r="B649" s="5" t="s">
        <v>558</v>
      </c>
      <c r="C649" s="5" t="s">
        <v>580</v>
      </c>
      <c r="D649" s="6">
        <v>-401675</v>
      </c>
      <c r="E649" s="6">
        <v>-30504</v>
      </c>
      <c r="F649" s="7">
        <v>5.5659999999999998</v>
      </c>
      <c r="G649" s="7">
        <v>5.3710000000000004</v>
      </c>
      <c r="H649" s="7">
        <v>5.2560000000000002</v>
      </c>
      <c r="I649" s="7">
        <v>5.0519999999999996</v>
      </c>
      <c r="J649" s="7">
        <v>4.5570000000000004</v>
      </c>
      <c r="K649" s="7">
        <v>5.1420000000000003</v>
      </c>
      <c r="L649" s="7">
        <v>5.2569999999999997</v>
      </c>
      <c r="M649" s="7">
        <v>5.4989999999999997</v>
      </c>
      <c r="N649" s="7">
        <v>6.0430000000000001</v>
      </c>
      <c r="O649" s="7">
        <v>6.3049999999999997</v>
      </c>
      <c r="P649" s="7">
        <v>6.1970000000000001</v>
      </c>
      <c r="Q649" s="7">
        <v>6.2789999999999999</v>
      </c>
      <c r="R649" s="7">
        <v>5.8319999999999999</v>
      </c>
      <c r="S649" s="7">
        <f t="shared" si="10"/>
        <v>5.565833333333333</v>
      </c>
    </row>
    <row r="650" spans="1:19">
      <c r="A650" s="5" t="str">
        <f>B650&amp;"-"&amp;COUNTIF($B$2:B650,B650)</f>
        <v>CEARA-30</v>
      </c>
      <c r="B650" s="5" t="s">
        <v>558</v>
      </c>
      <c r="C650" s="5" t="s">
        <v>581</v>
      </c>
      <c r="D650" s="6">
        <v>-39734</v>
      </c>
      <c r="E650" s="6">
        <v>-5113</v>
      </c>
      <c r="F650" s="7">
        <v>5.5940000000000003</v>
      </c>
      <c r="G650" s="7">
        <v>5.2779999999999996</v>
      </c>
      <c r="H650" s="7">
        <v>5.391</v>
      </c>
      <c r="I650" s="7">
        <v>5.4649999999999999</v>
      </c>
      <c r="J650" s="7">
        <v>5.0039999999999996</v>
      </c>
      <c r="K650" s="7">
        <v>4.9690000000000003</v>
      </c>
      <c r="L650" s="7">
        <v>4.9130000000000003</v>
      </c>
      <c r="M650" s="7">
        <v>5.2380000000000004</v>
      </c>
      <c r="N650" s="7">
        <v>5.968</v>
      </c>
      <c r="O650" s="7">
        <v>6.4939999999999998</v>
      </c>
      <c r="P650" s="7">
        <v>6.4020000000000001</v>
      </c>
      <c r="Q650" s="7">
        <v>6.3090000000000002</v>
      </c>
      <c r="R650" s="7">
        <v>5.6989999999999998</v>
      </c>
      <c r="S650" s="7">
        <f t="shared" si="10"/>
        <v>5.5941666666666663</v>
      </c>
    </row>
    <row r="651" spans="1:19">
      <c r="A651" s="5" t="str">
        <f>B651&amp;"-"&amp;COUNTIF($B$2:B651,B651)</f>
        <v>CEARA-31</v>
      </c>
      <c r="B651" s="5" t="s">
        <v>558</v>
      </c>
      <c r="C651" s="5" t="s">
        <v>582</v>
      </c>
      <c r="D651" s="6">
        <v>-389864</v>
      </c>
      <c r="E651" s="6">
        <v>-7489</v>
      </c>
      <c r="F651" s="7">
        <v>5.8689999999999998</v>
      </c>
      <c r="G651" s="7">
        <v>6.0990000000000002</v>
      </c>
      <c r="H651" s="7">
        <v>6.0570000000000004</v>
      </c>
      <c r="I651" s="7">
        <v>6.0179999999999998</v>
      </c>
      <c r="J651" s="7">
        <v>5.6820000000000004</v>
      </c>
      <c r="K651" s="7">
        <v>5.048</v>
      </c>
      <c r="L651" s="7">
        <v>4.7249999999999996</v>
      </c>
      <c r="M651" s="7">
        <v>5.0030000000000001</v>
      </c>
      <c r="N651" s="7">
        <v>5.758</v>
      </c>
      <c r="O651" s="7">
        <v>6.5110000000000001</v>
      </c>
      <c r="P651" s="7">
        <v>6.5209999999999999</v>
      </c>
      <c r="Q651" s="7">
        <v>6.6619999999999999</v>
      </c>
      <c r="R651" s="7">
        <v>6.3419999999999996</v>
      </c>
      <c r="S651" s="7">
        <f t="shared" si="10"/>
        <v>5.8688333333333347</v>
      </c>
    </row>
    <row r="652" spans="1:19">
      <c r="A652" s="5" t="str">
        <f>B652&amp;"-"&amp;COUNTIF($B$2:B652,B652)</f>
        <v>CEARA-32</v>
      </c>
      <c r="B652" s="5" t="s">
        <v>558</v>
      </c>
      <c r="C652" s="5" t="s">
        <v>583</v>
      </c>
      <c r="D652" s="6">
        <v>-40848</v>
      </c>
      <c r="E652" s="6">
        <v>-28987</v>
      </c>
      <c r="F652" s="7">
        <v>5.5289999999999999</v>
      </c>
      <c r="G652" s="7">
        <v>5.3869999999999996</v>
      </c>
      <c r="H652" s="7">
        <v>5.2160000000000002</v>
      </c>
      <c r="I652" s="7">
        <v>4.9169999999999998</v>
      </c>
      <c r="J652" s="7">
        <v>4.68</v>
      </c>
      <c r="K652" s="7">
        <v>5.0140000000000002</v>
      </c>
      <c r="L652" s="7">
        <v>5.2009999999999996</v>
      </c>
      <c r="M652" s="7">
        <v>5.4359999999999999</v>
      </c>
      <c r="N652" s="7">
        <v>5.9320000000000004</v>
      </c>
      <c r="O652" s="7">
        <v>6.2069999999999999</v>
      </c>
      <c r="P652" s="7">
        <v>6.1980000000000004</v>
      </c>
      <c r="Q652" s="7">
        <v>6.2549999999999999</v>
      </c>
      <c r="R652" s="7">
        <v>5.9139999999999997</v>
      </c>
      <c r="S652" s="7">
        <f t="shared" si="10"/>
        <v>5.5297499999999999</v>
      </c>
    </row>
    <row r="653" spans="1:19">
      <c r="A653" s="5" t="str">
        <f>B653&amp;"-"&amp;COUNTIF($B$2:B653,B653)</f>
        <v>CEARA-33</v>
      </c>
      <c r="B653" s="5" t="s">
        <v>558</v>
      </c>
      <c r="C653" s="5" t="s">
        <v>584</v>
      </c>
      <c r="D653" s="6">
        <v>-403758</v>
      </c>
      <c r="E653" s="6">
        <v>-70722</v>
      </c>
      <c r="F653" s="7">
        <v>5.7889999999999997</v>
      </c>
      <c r="G653" s="7">
        <v>5.569</v>
      </c>
      <c r="H653" s="7">
        <v>5.569</v>
      </c>
      <c r="I653" s="7">
        <v>5.6159999999999997</v>
      </c>
      <c r="J653" s="7">
        <v>5.3529999999999998</v>
      </c>
      <c r="K653" s="7">
        <v>5.1180000000000003</v>
      </c>
      <c r="L653" s="7">
        <v>5.0129999999999999</v>
      </c>
      <c r="M653" s="7">
        <v>5.4690000000000003</v>
      </c>
      <c r="N653" s="7">
        <v>6.1680000000000001</v>
      </c>
      <c r="O653" s="7">
        <v>6.5880000000000001</v>
      </c>
      <c r="P653" s="7">
        <v>6.4790000000000001</v>
      </c>
      <c r="Q653" s="7">
        <v>6.4939999999999998</v>
      </c>
      <c r="R653" s="7">
        <v>6.03</v>
      </c>
      <c r="S653" s="7">
        <f t="shared" si="10"/>
        <v>5.7888333333333328</v>
      </c>
    </row>
    <row r="654" spans="1:19">
      <c r="A654" s="5" t="str">
        <f>B654&amp;"-"&amp;COUNTIF($B$2:B654,B654)</f>
        <v>CEARA-34</v>
      </c>
      <c r="B654" s="5" t="s">
        <v>558</v>
      </c>
      <c r="C654" s="5" t="s">
        <v>4296</v>
      </c>
      <c r="D654" s="6">
        <v>-393158</v>
      </c>
      <c r="E654" s="6">
        <v>-4352</v>
      </c>
      <c r="F654" s="7">
        <v>5.63</v>
      </c>
      <c r="G654" s="7">
        <v>5.2960000000000003</v>
      </c>
      <c r="H654" s="7">
        <v>5.4649999999999999</v>
      </c>
      <c r="I654" s="7">
        <v>5.4740000000000002</v>
      </c>
      <c r="J654" s="7">
        <v>5.0060000000000002</v>
      </c>
      <c r="K654" s="7">
        <v>5.0970000000000004</v>
      </c>
      <c r="L654" s="7">
        <v>4.9649999999999999</v>
      </c>
      <c r="M654" s="7">
        <v>5.3360000000000003</v>
      </c>
      <c r="N654" s="7">
        <v>6.0780000000000003</v>
      </c>
      <c r="O654" s="7">
        <v>6.5940000000000003</v>
      </c>
      <c r="P654" s="7">
        <v>6.4420000000000002</v>
      </c>
      <c r="Q654" s="7">
        <v>6.226</v>
      </c>
      <c r="R654" s="7">
        <v>5.58</v>
      </c>
      <c r="S654" s="7">
        <f t="shared" si="10"/>
        <v>5.6299166666666673</v>
      </c>
    </row>
    <row r="655" spans="1:19">
      <c r="A655" s="5" t="str">
        <f>B655&amp;"-"&amp;COUNTIF($B$2:B655,B655)</f>
        <v>CEARA-35</v>
      </c>
      <c r="B655" s="5" t="s">
        <v>558</v>
      </c>
      <c r="C655" s="5" t="s">
        <v>585</v>
      </c>
      <c r="D655" s="6">
        <v>-389052</v>
      </c>
      <c r="E655" s="6">
        <v>-44561</v>
      </c>
      <c r="F655" s="7">
        <v>5.5140000000000002</v>
      </c>
      <c r="G655" s="7">
        <v>5.327</v>
      </c>
      <c r="H655" s="7">
        <v>5.3520000000000003</v>
      </c>
      <c r="I655" s="7">
        <v>5.3490000000000002</v>
      </c>
      <c r="J655" s="7">
        <v>4.8319999999999999</v>
      </c>
      <c r="K655" s="7">
        <v>4.9820000000000002</v>
      </c>
      <c r="L655" s="7">
        <v>4.8319999999999999</v>
      </c>
      <c r="M655" s="7">
        <v>5.2190000000000003</v>
      </c>
      <c r="N655" s="7">
        <v>5.99</v>
      </c>
      <c r="O655" s="7">
        <v>6.3559999999999999</v>
      </c>
      <c r="P655" s="7">
        <v>6.2629999999999999</v>
      </c>
      <c r="Q655" s="7">
        <v>6.1139999999999999</v>
      </c>
      <c r="R655" s="7">
        <v>5.5579999999999998</v>
      </c>
      <c r="S655" s="7">
        <f t="shared" si="10"/>
        <v>5.5145000000000008</v>
      </c>
    </row>
    <row r="656" spans="1:19">
      <c r="A656" s="5" t="str">
        <f>B656&amp;"-"&amp;COUNTIF($B$2:B656,B656)</f>
        <v>CEARA-36</v>
      </c>
      <c r="B656" s="5" t="s">
        <v>558</v>
      </c>
      <c r="C656" s="5" t="s">
        <v>4819</v>
      </c>
      <c r="D656" s="6">
        <v>-394966</v>
      </c>
      <c r="E656" s="6">
        <v>-65333</v>
      </c>
      <c r="F656" s="7">
        <v>5.83</v>
      </c>
      <c r="G656" s="7">
        <v>5.6870000000000003</v>
      </c>
      <c r="H656" s="7">
        <v>5.7530000000000001</v>
      </c>
      <c r="I656" s="7">
        <v>5.7839999999999998</v>
      </c>
      <c r="J656" s="7">
        <v>5.4260000000000002</v>
      </c>
      <c r="K656" s="7">
        <v>5.1959999999999997</v>
      </c>
      <c r="L656" s="7">
        <v>5.1109999999999998</v>
      </c>
      <c r="M656" s="7">
        <v>5.407</v>
      </c>
      <c r="N656" s="7">
        <v>6.1639999999999997</v>
      </c>
      <c r="O656" s="7">
        <v>6.4850000000000003</v>
      </c>
      <c r="P656" s="7">
        <v>6.4610000000000003</v>
      </c>
      <c r="Q656" s="7">
        <v>6.4790000000000001</v>
      </c>
      <c r="R656" s="7">
        <v>6.01</v>
      </c>
      <c r="S656" s="7">
        <f t="shared" si="10"/>
        <v>5.8302499999999995</v>
      </c>
    </row>
    <row r="657" spans="1:19">
      <c r="A657" s="5" t="str">
        <f>B657&amp;"-"&amp;COUNTIF($B$2:B657,B657)</f>
        <v>CEARA-37</v>
      </c>
      <c r="B657" s="5" t="s">
        <v>558</v>
      </c>
      <c r="C657" s="5" t="s">
        <v>586</v>
      </c>
      <c r="D657" s="6">
        <v>-391915</v>
      </c>
      <c r="E657" s="6">
        <v>-42255</v>
      </c>
      <c r="F657" s="7">
        <v>5.681</v>
      </c>
      <c r="G657" s="7">
        <v>5.3040000000000003</v>
      </c>
      <c r="H657" s="7">
        <v>5.5110000000000001</v>
      </c>
      <c r="I657" s="7">
        <v>5.3280000000000003</v>
      </c>
      <c r="J657" s="7">
        <v>4.9390000000000001</v>
      </c>
      <c r="K657" s="7">
        <v>5.242</v>
      </c>
      <c r="L657" s="7">
        <v>5.1319999999999997</v>
      </c>
      <c r="M657" s="7">
        <v>5.4020000000000001</v>
      </c>
      <c r="N657" s="7">
        <v>6.1989999999999998</v>
      </c>
      <c r="O657" s="7">
        <v>6.6120000000000001</v>
      </c>
      <c r="P657" s="7">
        <v>6.5179999999999998</v>
      </c>
      <c r="Q657" s="7">
        <v>6.3520000000000003</v>
      </c>
      <c r="R657" s="7">
        <v>5.6360000000000001</v>
      </c>
      <c r="S657" s="7">
        <f t="shared" si="10"/>
        <v>5.6812499999999995</v>
      </c>
    </row>
    <row r="658" spans="1:19">
      <c r="A658" s="5" t="str">
        <f>B658&amp;"-"&amp;COUNTIF($B$2:B658,B658)</f>
        <v>CEARA-38</v>
      </c>
      <c r="B658" s="5" t="s">
        <v>558</v>
      </c>
      <c r="C658" s="5" t="s">
        <v>4297</v>
      </c>
      <c r="D658" s="6">
        <v>-404759</v>
      </c>
      <c r="E658" s="6">
        <v>-39509</v>
      </c>
      <c r="F658" s="7">
        <v>5.5510000000000002</v>
      </c>
      <c r="G658" s="7">
        <v>5.1630000000000003</v>
      </c>
      <c r="H658" s="7">
        <v>5.46</v>
      </c>
      <c r="I658" s="7">
        <v>5.3120000000000003</v>
      </c>
      <c r="J658" s="7">
        <v>4.9509999999999996</v>
      </c>
      <c r="K658" s="7">
        <v>5.0010000000000003</v>
      </c>
      <c r="L658" s="7">
        <v>5.0039999999999996</v>
      </c>
      <c r="M658" s="7">
        <v>5.2530000000000001</v>
      </c>
      <c r="N658" s="7">
        <v>5.9850000000000003</v>
      </c>
      <c r="O658" s="7">
        <v>6.508</v>
      </c>
      <c r="P658" s="7">
        <v>6.3639999999999999</v>
      </c>
      <c r="Q658" s="7">
        <v>6.1120000000000001</v>
      </c>
      <c r="R658" s="7">
        <v>5.4969999999999999</v>
      </c>
      <c r="S658" s="7">
        <f t="shared" si="10"/>
        <v>5.5508333333333342</v>
      </c>
    </row>
    <row r="659" spans="1:19">
      <c r="A659" s="5" t="str">
        <f>B659&amp;"-"&amp;COUNTIF($B$2:B659,B659)</f>
        <v>CEARA-39</v>
      </c>
      <c r="B659" s="5" t="s">
        <v>558</v>
      </c>
      <c r="C659" s="5" t="s">
        <v>4621</v>
      </c>
      <c r="D659" s="6">
        <v>-392825</v>
      </c>
      <c r="E659" s="6">
        <v>-70344</v>
      </c>
      <c r="F659" s="7">
        <v>5.8490000000000002</v>
      </c>
      <c r="G659" s="7">
        <v>5.8049999999999997</v>
      </c>
      <c r="H659" s="7">
        <v>5.819</v>
      </c>
      <c r="I659" s="7">
        <v>5.7869999999999999</v>
      </c>
      <c r="J659" s="7">
        <v>5.4779999999999998</v>
      </c>
      <c r="K659" s="7">
        <v>5.16</v>
      </c>
      <c r="L659" s="7">
        <v>5.0220000000000002</v>
      </c>
      <c r="M659" s="7">
        <v>5.3129999999999997</v>
      </c>
      <c r="N659" s="7">
        <v>6.0519999999999996</v>
      </c>
      <c r="O659" s="7">
        <v>6.5250000000000004</v>
      </c>
      <c r="P659" s="7">
        <v>6.524</v>
      </c>
      <c r="Q659" s="7">
        <v>6.5910000000000002</v>
      </c>
      <c r="R659" s="7">
        <v>6.1059999999999999</v>
      </c>
      <c r="S659" s="7">
        <f t="shared" si="10"/>
        <v>5.8484999999999987</v>
      </c>
    </row>
    <row r="660" spans="1:19">
      <c r="A660" s="5" t="str">
        <f>B660&amp;"-"&amp;COUNTIF($B$2:B660,B660)</f>
        <v>CEARA-40</v>
      </c>
      <c r="B660" s="5" t="s">
        <v>558</v>
      </c>
      <c r="C660" s="5" t="s">
        <v>587</v>
      </c>
      <c r="D660" s="6">
        <v>-409416</v>
      </c>
      <c r="E660" s="6">
        <v>-41602</v>
      </c>
      <c r="F660" s="7">
        <v>5.6159999999999997</v>
      </c>
      <c r="G660" s="7">
        <v>5.2960000000000003</v>
      </c>
      <c r="H660" s="7">
        <v>5.3529999999999998</v>
      </c>
      <c r="I660" s="7">
        <v>5.327</v>
      </c>
      <c r="J660" s="7">
        <v>4.8879999999999999</v>
      </c>
      <c r="K660" s="7">
        <v>4.9320000000000004</v>
      </c>
      <c r="L660" s="7">
        <v>4.9909999999999997</v>
      </c>
      <c r="M660" s="7">
        <v>5.35</v>
      </c>
      <c r="N660" s="7">
        <v>6.0919999999999996</v>
      </c>
      <c r="O660" s="7">
        <v>6.5620000000000003</v>
      </c>
      <c r="P660" s="7">
        <v>6.4740000000000002</v>
      </c>
      <c r="Q660" s="7">
        <v>6.4109999999999996</v>
      </c>
      <c r="R660" s="7">
        <v>5.7169999999999996</v>
      </c>
      <c r="S660" s="7">
        <f t="shared" si="10"/>
        <v>5.6160833333333331</v>
      </c>
    </row>
    <row r="661" spans="1:19">
      <c r="A661" s="5" t="str">
        <f>B661&amp;"-"&amp;COUNTIF($B$2:B661,B661)</f>
        <v>CEARA-41</v>
      </c>
      <c r="B661" s="5" t="s">
        <v>558</v>
      </c>
      <c r="C661" s="5" t="s">
        <v>588</v>
      </c>
      <c r="D661" s="6">
        <v>-382415</v>
      </c>
      <c r="E661" s="6">
        <v>-41301</v>
      </c>
      <c r="F661" s="7">
        <v>5.8630000000000004</v>
      </c>
      <c r="G661" s="7">
        <v>5.9409999999999998</v>
      </c>
      <c r="H661" s="7">
        <v>6</v>
      </c>
      <c r="I661" s="7">
        <v>5.7640000000000002</v>
      </c>
      <c r="J661" s="7">
        <v>5.1609999999999996</v>
      </c>
      <c r="K661" s="7">
        <v>5.4219999999999997</v>
      </c>
      <c r="L661" s="7">
        <v>5.3360000000000003</v>
      </c>
      <c r="M661" s="7">
        <v>5.585</v>
      </c>
      <c r="N661" s="7">
        <v>6.0880000000000001</v>
      </c>
      <c r="O661" s="7">
        <v>6.0979999999999999</v>
      </c>
      <c r="P661" s="7">
        <v>6.4260000000000002</v>
      </c>
      <c r="Q661" s="7">
        <v>6.423</v>
      </c>
      <c r="R661" s="7">
        <v>6.1130000000000004</v>
      </c>
      <c r="S661" s="7">
        <f t="shared" si="10"/>
        <v>5.863083333333333</v>
      </c>
    </row>
    <row r="662" spans="1:19">
      <c r="A662" s="5" t="str">
        <f>B662&amp;"-"&amp;COUNTIF($B$2:B662,B662)</f>
        <v>CEARA-42</v>
      </c>
      <c r="B662" s="5" t="s">
        <v>558</v>
      </c>
      <c r="C662" s="5" t="s">
        <v>589</v>
      </c>
      <c r="D662" s="6">
        <v>-39874</v>
      </c>
      <c r="E662" s="6">
        <v>-61233</v>
      </c>
      <c r="F662" s="7">
        <v>5.71</v>
      </c>
      <c r="G662" s="7">
        <v>5.4870000000000001</v>
      </c>
      <c r="H662" s="7">
        <v>5.5419999999999998</v>
      </c>
      <c r="I662" s="7">
        <v>5.5309999999999997</v>
      </c>
      <c r="J662" s="7">
        <v>5.1710000000000003</v>
      </c>
      <c r="K662" s="7">
        <v>5.0510000000000002</v>
      </c>
      <c r="L662" s="7">
        <v>5.0629999999999997</v>
      </c>
      <c r="M662" s="7">
        <v>5.4240000000000004</v>
      </c>
      <c r="N662" s="7">
        <v>6.2</v>
      </c>
      <c r="O662" s="7">
        <v>6.5659999999999998</v>
      </c>
      <c r="P662" s="7">
        <v>6.3920000000000003</v>
      </c>
      <c r="Q662" s="7">
        <v>6.3310000000000004</v>
      </c>
      <c r="R662" s="7">
        <v>5.76</v>
      </c>
      <c r="S662" s="7">
        <f t="shared" si="10"/>
        <v>5.7098333333333349</v>
      </c>
    </row>
    <row r="663" spans="1:19">
      <c r="A663" s="5" t="str">
        <f>B663&amp;"-"&amp;COUNTIF($B$2:B663,B663)</f>
        <v>CEARA-43</v>
      </c>
      <c r="B663" s="5" t="s">
        <v>558</v>
      </c>
      <c r="C663" s="5" t="s">
        <v>590</v>
      </c>
      <c r="D663" s="6">
        <v>-402003</v>
      </c>
      <c r="E663" s="6">
        <v>-46438</v>
      </c>
      <c r="F663" s="7">
        <v>5.6509999999999998</v>
      </c>
      <c r="G663" s="7">
        <v>5.2530000000000001</v>
      </c>
      <c r="H663" s="7">
        <v>5.431</v>
      </c>
      <c r="I663" s="7">
        <v>5.4589999999999996</v>
      </c>
      <c r="J663" s="7">
        <v>5.0129999999999999</v>
      </c>
      <c r="K663" s="7">
        <v>5.0279999999999996</v>
      </c>
      <c r="L663" s="7">
        <v>4.9249999999999998</v>
      </c>
      <c r="M663" s="7">
        <v>5.306</v>
      </c>
      <c r="N663" s="7">
        <v>6.0780000000000003</v>
      </c>
      <c r="O663" s="7">
        <v>6.649</v>
      </c>
      <c r="P663" s="7">
        <v>6.5609999999999999</v>
      </c>
      <c r="Q663" s="7">
        <v>6.391</v>
      </c>
      <c r="R663" s="7">
        <v>5.7190000000000003</v>
      </c>
      <c r="S663" s="7">
        <f t="shared" si="10"/>
        <v>5.6510833333333332</v>
      </c>
    </row>
    <row r="664" spans="1:19">
      <c r="A664" s="5" t="str">
        <f>B664&amp;"-"&amp;COUNTIF($B$2:B664,B664)</f>
        <v>CEARA-44</v>
      </c>
      <c r="B664" s="5" t="s">
        <v>558</v>
      </c>
      <c r="C664" s="5" t="s">
        <v>591</v>
      </c>
      <c r="D664" s="6">
        <v>-386622</v>
      </c>
      <c r="E664" s="6">
        <v>-37284</v>
      </c>
      <c r="F664" s="7">
        <v>5.7009999999999996</v>
      </c>
      <c r="G664" s="7">
        <v>5.7530000000000001</v>
      </c>
      <c r="H664" s="7">
        <v>5.6959999999999997</v>
      </c>
      <c r="I664" s="7">
        <v>5.5350000000000001</v>
      </c>
      <c r="J664" s="7">
        <v>4.8029999999999999</v>
      </c>
      <c r="K664" s="7">
        <v>5.1630000000000003</v>
      </c>
      <c r="L664" s="7">
        <v>5.194</v>
      </c>
      <c r="M664" s="7">
        <v>5.4669999999999996</v>
      </c>
      <c r="N664" s="7">
        <v>6.0069999999999997</v>
      </c>
      <c r="O664" s="7">
        <v>6.1459999999999999</v>
      </c>
      <c r="P664" s="7">
        <v>6.31</v>
      </c>
      <c r="Q664" s="7">
        <v>6.3310000000000004</v>
      </c>
      <c r="R664" s="7">
        <v>6.0049999999999999</v>
      </c>
      <c r="S664" s="7">
        <f t="shared" si="10"/>
        <v>5.7008333333333345</v>
      </c>
    </row>
    <row r="665" spans="1:19">
      <c r="A665" s="5" t="str">
        <f>B665&amp;"-"&amp;COUNTIF($B$2:B665,B665)</f>
        <v>CEARA-45</v>
      </c>
      <c r="B665" s="5" t="s">
        <v>558</v>
      </c>
      <c r="C665" s="5" t="s">
        <v>592</v>
      </c>
      <c r="D665" s="6">
        <v>-390612</v>
      </c>
      <c r="E665" s="6">
        <v>-66008</v>
      </c>
      <c r="F665" s="7">
        <v>5.9359999999999999</v>
      </c>
      <c r="G665" s="7">
        <v>5.92</v>
      </c>
      <c r="H665" s="7">
        <v>5.9889999999999999</v>
      </c>
      <c r="I665" s="7">
        <v>5.8819999999999997</v>
      </c>
      <c r="J665" s="7">
        <v>5.5970000000000004</v>
      </c>
      <c r="K665" s="7">
        <v>5.2610000000000001</v>
      </c>
      <c r="L665" s="7">
        <v>5.13</v>
      </c>
      <c r="M665" s="7">
        <v>5.3769999999999998</v>
      </c>
      <c r="N665" s="7">
        <v>6.15</v>
      </c>
      <c r="O665" s="7">
        <v>6.4950000000000001</v>
      </c>
      <c r="P665" s="7">
        <v>6.5650000000000004</v>
      </c>
      <c r="Q665" s="7">
        <v>6.6870000000000003</v>
      </c>
      <c r="R665" s="7">
        <v>6.18</v>
      </c>
      <c r="S665" s="7">
        <f t="shared" si="10"/>
        <v>5.9360833333333334</v>
      </c>
    </row>
    <row r="666" spans="1:19">
      <c r="A666" s="5" t="str">
        <f>B666&amp;"-"&amp;COUNTIF($B$2:B666,B666)</f>
        <v>CEARA-46</v>
      </c>
      <c r="B666" s="5" t="s">
        <v>558</v>
      </c>
      <c r="C666" s="5" t="s">
        <v>593</v>
      </c>
      <c r="D666" s="6">
        <v>-412438</v>
      </c>
      <c r="E666" s="6">
        <v>-30361</v>
      </c>
      <c r="F666" s="7">
        <v>5.57</v>
      </c>
      <c r="G666" s="7">
        <v>5.33</v>
      </c>
      <c r="H666" s="7">
        <v>5.1680000000000001</v>
      </c>
      <c r="I666" s="7">
        <v>4.9740000000000002</v>
      </c>
      <c r="J666" s="7">
        <v>4.7770000000000001</v>
      </c>
      <c r="K666" s="7">
        <v>5.0650000000000004</v>
      </c>
      <c r="L666" s="7">
        <v>5.2789999999999999</v>
      </c>
      <c r="M666" s="7">
        <v>5.5190000000000001</v>
      </c>
      <c r="N666" s="7">
        <v>6.1020000000000003</v>
      </c>
      <c r="O666" s="7">
        <v>6.2910000000000004</v>
      </c>
      <c r="P666" s="7">
        <v>6.22</v>
      </c>
      <c r="Q666" s="7">
        <v>6.2930000000000001</v>
      </c>
      <c r="R666" s="7">
        <v>5.8150000000000004</v>
      </c>
      <c r="S666" s="7">
        <f t="shared" si="10"/>
        <v>5.5694166666666662</v>
      </c>
    </row>
    <row r="667" spans="1:19">
      <c r="A667" s="5" t="str">
        <f>B667&amp;"-"&amp;COUNTIF($B$2:B667,B667)</f>
        <v>CEARA-47</v>
      </c>
      <c r="B667" s="5" t="s">
        <v>558</v>
      </c>
      <c r="C667" s="5" t="s">
        <v>5065</v>
      </c>
      <c r="D667" s="6">
        <v>-391347</v>
      </c>
      <c r="E667" s="6">
        <v>-48395</v>
      </c>
      <c r="F667" s="7">
        <v>5.6360000000000001</v>
      </c>
      <c r="G667" s="7">
        <v>5.391</v>
      </c>
      <c r="H667" s="7">
        <v>5.4329999999999998</v>
      </c>
      <c r="I667" s="7">
        <v>5.5460000000000003</v>
      </c>
      <c r="J667" s="7">
        <v>5.05</v>
      </c>
      <c r="K667" s="7">
        <v>5.1070000000000002</v>
      </c>
      <c r="L667" s="7">
        <v>5.0060000000000002</v>
      </c>
      <c r="M667" s="7">
        <v>5.3689999999999998</v>
      </c>
      <c r="N667" s="7">
        <v>6.0810000000000004</v>
      </c>
      <c r="O667" s="7">
        <v>6.54</v>
      </c>
      <c r="P667" s="7">
        <v>6.3860000000000001</v>
      </c>
      <c r="Q667" s="7">
        <v>6.1689999999999996</v>
      </c>
      <c r="R667" s="7">
        <v>5.5529999999999999</v>
      </c>
      <c r="S667" s="7">
        <f t="shared" si="10"/>
        <v>5.6359166666666667</v>
      </c>
    </row>
    <row r="668" spans="1:19">
      <c r="A668" s="5" t="str">
        <f>B668&amp;"-"&amp;COUNTIF($B$2:B668,B668)</f>
        <v>CEARA-48</v>
      </c>
      <c r="B668" s="5" t="s">
        <v>558</v>
      </c>
      <c r="C668" s="5" t="s">
        <v>594</v>
      </c>
      <c r="D668" s="6">
        <v>-385006</v>
      </c>
      <c r="E668" s="6">
        <v>-43002</v>
      </c>
      <c r="F668" s="7">
        <v>5.6139999999999999</v>
      </c>
      <c r="G668" s="7">
        <v>5.47</v>
      </c>
      <c r="H668" s="7">
        <v>5.516</v>
      </c>
      <c r="I668" s="7">
        <v>5.4829999999999997</v>
      </c>
      <c r="J668" s="7">
        <v>4.9530000000000003</v>
      </c>
      <c r="K668" s="7">
        <v>5.16</v>
      </c>
      <c r="L668" s="7">
        <v>4.9980000000000002</v>
      </c>
      <c r="M668" s="7">
        <v>5.35</v>
      </c>
      <c r="N668" s="7">
        <v>6.0090000000000003</v>
      </c>
      <c r="O668" s="7">
        <v>6.2759999999999998</v>
      </c>
      <c r="P668" s="7">
        <v>6.2850000000000001</v>
      </c>
      <c r="Q668" s="7">
        <v>6.1879999999999997</v>
      </c>
      <c r="R668" s="7">
        <v>5.6769999999999996</v>
      </c>
      <c r="S668" s="7">
        <f t="shared" si="10"/>
        <v>5.6137500000000005</v>
      </c>
    </row>
    <row r="669" spans="1:19">
      <c r="A669" s="5" t="str">
        <f>B669&amp;"-"&amp;COUNTIF($B$2:B669,B669)</f>
        <v>CEARA-49</v>
      </c>
      <c r="B669" s="5" t="s">
        <v>558</v>
      </c>
      <c r="C669" s="5" t="s">
        <v>4820</v>
      </c>
      <c r="D669" s="6">
        <v>-406536</v>
      </c>
      <c r="E669" s="6">
        <v>-35522</v>
      </c>
      <c r="F669" s="7">
        <v>5.47</v>
      </c>
      <c r="G669" s="7">
        <v>4.9630000000000001</v>
      </c>
      <c r="H669" s="7">
        <v>5.1669999999999998</v>
      </c>
      <c r="I669" s="7">
        <v>5.1159999999999997</v>
      </c>
      <c r="J669" s="7">
        <v>4.8170000000000002</v>
      </c>
      <c r="K669" s="7">
        <v>5.0339999999999998</v>
      </c>
      <c r="L669" s="7">
        <v>5.0279999999999996</v>
      </c>
      <c r="M669" s="7">
        <v>5.3079999999999998</v>
      </c>
      <c r="N669" s="7">
        <v>6.0060000000000002</v>
      </c>
      <c r="O669" s="7">
        <v>6.4509999999999996</v>
      </c>
      <c r="P669" s="7">
        <v>6.3760000000000003</v>
      </c>
      <c r="Q669" s="7">
        <v>6.0860000000000003</v>
      </c>
      <c r="R669" s="7">
        <v>5.2889999999999997</v>
      </c>
      <c r="S669" s="7">
        <f t="shared" si="10"/>
        <v>5.4700833333333323</v>
      </c>
    </row>
    <row r="670" spans="1:19">
      <c r="A670" s="5" t="str">
        <f>B670&amp;"-"&amp;COUNTIF($B$2:B670,B670)</f>
        <v>CEARA-50</v>
      </c>
      <c r="B670" s="5" t="s">
        <v>558</v>
      </c>
      <c r="C670" s="5" t="s">
        <v>4821</v>
      </c>
      <c r="D670" s="6">
        <v>-40654</v>
      </c>
      <c r="E670" s="6">
        <v>-51681</v>
      </c>
      <c r="F670" s="7">
        <v>5.5890000000000004</v>
      </c>
      <c r="G670" s="7">
        <v>5.0970000000000004</v>
      </c>
      <c r="H670" s="7">
        <v>5.3129999999999997</v>
      </c>
      <c r="I670" s="7">
        <v>5.43</v>
      </c>
      <c r="J670" s="7">
        <v>5.0030000000000001</v>
      </c>
      <c r="K670" s="7">
        <v>4.9429999999999996</v>
      </c>
      <c r="L670" s="7">
        <v>4.9779999999999998</v>
      </c>
      <c r="M670" s="7">
        <v>5.3739999999999997</v>
      </c>
      <c r="N670" s="7">
        <v>6.0759999999999996</v>
      </c>
      <c r="O670" s="7">
        <v>6.5140000000000002</v>
      </c>
      <c r="P670" s="7">
        <v>6.4240000000000004</v>
      </c>
      <c r="Q670" s="7">
        <v>6.3</v>
      </c>
      <c r="R670" s="7">
        <v>5.6159999999999997</v>
      </c>
      <c r="S670" s="7">
        <f t="shared" si="10"/>
        <v>5.5890000000000013</v>
      </c>
    </row>
    <row r="671" spans="1:19">
      <c r="A671" s="5" t="str">
        <f>B671&amp;"-"&amp;COUNTIF($B$2:B671,B671)</f>
        <v>CEARA-51</v>
      </c>
      <c r="B671" s="5" t="s">
        <v>558</v>
      </c>
      <c r="C671" s="5" t="s">
        <v>595</v>
      </c>
      <c r="D671" s="6">
        <v>-394102</v>
      </c>
      <c r="E671" s="6">
        <v>-7229</v>
      </c>
      <c r="F671" s="7">
        <v>5.8479999999999999</v>
      </c>
      <c r="G671" s="7">
        <v>5.8280000000000003</v>
      </c>
      <c r="H671" s="7">
        <v>5.7569999999999997</v>
      </c>
      <c r="I671" s="7">
        <v>5.6779999999999999</v>
      </c>
      <c r="J671" s="7">
        <v>5.4589999999999996</v>
      </c>
      <c r="K671" s="7">
        <v>5.1459999999999999</v>
      </c>
      <c r="L671" s="7">
        <v>4.9740000000000002</v>
      </c>
      <c r="M671" s="7">
        <v>5.33</v>
      </c>
      <c r="N671" s="7">
        <v>6.1230000000000002</v>
      </c>
      <c r="O671" s="7">
        <v>6.5869999999999997</v>
      </c>
      <c r="P671" s="7">
        <v>6.556</v>
      </c>
      <c r="Q671" s="7">
        <v>6.5449999999999999</v>
      </c>
      <c r="R671" s="7">
        <v>6.1909999999999998</v>
      </c>
      <c r="S671" s="7">
        <f t="shared" si="10"/>
        <v>5.847833333333333</v>
      </c>
    </row>
    <row r="672" spans="1:19">
      <c r="A672" s="5" t="str">
        <f>B672&amp;"-"&amp;COUNTIF($B$2:B672,B672)</f>
        <v>CEARA-52</v>
      </c>
      <c r="B672" s="5" t="s">
        <v>558</v>
      </c>
      <c r="C672" s="5" t="s">
        <v>5488</v>
      </c>
      <c r="D672" s="6">
        <v>-409028</v>
      </c>
      <c r="E672" s="6">
        <v>-44126</v>
      </c>
      <c r="F672" s="7">
        <v>5.7370000000000001</v>
      </c>
      <c r="G672" s="7">
        <v>5.3730000000000002</v>
      </c>
      <c r="H672" s="7">
        <v>5.4420000000000002</v>
      </c>
      <c r="I672" s="7">
        <v>5.4880000000000004</v>
      </c>
      <c r="J672" s="7">
        <v>5.0609999999999999</v>
      </c>
      <c r="K672" s="7">
        <v>5.085</v>
      </c>
      <c r="L672" s="7">
        <v>5.1020000000000003</v>
      </c>
      <c r="M672" s="7">
        <v>5.47</v>
      </c>
      <c r="N672" s="7">
        <v>6.2009999999999996</v>
      </c>
      <c r="O672" s="7">
        <v>6.6669999999999998</v>
      </c>
      <c r="P672" s="7">
        <v>6.6070000000000002</v>
      </c>
      <c r="Q672" s="7">
        <v>6.5220000000000002</v>
      </c>
      <c r="R672" s="7">
        <v>5.8280000000000003</v>
      </c>
      <c r="S672" s="7">
        <f t="shared" si="10"/>
        <v>5.737166666666667</v>
      </c>
    </row>
    <row r="673" spans="1:19">
      <c r="A673" s="5" t="str">
        <f>B673&amp;"-"&amp;COUNTIF($B$2:B673,B673)</f>
        <v>CEARA-53</v>
      </c>
      <c r="B673" s="5" t="s">
        <v>558</v>
      </c>
      <c r="C673" s="5" t="s">
        <v>596</v>
      </c>
      <c r="D673" s="6">
        <v>-401763</v>
      </c>
      <c r="E673" s="6">
        <v>-29185</v>
      </c>
      <c r="F673" s="7">
        <v>5.577</v>
      </c>
      <c r="G673" s="7">
        <v>5.4939999999999998</v>
      </c>
      <c r="H673" s="7">
        <v>5.4</v>
      </c>
      <c r="I673" s="7">
        <v>5.15</v>
      </c>
      <c r="J673" s="7">
        <v>4.5759999999999996</v>
      </c>
      <c r="K673" s="7">
        <v>5.12</v>
      </c>
      <c r="L673" s="7">
        <v>5.2210000000000001</v>
      </c>
      <c r="M673" s="7">
        <v>5.48</v>
      </c>
      <c r="N673" s="7">
        <v>5.9880000000000004</v>
      </c>
      <c r="O673" s="7">
        <v>6.1390000000000002</v>
      </c>
      <c r="P673" s="7">
        <v>6.0730000000000004</v>
      </c>
      <c r="Q673" s="7">
        <v>6.3310000000000004</v>
      </c>
      <c r="R673" s="7">
        <v>5.9539999999999997</v>
      </c>
      <c r="S673" s="7">
        <f t="shared" si="10"/>
        <v>5.5771666666666668</v>
      </c>
    </row>
    <row r="674" spans="1:19">
      <c r="A674" s="5" t="str">
        <f>B674&amp;"-"&amp;COUNTIF($B$2:B674,B674)</f>
        <v>CEARA-54</v>
      </c>
      <c r="B674" s="5" t="s">
        <v>558</v>
      </c>
      <c r="C674" s="5" t="s">
        <v>597</v>
      </c>
      <c r="D674" s="6">
        <v>-392573</v>
      </c>
      <c r="E674" s="6">
        <v>-59153</v>
      </c>
      <c r="F674" s="7">
        <v>5.7640000000000002</v>
      </c>
      <c r="G674" s="7">
        <v>5.4939999999999998</v>
      </c>
      <c r="H674" s="7">
        <v>5.6420000000000003</v>
      </c>
      <c r="I674" s="7">
        <v>5.7450000000000001</v>
      </c>
      <c r="J674" s="7">
        <v>5.3070000000000004</v>
      </c>
      <c r="K674" s="7">
        <v>5.1029999999999998</v>
      </c>
      <c r="L674" s="7">
        <v>4.9930000000000003</v>
      </c>
      <c r="M674" s="7">
        <v>5.3840000000000003</v>
      </c>
      <c r="N674" s="7">
        <v>6.1180000000000003</v>
      </c>
      <c r="O674" s="7">
        <v>6.524</v>
      </c>
      <c r="P674" s="7">
        <v>6.4930000000000003</v>
      </c>
      <c r="Q674" s="7">
        <v>6.4770000000000003</v>
      </c>
      <c r="R674" s="7">
        <v>5.8949999999999996</v>
      </c>
      <c r="S674" s="7">
        <f t="shared" si="10"/>
        <v>5.7645833333333343</v>
      </c>
    </row>
    <row r="675" spans="1:19">
      <c r="A675" s="5" t="str">
        <f>B675&amp;"-"&amp;COUNTIF($B$2:B675,B675)</f>
        <v>CEARA-55</v>
      </c>
      <c r="B675" s="5" t="s">
        <v>558</v>
      </c>
      <c r="C675" s="5" t="s">
        <v>5283</v>
      </c>
      <c r="D675" s="6">
        <v>-383464</v>
      </c>
      <c r="E675" s="6">
        <v>-60279</v>
      </c>
      <c r="F675" s="7">
        <v>5.9080000000000004</v>
      </c>
      <c r="G675" s="7">
        <v>5.8689999999999998</v>
      </c>
      <c r="H675" s="7">
        <v>5.9089999999999998</v>
      </c>
      <c r="I675" s="7">
        <v>5.9720000000000004</v>
      </c>
      <c r="J675" s="7">
        <v>5.6420000000000003</v>
      </c>
      <c r="K675" s="7">
        <v>5.2889999999999997</v>
      </c>
      <c r="L675" s="7">
        <v>5.07</v>
      </c>
      <c r="M675" s="7">
        <v>5.3810000000000002</v>
      </c>
      <c r="N675" s="7">
        <v>6.0739999999999998</v>
      </c>
      <c r="O675" s="7">
        <v>6.4580000000000002</v>
      </c>
      <c r="P675" s="7">
        <v>6.5810000000000004</v>
      </c>
      <c r="Q675" s="7">
        <v>6.5810000000000004</v>
      </c>
      <c r="R675" s="7">
        <v>6.0670000000000002</v>
      </c>
      <c r="S675" s="7">
        <f t="shared" si="10"/>
        <v>5.9077500000000001</v>
      </c>
    </row>
    <row r="676" spans="1:19">
      <c r="A676" s="5" t="str">
        <f>B676&amp;"-"&amp;COUNTIF($B$2:B676,B676)</f>
        <v>CEARA-56</v>
      </c>
      <c r="B676" s="5" t="s">
        <v>558</v>
      </c>
      <c r="C676" s="5" t="s">
        <v>4298</v>
      </c>
      <c r="D676" s="6">
        <v>-384562</v>
      </c>
      <c r="E676" s="6">
        <v>-38929</v>
      </c>
      <c r="F676" s="7">
        <v>5.73</v>
      </c>
      <c r="G676" s="7">
        <v>5.718</v>
      </c>
      <c r="H676" s="7">
        <v>5.8079999999999998</v>
      </c>
      <c r="I676" s="7">
        <v>5.6059999999999999</v>
      </c>
      <c r="J676" s="7">
        <v>4.9029999999999996</v>
      </c>
      <c r="K676" s="7">
        <v>5.2110000000000003</v>
      </c>
      <c r="L676" s="7">
        <v>5.2370000000000001</v>
      </c>
      <c r="M676" s="7">
        <v>5.4409999999999998</v>
      </c>
      <c r="N676" s="7">
        <v>5.9470000000000001</v>
      </c>
      <c r="O676" s="7">
        <v>6.1790000000000003</v>
      </c>
      <c r="P676" s="7">
        <v>6.3680000000000003</v>
      </c>
      <c r="Q676" s="7">
        <v>6.3730000000000002</v>
      </c>
      <c r="R676" s="7">
        <v>5.9740000000000002</v>
      </c>
      <c r="S676" s="7">
        <f t="shared" si="10"/>
        <v>5.7304166666666667</v>
      </c>
    </row>
    <row r="677" spans="1:19">
      <c r="A677" s="5" t="str">
        <f>B677&amp;"-"&amp;COUNTIF($B$2:B677,B677)</f>
        <v>CEARA-57</v>
      </c>
      <c r="B677" s="5" t="s">
        <v>558</v>
      </c>
      <c r="C677" s="5" t="s">
        <v>598</v>
      </c>
      <c r="D677" s="6">
        <v>-395654</v>
      </c>
      <c r="E677" s="6">
        <v>-69219</v>
      </c>
      <c r="F677" s="7">
        <v>5.8330000000000002</v>
      </c>
      <c r="G677" s="7">
        <v>5.7320000000000002</v>
      </c>
      <c r="H677" s="7">
        <v>5.7519999999999998</v>
      </c>
      <c r="I677" s="7">
        <v>5.8040000000000003</v>
      </c>
      <c r="J677" s="7">
        <v>5.468</v>
      </c>
      <c r="K677" s="7">
        <v>5.194</v>
      </c>
      <c r="L677" s="7">
        <v>5.0739999999999998</v>
      </c>
      <c r="M677" s="7">
        <v>5.3710000000000004</v>
      </c>
      <c r="N677" s="7">
        <v>6.1139999999999999</v>
      </c>
      <c r="O677" s="7">
        <v>6.5259999999999998</v>
      </c>
      <c r="P677" s="7">
        <v>6.4749999999999996</v>
      </c>
      <c r="Q677" s="7">
        <v>6.4550000000000001</v>
      </c>
      <c r="R677" s="7">
        <v>6.0270000000000001</v>
      </c>
      <c r="S677" s="7">
        <f t="shared" si="10"/>
        <v>5.8326666666666656</v>
      </c>
    </row>
    <row r="678" spans="1:19">
      <c r="A678" s="5" t="str">
        <f>B678&amp;"-"&amp;COUNTIF($B$2:B678,B678)</f>
        <v>CEARA-58</v>
      </c>
      <c r="B678" s="5" t="s">
        <v>558</v>
      </c>
      <c r="C678" s="5" t="s">
        <v>599</v>
      </c>
      <c r="D678" s="6">
        <v>-402637</v>
      </c>
      <c r="E678" s="6">
        <v>-37998</v>
      </c>
      <c r="F678" s="7">
        <v>5.5330000000000004</v>
      </c>
      <c r="G678" s="7">
        <v>5.2</v>
      </c>
      <c r="H678" s="7">
        <v>5.31</v>
      </c>
      <c r="I678" s="7">
        <v>5.25</v>
      </c>
      <c r="J678" s="7">
        <v>4.8689999999999998</v>
      </c>
      <c r="K678" s="7">
        <v>5.0229999999999997</v>
      </c>
      <c r="L678" s="7">
        <v>4.9269999999999996</v>
      </c>
      <c r="M678" s="7">
        <v>5.2370000000000001</v>
      </c>
      <c r="N678" s="7">
        <v>6.0060000000000002</v>
      </c>
      <c r="O678" s="7">
        <v>6.4880000000000004</v>
      </c>
      <c r="P678" s="7">
        <v>6.3840000000000003</v>
      </c>
      <c r="Q678" s="7">
        <v>6.173</v>
      </c>
      <c r="R678" s="7">
        <v>5.5259999999999998</v>
      </c>
      <c r="S678" s="7">
        <f t="shared" si="10"/>
        <v>5.5327500000000001</v>
      </c>
    </row>
    <row r="679" spans="1:19">
      <c r="A679" s="5" t="str">
        <f>B679&amp;"-"&amp;COUNTIF($B$2:B679,B679)</f>
        <v>CEARA-59</v>
      </c>
      <c r="B679" s="5" t="s">
        <v>558</v>
      </c>
      <c r="C679" s="5" t="s">
        <v>600</v>
      </c>
      <c r="D679" s="6">
        <v>-385429</v>
      </c>
      <c r="E679" s="6">
        <v>-37174</v>
      </c>
      <c r="F679" s="7">
        <v>5.7759999999999998</v>
      </c>
      <c r="G679" s="7">
        <v>5.8710000000000004</v>
      </c>
      <c r="H679" s="7">
        <v>5.8070000000000004</v>
      </c>
      <c r="I679" s="7">
        <v>5.6520000000000001</v>
      </c>
      <c r="J679" s="7">
        <v>4.91</v>
      </c>
      <c r="K679" s="7">
        <v>5.2910000000000004</v>
      </c>
      <c r="L679" s="7">
        <v>5.3</v>
      </c>
      <c r="M679" s="7">
        <v>5.5250000000000004</v>
      </c>
      <c r="N679" s="7">
        <v>5.9329999999999998</v>
      </c>
      <c r="O679" s="7">
        <v>6.0890000000000004</v>
      </c>
      <c r="P679" s="7">
        <v>6.3440000000000003</v>
      </c>
      <c r="Q679" s="7">
        <v>6.4340000000000002</v>
      </c>
      <c r="R679" s="7">
        <v>6.1550000000000002</v>
      </c>
      <c r="S679" s="7">
        <f t="shared" si="10"/>
        <v>5.7759166666666664</v>
      </c>
    </row>
    <row r="680" spans="1:19">
      <c r="A680" s="5" t="str">
        <f>B680&amp;"-"&amp;COUNTIF($B$2:B680,B680)</f>
        <v>CEARA-60</v>
      </c>
      <c r="B680" s="5" t="s">
        <v>558</v>
      </c>
      <c r="C680" s="5" t="s">
        <v>601</v>
      </c>
      <c r="D680" s="6">
        <v>-377984</v>
      </c>
      <c r="E680" s="6">
        <v>-44517</v>
      </c>
      <c r="F680" s="7">
        <v>5.6660000000000004</v>
      </c>
      <c r="G680" s="7">
        <v>5.8659999999999997</v>
      </c>
      <c r="H680" s="7">
        <v>5.9560000000000004</v>
      </c>
      <c r="I680" s="7">
        <v>5.8330000000000002</v>
      </c>
      <c r="J680" s="7">
        <v>5.3230000000000004</v>
      </c>
      <c r="K680" s="7">
        <v>5.3109999999999999</v>
      </c>
      <c r="L680" s="7">
        <v>5.0609999999999999</v>
      </c>
      <c r="M680" s="7">
        <v>5.1870000000000003</v>
      </c>
      <c r="N680" s="7">
        <v>5.6829999999999998</v>
      </c>
      <c r="O680" s="7">
        <v>5.8049999999999997</v>
      </c>
      <c r="P680" s="7">
        <v>5.9770000000000003</v>
      </c>
      <c r="Q680" s="7">
        <v>6.0679999999999996</v>
      </c>
      <c r="R680" s="7">
        <v>5.92</v>
      </c>
      <c r="S680" s="7">
        <f t="shared" si="10"/>
        <v>5.6658333333333326</v>
      </c>
    </row>
    <row r="681" spans="1:19">
      <c r="A681" s="5" t="str">
        <f>B681&amp;"-"&amp;COUNTIF($B$2:B681,B681)</f>
        <v>CEARA-61</v>
      </c>
      <c r="B681" s="5" t="s">
        <v>558</v>
      </c>
      <c r="C681" s="5" t="s">
        <v>602</v>
      </c>
      <c r="D681" s="6">
        <v>-408333</v>
      </c>
      <c r="E681" s="6">
        <v>-37682</v>
      </c>
      <c r="F681" s="7">
        <v>5.383</v>
      </c>
      <c r="G681" s="7">
        <v>4.859</v>
      </c>
      <c r="H681" s="7">
        <v>5.0970000000000004</v>
      </c>
      <c r="I681" s="7">
        <v>5.0410000000000004</v>
      </c>
      <c r="J681" s="7">
        <v>4.7130000000000001</v>
      </c>
      <c r="K681" s="7">
        <v>4.8150000000000004</v>
      </c>
      <c r="L681" s="7">
        <v>4.9240000000000004</v>
      </c>
      <c r="M681" s="7">
        <v>5.2549999999999999</v>
      </c>
      <c r="N681" s="7">
        <v>5.9429999999999996</v>
      </c>
      <c r="O681" s="7">
        <v>6.36</v>
      </c>
      <c r="P681" s="7">
        <v>6.2649999999999997</v>
      </c>
      <c r="Q681" s="7">
        <v>6.03</v>
      </c>
      <c r="R681" s="7">
        <v>5.2910000000000004</v>
      </c>
      <c r="S681" s="7">
        <f t="shared" si="10"/>
        <v>5.3827500000000006</v>
      </c>
    </row>
    <row r="682" spans="1:19">
      <c r="A682" s="5" t="str">
        <f>B682&amp;"-"&amp;COUNTIF($B$2:B682,B682)</f>
        <v>CEARA-62</v>
      </c>
      <c r="B682" s="5" t="s">
        <v>558</v>
      </c>
      <c r="C682" s="5" t="s">
        <v>603</v>
      </c>
      <c r="D682" s="6">
        <v>-394543</v>
      </c>
      <c r="E682" s="6">
        <v>-40439</v>
      </c>
      <c r="F682" s="7">
        <v>5.5419999999999998</v>
      </c>
      <c r="G682" s="7">
        <v>5.0979999999999999</v>
      </c>
      <c r="H682" s="7">
        <v>5.32</v>
      </c>
      <c r="I682" s="7">
        <v>5.2430000000000003</v>
      </c>
      <c r="J682" s="7">
        <v>4.923</v>
      </c>
      <c r="K682" s="7">
        <v>5.1340000000000003</v>
      </c>
      <c r="L682" s="7">
        <v>4.976</v>
      </c>
      <c r="M682" s="7">
        <v>5.2930000000000001</v>
      </c>
      <c r="N682" s="7">
        <v>6.0460000000000003</v>
      </c>
      <c r="O682" s="7">
        <v>6.5</v>
      </c>
      <c r="P682" s="7">
        <v>6.351</v>
      </c>
      <c r="Q682" s="7">
        <v>6.1130000000000004</v>
      </c>
      <c r="R682" s="7">
        <v>5.5039999999999996</v>
      </c>
      <c r="S682" s="7">
        <f t="shared" si="10"/>
        <v>5.5417500000000004</v>
      </c>
    </row>
    <row r="683" spans="1:19">
      <c r="A683" s="5" t="str">
        <f>B683&amp;"-"&amp;COUNTIF($B$2:B683,B683)</f>
        <v>CEARA-63</v>
      </c>
      <c r="B683" s="5" t="s">
        <v>558</v>
      </c>
      <c r="C683" s="5" t="s">
        <v>4622</v>
      </c>
      <c r="D683" s="6">
        <v>-407494</v>
      </c>
      <c r="E683" s="6">
        <v>-40446</v>
      </c>
      <c r="F683" s="7">
        <v>5.4080000000000004</v>
      </c>
      <c r="G683" s="7">
        <v>4.9710000000000001</v>
      </c>
      <c r="H683" s="7">
        <v>5.157</v>
      </c>
      <c r="I683" s="7">
        <v>5.1260000000000003</v>
      </c>
      <c r="J683" s="7">
        <v>4.7859999999999996</v>
      </c>
      <c r="K683" s="7">
        <v>4.8739999999999997</v>
      </c>
      <c r="L683" s="7">
        <v>4.915</v>
      </c>
      <c r="M683" s="7">
        <v>5.2169999999999996</v>
      </c>
      <c r="N683" s="7">
        <v>5.9329999999999998</v>
      </c>
      <c r="O683" s="7">
        <v>6.3929999999999998</v>
      </c>
      <c r="P683" s="7">
        <v>6.2720000000000002</v>
      </c>
      <c r="Q683" s="7">
        <v>5.9710000000000001</v>
      </c>
      <c r="R683" s="7">
        <v>5.2869999999999999</v>
      </c>
      <c r="S683" s="7">
        <f t="shared" si="10"/>
        <v>5.4085000000000001</v>
      </c>
    </row>
    <row r="684" spans="1:19">
      <c r="A684" s="5" t="str">
        <f>B684&amp;"-"&amp;COUNTIF($B$2:B684,B684)</f>
        <v>CEARA-64</v>
      </c>
      <c r="B684" s="5" t="s">
        <v>558</v>
      </c>
      <c r="C684" s="5" t="s">
        <v>604</v>
      </c>
      <c r="D684" s="6">
        <v>-40827</v>
      </c>
      <c r="E684" s="6">
        <v>-31231</v>
      </c>
      <c r="F684" s="7">
        <v>5.4550000000000001</v>
      </c>
      <c r="G684" s="7">
        <v>5.0439999999999996</v>
      </c>
      <c r="H684" s="7">
        <v>4.9859999999999998</v>
      </c>
      <c r="I684" s="7">
        <v>4.9210000000000003</v>
      </c>
      <c r="J684" s="7">
        <v>4.7569999999999997</v>
      </c>
      <c r="K684" s="7">
        <v>5.08</v>
      </c>
      <c r="L684" s="7">
        <v>5.1669999999999998</v>
      </c>
      <c r="M684" s="7">
        <v>5.3</v>
      </c>
      <c r="N684" s="7">
        <v>5.9480000000000004</v>
      </c>
      <c r="O684" s="7">
        <v>6.4340000000000002</v>
      </c>
      <c r="P684" s="7">
        <v>6.4160000000000004</v>
      </c>
      <c r="Q684" s="7">
        <v>6.0540000000000003</v>
      </c>
      <c r="R684" s="7">
        <v>5.3540000000000001</v>
      </c>
      <c r="S684" s="7">
        <f t="shared" si="10"/>
        <v>5.4550833333333335</v>
      </c>
    </row>
    <row r="685" spans="1:19">
      <c r="A685" s="5" t="str">
        <f>B685&amp;"-"&amp;COUNTIF($B$2:B685,B685)</f>
        <v>CEARA-65</v>
      </c>
      <c r="B685" s="5" t="s">
        <v>558</v>
      </c>
      <c r="C685" s="5" t="s">
        <v>605</v>
      </c>
      <c r="D685" s="6">
        <v>-392182</v>
      </c>
      <c r="E685" s="6">
        <v>-68886</v>
      </c>
      <c r="F685" s="7">
        <v>5.8849999999999998</v>
      </c>
      <c r="G685" s="7">
        <v>5.8689999999999998</v>
      </c>
      <c r="H685" s="7">
        <v>5.86</v>
      </c>
      <c r="I685" s="7">
        <v>5.82</v>
      </c>
      <c r="J685" s="7">
        <v>5.5010000000000003</v>
      </c>
      <c r="K685" s="7">
        <v>5.1840000000000002</v>
      </c>
      <c r="L685" s="7">
        <v>5.1130000000000004</v>
      </c>
      <c r="M685" s="7">
        <v>5.3769999999999998</v>
      </c>
      <c r="N685" s="7">
        <v>6.0990000000000002</v>
      </c>
      <c r="O685" s="7">
        <v>6.5339999999999998</v>
      </c>
      <c r="P685" s="7">
        <v>6.5540000000000003</v>
      </c>
      <c r="Q685" s="7">
        <v>6.5679999999999996</v>
      </c>
      <c r="R685" s="7">
        <v>6.1440000000000001</v>
      </c>
      <c r="S685" s="7">
        <f t="shared" si="10"/>
        <v>5.8852500000000019</v>
      </c>
    </row>
    <row r="686" spans="1:19">
      <c r="A686" s="5" t="str">
        <f>B686&amp;"-"&amp;COUNTIF($B$2:B686,B686)</f>
        <v>CEARA-66</v>
      </c>
      <c r="B686" s="5" t="s">
        <v>558</v>
      </c>
      <c r="C686" s="5" t="s">
        <v>606</v>
      </c>
      <c r="D686" s="6">
        <v>-403856</v>
      </c>
      <c r="E686" s="6">
        <v>-39183</v>
      </c>
      <c r="F686" s="7">
        <v>5.53</v>
      </c>
      <c r="G686" s="7">
        <v>5.1509999999999998</v>
      </c>
      <c r="H686" s="7">
        <v>5.3310000000000004</v>
      </c>
      <c r="I686" s="7">
        <v>5.2610000000000001</v>
      </c>
      <c r="J686" s="7">
        <v>4.8920000000000003</v>
      </c>
      <c r="K686" s="7">
        <v>4.9710000000000001</v>
      </c>
      <c r="L686" s="7">
        <v>5.008</v>
      </c>
      <c r="M686" s="7">
        <v>5.2549999999999999</v>
      </c>
      <c r="N686" s="7">
        <v>5.9909999999999997</v>
      </c>
      <c r="O686" s="7">
        <v>6.4809999999999999</v>
      </c>
      <c r="P686" s="7">
        <v>6.3760000000000003</v>
      </c>
      <c r="Q686" s="7">
        <v>6.1470000000000002</v>
      </c>
      <c r="R686" s="7">
        <v>5.5019999999999998</v>
      </c>
      <c r="S686" s="7">
        <f t="shared" si="10"/>
        <v>5.5305</v>
      </c>
    </row>
    <row r="687" spans="1:19">
      <c r="A687" s="5" t="str">
        <f>B687&amp;"-"&amp;COUNTIF($B$2:B687,B687)</f>
        <v>CEARA-67</v>
      </c>
      <c r="B687" s="5" t="s">
        <v>558</v>
      </c>
      <c r="C687" s="5" t="s">
        <v>4822</v>
      </c>
      <c r="D687" s="6">
        <v>-386407</v>
      </c>
      <c r="E687" s="6">
        <v>-4041</v>
      </c>
      <c r="F687" s="7">
        <v>5.4329999999999998</v>
      </c>
      <c r="G687" s="7">
        <v>5.3140000000000001</v>
      </c>
      <c r="H687" s="7">
        <v>5.3259999999999996</v>
      </c>
      <c r="I687" s="7">
        <v>5.165</v>
      </c>
      <c r="J687" s="7">
        <v>4.6050000000000004</v>
      </c>
      <c r="K687" s="7">
        <v>4.9249999999999998</v>
      </c>
      <c r="L687" s="7">
        <v>4.915</v>
      </c>
      <c r="M687" s="7">
        <v>5.3019999999999996</v>
      </c>
      <c r="N687" s="7">
        <v>5.9720000000000004</v>
      </c>
      <c r="O687" s="7">
        <v>6.1520000000000001</v>
      </c>
      <c r="P687" s="7">
        <v>6.0339999999999998</v>
      </c>
      <c r="Q687" s="7">
        <v>6.0149999999999997</v>
      </c>
      <c r="R687" s="7">
        <v>5.4740000000000002</v>
      </c>
      <c r="S687" s="7">
        <f t="shared" si="10"/>
        <v>5.4332500000000001</v>
      </c>
    </row>
    <row r="688" spans="1:19">
      <c r="A688" s="5" t="str">
        <f>B688&amp;"-"&amp;COUNTIF($B$2:B688,B688)</f>
        <v>CEARA-68</v>
      </c>
      <c r="B688" s="5" t="s">
        <v>558</v>
      </c>
      <c r="C688" s="5" t="s">
        <v>607</v>
      </c>
      <c r="D688" s="6">
        <v>-407479</v>
      </c>
      <c r="E688" s="6">
        <v>-41585</v>
      </c>
      <c r="F688" s="7">
        <v>5.4909999999999997</v>
      </c>
      <c r="G688" s="7">
        <v>5.1150000000000002</v>
      </c>
      <c r="H688" s="7">
        <v>5.2009999999999996</v>
      </c>
      <c r="I688" s="7">
        <v>5.1890000000000001</v>
      </c>
      <c r="J688" s="7">
        <v>4.7750000000000004</v>
      </c>
      <c r="K688" s="7">
        <v>4.798</v>
      </c>
      <c r="L688" s="7">
        <v>4.9219999999999997</v>
      </c>
      <c r="M688" s="7">
        <v>5.2919999999999998</v>
      </c>
      <c r="N688" s="7">
        <v>6.0830000000000002</v>
      </c>
      <c r="O688" s="7">
        <v>6.516</v>
      </c>
      <c r="P688" s="7">
        <v>6.4089999999999998</v>
      </c>
      <c r="Q688" s="7">
        <v>6.1420000000000003</v>
      </c>
      <c r="R688" s="7">
        <v>5.4480000000000004</v>
      </c>
      <c r="S688" s="7">
        <f t="shared" si="10"/>
        <v>5.4908333333333337</v>
      </c>
    </row>
    <row r="689" spans="1:19">
      <c r="A689" s="5" t="str">
        <f>B689&amp;"-"&amp;COUNTIF($B$2:B689,B689)</f>
        <v>CEARA-69</v>
      </c>
      <c r="B689" s="5" t="s">
        <v>558</v>
      </c>
      <c r="C689" s="5" t="s">
        <v>608</v>
      </c>
      <c r="D689" s="6">
        <v>-389324</v>
      </c>
      <c r="E689" s="6">
        <v>-42629</v>
      </c>
      <c r="F689" s="7">
        <v>5.4379999999999997</v>
      </c>
      <c r="G689" s="7">
        <v>5.2320000000000002</v>
      </c>
      <c r="H689" s="7">
        <v>5.1539999999999999</v>
      </c>
      <c r="I689" s="7">
        <v>5.1120000000000001</v>
      </c>
      <c r="J689" s="7">
        <v>4.5940000000000003</v>
      </c>
      <c r="K689" s="7">
        <v>4.8449999999999998</v>
      </c>
      <c r="L689" s="7">
        <v>4.7169999999999996</v>
      </c>
      <c r="M689" s="7">
        <v>5.2539999999999996</v>
      </c>
      <c r="N689" s="7">
        <v>6.09</v>
      </c>
      <c r="O689" s="7">
        <v>6.4080000000000004</v>
      </c>
      <c r="P689" s="7">
        <v>6.2610000000000001</v>
      </c>
      <c r="Q689" s="7">
        <v>6.117</v>
      </c>
      <c r="R689" s="7">
        <v>5.4790000000000001</v>
      </c>
      <c r="S689" s="7">
        <f t="shared" si="10"/>
        <v>5.4385833333333329</v>
      </c>
    </row>
    <row r="690" spans="1:19">
      <c r="A690" s="5" t="str">
        <f>B690&amp;"-"&amp;COUNTIF($B$2:B690,B690)</f>
        <v>CEARA-70</v>
      </c>
      <c r="B690" s="5" t="s">
        <v>558</v>
      </c>
      <c r="C690" s="5" t="s">
        <v>4909</v>
      </c>
      <c r="D690" s="6">
        <v>-404059</v>
      </c>
      <c r="E690" s="5" t="s">
        <v>609</v>
      </c>
      <c r="F690" s="7">
        <v>5.6159999999999997</v>
      </c>
      <c r="G690" s="7">
        <v>5.27</v>
      </c>
      <c r="H690" s="7">
        <v>5.3849999999999998</v>
      </c>
      <c r="I690" s="7">
        <v>5.4950000000000001</v>
      </c>
      <c r="J690" s="7">
        <v>5.0650000000000004</v>
      </c>
      <c r="K690" s="7">
        <v>5.1210000000000004</v>
      </c>
      <c r="L690" s="7">
        <v>4.9850000000000003</v>
      </c>
      <c r="M690" s="7">
        <v>5.2229999999999999</v>
      </c>
      <c r="N690" s="7">
        <v>6.0039999999999996</v>
      </c>
      <c r="O690" s="7">
        <v>6.5460000000000003</v>
      </c>
      <c r="P690" s="7">
        <v>6.4560000000000004</v>
      </c>
      <c r="Q690" s="7">
        <v>6.25</v>
      </c>
      <c r="R690" s="7">
        <v>5.593</v>
      </c>
      <c r="S690" s="7">
        <f t="shared" si="10"/>
        <v>5.6160833333333331</v>
      </c>
    </row>
    <row r="691" spans="1:19">
      <c r="A691" s="5" t="str">
        <f>B691&amp;"-"&amp;COUNTIF($B$2:B691,B691)</f>
        <v>CEARA-71</v>
      </c>
      <c r="B691" s="5" t="s">
        <v>558</v>
      </c>
      <c r="C691" s="5" t="s">
        <v>610</v>
      </c>
      <c r="D691" s="6">
        <v>-384886</v>
      </c>
      <c r="E691" s="6">
        <v>-41109</v>
      </c>
      <c r="F691" s="7">
        <v>5.7190000000000003</v>
      </c>
      <c r="G691" s="7">
        <v>5.7370000000000001</v>
      </c>
      <c r="H691" s="7">
        <v>5.7190000000000003</v>
      </c>
      <c r="I691" s="7">
        <v>5.5259999999999998</v>
      </c>
      <c r="J691" s="7">
        <v>4.907</v>
      </c>
      <c r="K691" s="7">
        <v>5.1950000000000003</v>
      </c>
      <c r="L691" s="7">
        <v>5.1520000000000001</v>
      </c>
      <c r="M691" s="7">
        <v>5.4509999999999996</v>
      </c>
      <c r="N691" s="7">
        <v>6.0620000000000003</v>
      </c>
      <c r="O691" s="7">
        <v>6.2069999999999999</v>
      </c>
      <c r="P691" s="7">
        <v>6.3780000000000001</v>
      </c>
      <c r="Q691" s="7">
        <v>6.3710000000000004</v>
      </c>
      <c r="R691" s="7">
        <v>5.92</v>
      </c>
      <c r="S691" s="7">
        <f t="shared" si="10"/>
        <v>5.71875</v>
      </c>
    </row>
    <row r="692" spans="1:19">
      <c r="A692" s="5" t="str">
        <f>B692&amp;"-"&amp;COUNTIF($B$2:B692,B692)</f>
        <v>CEARA-72</v>
      </c>
      <c r="B692" s="5" t="s">
        <v>558</v>
      </c>
      <c r="C692" s="5" t="s">
        <v>611</v>
      </c>
      <c r="D692" s="6">
        <v>-388243</v>
      </c>
      <c r="E692" s="6">
        <v>-48209</v>
      </c>
      <c r="F692" s="7">
        <v>5.7039999999999997</v>
      </c>
      <c r="G692" s="7">
        <v>5.5229999999999997</v>
      </c>
      <c r="H692" s="7">
        <v>5.5730000000000004</v>
      </c>
      <c r="I692" s="7">
        <v>5.6609999999999996</v>
      </c>
      <c r="J692" s="7">
        <v>5.1230000000000002</v>
      </c>
      <c r="K692" s="7">
        <v>5.2409999999999997</v>
      </c>
      <c r="L692" s="7">
        <v>4.9660000000000002</v>
      </c>
      <c r="M692" s="7">
        <v>5.34</v>
      </c>
      <c r="N692" s="7">
        <v>6.1319999999999997</v>
      </c>
      <c r="O692" s="7">
        <v>6.4989999999999997</v>
      </c>
      <c r="P692" s="7">
        <v>6.49</v>
      </c>
      <c r="Q692" s="7">
        <v>6.2240000000000002</v>
      </c>
      <c r="R692" s="7">
        <v>5.6779999999999999</v>
      </c>
      <c r="S692" s="7">
        <f t="shared" si="10"/>
        <v>5.7041666666666657</v>
      </c>
    </row>
    <row r="693" spans="1:19">
      <c r="A693" s="5" t="str">
        <f>B693&amp;"-"&amp;COUNTIF($B$2:B693,B693)</f>
        <v>CEARA-73</v>
      </c>
      <c r="B693" s="5" t="s">
        <v>558</v>
      </c>
      <c r="C693" s="5" t="s">
        <v>612</v>
      </c>
      <c r="D693" s="6">
        <v>-408915</v>
      </c>
      <c r="E693" s="6">
        <v>-39244</v>
      </c>
      <c r="F693" s="7">
        <v>5.3239999999999998</v>
      </c>
      <c r="G693" s="7">
        <v>4.8419999999999996</v>
      </c>
      <c r="H693" s="7">
        <v>4.9669999999999996</v>
      </c>
      <c r="I693" s="7">
        <v>4.9279999999999999</v>
      </c>
      <c r="J693" s="7">
        <v>4.5389999999999997</v>
      </c>
      <c r="K693" s="7">
        <v>4.7</v>
      </c>
      <c r="L693" s="7">
        <v>4.806</v>
      </c>
      <c r="M693" s="7">
        <v>5.1980000000000004</v>
      </c>
      <c r="N693" s="7">
        <v>5.952</v>
      </c>
      <c r="O693" s="7">
        <v>6.383</v>
      </c>
      <c r="P693" s="7">
        <v>6.2560000000000002</v>
      </c>
      <c r="Q693" s="7">
        <v>6.0279999999999996</v>
      </c>
      <c r="R693" s="7">
        <v>5.2859999999999996</v>
      </c>
      <c r="S693" s="7">
        <f t="shared" si="10"/>
        <v>5.3237499999999995</v>
      </c>
    </row>
    <row r="694" spans="1:19">
      <c r="A694" s="5" t="str">
        <f>B694&amp;"-"&amp;COUNTIF($B$2:B694,B694)</f>
        <v>CEARA-74</v>
      </c>
      <c r="B694" s="5" t="s">
        <v>558</v>
      </c>
      <c r="C694" s="5" t="s">
        <v>613</v>
      </c>
      <c r="D694" s="6">
        <v>-386366</v>
      </c>
      <c r="E694" s="6">
        <v>-49704</v>
      </c>
      <c r="F694" s="7">
        <v>5.7750000000000004</v>
      </c>
      <c r="G694" s="7">
        <v>5.6349999999999998</v>
      </c>
      <c r="H694" s="7">
        <v>5.7110000000000003</v>
      </c>
      <c r="I694" s="7">
        <v>5.7679999999999998</v>
      </c>
      <c r="J694" s="7">
        <v>5.2839999999999998</v>
      </c>
      <c r="K694" s="7">
        <v>5.2030000000000003</v>
      </c>
      <c r="L694" s="7">
        <v>5.0449999999999999</v>
      </c>
      <c r="M694" s="7">
        <v>5.4160000000000004</v>
      </c>
      <c r="N694" s="7">
        <v>6.0970000000000004</v>
      </c>
      <c r="O694" s="7">
        <v>6.4729999999999999</v>
      </c>
      <c r="P694" s="7">
        <v>6.5380000000000003</v>
      </c>
      <c r="Q694" s="7">
        <v>6.31</v>
      </c>
      <c r="R694" s="7">
        <v>5.8250000000000002</v>
      </c>
      <c r="S694" s="7">
        <f t="shared" si="10"/>
        <v>5.7754166666666675</v>
      </c>
    </row>
    <row r="695" spans="1:19">
      <c r="A695" s="5" t="str">
        <f>B695&amp;"-"&amp;COUNTIF($B$2:B695,B695)</f>
        <v>CEARA-75</v>
      </c>
      <c r="B695" s="5" t="s">
        <v>558</v>
      </c>
      <c r="C695" s="5" t="s">
        <v>5066</v>
      </c>
      <c r="D695" s="6">
        <v>-388557</v>
      </c>
      <c r="E695" s="6">
        <v>-63967</v>
      </c>
      <c r="F695" s="7">
        <v>5.9180000000000001</v>
      </c>
      <c r="G695" s="7">
        <v>5.8780000000000001</v>
      </c>
      <c r="H695" s="7">
        <v>5.9089999999999998</v>
      </c>
      <c r="I695" s="7">
        <v>5.9649999999999999</v>
      </c>
      <c r="J695" s="7">
        <v>5.6849999999999996</v>
      </c>
      <c r="K695" s="7">
        <v>5.2320000000000002</v>
      </c>
      <c r="L695" s="7">
        <v>5.0750000000000002</v>
      </c>
      <c r="M695" s="7">
        <v>5.3769999999999998</v>
      </c>
      <c r="N695" s="7">
        <v>6.133</v>
      </c>
      <c r="O695" s="7">
        <v>6.43</v>
      </c>
      <c r="P695" s="7">
        <v>6.6070000000000002</v>
      </c>
      <c r="Q695" s="7">
        <v>6.62</v>
      </c>
      <c r="R695" s="7">
        <v>6.1130000000000004</v>
      </c>
      <c r="S695" s="7">
        <f t="shared" si="10"/>
        <v>5.9186666666666667</v>
      </c>
    </row>
    <row r="696" spans="1:19">
      <c r="A696" s="5" t="str">
        <f>B696&amp;"-"&amp;COUNTIF($B$2:B696,B696)</f>
        <v>CEARA-76</v>
      </c>
      <c r="B696" s="5" t="s">
        <v>558</v>
      </c>
      <c r="C696" s="5" t="s">
        <v>614</v>
      </c>
      <c r="D696" s="6">
        <v>-373534</v>
      </c>
      <c r="E696" s="6">
        <v>-47125</v>
      </c>
      <c r="F696" s="7">
        <v>5.9809999999999999</v>
      </c>
      <c r="G696" s="7">
        <v>6.298</v>
      </c>
      <c r="H696" s="7">
        <v>6.3220000000000001</v>
      </c>
      <c r="I696" s="7">
        <v>6.1920000000000002</v>
      </c>
      <c r="J696" s="7">
        <v>5.7229999999999999</v>
      </c>
      <c r="K696" s="7">
        <v>5.5460000000000003</v>
      </c>
      <c r="L696" s="7">
        <v>5.335</v>
      </c>
      <c r="M696" s="7">
        <v>5.5179999999999998</v>
      </c>
      <c r="N696" s="7">
        <v>6.0940000000000003</v>
      </c>
      <c r="O696" s="7">
        <v>5.9790000000000001</v>
      </c>
      <c r="P696" s="7">
        <v>6.0739999999999998</v>
      </c>
      <c r="Q696" s="7">
        <v>6.28</v>
      </c>
      <c r="R696" s="7">
        <v>6.4119999999999999</v>
      </c>
      <c r="S696" s="7">
        <f t="shared" si="10"/>
        <v>5.9810833333333333</v>
      </c>
    </row>
    <row r="697" spans="1:19">
      <c r="A697" s="5" t="str">
        <f>B697&amp;"-"&amp;COUNTIF($B$2:B697,B697)</f>
        <v>CEARA-77</v>
      </c>
      <c r="B697" s="5" t="s">
        <v>558</v>
      </c>
      <c r="C697" s="5" t="s">
        <v>615</v>
      </c>
      <c r="D697" s="6">
        <v>-392895</v>
      </c>
      <c r="E697" s="6">
        <v>-63632</v>
      </c>
      <c r="F697" s="7">
        <v>5.851</v>
      </c>
      <c r="G697" s="7">
        <v>5.7309999999999999</v>
      </c>
      <c r="H697" s="7">
        <v>5.8029999999999999</v>
      </c>
      <c r="I697" s="7">
        <v>5.85</v>
      </c>
      <c r="J697" s="7">
        <v>5.5129999999999999</v>
      </c>
      <c r="K697" s="7">
        <v>5.2409999999999997</v>
      </c>
      <c r="L697" s="7">
        <v>5.1159999999999997</v>
      </c>
      <c r="M697" s="7">
        <v>5.4039999999999999</v>
      </c>
      <c r="N697" s="7">
        <v>6.1210000000000004</v>
      </c>
      <c r="O697" s="7">
        <v>6.4249999999999998</v>
      </c>
      <c r="P697" s="7">
        <v>6.4340000000000002</v>
      </c>
      <c r="Q697" s="7">
        <v>6.5220000000000002</v>
      </c>
      <c r="R697" s="7">
        <v>6.0590000000000002</v>
      </c>
      <c r="S697" s="7">
        <f t="shared" si="10"/>
        <v>5.8515833333333331</v>
      </c>
    </row>
    <row r="698" spans="1:19">
      <c r="A698" s="5" t="str">
        <f>B698&amp;"-"&amp;COUNTIF($B$2:B698,B698)</f>
        <v>CEARA-78</v>
      </c>
      <c r="B698" s="5" t="s">
        <v>558</v>
      </c>
      <c r="C698" s="5" t="s">
        <v>5284</v>
      </c>
      <c r="D698" s="6">
        <v>-403089</v>
      </c>
      <c r="E698" s="6">
        <v>-53883</v>
      </c>
      <c r="F698" s="7">
        <v>5.6719999999999997</v>
      </c>
      <c r="G698" s="7">
        <v>5.3380000000000001</v>
      </c>
      <c r="H698" s="7">
        <v>5.3860000000000001</v>
      </c>
      <c r="I698" s="7">
        <v>5.48</v>
      </c>
      <c r="J698" s="7">
        <v>5.1070000000000002</v>
      </c>
      <c r="K698" s="7">
        <v>5.0419999999999998</v>
      </c>
      <c r="L698" s="7">
        <v>5.0579999999999998</v>
      </c>
      <c r="M698" s="7">
        <v>5.39</v>
      </c>
      <c r="N698" s="7">
        <v>6.1280000000000001</v>
      </c>
      <c r="O698" s="7">
        <v>6.5670000000000002</v>
      </c>
      <c r="P698" s="7">
        <v>6.4969999999999999</v>
      </c>
      <c r="Q698" s="7">
        <v>6.3019999999999996</v>
      </c>
      <c r="R698" s="7">
        <v>5.7640000000000002</v>
      </c>
      <c r="S698" s="7">
        <f t="shared" si="10"/>
        <v>5.6715833333333334</v>
      </c>
    </row>
    <row r="699" spans="1:19">
      <c r="A699" s="5" t="str">
        <f>B699&amp;"-"&amp;COUNTIF($B$2:B699,B699)</f>
        <v>CEARA-79</v>
      </c>
      <c r="B699" s="5" t="s">
        <v>558</v>
      </c>
      <c r="C699" s="5" t="s">
        <v>616</v>
      </c>
      <c r="D699" s="6">
        <v>-40754</v>
      </c>
      <c r="E699" s="6">
        <v>-4898</v>
      </c>
      <c r="F699" s="7">
        <v>5.5330000000000004</v>
      </c>
      <c r="G699" s="7">
        <v>5.04</v>
      </c>
      <c r="H699" s="7">
        <v>5.258</v>
      </c>
      <c r="I699" s="7">
        <v>5.3810000000000002</v>
      </c>
      <c r="J699" s="7">
        <v>4.9009999999999998</v>
      </c>
      <c r="K699" s="7">
        <v>4.9240000000000004</v>
      </c>
      <c r="L699" s="7">
        <v>4.835</v>
      </c>
      <c r="M699" s="7">
        <v>5.29</v>
      </c>
      <c r="N699" s="7">
        <v>5.9880000000000004</v>
      </c>
      <c r="O699" s="7">
        <v>6.52</v>
      </c>
      <c r="P699" s="7">
        <v>6.45</v>
      </c>
      <c r="Q699" s="7">
        <v>6.266</v>
      </c>
      <c r="R699" s="7">
        <v>5.5460000000000003</v>
      </c>
      <c r="S699" s="7">
        <f t="shared" si="10"/>
        <v>5.5332499999999998</v>
      </c>
    </row>
    <row r="700" spans="1:19">
      <c r="A700" s="5" t="str">
        <f>B700&amp;"-"&amp;COUNTIF($B$2:B700,B700)</f>
        <v>CEARA-80</v>
      </c>
      <c r="B700" s="5" t="s">
        <v>558</v>
      </c>
      <c r="C700" s="5" t="s">
        <v>617</v>
      </c>
      <c r="D700" s="6">
        <v>-387182</v>
      </c>
      <c r="E700" s="6">
        <v>-67831</v>
      </c>
      <c r="F700" s="7">
        <v>5.9649999999999999</v>
      </c>
      <c r="G700" s="7">
        <v>6.0419999999999998</v>
      </c>
      <c r="H700" s="7">
        <v>6.0590000000000002</v>
      </c>
      <c r="I700" s="7">
        <v>5.9950000000000001</v>
      </c>
      <c r="J700" s="7">
        <v>5.7149999999999999</v>
      </c>
      <c r="K700" s="7">
        <v>5.2530000000000001</v>
      </c>
      <c r="L700" s="7">
        <v>5.03</v>
      </c>
      <c r="M700" s="7">
        <v>5.3250000000000002</v>
      </c>
      <c r="N700" s="7">
        <v>6.0570000000000004</v>
      </c>
      <c r="O700" s="7">
        <v>6.5060000000000002</v>
      </c>
      <c r="P700" s="7">
        <v>6.5730000000000004</v>
      </c>
      <c r="Q700" s="7">
        <v>6.7089999999999996</v>
      </c>
      <c r="R700" s="7">
        <v>6.3209999999999997</v>
      </c>
      <c r="S700" s="7">
        <f t="shared" si="10"/>
        <v>5.965416666666667</v>
      </c>
    </row>
    <row r="701" spans="1:19">
      <c r="A701" s="5" t="str">
        <f>B701&amp;"-"&amp;COUNTIF($B$2:B701,B701)</f>
        <v>CEARA-81</v>
      </c>
      <c r="B701" s="5" t="s">
        <v>558</v>
      </c>
      <c r="C701" s="5" t="s">
        <v>618</v>
      </c>
      <c r="D701" s="6">
        <v>-407062</v>
      </c>
      <c r="E701" s="6">
        <v>-43179</v>
      </c>
      <c r="F701" s="7">
        <v>5.4930000000000003</v>
      </c>
      <c r="G701" s="7">
        <v>5.0860000000000003</v>
      </c>
      <c r="H701" s="7">
        <v>5.1680000000000001</v>
      </c>
      <c r="I701" s="7">
        <v>5.2169999999999996</v>
      </c>
      <c r="J701" s="7">
        <v>4.8120000000000003</v>
      </c>
      <c r="K701" s="7">
        <v>4.7939999999999996</v>
      </c>
      <c r="L701" s="7">
        <v>4.9000000000000004</v>
      </c>
      <c r="M701" s="7">
        <v>5.2919999999999998</v>
      </c>
      <c r="N701" s="7">
        <v>6.085</v>
      </c>
      <c r="O701" s="7">
        <v>6.5220000000000002</v>
      </c>
      <c r="P701" s="7">
        <v>6.3940000000000001</v>
      </c>
      <c r="Q701" s="7">
        <v>6.1749999999999998</v>
      </c>
      <c r="R701" s="7">
        <v>5.4729999999999999</v>
      </c>
      <c r="S701" s="7">
        <f t="shared" si="10"/>
        <v>5.4931666666666672</v>
      </c>
    </row>
    <row r="702" spans="1:19">
      <c r="A702" s="5" t="str">
        <f>B702&amp;"-"&amp;COUNTIF($B$2:B702,B702)</f>
        <v>CEARA-82</v>
      </c>
      <c r="B702" s="5" t="s">
        <v>558</v>
      </c>
      <c r="C702" s="5" t="s">
        <v>619</v>
      </c>
      <c r="D702" s="6">
        <v>-407124</v>
      </c>
      <c r="E702" s="6">
        <v>-45388</v>
      </c>
      <c r="F702" s="7">
        <v>5.4610000000000003</v>
      </c>
      <c r="G702" s="7">
        <v>4.95</v>
      </c>
      <c r="H702" s="7">
        <v>5.1289999999999996</v>
      </c>
      <c r="I702" s="7">
        <v>5.2249999999999996</v>
      </c>
      <c r="J702" s="7">
        <v>4.8289999999999997</v>
      </c>
      <c r="K702" s="7">
        <v>4.8659999999999997</v>
      </c>
      <c r="L702" s="7">
        <v>4.8819999999999997</v>
      </c>
      <c r="M702" s="7">
        <v>5.266</v>
      </c>
      <c r="N702" s="7">
        <v>5.9889999999999999</v>
      </c>
      <c r="O702" s="7">
        <v>6.4749999999999996</v>
      </c>
      <c r="P702" s="7">
        <v>6.3440000000000003</v>
      </c>
      <c r="Q702" s="7">
        <v>6.1639999999999997</v>
      </c>
      <c r="R702" s="7">
        <v>5.4109999999999996</v>
      </c>
      <c r="S702" s="7">
        <f t="shared" si="10"/>
        <v>5.4608333333333334</v>
      </c>
    </row>
    <row r="703" spans="1:19">
      <c r="A703" s="5" t="str">
        <f>B703&amp;"-"&amp;COUNTIF($B$2:B703,B703)</f>
        <v>CEARA-83</v>
      </c>
      <c r="B703" s="5" t="s">
        <v>558</v>
      </c>
      <c r="C703" s="5" t="s">
        <v>620</v>
      </c>
      <c r="D703" s="6">
        <v>-382923</v>
      </c>
      <c r="E703" s="6">
        <v>-58128</v>
      </c>
      <c r="F703" s="7">
        <v>5.9119999999999999</v>
      </c>
      <c r="G703" s="7">
        <v>5.8959999999999999</v>
      </c>
      <c r="H703" s="7">
        <v>5.944</v>
      </c>
      <c r="I703" s="7">
        <v>5.9770000000000003</v>
      </c>
      <c r="J703" s="7">
        <v>5.6150000000000002</v>
      </c>
      <c r="K703" s="7">
        <v>5.2859999999999996</v>
      </c>
      <c r="L703" s="7">
        <v>5.0570000000000004</v>
      </c>
      <c r="M703" s="7">
        <v>5.3719999999999999</v>
      </c>
      <c r="N703" s="7">
        <v>6.032</v>
      </c>
      <c r="O703" s="7">
        <v>6.4390000000000001</v>
      </c>
      <c r="P703" s="7">
        <v>6.6159999999999997</v>
      </c>
      <c r="Q703" s="7">
        <v>6.6269999999999998</v>
      </c>
      <c r="R703" s="7">
        <v>6.0880000000000001</v>
      </c>
      <c r="S703" s="7">
        <f t="shared" si="10"/>
        <v>5.9124166666666662</v>
      </c>
    </row>
    <row r="704" spans="1:19">
      <c r="A704" s="5" t="str">
        <f>B704&amp;"-"&amp;COUNTIF($B$2:B704,B704)</f>
        <v>CEARA-84</v>
      </c>
      <c r="B704" s="5" t="s">
        <v>558</v>
      </c>
      <c r="C704" s="5" t="s">
        <v>4623</v>
      </c>
      <c r="D704" s="6">
        <v>-397847</v>
      </c>
      <c r="E704" s="6">
        <v>-37478</v>
      </c>
      <c r="F704" s="7">
        <v>5.5540000000000003</v>
      </c>
      <c r="G704" s="7">
        <v>5.1970000000000001</v>
      </c>
      <c r="H704" s="7">
        <v>5.32</v>
      </c>
      <c r="I704" s="7">
        <v>5.1859999999999999</v>
      </c>
      <c r="J704" s="7">
        <v>4.7750000000000004</v>
      </c>
      <c r="K704" s="7">
        <v>4.9720000000000004</v>
      </c>
      <c r="L704" s="7">
        <v>5.0049999999999999</v>
      </c>
      <c r="M704" s="7">
        <v>5.3170000000000002</v>
      </c>
      <c r="N704" s="7">
        <v>6.0819999999999999</v>
      </c>
      <c r="O704" s="7">
        <v>6.5190000000000001</v>
      </c>
      <c r="P704" s="7">
        <v>6.4279999999999999</v>
      </c>
      <c r="Q704" s="7">
        <v>6.22</v>
      </c>
      <c r="R704" s="7">
        <v>5.6230000000000002</v>
      </c>
      <c r="S704" s="7">
        <f t="shared" si="10"/>
        <v>5.5536666666666674</v>
      </c>
    </row>
    <row r="705" spans="1:19">
      <c r="A705" s="5" t="str">
        <f>B705&amp;"-"&amp;COUNTIF($B$2:B705,B705)</f>
        <v>CEARA-85</v>
      </c>
      <c r="B705" s="5" t="s">
        <v>558</v>
      </c>
      <c r="C705" s="5" t="s">
        <v>4624</v>
      </c>
      <c r="D705" s="6">
        <v>-378333</v>
      </c>
      <c r="E705" s="6">
        <v>-46719</v>
      </c>
      <c r="F705" s="7">
        <v>5.8170000000000002</v>
      </c>
      <c r="G705" s="7">
        <v>5.8029999999999999</v>
      </c>
      <c r="H705" s="7">
        <v>5.899</v>
      </c>
      <c r="I705" s="7">
        <v>5.86</v>
      </c>
      <c r="J705" s="7">
        <v>5.3170000000000002</v>
      </c>
      <c r="K705" s="7">
        <v>5.3220000000000001</v>
      </c>
      <c r="L705" s="7">
        <v>5.0679999999999996</v>
      </c>
      <c r="M705" s="7">
        <v>5.3559999999999999</v>
      </c>
      <c r="N705" s="7">
        <v>6.0049999999999999</v>
      </c>
      <c r="O705" s="7">
        <v>6.3319999999999999</v>
      </c>
      <c r="P705" s="7">
        <v>6.3739999999999997</v>
      </c>
      <c r="Q705" s="7">
        <v>6.3959999999999999</v>
      </c>
      <c r="R705" s="7">
        <v>6.0670000000000002</v>
      </c>
      <c r="S705" s="7">
        <f t="shared" si="10"/>
        <v>5.8165833333333339</v>
      </c>
    </row>
    <row r="706" spans="1:19">
      <c r="A706" s="5" t="str">
        <f>B706&amp;"-"&amp;COUNTIF($B$2:B706,B706)</f>
        <v>CEARA-86</v>
      </c>
      <c r="B706" s="5" t="s">
        <v>558</v>
      </c>
      <c r="C706" s="5" t="s">
        <v>621</v>
      </c>
      <c r="D706" s="6">
        <v>-385301</v>
      </c>
      <c r="E706" s="6">
        <v>-39662</v>
      </c>
      <c r="F706" s="7">
        <v>5.5860000000000003</v>
      </c>
      <c r="G706" s="7">
        <v>5.5220000000000002</v>
      </c>
      <c r="H706" s="7">
        <v>5.5229999999999997</v>
      </c>
      <c r="I706" s="7">
        <v>5.4039999999999999</v>
      </c>
      <c r="J706" s="7">
        <v>4.7889999999999997</v>
      </c>
      <c r="K706" s="7">
        <v>5.1029999999999998</v>
      </c>
      <c r="L706" s="7">
        <v>5.0999999999999996</v>
      </c>
      <c r="M706" s="7">
        <v>5.3769999999999998</v>
      </c>
      <c r="N706" s="7">
        <v>6.0259999999999998</v>
      </c>
      <c r="O706" s="7">
        <v>6.1769999999999996</v>
      </c>
      <c r="P706" s="7">
        <v>6.2069999999999999</v>
      </c>
      <c r="Q706" s="7">
        <v>6.1520000000000001</v>
      </c>
      <c r="R706" s="7">
        <v>5.6550000000000002</v>
      </c>
      <c r="S706" s="7">
        <f t="shared" si="10"/>
        <v>5.5862500000000006</v>
      </c>
    </row>
    <row r="707" spans="1:19">
      <c r="A707" s="5" t="str">
        <f>B707&amp;"-"&amp;COUNTIF($B$2:B707,B707)</f>
        <v>CEARA-87</v>
      </c>
      <c r="B707" s="5" t="s">
        <v>558</v>
      </c>
      <c r="C707" s="5" t="s">
        <v>4299</v>
      </c>
      <c r="D707" s="6">
        <v>-395859</v>
      </c>
      <c r="E707" s="6">
        <v>-36835</v>
      </c>
      <c r="F707" s="7">
        <v>5.4160000000000004</v>
      </c>
      <c r="G707" s="7">
        <v>5.0720000000000001</v>
      </c>
      <c r="H707" s="7">
        <v>5.1929999999999996</v>
      </c>
      <c r="I707" s="7">
        <v>5.1189999999999998</v>
      </c>
      <c r="J707" s="7">
        <v>4.6669999999999998</v>
      </c>
      <c r="K707" s="7">
        <v>4.9340000000000002</v>
      </c>
      <c r="L707" s="7">
        <v>4.87</v>
      </c>
      <c r="M707" s="7">
        <v>5.181</v>
      </c>
      <c r="N707" s="7">
        <v>5.9939999999999998</v>
      </c>
      <c r="O707" s="7">
        <v>6.3579999999999997</v>
      </c>
      <c r="P707" s="7">
        <v>6.1870000000000003</v>
      </c>
      <c r="Q707" s="7">
        <v>5.9779999999999998</v>
      </c>
      <c r="R707" s="7">
        <v>5.4379999999999997</v>
      </c>
      <c r="S707" s="7">
        <f t="shared" ref="S707:S770" si="11">(G707+H707+I707+J707+K707+L707+M707+N707+O707+P707+Q707+R707)/12</f>
        <v>5.4159166666666669</v>
      </c>
    </row>
    <row r="708" spans="1:19">
      <c r="A708" s="5" t="str">
        <f>B708&amp;"-"&amp;COUNTIF($B$2:B708,B708)</f>
        <v>CEARA-88</v>
      </c>
      <c r="B708" s="5" t="s">
        <v>558</v>
      </c>
      <c r="C708" s="5" t="s">
        <v>4823</v>
      </c>
      <c r="D708" s="6">
        <v>-389284</v>
      </c>
      <c r="E708" s="6">
        <v>-45556</v>
      </c>
      <c r="F708" s="7">
        <v>5.585</v>
      </c>
      <c r="G708" s="7">
        <v>5.3659999999999997</v>
      </c>
      <c r="H708" s="7">
        <v>5.4770000000000003</v>
      </c>
      <c r="I708" s="7">
        <v>5.4530000000000003</v>
      </c>
      <c r="J708" s="7">
        <v>4.9909999999999997</v>
      </c>
      <c r="K708" s="7">
        <v>5.09</v>
      </c>
      <c r="L708" s="7">
        <v>4.8470000000000004</v>
      </c>
      <c r="M708" s="7">
        <v>5.2629999999999999</v>
      </c>
      <c r="N708" s="7">
        <v>6.0369999999999999</v>
      </c>
      <c r="O708" s="7">
        <v>6.407</v>
      </c>
      <c r="P708" s="7">
        <v>6.3239999999999998</v>
      </c>
      <c r="Q708" s="7">
        <v>6.16</v>
      </c>
      <c r="R708" s="7">
        <v>5.609</v>
      </c>
      <c r="S708" s="7">
        <f t="shared" si="11"/>
        <v>5.5853333333333319</v>
      </c>
    </row>
    <row r="709" spans="1:19">
      <c r="A709" s="5" t="str">
        <f>B709&amp;"-"&amp;COUNTIF($B$2:B709,B709)</f>
        <v>CEARA-89</v>
      </c>
      <c r="B709" s="5" t="s">
        <v>558</v>
      </c>
      <c r="C709" s="5" t="s">
        <v>622</v>
      </c>
      <c r="D709" s="6">
        <v>-395839</v>
      </c>
      <c r="E709" s="6">
        <v>-34997</v>
      </c>
      <c r="F709" s="7">
        <v>5.5609999999999999</v>
      </c>
      <c r="G709" s="7">
        <v>5.165</v>
      </c>
      <c r="H709" s="7">
        <v>5.234</v>
      </c>
      <c r="I709" s="7">
        <v>5.1269999999999998</v>
      </c>
      <c r="J709" s="7">
        <v>4.7039999999999997</v>
      </c>
      <c r="K709" s="7">
        <v>5.1929999999999996</v>
      </c>
      <c r="L709" s="7">
        <v>5.2839999999999998</v>
      </c>
      <c r="M709" s="7">
        <v>5.5060000000000002</v>
      </c>
      <c r="N709" s="7">
        <v>6.1459999999999999</v>
      </c>
      <c r="O709" s="7">
        <v>6.4560000000000004</v>
      </c>
      <c r="P709" s="7">
        <v>6.3209999999999997</v>
      </c>
      <c r="Q709" s="7">
        <v>6.1589999999999998</v>
      </c>
      <c r="R709" s="7">
        <v>5.4379999999999997</v>
      </c>
      <c r="S709" s="7">
        <f t="shared" si="11"/>
        <v>5.5610833333333334</v>
      </c>
    </row>
    <row r="710" spans="1:19">
      <c r="A710" s="5" t="str">
        <f>B710&amp;"-"&amp;COUNTIF($B$2:B710,B710)</f>
        <v>CEARA-90</v>
      </c>
      <c r="B710" s="5" t="s">
        <v>558</v>
      </c>
      <c r="C710" s="5" t="s">
        <v>623</v>
      </c>
      <c r="D710" s="6">
        <v>-39917</v>
      </c>
      <c r="E710" s="6">
        <v>-29252</v>
      </c>
      <c r="F710" s="7">
        <v>5.63</v>
      </c>
      <c r="G710" s="7">
        <v>5.6440000000000001</v>
      </c>
      <c r="H710" s="7">
        <v>5.5670000000000002</v>
      </c>
      <c r="I710" s="7">
        <v>5.3730000000000002</v>
      </c>
      <c r="J710" s="7">
        <v>4.726</v>
      </c>
      <c r="K710" s="7">
        <v>5.2249999999999996</v>
      </c>
      <c r="L710" s="7">
        <v>5.2939999999999996</v>
      </c>
      <c r="M710" s="7">
        <v>5.5380000000000003</v>
      </c>
      <c r="N710" s="7">
        <v>5.8869999999999996</v>
      </c>
      <c r="O710" s="7">
        <v>5.923</v>
      </c>
      <c r="P710" s="7">
        <v>6.0010000000000003</v>
      </c>
      <c r="Q710" s="7">
        <v>6.3209999999999997</v>
      </c>
      <c r="R710" s="7">
        <v>6.0640000000000001</v>
      </c>
      <c r="S710" s="7">
        <f t="shared" si="11"/>
        <v>5.6302499999999993</v>
      </c>
    </row>
    <row r="711" spans="1:19">
      <c r="A711" s="5" t="str">
        <f>B711&amp;"-"&amp;COUNTIF($B$2:B711,B711)</f>
        <v>CEARA-91</v>
      </c>
      <c r="B711" s="5" t="s">
        <v>558</v>
      </c>
      <c r="C711" s="5" t="s">
        <v>624</v>
      </c>
      <c r="D711" s="6">
        <v>-396205</v>
      </c>
      <c r="E711" s="6">
        <v>-45265</v>
      </c>
      <c r="F711" s="7">
        <v>5.5739999999999998</v>
      </c>
      <c r="G711" s="7">
        <v>5.2309999999999999</v>
      </c>
      <c r="H711" s="7">
        <v>5.343</v>
      </c>
      <c r="I711" s="7">
        <v>5.3339999999999996</v>
      </c>
      <c r="J711" s="7">
        <v>4.851</v>
      </c>
      <c r="K711" s="7">
        <v>4.8890000000000002</v>
      </c>
      <c r="L711" s="7">
        <v>4.8499999999999996</v>
      </c>
      <c r="M711" s="7">
        <v>5.3040000000000003</v>
      </c>
      <c r="N711" s="7">
        <v>6.1210000000000004</v>
      </c>
      <c r="O711" s="7">
        <v>6.625</v>
      </c>
      <c r="P711" s="7">
        <v>6.5179999999999998</v>
      </c>
      <c r="Q711" s="7">
        <v>6.2549999999999999</v>
      </c>
      <c r="R711" s="7">
        <v>5.5670000000000002</v>
      </c>
      <c r="S711" s="7">
        <f t="shared" si="11"/>
        <v>5.5740000000000007</v>
      </c>
    </row>
    <row r="712" spans="1:19">
      <c r="A712" s="5" t="str">
        <f>B712&amp;"-"&amp;COUNTIF($B$2:B712,B712)</f>
        <v>CEARA-92</v>
      </c>
      <c r="B712" s="5" t="s">
        <v>558</v>
      </c>
      <c r="C712" s="5" t="s">
        <v>625</v>
      </c>
      <c r="D712" s="6">
        <v>-387642</v>
      </c>
      <c r="E712" s="6">
        <v>-56055</v>
      </c>
      <c r="F712" s="7">
        <v>5.9109999999999996</v>
      </c>
      <c r="G712" s="7">
        <v>5.8819999999999997</v>
      </c>
      <c r="H712" s="7">
        <v>5.9189999999999996</v>
      </c>
      <c r="I712" s="7">
        <v>6.0640000000000001</v>
      </c>
      <c r="J712" s="7">
        <v>5.4909999999999997</v>
      </c>
      <c r="K712" s="7">
        <v>5.298</v>
      </c>
      <c r="L712" s="7">
        <v>5.0670000000000002</v>
      </c>
      <c r="M712" s="7">
        <v>5.4169999999999998</v>
      </c>
      <c r="N712" s="7">
        <v>6.1150000000000002</v>
      </c>
      <c r="O712" s="7">
        <v>6.4279999999999999</v>
      </c>
      <c r="P712" s="7">
        <v>6.5880000000000001</v>
      </c>
      <c r="Q712" s="7">
        <v>6.5289999999999999</v>
      </c>
      <c r="R712" s="7">
        <v>6.1379999999999999</v>
      </c>
      <c r="S712" s="7">
        <f t="shared" si="11"/>
        <v>5.9113333333333342</v>
      </c>
    </row>
    <row r="713" spans="1:19">
      <c r="A713" s="5" t="str">
        <f>B713&amp;"-"&amp;COUNTIF($B$2:B713,B713)</f>
        <v>CEARA-93</v>
      </c>
      <c r="B713" s="5" t="s">
        <v>558</v>
      </c>
      <c r="C713" s="5" t="s">
        <v>626</v>
      </c>
      <c r="D713" s="6">
        <v>-384619</v>
      </c>
      <c r="E713" s="6">
        <v>-5459</v>
      </c>
      <c r="F713" s="7">
        <v>5.8449999999999998</v>
      </c>
      <c r="G713" s="7">
        <v>5.7919999999999998</v>
      </c>
      <c r="H713" s="7">
        <v>5.8220000000000001</v>
      </c>
      <c r="I713" s="7">
        <v>5.93</v>
      </c>
      <c r="J713" s="7">
        <v>5.5449999999999999</v>
      </c>
      <c r="K713" s="7">
        <v>5.36</v>
      </c>
      <c r="L713" s="7">
        <v>5.0830000000000002</v>
      </c>
      <c r="M713" s="7">
        <v>5.3760000000000003</v>
      </c>
      <c r="N713" s="7">
        <v>6.0529999999999999</v>
      </c>
      <c r="O713" s="7">
        <v>6.319</v>
      </c>
      <c r="P713" s="7">
        <v>6.4560000000000004</v>
      </c>
      <c r="Q713" s="7">
        <v>6.4189999999999996</v>
      </c>
      <c r="R713" s="7">
        <v>5.9870000000000001</v>
      </c>
      <c r="S713" s="7">
        <f t="shared" si="11"/>
        <v>5.8451666666666666</v>
      </c>
    </row>
    <row r="714" spans="1:19">
      <c r="A714" s="5" t="str">
        <f>B714&amp;"-"&amp;COUNTIF($B$2:B714,B714)</f>
        <v>CEARA-94</v>
      </c>
      <c r="B714" s="5" t="s">
        <v>558</v>
      </c>
      <c r="C714" s="5" t="s">
        <v>627</v>
      </c>
      <c r="D714" s="6">
        <v>-38623</v>
      </c>
      <c r="E714" s="6">
        <v>-59025</v>
      </c>
      <c r="F714" s="7">
        <v>5.9080000000000004</v>
      </c>
      <c r="G714" s="7">
        <v>5.8869999999999996</v>
      </c>
      <c r="H714" s="7">
        <v>5.8959999999999999</v>
      </c>
      <c r="I714" s="7">
        <v>6.0090000000000003</v>
      </c>
      <c r="J714" s="7">
        <v>5.5670000000000002</v>
      </c>
      <c r="K714" s="7">
        <v>5.2759999999999998</v>
      </c>
      <c r="L714" s="7">
        <v>5.0810000000000004</v>
      </c>
      <c r="M714" s="7">
        <v>5.36</v>
      </c>
      <c r="N714" s="7">
        <v>6.06</v>
      </c>
      <c r="O714" s="7">
        <v>6.4390000000000001</v>
      </c>
      <c r="P714" s="7">
        <v>6.609</v>
      </c>
      <c r="Q714" s="7">
        <v>6.5860000000000003</v>
      </c>
      <c r="R714" s="7">
        <v>6.125</v>
      </c>
      <c r="S714" s="7">
        <f t="shared" si="11"/>
        <v>5.9079166666666678</v>
      </c>
    </row>
    <row r="715" spans="1:19">
      <c r="A715" s="5" t="str">
        <f>B715&amp;"-"&amp;COUNTIF($B$2:B715,B715)</f>
        <v>CEARA-95</v>
      </c>
      <c r="B715" s="5" t="s">
        <v>558</v>
      </c>
      <c r="C715" s="5" t="s">
        <v>628</v>
      </c>
      <c r="D715" s="6">
        <v>-377813</v>
      </c>
      <c r="E715" s="6">
        <v>-48319</v>
      </c>
      <c r="F715" s="7">
        <v>5.782</v>
      </c>
      <c r="G715" s="7">
        <v>5.7480000000000002</v>
      </c>
      <c r="H715" s="7">
        <v>5.7949999999999999</v>
      </c>
      <c r="I715" s="7">
        <v>5.8179999999999996</v>
      </c>
      <c r="J715" s="7">
        <v>5.3680000000000003</v>
      </c>
      <c r="K715" s="7">
        <v>5.2910000000000004</v>
      </c>
      <c r="L715" s="7">
        <v>5.0229999999999997</v>
      </c>
      <c r="M715" s="7">
        <v>5.3280000000000003</v>
      </c>
      <c r="N715" s="7">
        <v>5.9569999999999999</v>
      </c>
      <c r="O715" s="7">
        <v>6.25</v>
      </c>
      <c r="P715" s="7">
        <v>6.4089999999999998</v>
      </c>
      <c r="Q715" s="7">
        <v>6.3959999999999999</v>
      </c>
      <c r="R715" s="7">
        <v>6.0010000000000003</v>
      </c>
      <c r="S715" s="7">
        <f t="shared" si="11"/>
        <v>5.782</v>
      </c>
    </row>
    <row r="716" spans="1:19">
      <c r="A716" s="5" t="str">
        <f>B716&amp;"-"&amp;COUNTIF($B$2:B716,B716)</f>
        <v>CEARA-96</v>
      </c>
      <c r="B716" s="5" t="s">
        <v>558</v>
      </c>
      <c r="C716" s="5" t="s">
        <v>629</v>
      </c>
      <c r="D716" s="6">
        <v>-392767</v>
      </c>
      <c r="E716" s="6">
        <v>-75855</v>
      </c>
      <c r="F716" s="7">
        <v>5.7089999999999996</v>
      </c>
      <c r="G716" s="7">
        <v>5.968</v>
      </c>
      <c r="H716" s="7">
        <v>5.79</v>
      </c>
      <c r="I716" s="7">
        <v>5.7919999999999998</v>
      </c>
      <c r="J716" s="7">
        <v>5.3620000000000001</v>
      </c>
      <c r="K716" s="7">
        <v>4.7320000000000002</v>
      </c>
      <c r="L716" s="7">
        <v>4.4429999999999996</v>
      </c>
      <c r="M716" s="7">
        <v>4.726</v>
      </c>
      <c r="N716" s="7">
        <v>5.6280000000000001</v>
      </c>
      <c r="O716" s="7">
        <v>6.4980000000000002</v>
      </c>
      <c r="P716" s="7">
        <v>6.5170000000000003</v>
      </c>
      <c r="Q716" s="7">
        <v>6.6849999999999996</v>
      </c>
      <c r="R716" s="7">
        <v>6.3639999999999999</v>
      </c>
      <c r="S716" s="7">
        <f t="shared" si="11"/>
        <v>5.7087499999999993</v>
      </c>
    </row>
    <row r="717" spans="1:19">
      <c r="A717" s="5" t="str">
        <f>B717&amp;"-"&amp;COUNTIF($B$2:B717,B717)</f>
        <v>CEARA-97</v>
      </c>
      <c r="B717" s="5" t="s">
        <v>558</v>
      </c>
      <c r="C717" s="5" t="s">
        <v>630</v>
      </c>
      <c r="D717" s="6">
        <v>-390057</v>
      </c>
      <c r="E717" s="6">
        <v>-76864</v>
      </c>
      <c r="F717" s="7">
        <v>5.7119999999999997</v>
      </c>
      <c r="G717" s="7">
        <v>5.9530000000000003</v>
      </c>
      <c r="H717" s="7">
        <v>5.9580000000000002</v>
      </c>
      <c r="I717" s="7">
        <v>5.8860000000000001</v>
      </c>
      <c r="J717" s="7">
        <v>5.4569999999999999</v>
      </c>
      <c r="K717" s="7">
        <v>4.8259999999999996</v>
      </c>
      <c r="L717" s="7">
        <v>4.4820000000000002</v>
      </c>
      <c r="M717" s="7">
        <v>4.7569999999999997</v>
      </c>
      <c r="N717" s="7">
        <v>5.5439999999999996</v>
      </c>
      <c r="O717" s="7">
        <v>6.4240000000000004</v>
      </c>
      <c r="P717" s="7">
        <v>6.41</v>
      </c>
      <c r="Q717" s="7">
        <v>6.5609999999999999</v>
      </c>
      <c r="R717" s="7">
        <v>6.29</v>
      </c>
      <c r="S717" s="7">
        <f t="shared" si="11"/>
        <v>5.7123333333333335</v>
      </c>
    </row>
    <row r="718" spans="1:19">
      <c r="A718" s="5" t="str">
        <f>B718&amp;"-"&amp;COUNTIF($B$2:B718,B718)</f>
        <v>CEARA-98</v>
      </c>
      <c r="B718" s="5" t="s">
        <v>558</v>
      </c>
      <c r="C718" s="5" t="s">
        <v>631</v>
      </c>
      <c r="D718" s="6">
        <v>-40448</v>
      </c>
      <c r="E718" s="6">
        <v>-2901</v>
      </c>
      <c r="F718" s="7">
        <v>5.4560000000000004</v>
      </c>
      <c r="G718" s="7">
        <v>5.27</v>
      </c>
      <c r="H718" s="7">
        <v>5.2089999999999996</v>
      </c>
      <c r="I718" s="7">
        <v>4.9470000000000001</v>
      </c>
      <c r="J718" s="7">
        <v>4.5289999999999999</v>
      </c>
      <c r="K718" s="7">
        <v>5.01</v>
      </c>
      <c r="L718" s="7">
        <v>5.1319999999999997</v>
      </c>
      <c r="M718" s="7">
        <v>5.38</v>
      </c>
      <c r="N718" s="7">
        <v>5.9219999999999997</v>
      </c>
      <c r="O718" s="7">
        <v>6.13</v>
      </c>
      <c r="P718" s="7">
        <v>6.0519999999999996</v>
      </c>
      <c r="Q718" s="7">
        <v>6.1749999999999998</v>
      </c>
      <c r="R718" s="7">
        <v>5.7210000000000001</v>
      </c>
      <c r="S718" s="7">
        <f t="shared" si="11"/>
        <v>5.4564166666666658</v>
      </c>
    </row>
    <row r="719" spans="1:19">
      <c r="A719" s="5" t="str">
        <f>B719&amp;"-"&amp;COUNTIF($B$2:B719,B719)</f>
        <v>CEARA-99</v>
      </c>
      <c r="B719" s="5" t="s">
        <v>558</v>
      </c>
      <c r="C719" s="5" t="s">
        <v>632</v>
      </c>
      <c r="D719" s="6">
        <v>-393162</v>
      </c>
      <c r="E719" s="6">
        <v>-72193</v>
      </c>
      <c r="F719" s="7">
        <v>5.875</v>
      </c>
      <c r="G719" s="7">
        <v>5.9269999999999996</v>
      </c>
      <c r="H719" s="7">
        <v>5.8840000000000003</v>
      </c>
      <c r="I719" s="7">
        <v>5.8479999999999999</v>
      </c>
      <c r="J719" s="7">
        <v>5.5510000000000002</v>
      </c>
      <c r="K719" s="7">
        <v>5.1619999999999999</v>
      </c>
      <c r="L719" s="7">
        <v>4.9379999999999997</v>
      </c>
      <c r="M719" s="7">
        <v>5.2779999999999996</v>
      </c>
      <c r="N719" s="7">
        <v>5.9909999999999997</v>
      </c>
      <c r="O719" s="7">
        <v>6.5190000000000001</v>
      </c>
      <c r="P719" s="7">
        <v>6.5679999999999996</v>
      </c>
      <c r="Q719" s="7">
        <v>6.601</v>
      </c>
      <c r="R719" s="7">
        <v>6.2309999999999999</v>
      </c>
      <c r="S719" s="7">
        <f t="shared" si="11"/>
        <v>5.8748333333333322</v>
      </c>
    </row>
    <row r="720" spans="1:19">
      <c r="A720" s="5" t="str">
        <f>B720&amp;"-"&amp;COUNTIF($B$2:B720,B720)</f>
        <v>CEARA-100</v>
      </c>
      <c r="B720" s="5" t="s">
        <v>558</v>
      </c>
      <c r="C720" s="5" t="s">
        <v>5489</v>
      </c>
      <c r="D720" s="6">
        <v>-39525</v>
      </c>
      <c r="E720" s="6">
        <v>-65211</v>
      </c>
      <c r="F720" s="7">
        <v>5.8019999999999996</v>
      </c>
      <c r="G720" s="7">
        <v>5.6260000000000003</v>
      </c>
      <c r="H720" s="7">
        <v>5.7270000000000003</v>
      </c>
      <c r="I720" s="7">
        <v>5.7350000000000003</v>
      </c>
      <c r="J720" s="7">
        <v>5.351</v>
      </c>
      <c r="K720" s="7">
        <v>5.1639999999999997</v>
      </c>
      <c r="L720" s="7">
        <v>5.0940000000000003</v>
      </c>
      <c r="M720" s="7">
        <v>5.3979999999999997</v>
      </c>
      <c r="N720" s="7">
        <v>6.1669999999999998</v>
      </c>
      <c r="O720" s="7">
        <v>6.5259999999999998</v>
      </c>
      <c r="P720" s="7">
        <v>6.444</v>
      </c>
      <c r="Q720" s="7">
        <v>6.4459999999999997</v>
      </c>
      <c r="R720" s="7">
        <v>5.944</v>
      </c>
      <c r="S720" s="7">
        <f t="shared" si="11"/>
        <v>5.8018333333333336</v>
      </c>
    </row>
    <row r="721" spans="1:19">
      <c r="A721" s="5" t="str">
        <f>B721&amp;"-"&amp;COUNTIF($B$2:B721,B721)</f>
        <v>CEARA-101</v>
      </c>
      <c r="B721" s="5" t="s">
        <v>558</v>
      </c>
      <c r="C721" s="5" t="s">
        <v>633</v>
      </c>
      <c r="D721" s="6">
        <v>-389709</v>
      </c>
      <c r="E721" s="6">
        <v>-67452</v>
      </c>
      <c r="F721" s="7">
        <v>5.9359999999999999</v>
      </c>
      <c r="G721" s="7">
        <v>6.0030000000000001</v>
      </c>
      <c r="H721" s="7">
        <v>5.98</v>
      </c>
      <c r="I721" s="7">
        <v>5.8979999999999997</v>
      </c>
      <c r="J721" s="7">
        <v>5.601</v>
      </c>
      <c r="K721" s="7">
        <v>5.202</v>
      </c>
      <c r="L721" s="7">
        <v>5.0730000000000004</v>
      </c>
      <c r="M721" s="7">
        <v>5.3230000000000004</v>
      </c>
      <c r="N721" s="7">
        <v>6.085</v>
      </c>
      <c r="O721" s="7">
        <v>6.5279999999999996</v>
      </c>
      <c r="P721" s="7">
        <v>6.617</v>
      </c>
      <c r="Q721" s="7">
        <v>6.6689999999999996</v>
      </c>
      <c r="R721" s="7">
        <v>6.2480000000000002</v>
      </c>
      <c r="S721" s="7">
        <f t="shared" si="11"/>
        <v>5.9355833333333337</v>
      </c>
    </row>
    <row r="722" spans="1:19">
      <c r="A722" s="5" t="str">
        <f>B722&amp;"-"&amp;COUNTIF($B$2:B722,B722)</f>
        <v>CEARA-102</v>
      </c>
      <c r="B722" s="5" t="s">
        <v>558</v>
      </c>
      <c r="C722" s="5" t="s">
        <v>634</v>
      </c>
      <c r="D722" s="6">
        <v>-38085</v>
      </c>
      <c r="E722" s="6">
        <v>-51443</v>
      </c>
      <c r="F722" s="7">
        <v>5.7960000000000003</v>
      </c>
      <c r="G722" s="7">
        <v>5.7709999999999999</v>
      </c>
      <c r="H722" s="7">
        <v>5.8120000000000003</v>
      </c>
      <c r="I722" s="7">
        <v>5.867</v>
      </c>
      <c r="J722" s="7">
        <v>5.4169999999999998</v>
      </c>
      <c r="K722" s="7">
        <v>5.2569999999999997</v>
      </c>
      <c r="L722" s="7">
        <v>4.9800000000000004</v>
      </c>
      <c r="M722" s="7">
        <v>5.306</v>
      </c>
      <c r="N722" s="7">
        <v>6.0220000000000002</v>
      </c>
      <c r="O722" s="7">
        <v>6.3159999999999998</v>
      </c>
      <c r="P722" s="7">
        <v>6.4820000000000002</v>
      </c>
      <c r="Q722" s="7">
        <v>6.4169999999999998</v>
      </c>
      <c r="R722" s="7">
        <v>5.91</v>
      </c>
      <c r="S722" s="7">
        <f t="shared" si="11"/>
        <v>5.7964166666666666</v>
      </c>
    </row>
    <row r="723" spans="1:19">
      <c r="A723" s="5" t="str">
        <f>B723&amp;"-"&amp;COUNTIF($B$2:B723,B723)</f>
        <v>CEARA-103</v>
      </c>
      <c r="B723" s="5" t="s">
        <v>558</v>
      </c>
      <c r="C723" s="5" t="s">
        <v>635</v>
      </c>
      <c r="D723" s="6">
        <v>-395729</v>
      </c>
      <c r="E723" s="6">
        <v>-48464</v>
      </c>
      <c r="F723" s="7">
        <v>5.5170000000000003</v>
      </c>
      <c r="G723" s="7">
        <v>5.181</v>
      </c>
      <c r="H723" s="7">
        <v>5.3159999999999998</v>
      </c>
      <c r="I723" s="7">
        <v>5.3120000000000003</v>
      </c>
      <c r="J723" s="7">
        <v>4.9400000000000004</v>
      </c>
      <c r="K723" s="7">
        <v>4.8929999999999998</v>
      </c>
      <c r="L723" s="7">
        <v>4.8120000000000003</v>
      </c>
      <c r="M723" s="7">
        <v>5.1790000000000003</v>
      </c>
      <c r="N723" s="7">
        <v>5.95</v>
      </c>
      <c r="O723" s="7">
        <v>6.4710000000000001</v>
      </c>
      <c r="P723" s="7">
        <v>6.3920000000000003</v>
      </c>
      <c r="Q723" s="7">
        <v>6.2</v>
      </c>
      <c r="R723" s="7">
        <v>5.5540000000000003</v>
      </c>
      <c r="S723" s="7">
        <f t="shared" si="11"/>
        <v>5.5166666666666666</v>
      </c>
    </row>
    <row r="724" spans="1:19">
      <c r="A724" s="5" t="str">
        <f>B724&amp;"-"&amp;COUNTIF($B$2:B724,B724)</f>
        <v>CEARA-104</v>
      </c>
      <c r="B724" s="5" t="s">
        <v>558</v>
      </c>
      <c r="C724" s="5" t="s">
        <v>4824</v>
      </c>
      <c r="D724" s="6">
        <v>-386262</v>
      </c>
      <c r="E724" s="6">
        <v>-38674</v>
      </c>
      <c r="F724" s="7">
        <v>5.4480000000000004</v>
      </c>
      <c r="G724" s="7">
        <v>5.3230000000000004</v>
      </c>
      <c r="H724" s="7">
        <v>5.4109999999999996</v>
      </c>
      <c r="I724" s="7">
        <v>5.21</v>
      </c>
      <c r="J724" s="7">
        <v>4.6120000000000001</v>
      </c>
      <c r="K724" s="7">
        <v>4.9710000000000001</v>
      </c>
      <c r="L724" s="7">
        <v>4.9359999999999999</v>
      </c>
      <c r="M724" s="7">
        <v>5.266</v>
      </c>
      <c r="N724" s="7">
        <v>5.9180000000000001</v>
      </c>
      <c r="O724" s="7">
        <v>6.0789999999999997</v>
      </c>
      <c r="P724" s="7">
        <v>6.0960000000000001</v>
      </c>
      <c r="Q724" s="7">
        <v>6.0270000000000001</v>
      </c>
      <c r="R724" s="7">
        <v>5.5220000000000002</v>
      </c>
      <c r="S724" s="7">
        <f t="shared" si="11"/>
        <v>5.4475833333333341</v>
      </c>
    </row>
    <row r="725" spans="1:19">
      <c r="A725" s="5" t="str">
        <f>B725&amp;"-"&amp;COUNTIF($B$2:B725,B725)</f>
        <v>CEARA-105</v>
      </c>
      <c r="B725" s="5" t="s">
        <v>558</v>
      </c>
      <c r="C725" s="5" t="s">
        <v>636</v>
      </c>
      <c r="D725" s="6">
        <v>-386832</v>
      </c>
      <c r="E725" s="6">
        <v>-38918</v>
      </c>
      <c r="F725" s="7">
        <v>5.4480000000000004</v>
      </c>
      <c r="G725" s="7">
        <v>5.3230000000000004</v>
      </c>
      <c r="H725" s="7">
        <v>5.4109999999999996</v>
      </c>
      <c r="I725" s="7">
        <v>5.21</v>
      </c>
      <c r="J725" s="7">
        <v>4.6120000000000001</v>
      </c>
      <c r="K725" s="7">
        <v>4.9710000000000001</v>
      </c>
      <c r="L725" s="7">
        <v>4.9359999999999999</v>
      </c>
      <c r="M725" s="7">
        <v>5.266</v>
      </c>
      <c r="N725" s="7">
        <v>5.9180000000000001</v>
      </c>
      <c r="O725" s="7">
        <v>6.0789999999999997</v>
      </c>
      <c r="P725" s="7">
        <v>6.0960000000000001</v>
      </c>
      <c r="Q725" s="7">
        <v>6.0270000000000001</v>
      </c>
      <c r="R725" s="7">
        <v>5.5220000000000002</v>
      </c>
      <c r="S725" s="7">
        <f t="shared" si="11"/>
        <v>5.4475833333333341</v>
      </c>
    </row>
    <row r="726" spans="1:19">
      <c r="A726" s="5" t="str">
        <f>B726&amp;"-"&amp;COUNTIF($B$2:B726,B726)</f>
        <v>CEARA-106</v>
      </c>
      <c r="B726" s="5" t="s">
        <v>558</v>
      </c>
      <c r="C726" s="5" t="s">
        <v>637</v>
      </c>
      <c r="D726" s="6">
        <v>-401542</v>
      </c>
      <c r="E726" s="6">
        <v>-31208</v>
      </c>
      <c r="F726" s="7">
        <v>5.5250000000000004</v>
      </c>
      <c r="G726" s="7">
        <v>5.2220000000000004</v>
      </c>
      <c r="H726" s="7">
        <v>5.1740000000000004</v>
      </c>
      <c r="I726" s="7">
        <v>4.9870000000000001</v>
      </c>
      <c r="J726" s="7">
        <v>4.5839999999999996</v>
      </c>
      <c r="K726" s="7">
        <v>5.1269999999999998</v>
      </c>
      <c r="L726" s="7">
        <v>5.274</v>
      </c>
      <c r="M726" s="7">
        <v>5.39</v>
      </c>
      <c r="N726" s="7">
        <v>6.0439999999999996</v>
      </c>
      <c r="O726" s="7">
        <v>6.37</v>
      </c>
      <c r="P726" s="7">
        <v>6.242</v>
      </c>
      <c r="Q726" s="7">
        <v>6.1929999999999996</v>
      </c>
      <c r="R726" s="7">
        <v>5.694</v>
      </c>
      <c r="S726" s="7">
        <f t="shared" si="11"/>
        <v>5.525083333333332</v>
      </c>
    </row>
    <row r="727" spans="1:19">
      <c r="A727" s="5" t="str">
        <f>B727&amp;"-"&amp;COUNTIF($B$2:B727,B727)</f>
        <v>CEARA-107</v>
      </c>
      <c r="B727" s="5" t="s">
        <v>558</v>
      </c>
      <c r="C727" s="5" t="s">
        <v>5067</v>
      </c>
      <c r="D727" s="6">
        <v>-40695</v>
      </c>
      <c r="E727" s="6">
        <v>-32234</v>
      </c>
      <c r="F727" s="7">
        <v>5.5309999999999997</v>
      </c>
      <c r="G727" s="7">
        <v>5.09</v>
      </c>
      <c r="H727" s="7">
        <v>5.0270000000000001</v>
      </c>
      <c r="I727" s="7">
        <v>5.0170000000000003</v>
      </c>
      <c r="J727" s="7">
        <v>4.7809999999999997</v>
      </c>
      <c r="K727" s="7">
        <v>5.1680000000000001</v>
      </c>
      <c r="L727" s="7">
        <v>5.2709999999999999</v>
      </c>
      <c r="M727" s="7">
        <v>5.3869999999999996</v>
      </c>
      <c r="N727" s="7">
        <v>6.0549999999999997</v>
      </c>
      <c r="O727" s="7">
        <v>6.5330000000000004</v>
      </c>
      <c r="P727" s="7">
        <v>6.4560000000000004</v>
      </c>
      <c r="Q727" s="7">
        <v>6.1529999999999996</v>
      </c>
      <c r="R727" s="7">
        <v>5.4379999999999997</v>
      </c>
      <c r="S727" s="7">
        <f t="shared" si="11"/>
        <v>5.5313333333333334</v>
      </c>
    </row>
    <row r="728" spans="1:19">
      <c r="A728" s="5" t="str">
        <f>B728&amp;"-"&amp;COUNTIF($B$2:B728,B728)</f>
        <v>CEARA-108</v>
      </c>
      <c r="B728" s="5" t="s">
        <v>558</v>
      </c>
      <c r="C728" s="5" t="s">
        <v>5285</v>
      </c>
      <c r="D728" s="6">
        <v>-403426</v>
      </c>
      <c r="E728" s="6">
        <v>-3524</v>
      </c>
      <c r="F728" s="7">
        <v>5.5140000000000002</v>
      </c>
      <c r="G728" s="7">
        <v>4.9370000000000003</v>
      </c>
      <c r="H728" s="7">
        <v>5.2069999999999999</v>
      </c>
      <c r="I728" s="7">
        <v>5.2</v>
      </c>
      <c r="J728" s="7">
        <v>4.8600000000000003</v>
      </c>
      <c r="K728" s="7">
        <v>5.1779999999999999</v>
      </c>
      <c r="L728" s="7">
        <v>5.0720000000000001</v>
      </c>
      <c r="M728" s="7">
        <v>5.3330000000000002</v>
      </c>
      <c r="N728" s="7">
        <v>6.0460000000000003</v>
      </c>
      <c r="O728" s="7">
        <v>6.4690000000000003</v>
      </c>
      <c r="P728" s="7">
        <v>6.3979999999999997</v>
      </c>
      <c r="Q728" s="7">
        <v>6.069</v>
      </c>
      <c r="R728" s="7">
        <v>5.3940000000000001</v>
      </c>
      <c r="S728" s="7">
        <f t="shared" si="11"/>
        <v>5.5135833333333339</v>
      </c>
    </row>
    <row r="729" spans="1:19">
      <c r="A729" s="5" t="str">
        <f>B729&amp;"-"&amp;COUNTIF($B$2:B729,B729)</f>
        <v>CEARA-109</v>
      </c>
      <c r="B729" s="5" t="s">
        <v>558</v>
      </c>
      <c r="C729" s="5" t="s">
        <v>638</v>
      </c>
      <c r="D729" s="6">
        <v>-387711</v>
      </c>
      <c r="E729" s="6">
        <v>-73864</v>
      </c>
      <c r="F729" s="7">
        <v>5.8860000000000001</v>
      </c>
      <c r="G729" s="7">
        <v>6.0529999999999999</v>
      </c>
      <c r="H729" s="7">
        <v>5.9660000000000002</v>
      </c>
      <c r="I729" s="7">
        <v>5.9969999999999999</v>
      </c>
      <c r="J729" s="7">
        <v>5.7050000000000001</v>
      </c>
      <c r="K729" s="7">
        <v>5.085</v>
      </c>
      <c r="L729" s="7">
        <v>4.8</v>
      </c>
      <c r="M729" s="7">
        <v>5.0890000000000004</v>
      </c>
      <c r="N729" s="7">
        <v>5.8650000000000002</v>
      </c>
      <c r="O729" s="7">
        <v>6.5620000000000003</v>
      </c>
      <c r="P729" s="7">
        <v>6.5679999999999996</v>
      </c>
      <c r="Q729" s="7">
        <v>6.6660000000000004</v>
      </c>
      <c r="R729" s="7">
        <v>6.274</v>
      </c>
      <c r="S729" s="7">
        <f t="shared" si="11"/>
        <v>5.8858333333333333</v>
      </c>
    </row>
    <row r="730" spans="1:19">
      <c r="A730" s="5" t="str">
        <f>B730&amp;"-"&amp;COUNTIF($B$2:B730,B730)</f>
        <v>CEARA-110</v>
      </c>
      <c r="B730" s="5" t="s">
        <v>558</v>
      </c>
      <c r="C730" s="5" t="s">
        <v>639</v>
      </c>
      <c r="D730" s="6">
        <v>-404534</v>
      </c>
      <c r="E730" s="6">
        <v>-35401</v>
      </c>
      <c r="F730" s="7">
        <v>5.6070000000000002</v>
      </c>
      <c r="G730" s="7">
        <v>5.1059999999999999</v>
      </c>
      <c r="H730" s="7">
        <v>5.2830000000000004</v>
      </c>
      <c r="I730" s="7">
        <v>5.194</v>
      </c>
      <c r="J730" s="7">
        <v>4.8170000000000002</v>
      </c>
      <c r="K730" s="7">
        <v>5.1319999999999997</v>
      </c>
      <c r="L730" s="7">
        <v>5.1210000000000004</v>
      </c>
      <c r="M730" s="7">
        <v>5.4489999999999998</v>
      </c>
      <c r="N730" s="7">
        <v>6.157</v>
      </c>
      <c r="O730" s="7">
        <v>6.6109999999999998</v>
      </c>
      <c r="P730" s="7">
        <v>6.5339999999999998</v>
      </c>
      <c r="Q730" s="7">
        <v>6.2930000000000001</v>
      </c>
      <c r="R730" s="7">
        <v>5.5860000000000003</v>
      </c>
      <c r="S730" s="7">
        <f t="shared" si="11"/>
        <v>5.6069166666666668</v>
      </c>
    </row>
    <row r="731" spans="1:19">
      <c r="A731" s="5" t="str">
        <f>B731&amp;"-"&amp;COUNTIF($B$2:B731,B731)</f>
        <v>CEARA-111</v>
      </c>
      <c r="B731" s="5" t="s">
        <v>558</v>
      </c>
      <c r="C731" s="5" t="s">
        <v>466</v>
      </c>
      <c r="D731" s="6">
        <v>-389421</v>
      </c>
      <c r="E731" s="6">
        <v>-73008</v>
      </c>
      <c r="F731" s="7">
        <v>5.891</v>
      </c>
      <c r="G731" s="7">
        <v>6.0250000000000004</v>
      </c>
      <c r="H731" s="7">
        <v>5.944</v>
      </c>
      <c r="I731" s="7">
        <v>5.9269999999999996</v>
      </c>
      <c r="J731" s="7">
        <v>5.6710000000000003</v>
      </c>
      <c r="K731" s="7">
        <v>5.1740000000000004</v>
      </c>
      <c r="L731" s="7">
        <v>4.9050000000000002</v>
      </c>
      <c r="M731" s="7">
        <v>5.2270000000000003</v>
      </c>
      <c r="N731" s="7">
        <v>5.9080000000000004</v>
      </c>
      <c r="O731" s="7">
        <v>6.5570000000000004</v>
      </c>
      <c r="P731" s="7">
        <v>6.5469999999999997</v>
      </c>
      <c r="Q731" s="7">
        <v>6.6150000000000002</v>
      </c>
      <c r="R731" s="7">
        <v>6.1970000000000001</v>
      </c>
      <c r="S731" s="7">
        <f t="shared" si="11"/>
        <v>5.8914166666666672</v>
      </c>
    </row>
    <row r="732" spans="1:19">
      <c r="A732" s="5" t="str">
        <f>B732&amp;"-"&amp;COUNTIF($B$2:B732,B732)</f>
        <v>CEARA-112</v>
      </c>
      <c r="B732" s="5" t="s">
        <v>558</v>
      </c>
      <c r="C732" s="5" t="s">
        <v>5351</v>
      </c>
      <c r="D732" s="6">
        <v>-391878</v>
      </c>
      <c r="E732" s="6">
        <v>-56729</v>
      </c>
      <c r="F732" s="7">
        <v>5.76</v>
      </c>
      <c r="G732" s="7">
        <v>5.5890000000000004</v>
      </c>
      <c r="H732" s="7">
        <v>5.5869999999999997</v>
      </c>
      <c r="I732" s="7">
        <v>5.73</v>
      </c>
      <c r="J732" s="7">
        <v>5.2779999999999996</v>
      </c>
      <c r="K732" s="7">
        <v>5.0220000000000002</v>
      </c>
      <c r="L732" s="7">
        <v>5.0030000000000001</v>
      </c>
      <c r="M732" s="7">
        <v>5.3460000000000001</v>
      </c>
      <c r="N732" s="7">
        <v>6.0730000000000004</v>
      </c>
      <c r="O732" s="7">
        <v>6.4950000000000001</v>
      </c>
      <c r="P732" s="7">
        <v>6.52</v>
      </c>
      <c r="Q732" s="7">
        <v>6.5129999999999999</v>
      </c>
      <c r="R732" s="7">
        <v>5.9619999999999997</v>
      </c>
      <c r="S732" s="7">
        <f t="shared" si="11"/>
        <v>5.759833333333332</v>
      </c>
    </row>
    <row r="733" spans="1:19">
      <c r="A733" s="5" t="str">
        <f>B733&amp;"-"&amp;COUNTIF($B$2:B733,B733)</f>
        <v>CEARA-113</v>
      </c>
      <c r="B733" s="5" t="s">
        <v>558</v>
      </c>
      <c r="C733" s="5" t="s">
        <v>640</v>
      </c>
      <c r="D733" s="6">
        <v>-399684</v>
      </c>
      <c r="E733" s="6">
        <v>-35692</v>
      </c>
      <c r="F733" s="7">
        <v>5.5579999999999998</v>
      </c>
      <c r="G733" s="7">
        <v>5.1669999999999998</v>
      </c>
      <c r="H733" s="7">
        <v>5.2679999999999998</v>
      </c>
      <c r="I733" s="7">
        <v>5.1050000000000004</v>
      </c>
      <c r="J733" s="7">
        <v>4.819</v>
      </c>
      <c r="K733" s="7">
        <v>5.141</v>
      </c>
      <c r="L733" s="7">
        <v>5.0949999999999998</v>
      </c>
      <c r="M733" s="7">
        <v>5.3449999999999998</v>
      </c>
      <c r="N733" s="7">
        <v>6.1609999999999996</v>
      </c>
      <c r="O733" s="7">
        <v>6.5289999999999999</v>
      </c>
      <c r="P733" s="7">
        <v>6.4089999999999998</v>
      </c>
      <c r="Q733" s="7">
        <v>6.1769999999999996</v>
      </c>
      <c r="R733" s="7">
        <v>5.4749999999999996</v>
      </c>
      <c r="S733" s="7">
        <f t="shared" si="11"/>
        <v>5.5575833333333327</v>
      </c>
    </row>
    <row r="734" spans="1:19">
      <c r="A734" s="5" t="str">
        <f>B734&amp;"-"&amp;COUNTIF($B$2:B734,B734)</f>
        <v>CEARA-114</v>
      </c>
      <c r="B734" s="5" t="s">
        <v>558</v>
      </c>
      <c r="C734" s="5" t="s">
        <v>3923</v>
      </c>
      <c r="D734" s="6">
        <v>-391405</v>
      </c>
      <c r="E734" s="6">
        <v>-72489</v>
      </c>
      <c r="F734" s="7">
        <v>5.867</v>
      </c>
      <c r="G734" s="7">
        <v>6.0179999999999998</v>
      </c>
      <c r="H734" s="7">
        <v>5.8869999999999996</v>
      </c>
      <c r="I734" s="7">
        <v>5.9349999999999996</v>
      </c>
      <c r="J734" s="7">
        <v>5.6280000000000001</v>
      </c>
      <c r="K734" s="7">
        <v>5.1340000000000003</v>
      </c>
      <c r="L734" s="7">
        <v>4.8440000000000003</v>
      </c>
      <c r="M734" s="7">
        <v>5.1710000000000003</v>
      </c>
      <c r="N734" s="7">
        <v>5.9290000000000003</v>
      </c>
      <c r="O734" s="7">
        <v>6.5279999999999996</v>
      </c>
      <c r="P734" s="7">
        <v>6.53</v>
      </c>
      <c r="Q734" s="7">
        <v>6.61</v>
      </c>
      <c r="R734" s="7">
        <v>6.1950000000000003</v>
      </c>
      <c r="S734" s="7">
        <f t="shared" si="11"/>
        <v>5.8674166666666663</v>
      </c>
    </row>
    <row r="735" spans="1:19">
      <c r="A735" s="5" t="str">
        <f>B735&amp;"-"&amp;COUNTIF($B$2:B735,B735)</f>
        <v>CEARA-115</v>
      </c>
      <c r="B735" s="5" t="s">
        <v>558</v>
      </c>
      <c r="C735" s="5" t="s">
        <v>4625</v>
      </c>
      <c r="D735" s="6">
        <v>-396303</v>
      </c>
      <c r="E735" s="6">
        <v>-57389</v>
      </c>
      <c r="F735" s="7">
        <v>5.657</v>
      </c>
      <c r="G735" s="7">
        <v>5.359</v>
      </c>
      <c r="H735" s="7">
        <v>5.4749999999999996</v>
      </c>
      <c r="I735" s="7">
        <v>5.6020000000000003</v>
      </c>
      <c r="J735" s="7">
        <v>5.1989999999999998</v>
      </c>
      <c r="K735" s="7">
        <v>4.9980000000000002</v>
      </c>
      <c r="L735" s="7">
        <v>4.9779999999999998</v>
      </c>
      <c r="M735" s="7">
        <v>5.351</v>
      </c>
      <c r="N735" s="7">
        <v>6.0570000000000004</v>
      </c>
      <c r="O735" s="7">
        <v>6.468</v>
      </c>
      <c r="P735" s="7">
        <v>6.3959999999999999</v>
      </c>
      <c r="Q735" s="7">
        <v>6.2839999999999998</v>
      </c>
      <c r="R735" s="7">
        <v>5.7089999999999996</v>
      </c>
      <c r="S735" s="7">
        <f t="shared" si="11"/>
        <v>5.6563333333333325</v>
      </c>
    </row>
    <row r="736" spans="1:19">
      <c r="A736" s="5" t="str">
        <f>B736&amp;"-"&amp;COUNTIF($B$2:B736,B736)</f>
        <v>CEARA-116</v>
      </c>
      <c r="B736" s="5" t="s">
        <v>558</v>
      </c>
      <c r="C736" s="5" t="s">
        <v>641</v>
      </c>
      <c r="D736" s="6">
        <v>-40065</v>
      </c>
      <c r="E736" s="6">
        <v>-47914</v>
      </c>
      <c r="F736" s="7">
        <v>5.4710000000000001</v>
      </c>
      <c r="G736" s="7">
        <v>5.1310000000000002</v>
      </c>
      <c r="H736" s="7">
        <v>5.1749999999999998</v>
      </c>
      <c r="I736" s="7">
        <v>5.1970000000000001</v>
      </c>
      <c r="J736" s="7">
        <v>4.734</v>
      </c>
      <c r="K736" s="7">
        <v>4.8150000000000004</v>
      </c>
      <c r="L736" s="7">
        <v>4.7300000000000004</v>
      </c>
      <c r="M736" s="7">
        <v>5.23</v>
      </c>
      <c r="N736" s="7">
        <v>5.9930000000000003</v>
      </c>
      <c r="O736" s="7">
        <v>6.4980000000000002</v>
      </c>
      <c r="P736" s="7">
        <v>6.3659999999999997</v>
      </c>
      <c r="Q736" s="7">
        <v>6.2409999999999997</v>
      </c>
      <c r="R736" s="7">
        <v>5.5410000000000004</v>
      </c>
      <c r="S736" s="7">
        <f t="shared" si="11"/>
        <v>5.4709166666666667</v>
      </c>
    </row>
    <row r="737" spans="1:19">
      <c r="A737" s="5" t="str">
        <f>B737&amp;"-"&amp;COUNTIF($B$2:B737,B737)</f>
        <v>CEARA-117</v>
      </c>
      <c r="B737" s="5" t="s">
        <v>558</v>
      </c>
      <c r="C737" s="5" t="s">
        <v>4825</v>
      </c>
      <c r="D737" s="6">
        <v>-406799</v>
      </c>
      <c r="E737" s="6">
        <v>-34669</v>
      </c>
      <c r="F737" s="7">
        <v>5.5519999999999996</v>
      </c>
      <c r="G737" s="7">
        <v>5.1760000000000002</v>
      </c>
      <c r="H737" s="7">
        <v>5.27</v>
      </c>
      <c r="I737" s="7">
        <v>5.1189999999999998</v>
      </c>
      <c r="J737" s="7">
        <v>4.8179999999999996</v>
      </c>
      <c r="K737" s="7">
        <v>5.0670000000000002</v>
      </c>
      <c r="L737" s="7">
        <v>5.13</v>
      </c>
      <c r="M737" s="7">
        <v>5.3520000000000003</v>
      </c>
      <c r="N737" s="7">
        <v>6.0359999999999996</v>
      </c>
      <c r="O737" s="7">
        <v>6.468</v>
      </c>
      <c r="P737" s="7">
        <v>6.4119999999999999</v>
      </c>
      <c r="Q737" s="7">
        <v>6.1769999999999996</v>
      </c>
      <c r="R737" s="7">
        <v>5.593</v>
      </c>
      <c r="S737" s="7">
        <f t="shared" si="11"/>
        <v>5.5515000000000008</v>
      </c>
    </row>
    <row r="738" spans="1:19">
      <c r="A738" s="5" t="str">
        <f>B738&amp;"-"&amp;COUNTIF($B$2:B738,B738)</f>
        <v>CEARA-118</v>
      </c>
      <c r="B738" s="5" t="s">
        <v>558</v>
      </c>
      <c r="C738" s="5" t="s">
        <v>642</v>
      </c>
      <c r="D738" s="6">
        <v>-383705</v>
      </c>
      <c r="E738" s="6">
        <v>-50978</v>
      </c>
      <c r="F738" s="7">
        <v>5.8479999999999999</v>
      </c>
      <c r="G738" s="7">
        <v>5.7629999999999999</v>
      </c>
      <c r="H738" s="7">
        <v>5.8090000000000002</v>
      </c>
      <c r="I738" s="7">
        <v>5.9370000000000003</v>
      </c>
      <c r="J738" s="7">
        <v>5.4459999999999997</v>
      </c>
      <c r="K738" s="7">
        <v>5.2939999999999996</v>
      </c>
      <c r="L738" s="7">
        <v>5.0449999999999999</v>
      </c>
      <c r="M738" s="7">
        <v>5.4379999999999997</v>
      </c>
      <c r="N738" s="7">
        <v>6.07</v>
      </c>
      <c r="O738" s="7">
        <v>6.4240000000000004</v>
      </c>
      <c r="P738" s="7">
        <v>6.5880000000000001</v>
      </c>
      <c r="Q738" s="7">
        <v>6.4370000000000003</v>
      </c>
      <c r="R738" s="7">
        <v>5.93</v>
      </c>
      <c r="S738" s="7">
        <f t="shared" si="11"/>
        <v>5.8484166666666679</v>
      </c>
    </row>
    <row r="739" spans="1:19">
      <c r="A739" s="5" t="str">
        <f>B739&amp;"-"&amp;COUNTIF($B$2:B739,B739)</f>
        <v>CEARA-119</v>
      </c>
      <c r="B739" s="5" t="s">
        <v>558</v>
      </c>
      <c r="C739" s="5" t="s">
        <v>643</v>
      </c>
      <c r="D739" s="6">
        <v>-401247</v>
      </c>
      <c r="E739" s="6">
        <v>-32289</v>
      </c>
      <c r="F739" s="7">
        <v>5.4989999999999997</v>
      </c>
      <c r="G739" s="7">
        <v>5.1589999999999998</v>
      </c>
      <c r="H739" s="7">
        <v>5.14</v>
      </c>
      <c r="I739" s="7">
        <v>5.016</v>
      </c>
      <c r="J739" s="7">
        <v>4.6399999999999997</v>
      </c>
      <c r="K739" s="7">
        <v>5.1420000000000003</v>
      </c>
      <c r="L739" s="7">
        <v>5.16</v>
      </c>
      <c r="M739" s="7">
        <v>5.3330000000000002</v>
      </c>
      <c r="N739" s="7">
        <v>6.0309999999999997</v>
      </c>
      <c r="O739" s="7">
        <v>6.4020000000000001</v>
      </c>
      <c r="P739" s="7">
        <v>6.2610000000000001</v>
      </c>
      <c r="Q739" s="7">
        <v>6.1539999999999999</v>
      </c>
      <c r="R739" s="7">
        <v>5.5460000000000003</v>
      </c>
      <c r="S739" s="7">
        <f t="shared" si="11"/>
        <v>5.4986666666666677</v>
      </c>
    </row>
    <row r="740" spans="1:19">
      <c r="A740" s="5" t="str">
        <f>B740&amp;"-"&amp;COUNTIF($B$2:B740,B740)</f>
        <v>CEARA-120</v>
      </c>
      <c r="B740" s="5" t="s">
        <v>558</v>
      </c>
      <c r="C740" s="5" t="s">
        <v>644</v>
      </c>
      <c r="D740" s="6">
        <v>-40746</v>
      </c>
      <c r="E740" s="6">
        <v>-3906</v>
      </c>
      <c r="F740" s="7">
        <v>5.4340000000000002</v>
      </c>
      <c r="G740" s="7">
        <v>4.9459999999999997</v>
      </c>
      <c r="H740" s="7">
        <v>5.181</v>
      </c>
      <c r="I740" s="7">
        <v>5.1749999999999998</v>
      </c>
      <c r="J740" s="7">
        <v>4.843</v>
      </c>
      <c r="K740" s="7">
        <v>4.944</v>
      </c>
      <c r="L740" s="7">
        <v>4.9409999999999998</v>
      </c>
      <c r="M740" s="7">
        <v>5.2450000000000001</v>
      </c>
      <c r="N740" s="7">
        <v>5.9320000000000004</v>
      </c>
      <c r="O740" s="7">
        <v>6.4080000000000004</v>
      </c>
      <c r="P740" s="7">
        <v>6.3109999999999999</v>
      </c>
      <c r="Q740" s="7">
        <v>5.9729999999999999</v>
      </c>
      <c r="R740" s="7">
        <v>5.31</v>
      </c>
      <c r="S740" s="7">
        <f t="shared" si="11"/>
        <v>5.4340833333333336</v>
      </c>
    </row>
    <row r="741" spans="1:19">
      <c r="A741" s="5" t="str">
        <f>B741&amp;"-"&amp;COUNTIF($B$2:B741,B741)</f>
        <v>CEARA-121</v>
      </c>
      <c r="B741" s="5" t="s">
        <v>558</v>
      </c>
      <c r="C741" s="5" t="s">
        <v>645</v>
      </c>
      <c r="D741" s="6">
        <v>-389954</v>
      </c>
      <c r="E741" s="6">
        <v>-43033</v>
      </c>
      <c r="F741" s="7">
        <v>5.4379999999999997</v>
      </c>
      <c r="G741" s="7">
        <v>5.2320000000000002</v>
      </c>
      <c r="H741" s="7">
        <v>5.1539999999999999</v>
      </c>
      <c r="I741" s="7">
        <v>5.1120000000000001</v>
      </c>
      <c r="J741" s="7">
        <v>4.5940000000000003</v>
      </c>
      <c r="K741" s="7">
        <v>4.8449999999999998</v>
      </c>
      <c r="L741" s="7">
        <v>4.7169999999999996</v>
      </c>
      <c r="M741" s="7">
        <v>5.2539999999999996</v>
      </c>
      <c r="N741" s="7">
        <v>6.09</v>
      </c>
      <c r="O741" s="7">
        <v>6.4080000000000004</v>
      </c>
      <c r="P741" s="7">
        <v>6.2610000000000001</v>
      </c>
      <c r="Q741" s="7">
        <v>6.117</v>
      </c>
      <c r="R741" s="7">
        <v>5.4790000000000001</v>
      </c>
      <c r="S741" s="7">
        <f t="shared" si="11"/>
        <v>5.4385833333333329</v>
      </c>
    </row>
    <row r="742" spans="1:19">
      <c r="A742" s="5" t="str">
        <f>B742&amp;"-"&amp;COUNTIF($B$2:B742,B742)</f>
        <v>CEARA-122</v>
      </c>
      <c r="B742" s="5" t="s">
        <v>558</v>
      </c>
      <c r="C742" s="5" t="s">
        <v>646</v>
      </c>
      <c r="D742" s="6">
        <v>-396752</v>
      </c>
      <c r="E742" s="6">
        <v>-70887</v>
      </c>
      <c r="F742" s="7">
        <v>5.8609999999999998</v>
      </c>
      <c r="G742" s="7">
        <v>5.8410000000000002</v>
      </c>
      <c r="H742" s="7">
        <v>5.78</v>
      </c>
      <c r="I742" s="7">
        <v>5.78</v>
      </c>
      <c r="J742" s="7">
        <v>5.4829999999999997</v>
      </c>
      <c r="K742" s="7">
        <v>5.1820000000000004</v>
      </c>
      <c r="L742" s="7">
        <v>5.0339999999999998</v>
      </c>
      <c r="M742" s="7">
        <v>5.335</v>
      </c>
      <c r="N742" s="7">
        <v>6.0620000000000003</v>
      </c>
      <c r="O742" s="7">
        <v>6.5540000000000003</v>
      </c>
      <c r="P742" s="7">
        <v>6.5510000000000002</v>
      </c>
      <c r="Q742" s="7">
        <v>6.53</v>
      </c>
      <c r="R742" s="7">
        <v>6.194</v>
      </c>
      <c r="S742" s="7">
        <f t="shared" si="11"/>
        <v>5.8605000000000009</v>
      </c>
    </row>
    <row r="743" spans="1:19">
      <c r="A743" s="5" t="str">
        <f>B743&amp;"-"&amp;COUNTIF($B$2:B743,B743)</f>
        <v>CEARA-123</v>
      </c>
      <c r="B743" s="5" t="s">
        <v>558</v>
      </c>
      <c r="C743" s="5" t="s">
        <v>647</v>
      </c>
      <c r="D743" s="6">
        <v>-405639</v>
      </c>
      <c r="E743" s="6">
        <v>-47054</v>
      </c>
      <c r="F743" s="7">
        <v>5.5949999999999998</v>
      </c>
      <c r="G743" s="7">
        <v>5.1109999999999998</v>
      </c>
      <c r="H743" s="7">
        <v>5.3550000000000004</v>
      </c>
      <c r="I743" s="7">
        <v>5.452</v>
      </c>
      <c r="J743" s="7">
        <v>5.0510000000000002</v>
      </c>
      <c r="K743" s="7">
        <v>5.1070000000000002</v>
      </c>
      <c r="L743" s="7">
        <v>4.968</v>
      </c>
      <c r="M743" s="7">
        <v>5.306</v>
      </c>
      <c r="N743" s="7">
        <v>6.0330000000000004</v>
      </c>
      <c r="O743" s="7">
        <v>6.5279999999999996</v>
      </c>
      <c r="P743" s="7">
        <v>6.4290000000000003</v>
      </c>
      <c r="Q743" s="7">
        <v>6.242</v>
      </c>
      <c r="R743" s="7">
        <v>5.5529999999999999</v>
      </c>
      <c r="S743" s="7">
        <f t="shared" si="11"/>
        <v>5.5945833333333335</v>
      </c>
    </row>
    <row r="744" spans="1:19">
      <c r="A744" s="5" t="str">
        <f>B744&amp;"-"&amp;COUNTIF($B$2:B744,B744)</f>
        <v>CEARA-124</v>
      </c>
      <c r="B744" s="5" t="s">
        <v>558</v>
      </c>
      <c r="C744" s="5" t="s">
        <v>648</v>
      </c>
      <c r="D744" s="6">
        <v>-407716</v>
      </c>
      <c r="E744" s="6">
        <v>-55259</v>
      </c>
      <c r="F744" s="7">
        <v>5.5640000000000001</v>
      </c>
      <c r="G744" s="7">
        <v>5.0819999999999999</v>
      </c>
      <c r="H744" s="7">
        <v>5.2350000000000003</v>
      </c>
      <c r="I744" s="7">
        <v>5.3719999999999999</v>
      </c>
      <c r="J744" s="7">
        <v>5.0350000000000001</v>
      </c>
      <c r="K744" s="7">
        <v>4.9269999999999996</v>
      </c>
      <c r="L744" s="7">
        <v>5.0179999999999998</v>
      </c>
      <c r="M744" s="7">
        <v>5.3780000000000001</v>
      </c>
      <c r="N744" s="7">
        <v>6.1269999999999998</v>
      </c>
      <c r="O744" s="7">
        <v>6.476</v>
      </c>
      <c r="P744" s="7">
        <v>6.34</v>
      </c>
      <c r="Q744" s="7">
        <v>6.194</v>
      </c>
      <c r="R744" s="7">
        <v>5.58</v>
      </c>
      <c r="S744" s="7">
        <f t="shared" si="11"/>
        <v>5.5636666666666663</v>
      </c>
    </row>
    <row r="745" spans="1:19">
      <c r="A745" s="5" t="str">
        <f>B745&amp;"-"&amp;COUNTIF($B$2:B745,B745)</f>
        <v>CEARA-125</v>
      </c>
      <c r="B745" s="5" t="s">
        <v>558</v>
      </c>
      <c r="C745" s="5" t="s">
        <v>649</v>
      </c>
      <c r="D745" s="6">
        <v>-385936</v>
      </c>
      <c r="E745" s="6">
        <v>-44856</v>
      </c>
      <c r="F745" s="7">
        <v>5.6719999999999997</v>
      </c>
      <c r="G745" s="7">
        <v>5.4859999999999998</v>
      </c>
      <c r="H745" s="7">
        <v>5.5570000000000004</v>
      </c>
      <c r="I745" s="7">
        <v>5.5890000000000004</v>
      </c>
      <c r="J745" s="7">
        <v>5.1369999999999996</v>
      </c>
      <c r="K745" s="7">
        <v>5.2409999999999997</v>
      </c>
      <c r="L745" s="7">
        <v>5.0739999999999998</v>
      </c>
      <c r="M745" s="7">
        <v>5.43</v>
      </c>
      <c r="N745" s="7">
        <v>6.0350000000000001</v>
      </c>
      <c r="O745" s="7">
        <v>6.3570000000000002</v>
      </c>
      <c r="P745" s="7">
        <v>6.3310000000000004</v>
      </c>
      <c r="Q745" s="7">
        <v>6.1449999999999996</v>
      </c>
      <c r="R745" s="7">
        <v>5.6870000000000003</v>
      </c>
      <c r="S745" s="7">
        <f t="shared" si="11"/>
        <v>5.672416666666666</v>
      </c>
    </row>
    <row r="746" spans="1:19">
      <c r="A746" s="5" t="str">
        <f>B746&amp;"-"&amp;COUNTIF($B$2:B746,B746)</f>
        <v>CEARA-126</v>
      </c>
      <c r="B746" s="5" t="s">
        <v>558</v>
      </c>
      <c r="C746" s="5" t="s">
        <v>5068</v>
      </c>
      <c r="D746" s="6">
        <v>-389056</v>
      </c>
      <c r="E746" s="6">
        <v>-62522</v>
      </c>
      <c r="F746" s="7">
        <v>5.8890000000000002</v>
      </c>
      <c r="G746" s="7">
        <v>5.8440000000000003</v>
      </c>
      <c r="H746" s="7">
        <v>5.8479999999999999</v>
      </c>
      <c r="I746" s="7">
        <v>5.9470000000000001</v>
      </c>
      <c r="J746" s="7">
        <v>5.617</v>
      </c>
      <c r="K746" s="7">
        <v>5.2549999999999999</v>
      </c>
      <c r="L746" s="7">
        <v>5.0869999999999997</v>
      </c>
      <c r="M746" s="7">
        <v>5.41</v>
      </c>
      <c r="N746" s="7">
        <v>6.1449999999999996</v>
      </c>
      <c r="O746" s="7">
        <v>6.407</v>
      </c>
      <c r="P746" s="7">
        <v>6.4669999999999996</v>
      </c>
      <c r="Q746" s="7">
        <v>6.556</v>
      </c>
      <c r="R746" s="7">
        <v>6.0860000000000003</v>
      </c>
      <c r="S746" s="7">
        <f t="shared" si="11"/>
        <v>5.8890833333333319</v>
      </c>
    </row>
    <row r="747" spans="1:19">
      <c r="A747" s="5" t="str">
        <f>B747&amp;"-"&amp;COUNTIF($B$2:B747,B747)</f>
        <v>CEARA-127</v>
      </c>
      <c r="B747" s="5" t="s">
        <v>558</v>
      </c>
      <c r="C747" s="5" t="s">
        <v>650</v>
      </c>
      <c r="D747" s="6">
        <v>-384653</v>
      </c>
      <c r="E747" s="6">
        <v>-41715</v>
      </c>
      <c r="F747" s="7">
        <v>5.694</v>
      </c>
      <c r="G747" s="7">
        <v>5.6379999999999999</v>
      </c>
      <c r="H747" s="7">
        <v>5.6740000000000004</v>
      </c>
      <c r="I747" s="7">
        <v>5.5209999999999999</v>
      </c>
      <c r="J747" s="7">
        <v>4.9690000000000003</v>
      </c>
      <c r="K747" s="7">
        <v>5.2380000000000004</v>
      </c>
      <c r="L747" s="7">
        <v>5.1020000000000003</v>
      </c>
      <c r="M747" s="7">
        <v>5.4080000000000004</v>
      </c>
      <c r="N747" s="7">
        <v>6.0369999999999999</v>
      </c>
      <c r="O747" s="7">
        <v>6.2430000000000003</v>
      </c>
      <c r="P747" s="7">
        <v>6.3289999999999997</v>
      </c>
      <c r="Q747" s="7">
        <v>6.2930000000000001</v>
      </c>
      <c r="R747" s="7">
        <v>5.8689999999999998</v>
      </c>
      <c r="S747" s="7">
        <f t="shared" si="11"/>
        <v>5.6934166666666668</v>
      </c>
    </row>
    <row r="748" spans="1:19">
      <c r="A748" s="5" t="str">
        <f>B748&amp;"-"&amp;COUNTIF($B$2:B748,B748)</f>
        <v>CEARA-128</v>
      </c>
      <c r="B748" s="5" t="s">
        <v>558</v>
      </c>
      <c r="C748" s="5" t="s">
        <v>651</v>
      </c>
      <c r="D748" s="6">
        <v>-386186</v>
      </c>
      <c r="E748" s="6">
        <v>-39788</v>
      </c>
      <c r="F748" s="7">
        <v>5.4329999999999998</v>
      </c>
      <c r="G748" s="7">
        <v>5.3140000000000001</v>
      </c>
      <c r="H748" s="7">
        <v>5.3259999999999996</v>
      </c>
      <c r="I748" s="7">
        <v>5.165</v>
      </c>
      <c r="J748" s="7">
        <v>4.6050000000000004</v>
      </c>
      <c r="K748" s="7">
        <v>4.9249999999999998</v>
      </c>
      <c r="L748" s="7">
        <v>4.915</v>
      </c>
      <c r="M748" s="7">
        <v>5.3019999999999996</v>
      </c>
      <c r="N748" s="7">
        <v>5.9720000000000004</v>
      </c>
      <c r="O748" s="7">
        <v>6.1520000000000001</v>
      </c>
      <c r="P748" s="7">
        <v>6.0339999999999998</v>
      </c>
      <c r="Q748" s="7">
        <v>6.0149999999999997</v>
      </c>
      <c r="R748" s="7">
        <v>5.4740000000000002</v>
      </c>
      <c r="S748" s="7">
        <f t="shared" si="11"/>
        <v>5.4332500000000001</v>
      </c>
    </row>
    <row r="749" spans="1:19">
      <c r="A749" s="5" t="str">
        <f>B749&amp;"-"&amp;COUNTIF($B$2:B749,B749)</f>
        <v>CEARA-129</v>
      </c>
      <c r="B749" s="5" t="s">
        <v>558</v>
      </c>
      <c r="C749" s="5" t="s">
        <v>652</v>
      </c>
      <c r="D749" s="6">
        <v>-389223</v>
      </c>
      <c r="E749" s="6">
        <v>-42253</v>
      </c>
      <c r="F749" s="7">
        <v>5.6150000000000002</v>
      </c>
      <c r="G749" s="7">
        <v>5.3559999999999999</v>
      </c>
      <c r="H749" s="7">
        <v>5.3289999999999997</v>
      </c>
      <c r="I749" s="7">
        <v>5.21</v>
      </c>
      <c r="J749" s="7">
        <v>4.72</v>
      </c>
      <c r="K749" s="7">
        <v>5.0910000000000002</v>
      </c>
      <c r="L749" s="7">
        <v>4.9950000000000001</v>
      </c>
      <c r="M749" s="7">
        <v>5.4160000000000004</v>
      </c>
      <c r="N749" s="7">
        <v>6.2220000000000004</v>
      </c>
      <c r="O749" s="7">
        <v>6.609</v>
      </c>
      <c r="P749" s="7">
        <v>6.4729999999999999</v>
      </c>
      <c r="Q749" s="7">
        <v>6.3070000000000004</v>
      </c>
      <c r="R749" s="7">
        <v>5.6529999999999996</v>
      </c>
      <c r="S749" s="7">
        <f t="shared" si="11"/>
        <v>5.6150833333333345</v>
      </c>
    </row>
    <row r="750" spans="1:19">
      <c r="A750" s="5" t="str">
        <f>B750&amp;"-"&amp;COUNTIF($B$2:B750,B750)</f>
        <v>CEARA-130</v>
      </c>
      <c r="B750" s="5" t="s">
        <v>558</v>
      </c>
      <c r="C750" s="5" t="s">
        <v>5490</v>
      </c>
      <c r="D750" s="6">
        <v>-406992</v>
      </c>
      <c r="E750" s="6">
        <v>-39837</v>
      </c>
      <c r="F750" s="7">
        <v>5.4080000000000004</v>
      </c>
      <c r="G750" s="7">
        <v>4.9710000000000001</v>
      </c>
      <c r="H750" s="7">
        <v>5.157</v>
      </c>
      <c r="I750" s="7">
        <v>5.1260000000000003</v>
      </c>
      <c r="J750" s="7">
        <v>4.7859999999999996</v>
      </c>
      <c r="K750" s="7">
        <v>4.8739999999999997</v>
      </c>
      <c r="L750" s="7">
        <v>4.915</v>
      </c>
      <c r="M750" s="7">
        <v>5.2169999999999996</v>
      </c>
      <c r="N750" s="7">
        <v>5.9329999999999998</v>
      </c>
      <c r="O750" s="7">
        <v>6.3929999999999998</v>
      </c>
      <c r="P750" s="7">
        <v>6.2720000000000002</v>
      </c>
      <c r="Q750" s="7">
        <v>5.9710000000000001</v>
      </c>
      <c r="R750" s="7">
        <v>5.2869999999999999</v>
      </c>
      <c r="S750" s="7">
        <f t="shared" si="11"/>
        <v>5.4085000000000001</v>
      </c>
    </row>
    <row r="751" spans="1:19">
      <c r="A751" s="5" t="str">
        <f>B751&amp;"-"&amp;COUNTIF($B$2:B751,B751)</f>
        <v>CEARA-131</v>
      </c>
      <c r="B751" s="5" t="s">
        <v>558</v>
      </c>
      <c r="C751" s="5" t="s">
        <v>653</v>
      </c>
      <c r="D751" s="6">
        <v>-379659</v>
      </c>
      <c r="E751" s="6">
        <v>-47371</v>
      </c>
      <c r="F751" s="7">
        <v>5.7770000000000001</v>
      </c>
      <c r="G751" s="7">
        <v>5.7350000000000003</v>
      </c>
      <c r="H751" s="7">
        <v>5.8479999999999999</v>
      </c>
      <c r="I751" s="7">
        <v>5.8339999999999996</v>
      </c>
      <c r="J751" s="7">
        <v>5.3140000000000001</v>
      </c>
      <c r="K751" s="7">
        <v>5.3040000000000003</v>
      </c>
      <c r="L751" s="7">
        <v>5.0460000000000003</v>
      </c>
      <c r="M751" s="7">
        <v>5.3259999999999996</v>
      </c>
      <c r="N751" s="7">
        <v>5.9619999999999997</v>
      </c>
      <c r="O751" s="7">
        <v>6.2869999999999999</v>
      </c>
      <c r="P751" s="7">
        <v>6.3620000000000001</v>
      </c>
      <c r="Q751" s="7">
        <v>6.327</v>
      </c>
      <c r="R751" s="7">
        <v>5.9779999999999998</v>
      </c>
      <c r="S751" s="7">
        <f t="shared" si="11"/>
        <v>5.7769166666666658</v>
      </c>
    </row>
    <row r="752" spans="1:19">
      <c r="A752" s="5" t="str">
        <f>B752&amp;"-"&amp;COUNTIF($B$2:B752,B752)</f>
        <v>CEARA-132</v>
      </c>
      <c r="B752" s="5" t="s">
        <v>558</v>
      </c>
      <c r="C752" s="5" t="s">
        <v>5491</v>
      </c>
      <c r="D752" s="6">
        <v>-388449</v>
      </c>
      <c r="E752" s="6">
        <v>-41387</v>
      </c>
      <c r="F752" s="7">
        <v>5.59</v>
      </c>
      <c r="G752" s="7">
        <v>5.3170000000000002</v>
      </c>
      <c r="H752" s="7">
        <v>5.3940000000000001</v>
      </c>
      <c r="I752" s="7">
        <v>5.32</v>
      </c>
      <c r="J752" s="7">
        <v>4.843</v>
      </c>
      <c r="K752" s="7">
        <v>5.1760000000000002</v>
      </c>
      <c r="L752" s="7">
        <v>5.1100000000000003</v>
      </c>
      <c r="M752" s="7">
        <v>5.4189999999999996</v>
      </c>
      <c r="N752" s="7">
        <v>6.1459999999999999</v>
      </c>
      <c r="O752" s="7">
        <v>6.4059999999999997</v>
      </c>
      <c r="P752" s="7">
        <v>6.274</v>
      </c>
      <c r="Q752" s="7">
        <v>6.1520000000000001</v>
      </c>
      <c r="R752" s="7">
        <v>5.5250000000000004</v>
      </c>
      <c r="S752" s="7">
        <f t="shared" si="11"/>
        <v>5.5901666666666658</v>
      </c>
    </row>
    <row r="753" spans="1:19">
      <c r="A753" s="5" t="str">
        <f>B753&amp;"-"&amp;COUNTIF($B$2:B753,B753)</f>
        <v>CEARA-133</v>
      </c>
      <c r="B753" s="5" t="s">
        <v>558</v>
      </c>
      <c r="C753" s="5" t="s">
        <v>654</v>
      </c>
      <c r="D753" s="6">
        <v>-390303</v>
      </c>
      <c r="E753" s="6">
        <v>-34148</v>
      </c>
      <c r="F753" s="7">
        <v>5.6929999999999996</v>
      </c>
      <c r="G753" s="7">
        <v>5.7839999999999998</v>
      </c>
      <c r="H753" s="7">
        <v>5.8280000000000003</v>
      </c>
      <c r="I753" s="7">
        <v>5.5439999999999996</v>
      </c>
      <c r="J753" s="7">
        <v>4.8070000000000004</v>
      </c>
      <c r="K753" s="7">
        <v>5.2510000000000003</v>
      </c>
      <c r="L753" s="7">
        <v>5.26</v>
      </c>
      <c r="M753" s="7">
        <v>5.4649999999999999</v>
      </c>
      <c r="N753" s="7">
        <v>5.883</v>
      </c>
      <c r="O753" s="7">
        <v>5.9640000000000004</v>
      </c>
      <c r="P753" s="7">
        <v>6.1020000000000003</v>
      </c>
      <c r="Q753" s="7">
        <v>6.3520000000000003</v>
      </c>
      <c r="R753" s="7">
        <v>6.0720000000000001</v>
      </c>
      <c r="S753" s="7">
        <f t="shared" si="11"/>
        <v>5.6926666666666677</v>
      </c>
    </row>
    <row r="754" spans="1:19">
      <c r="A754" s="5" t="str">
        <f>B754&amp;"-"&amp;COUNTIF($B$2:B754,B754)</f>
        <v>CEARA-134</v>
      </c>
      <c r="B754" s="5" t="s">
        <v>558</v>
      </c>
      <c r="C754" s="5" t="s">
        <v>655</v>
      </c>
      <c r="D754" s="6">
        <v>-391482</v>
      </c>
      <c r="E754" s="6">
        <v>-34384</v>
      </c>
      <c r="F754" s="7">
        <v>5.6840000000000002</v>
      </c>
      <c r="G754" s="7">
        <v>5.7320000000000002</v>
      </c>
      <c r="H754" s="7">
        <v>5.7549999999999999</v>
      </c>
      <c r="I754" s="7">
        <v>5.4669999999999996</v>
      </c>
      <c r="J754" s="7">
        <v>4.7539999999999996</v>
      </c>
      <c r="K754" s="7">
        <v>5.1619999999999999</v>
      </c>
      <c r="L754" s="7">
        <v>5.2069999999999999</v>
      </c>
      <c r="M754" s="7">
        <v>5.4260000000000002</v>
      </c>
      <c r="N754" s="7">
        <v>5.9</v>
      </c>
      <c r="O754" s="7">
        <v>6.1449999999999996</v>
      </c>
      <c r="P754" s="7">
        <v>6.2080000000000002</v>
      </c>
      <c r="Q754" s="7">
        <v>6.375</v>
      </c>
      <c r="R754" s="7">
        <v>6.08</v>
      </c>
      <c r="S754" s="7">
        <f t="shared" si="11"/>
        <v>5.6842499999999996</v>
      </c>
    </row>
    <row r="755" spans="1:19">
      <c r="A755" s="5" t="str">
        <f>B755&amp;"-"&amp;COUNTIF($B$2:B755,B755)</f>
        <v>CEARA-135</v>
      </c>
      <c r="B755" s="5" t="s">
        <v>558</v>
      </c>
      <c r="C755" s="5" t="s">
        <v>656</v>
      </c>
      <c r="D755" s="6">
        <v>-406909</v>
      </c>
      <c r="E755" s="6">
        <v>-62081</v>
      </c>
      <c r="F755" s="7">
        <v>5.6219999999999999</v>
      </c>
      <c r="G755" s="7">
        <v>5.2880000000000003</v>
      </c>
      <c r="H755" s="7">
        <v>5.29</v>
      </c>
      <c r="I755" s="7">
        <v>5.3689999999999998</v>
      </c>
      <c r="J755" s="7">
        <v>5.0469999999999997</v>
      </c>
      <c r="K755" s="7">
        <v>4.9729999999999999</v>
      </c>
      <c r="L755" s="7">
        <v>5.0270000000000001</v>
      </c>
      <c r="M755" s="7">
        <v>5.4349999999999996</v>
      </c>
      <c r="N755" s="7">
        <v>6.2480000000000002</v>
      </c>
      <c r="O755" s="7">
        <v>6.5519999999999996</v>
      </c>
      <c r="P755" s="7">
        <v>6.383</v>
      </c>
      <c r="Q755" s="7">
        <v>6.2220000000000004</v>
      </c>
      <c r="R755" s="7">
        <v>5.6230000000000002</v>
      </c>
      <c r="S755" s="7">
        <f t="shared" si="11"/>
        <v>5.6214166666666676</v>
      </c>
    </row>
    <row r="756" spans="1:19">
      <c r="A756" s="5" t="str">
        <f>B756&amp;"-"&amp;COUNTIF($B$2:B756,B756)</f>
        <v>CEARA-136</v>
      </c>
      <c r="B756" s="5" t="s">
        <v>558</v>
      </c>
      <c r="C756" s="5" t="s">
        <v>657</v>
      </c>
      <c r="D756" s="6">
        <v>-39242</v>
      </c>
      <c r="E756" s="6">
        <v>-40885</v>
      </c>
      <c r="F756" s="7">
        <v>5.61</v>
      </c>
      <c r="G756" s="7">
        <v>5.2309999999999999</v>
      </c>
      <c r="H756" s="7">
        <v>5.3869999999999996</v>
      </c>
      <c r="I756" s="7">
        <v>5.28</v>
      </c>
      <c r="J756" s="7">
        <v>4.9240000000000004</v>
      </c>
      <c r="K756" s="7">
        <v>5.1840000000000002</v>
      </c>
      <c r="L756" s="7">
        <v>5.0510000000000002</v>
      </c>
      <c r="M756" s="7">
        <v>5.3250000000000002</v>
      </c>
      <c r="N756" s="7">
        <v>6.0739999999999998</v>
      </c>
      <c r="O756" s="7">
        <v>6.5460000000000003</v>
      </c>
      <c r="P756" s="7">
        <v>6.4480000000000004</v>
      </c>
      <c r="Q756" s="7">
        <v>6.2370000000000001</v>
      </c>
      <c r="R756" s="7">
        <v>5.6349999999999998</v>
      </c>
      <c r="S756" s="7">
        <f t="shared" si="11"/>
        <v>5.6101666666666672</v>
      </c>
    </row>
    <row r="757" spans="1:19">
      <c r="A757" s="5" t="str">
        <f>B757&amp;"-"&amp;COUNTIF($B$2:B757,B757)</f>
        <v>CEARA-137</v>
      </c>
      <c r="B757" s="5" t="s">
        <v>558</v>
      </c>
      <c r="C757" s="5" t="s">
        <v>658</v>
      </c>
      <c r="D757" s="6">
        <v>-397081</v>
      </c>
      <c r="E757" s="6">
        <v>-54538</v>
      </c>
      <c r="F757" s="7">
        <v>5.5940000000000003</v>
      </c>
      <c r="G757" s="7">
        <v>5.359</v>
      </c>
      <c r="H757" s="7">
        <v>5.4039999999999999</v>
      </c>
      <c r="I757" s="7">
        <v>5.4909999999999997</v>
      </c>
      <c r="J757" s="7">
        <v>5.0430000000000001</v>
      </c>
      <c r="K757" s="7">
        <v>4.8630000000000004</v>
      </c>
      <c r="L757" s="7">
        <v>4.9009999999999998</v>
      </c>
      <c r="M757" s="7">
        <v>5.3170000000000002</v>
      </c>
      <c r="N757" s="7">
        <v>6.0069999999999997</v>
      </c>
      <c r="O757" s="7">
        <v>6.4219999999999997</v>
      </c>
      <c r="P757" s="7">
        <v>6.3239999999999998</v>
      </c>
      <c r="Q757" s="7">
        <v>6.2889999999999997</v>
      </c>
      <c r="R757" s="7">
        <v>5.7069999999999999</v>
      </c>
      <c r="S757" s="7">
        <f t="shared" si="11"/>
        <v>5.593916666666666</v>
      </c>
    </row>
    <row r="758" spans="1:19">
      <c r="A758" s="5" t="str">
        <f>B758&amp;"-"&amp;COUNTIF($B$2:B758,B758)</f>
        <v>CEARA-138</v>
      </c>
      <c r="B758" s="5" t="s">
        <v>558</v>
      </c>
      <c r="C758" s="5" t="s">
        <v>659</v>
      </c>
      <c r="D758" s="6">
        <v>-390722</v>
      </c>
      <c r="E758" s="6">
        <v>-78291</v>
      </c>
      <c r="F758" s="7">
        <v>5.7430000000000003</v>
      </c>
      <c r="G758" s="7">
        <v>5.9989999999999997</v>
      </c>
      <c r="H758" s="7">
        <v>6.0030000000000001</v>
      </c>
      <c r="I758" s="7">
        <v>5.9820000000000002</v>
      </c>
      <c r="J758" s="7">
        <v>5.4770000000000003</v>
      </c>
      <c r="K758" s="7">
        <v>4.8159999999999998</v>
      </c>
      <c r="L758" s="7">
        <v>4.4960000000000004</v>
      </c>
      <c r="M758" s="7">
        <v>4.7770000000000001</v>
      </c>
      <c r="N758" s="7">
        <v>5.5350000000000001</v>
      </c>
      <c r="O758" s="7">
        <v>6.4450000000000003</v>
      </c>
      <c r="P758" s="7">
        <v>6.4390000000000001</v>
      </c>
      <c r="Q758" s="7">
        <v>6.617</v>
      </c>
      <c r="R758" s="7">
        <v>6.3239999999999998</v>
      </c>
      <c r="S758" s="7">
        <f t="shared" si="11"/>
        <v>5.7424999999999997</v>
      </c>
    </row>
    <row r="759" spans="1:19">
      <c r="A759" s="5" t="str">
        <f>B759&amp;"-"&amp;COUNTIF($B$2:B759,B759)</f>
        <v>CEARA-139</v>
      </c>
      <c r="B759" s="5" t="s">
        <v>558</v>
      </c>
      <c r="C759" s="5" t="s">
        <v>660</v>
      </c>
      <c r="D759" s="6">
        <v>-392695</v>
      </c>
      <c r="E759" s="6">
        <v>-37931</v>
      </c>
      <c r="F759" s="7">
        <v>5.6079999999999997</v>
      </c>
      <c r="G759" s="7">
        <v>5.3049999999999997</v>
      </c>
      <c r="H759" s="7">
        <v>5.4580000000000002</v>
      </c>
      <c r="I759" s="7">
        <v>5.3</v>
      </c>
      <c r="J759" s="7">
        <v>4.8540000000000001</v>
      </c>
      <c r="K759" s="7">
        <v>5.22</v>
      </c>
      <c r="L759" s="7">
        <v>5.0890000000000004</v>
      </c>
      <c r="M759" s="7">
        <v>5.3470000000000004</v>
      </c>
      <c r="N759" s="7">
        <v>6.0979999999999999</v>
      </c>
      <c r="O759" s="7">
        <v>6.4560000000000004</v>
      </c>
      <c r="P759" s="7">
        <v>6.3490000000000002</v>
      </c>
      <c r="Q759" s="7">
        <v>6.2069999999999999</v>
      </c>
      <c r="R759" s="7">
        <v>5.6130000000000004</v>
      </c>
      <c r="S759" s="7">
        <f t="shared" si="11"/>
        <v>5.6080000000000005</v>
      </c>
    </row>
    <row r="760" spans="1:19">
      <c r="A760" s="5" t="str">
        <f>B760&amp;"-"&amp;COUNTIF($B$2:B760,B760)</f>
        <v>CEARA-140</v>
      </c>
      <c r="B760" s="5" t="s">
        <v>558</v>
      </c>
      <c r="C760" s="5" t="s">
        <v>661</v>
      </c>
      <c r="D760" s="6">
        <v>-384627</v>
      </c>
      <c r="E760" s="6">
        <v>-60362</v>
      </c>
      <c r="F760" s="7">
        <v>5.931</v>
      </c>
      <c r="G760" s="7">
        <v>5.9050000000000002</v>
      </c>
      <c r="H760" s="7">
        <v>5.9119999999999999</v>
      </c>
      <c r="I760" s="7">
        <v>5.94</v>
      </c>
      <c r="J760" s="7">
        <v>5.5919999999999996</v>
      </c>
      <c r="K760" s="7">
        <v>5.2679999999999998</v>
      </c>
      <c r="L760" s="7">
        <v>5.0940000000000003</v>
      </c>
      <c r="M760" s="7">
        <v>5.42</v>
      </c>
      <c r="N760" s="7">
        <v>6.1</v>
      </c>
      <c r="O760" s="7">
        <v>6.48</v>
      </c>
      <c r="P760" s="7">
        <v>6.6619999999999999</v>
      </c>
      <c r="Q760" s="7">
        <v>6.6529999999999996</v>
      </c>
      <c r="R760" s="7">
        <v>6.1459999999999999</v>
      </c>
      <c r="S760" s="7">
        <f t="shared" si="11"/>
        <v>5.931</v>
      </c>
    </row>
    <row r="761" spans="1:19">
      <c r="A761" s="5" t="str">
        <f>B761&amp;"-"&amp;COUNTIF($B$2:B761,B761)</f>
        <v>CEARA-141</v>
      </c>
      <c r="B761" s="5" t="s">
        <v>558</v>
      </c>
      <c r="C761" s="5" t="s">
        <v>662</v>
      </c>
      <c r="D761" s="6">
        <v>-383064</v>
      </c>
      <c r="E761" s="6">
        <v>-40162</v>
      </c>
      <c r="F761" s="7">
        <v>5.8019999999999996</v>
      </c>
      <c r="G761" s="7">
        <v>5.8120000000000003</v>
      </c>
      <c r="H761" s="7">
        <v>5.9139999999999997</v>
      </c>
      <c r="I761" s="7">
        <v>5.6420000000000003</v>
      </c>
      <c r="J761" s="7">
        <v>5.0199999999999996</v>
      </c>
      <c r="K761" s="7">
        <v>5.3239999999999998</v>
      </c>
      <c r="L761" s="7">
        <v>5.3259999999999996</v>
      </c>
      <c r="M761" s="7">
        <v>5.5359999999999996</v>
      </c>
      <c r="N761" s="7">
        <v>6.0670000000000002</v>
      </c>
      <c r="O761" s="7">
        <v>6.1920000000000002</v>
      </c>
      <c r="P761" s="7">
        <v>6.3869999999999996</v>
      </c>
      <c r="Q761" s="7">
        <v>6.4189999999999996</v>
      </c>
      <c r="R761" s="7">
        <v>5.9859999999999998</v>
      </c>
      <c r="S761" s="7">
        <f t="shared" si="11"/>
        <v>5.802083333333333</v>
      </c>
    </row>
    <row r="762" spans="1:19">
      <c r="A762" s="5" t="str">
        <f>B762&amp;"-"&amp;COUNTIF($B$2:B762,B762)</f>
        <v>CEARA-142</v>
      </c>
      <c r="B762" s="5" t="s">
        <v>558</v>
      </c>
      <c r="C762" s="5" t="s">
        <v>663</v>
      </c>
      <c r="D762" s="6">
        <v>-394173</v>
      </c>
      <c r="E762" s="6">
        <v>-58007</v>
      </c>
      <c r="F762" s="7">
        <v>5.6929999999999996</v>
      </c>
      <c r="G762" s="7">
        <v>5.407</v>
      </c>
      <c r="H762" s="7">
        <v>5.4870000000000001</v>
      </c>
      <c r="I762" s="7">
        <v>5.59</v>
      </c>
      <c r="J762" s="7">
        <v>5.1769999999999996</v>
      </c>
      <c r="K762" s="7">
        <v>5.0270000000000001</v>
      </c>
      <c r="L762" s="7">
        <v>5.0110000000000001</v>
      </c>
      <c r="M762" s="7">
        <v>5.36</v>
      </c>
      <c r="N762" s="7">
        <v>6.085</v>
      </c>
      <c r="O762" s="7">
        <v>6.4829999999999997</v>
      </c>
      <c r="P762" s="7">
        <v>6.4640000000000004</v>
      </c>
      <c r="Q762" s="7">
        <v>6.3940000000000001</v>
      </c>
      <c r="R762" s="7">
        <v>5.8310000000000004</v>
      </c>
      <c r="S762" s="7">
        <f t="shared" si="11"/>
        <v>5.6930000000000005</v>
      </c>
    </row>
    <row r="763" spans="1:19">
      <c r="A763" s="5" t="str">
        <f>B763&amp;"-"&amp;COUNTIF($B$2:B763,B763)</f>
        <v>CEARA-143</v>
      </c>
      <c r="B763" s="5" t="s">
        <v>558</v>
      </c>
      <c r="C763" s="5" t="s">
        <v>664</v>
      </c>
      <c r="D763" s="6">
        <v>-406445</v>
      </c>
      <c r="E763" s="6">
        <v>-42396</v>
      </c>
      <c r="F763" s="7">
        <v>5.4050000000000002</v>
      </c>
      <c r="G763" s="7">
        <v>5.0119999999999996</v>
      </c>
      <c r="H763" s="7">
        <v>5.2130000000000001</v>
      </c>
      <c r="I763" s="7">
        <v>5.18</v>
      </c>
      <c r="J763" s="7">
        <v>4.8239999999999998</v>
      </c>
      <c r="K763" s="7">
        <v>4.8330000000000002</v>
      </c>
      <c r="L763" s="7">
        <v>4.843</v>
      </c>
      <c r="M763" s="7">
        <v>5.1459999999999999</v>
      </c>
      <c r="N763" s="7">
        <v>5.8810000000000002</v>
      </c>
      <c r="O763" s="7">
        <v>6.3710000000000004</v>
      </c>
      <c r="P763" s="7">
        <v>6.2839999999999998</v>
      </c>
      <c r="Q763" s="7">
        <v>6.016</v>
      </c>
      <c r="R763" s="7">
        <v>5.258</v>
      </c>
      <c r="S763" s="7">
        <f t="shared" si="11"/>
        <v>5.4050833333333328</v>
      </c>
    </row>
    <row r="764" spans="1:19">
      <c r="A764" s="5" t="str">
        <f>B764&amp;"-"&amp;COUNTIF($B$2:B764,B764)</f>
        <v>CEARA-144</v>
      </c>
      <c r="B764" s="5" t="s">
        <v>558</v>
      </c>
      <c r="C764" s="5" t="s">
        <v>665</v>
      </c>
      <c r="D764" s="6">
        <v>-409239</v>
      </c>
      <c r="E764" s="6">
        <v>-47456</v>
      </c>
      <c r="F764" s="7">
        <v>5.7969999999999997</v>
      </c>
      <c r="G764" s="7">
        <v>5.3029999999999999</v>
      </c>
      <c r="H764" s="7">
        <v>5.399</v>
      </c>
      <c r="I764" s="7">
        <v>5.516</v>
      </c>
      <c r="J764" s="7">
        <v>5.0789999999999997</v>
      </c>
      <c r="K764" s="7">
        <v>5.165</v>
      </c>
      <c r="L764" s="7">
        <v>5.2080000000000002</v>
      </c>
      <c r="M764" s="7">
        <v>5.6120000000000001</v>
      </c>
      <c r="N764" s="7">
        <v>6.3140000000000001</v>
      </c>
      <c r="O764" s="7">
        <v>6.7919999999999998</v>
      </c>
      <c r="P764" s="7">
        <v>6.7279999999999998</v>
      </c>
      <c r="Q764" s="7">
        <v>6.6120000000000001</v>
      </c>
      <c r="R764" s="7">
        <v>5.8330000000000002</v>
      </c>
      <c r="S764" s="7">
        <f t="shared" si="11"/>
        <v>5.7967500000000003</v>
      </c>
    </row>
    <row r="765" spans="1:19">
      <c r="A765" s="5" t="str">
        <f>B765&amp;"-"&amp;COUNTIF($B$2:B765,B765)</f>
        <v>CEARA-145</v>
      </c>
      <c r="B765" s="5" t="s">
        <v>558</v>
      </c>
      <c r="C765" s="5" t="s">
        <v>666</v>
      </c>
      <c r="D765" s="6">
        <v>-391162</v>
      </c>
      <c r="E765" s="6">
        <v>-75338</v>
      </c>
      <c r="F765" s="7">
        <v>5.7640000000000002</v>
      </c>
      <c r="G765" s="7">
        <v>5.9539999999999997</v>
      </c>
      <c r="H765" s="7">
        <v>5.8109999999999999</v>
      </c>
      <c r="I765" s="7">
        <v>5.7809999999999997</v>
      </c>
      <c r="J765" s="7">
        <v>5.3890000000000002</v>
      </c>
      <c r="K765" s="7">
        <v>4.8929999999999998</v>
      </c>
      <c r="L765" s="7">
        <v>4.6230000000000002</v>
      </c>
      <c r="M765" s="7">
        <v>4.9260000000000002</v>
      </c>
      <c r="N765" s="7">
        <v>5.7750000000000004</v>
      </c>
      <c r="O765" s="7">
        <v>6.54</v>
      </c>
      <c r="P765" s="7">
        <v>6.492</v>
      </c>
      <c r="Q765" s="7">
        <v>6.6420000000000003</v>
      </c>
      <c r="R765" s="7">
        <v>6.3390000000000004</v>
      </c>
      <c r="S765" s="7">
        <f t="shared" si="11"/>
        <v>5.7637500000000008</v>
      </c>
    </row>
    <row r="766" spans="1:19">
      <c r="A766" s="5" t="str">
        <f>B766&amp;"-"&amp;COUNTIF($B$2:B766,B766)</f>
        <v>CEARA-146</v>
      </c>
      <c r="B766" s="5" t="s">
        <v>558</v>
      </c>
      <c r="C766" s="5" t="s">
        <v>667</v>
      </c>
      <c r="D766" s="6">
        <v>-400283</v>
      </c>
      <c r="E766" s="6">
        <v>-7093</v>
      </c>
      <c r="F766" s="7">
        <v>5.7750000000000004</v>
      </c>
      <c r="G766" s="7">
        <v>5.5579999999999998</v>
      </c>
      <c r="H766" s="7">
        <v>5.5229999999999997</v>
      </c>
      <c r="I766" s="7">
        <v>5.61</v>
      </c>
      <c r="J766" s="7">
        <v>5.327</v>
      </c>
      <c r="K766" s="7">
        <v>5.1120000000000001</v>
      </c>
      <c r="L766" s="7">
        <v>5.0410000000000004</v>
      </c>
      <c r="M766" s="7">
        <v>5.4180000000000001</v>
      </c>
      <c r="N766" s="7">
        <v>6.1859999999999999</v>
      </c>
      <c r="O766" s="7">
        <v>6.58</v>
      </c>
      <c r="P766" s="7">
        <v>6.4829999999999997</v>
      </c>
      <c r="Q766" s="7">
        <v>6.4349999999999996</v>
      </c>
      <c r="R766" s="7">
        <v>6.0259999999999998</v>
      </c>
      <c r="S766" s="7">
        <f t="shared" si="11"/>
        <v>5.7749166666666669</v>
      </c>
    </row>
    <row r="767" spans="1:19">
      <c r="A767" s="5" t="str">
        <f>B767&amp;"-"&amp;COUNTIF($B$2:B767,B767)</f>
        <v>CEARA-147</v>
      </c>
      <c r="B767" s="5" t="s">
        <v>558</v>
      </c>
      <c r="C767" s="5" t="s">
        <v>668</v>
      </c>
      <c r="D767" s="6">
        <v>-381581</v>
      </c>
      <c r="E767" s="6">
        <v>-57133</v>
      </c>
      <c r="F767" s="7">
        <v>5.9210000000000003</v>
      </c>
      <c r="G767" s="7">
        <v>5.9240000000000004</v>
      </c>
      <c r="H767" s="7">
        <v>5.9740000000000002</v>
      </c>
      <c r="I767" s="7">
        <v>5.9539999999999997</v>
      </c>
      <c r="J767" s="7">
        <v>5.6079999999999997</v>
      </c>
      <c r="K767" s="7">
        <v>5.2949999999999999</v>
      </c>
      <c r="L767" s="7">
        <v>5.0650000000000004</v>
      </c>
      <c r="M767" s="7">
        <v>5.4189999999999996</v>
      </c>
      <c r="N767" s="7">
        <v>6.0590000000000002</v>
      </c>
      <c r="O767" s="7">
        <v>6.4180000000000001</v>
      </c>
      <c r="P767" s="7">
        <v>6.617</v>
      </c>
      <c r="Q767" s="7">
        <v>6.6390000000000002</v>
      </c>
      <c r="R767" s="7">
        <v>6.07</v>
      </c>
      <c r="S767" s="7">
        <f t="shared" si="11"/>
        <v>5.9201666666666668</v>
      </c>
    </row>
    <row r="768" spans="1:19">
      <c r="A768" s="5" t="str">
        <f>B768&amp;"-"&amp;COUNTIF($B$2:B768,B768)</f>
        <v>CEARA-148</v>
      </c>
      <c r="B768" s="5" t="s">
        <v>558</v>
      </c>
      <c r="C768" s="5" t="s">
        <v>5069</v>
      </c>
      <c r="D768" s="6">
        <v>-407005</v>
      </c>
      <c r="E768" s="6">
        <v>-58429</v>
      </c>
      <c r="F768" s="7">
        <v>5.54</v>
      </c>
      <c r="G768" s="7">
        <v>5.0860000000000003</v>
      </c>
      <c r="H768" s="7">
        <v>5.157</v>
      </c>
      <c r="I768" s="7">
        <v>5.2389999999999999</v>
      </c>
      <c r="J768" s="7">
        <v>4.9180000000000001</v>
      </c>
      <c r="K768" s="7">
        <v>4.8849999999999998</v>
      </c>
      <c r="L768" s="7">
        <v>4.99</v>
      </c>
      <c r="M768" s="7">
        <v>5.3710000000000004</v>
      </c>
      <c r="N768" s="7">
        <v>6.2039999999999997</v>
      </c>
      <c r="O768" s="7">
        <v>6.52</v>
      </c>
      <c r="P768" s="7">
        <v>6.3760000000000003</v>
      </c>
      <c r="Q768" s="7">
        <v>6.173</v>
      </c>
      <c r="R768" s="7">
        <v>5.5609999999999999</v>
      </c>
      <c r="S768" s="7">
        <f t="shared" si="11"/>
        <v>5.54</v>
      </c>
    </row>
    <row r="769" spans="1:19">
      <c r="A769" s="5" t="str">
        <f>B769&amp;"-"&amp;COUNTIF($B$2:B769,B769)</f>
        <v>CEARA-149</v>
      </c>
      <c r="B769" s="5" t="s">
        <v>558</v>
      </c>
      <c r="C769" s="5" t="s">
        <v>5492</v>
      </c>
      <c r="D769" s="6">
        <v>-390158</v>
      </c>
      <c r="E769" s="6">
        <v>-49667</v>
      </c>
      <c r="F769" s="7">
        <v>5.6859999999999999</v>
      </c>
      <c r="G769" s="7">
        <v>5.4939999999999998</v>
      </c>
      <c r="H769" s="7">
        <v>5.5510000000000002</v>
      </c>
      <c r="I769" s="7">
        <v>5.61</v>
      </c>
      <c r="J769" s="7">
        <v>5.1520000000000001</v>
      </c>
      <c r="K769" s="7">
        <v>5.1219999999999999</v>
      </c>
      <c r="L769" s="7">
        <v>4.95</v>
      </c>
      <c r="M769" s="7">
        <v>5.3159999999999998</v>
      </c>
      <c r="N769" s="7">
        <v>6.056</v>
      </c>
      <c r="O769" s="7">
        <v>6.5170000000000003</v>
      </c>
      <c r="P769" s="7">
        <v>6.4359999999999999</v>
      </c>
      <c r="Q769" s="7">
        <v>6.2770000000000001</v>
      </c>
      <c r="R769" s="7">
        <v>5.7519999999999998</v>
      </c>
      <c r="S769" s="7">
        <f t="shared" si="11"/>
        <v>5.6860833333333334</v>
      </c>
    </row>
    <row r="770" spans="1:19">
      <c r="A770" s="5" t="str">
        <f>B770&amp;"-"&amp;COUNTIF($B$2:B770,B770)</f>
        <v>CEARA-150</v>
      </c>
      <c r="B770" s="5" t="s">
        <v>558</v>
      </c>
      <c r="C770" s="5" t="s">
        <v>4541</v>
      </c>
      <c r="D770" s="6">
        <v>-392014</v>
      </c>
      <c r="E770" s="6">
        <v>-62468</v>
      </c>
      <c r="F770" s="7">
        <v>5.8609999999999998</v>
      </c>
      <c r="G770" s="7">
        <v>5.7460000000000004</v>
      </c>
      <c r="H770" s="7">
        <v>5.89</v>
      </c>
      <c r="I770" s="7">
        <v>5.867</v>
      </c>
      <c r="J770" s="7">
        <v>5.4720000000000004</v>
      </c>
      <c r="K770" s="7">
        <v>5.2480000000000002</v>
      </c>
      <c r="L770" s="7">
        <v>5.12</v>
      </c>
      <c r="M770" s="7">
        <v>5.4329999999999998</v>
      </c>
      <c r="N770" s="7">
        <v>6.1769999999999996</v>
      </c>
      <c r="O770" s="7">
        <v>6.4169999999999998</v>
      </c>
      <c r="P770" s="7">
        <v>6.4619999999999997</v>
      </c>
      <c r="Q770" s="7">
        <v>6.4939999999999998</v>
      </c>
      <c r="R770" s="7">
        <v>6.01</v>
      </c>
      <c r="S770" s="7">
        <f t="shared" si="11"/>
        <v>5.8613333333333344</v>
      </c>
    </row>
    <row r="771" spans="1:19">
      <c r="A771" s="5" t="str">
        <f>B771&amp;"-"&amp;COUNTIF($B$2:B771,B771)</f>
        <v>CEARA-151</v>
      </c>
      <c r="B771" s="5" t="s">
        <v>558</v>
      </c>
      <c r="C771" s="5" t="s">
        <v>4300</v>
      </c>
      <c r="D771" s="6">
        <v>-379805</v>
      </c>
      <c r="E771" s="6">
        <v>-50719</v>
      </c>
      <c r="F771" s="7">
        <v>5.8029999999999999</v>
      </c>
      <c r="G771" s="7">
        <v>5.6829999999999998</v>
      </c>
      <c r="H771" s="7">
        <v>5.8310000000000004</v>
      </c>
      <c r="I771" s="7">
        <v>5.7990000000000004</v>
      </c>
      <c r="J771" s="7">
        <v>5.4640000000000004</v>
      </c>
      <c r="K771" s="7">
        <v>5.2759999999999998</v>
      </c>
      <c r="L771" s="7">
        <v>5.069</v>
      </c>
      <c r="M771" s="7">
        <v>5.36</v>
      </c>
      <c r="N771" s="7">
        <v>5.9889999999999999</v>
      </c>
      <c r="O771" s="7">
        <v>6.3410000000000002</v>
      </c>
      <c r="P771" s="7">
        <v>6.5019999999999998</v>
      </c>
      <c r="Q771" s="7">
        <v>6.4039999999999999</v>
      </c>
      <c r="R771" s="7">
        <v>5.9189999999999996</v>
      </c>
      <c r="S771" s="7">
        <f t="shared" ref="S771:S834" si="12">(G771+H771+I771+J771+K771+L771+M771+N771+O771+P771+Q771+R771)/12</f>
        <v>5.8030833333333334</v>
      </c>
    </row>
    <row r="772" spans="1:19">
      <c r="A772" s="5" t="str">
        <f>B772&amp;"-"&amp;COUNTIF($B$2:B772,B772)</f>
        <v>CEARA-152</v>
      </c>
      <c r="B772" s="5" t="s">
        <v>558</v>
      </c>
      <c r="C772" s="5" t="s">
        <v>669</v>
      </c>
      <c r="D772" s="6">
        <v>-392893</v>
      </c>
      <c r="E772" s="6">
        <v>-51911</v>
      </c>
      <c r="F772" s="7">
        <v>5.6829999999999998</v>
      </c>
      <c r="G772" s="7">
        <v>5.468</v>
      </c>
      <c r="H772" s="7">
        <v>5.4960000000000004</v>
      </c>
      <c r="I772" s="7">
        <v>5.64</v>
      </c>
      <c r="J772" s="7">
        <v>5.1669999999999998</v>
      </c>
      <c r="K772" s="7">
        <v>5.1029999999999998</v>
      </c>
      <c r="L772" s="7">
        <v>4.9109999999999996</v>
      </c>
      <c r="M772" s="7">
        <v>5.28</v>
      </c>
      <c r="N772" s="7">
        <v>6.03</v>
      </c>
      <c r="O772" s="7">
        <v>6.4509999999999996</v>
      </c>
      <c r="P772" s="7">
        <v>6.4560000000000004</v>
      </c>
      <c r="Q772" s="7">
        <v>6.3680000000000003</v>
      </c>
      <c r="R772" s="7">
        <v>5.82</v>
      </c>
      <c r="S772" s="7">
        <f t="shared" si="12"/>
        <v>5.682500000000001</v>
      </c>
    </row>
    <row r="773" spans="1:19">
      <c r="A773" s="5" t="str">
        <f>B773&amp;"-"&amp;COUNTIF($B$2:B773,B773)</f>
        <v>CEARA-153</v>
      </c>
      <c r="B773" s="5" t="s">
        <v>558</v>
      </c>
      <c r="C773" s="5" t="s">
        <v>4626</v>
      </c>
      <c r="D773" s="6">
        <v>-38728</v>
      </c>
      <c r="E773" s="6">
        <v>-42163</v>
      </c>
      <c r="F773" s="7">
        <v>5.41</v>
      </c>
      <c r="G773" s="7">
        <v>5.1269999999999998</v>
      </c>
      <c r="H773" s="7">
        <v>5.1849999999999996</v>
      </c>
      <c r="I773" s="7">
        <v>5.1239999999999997</v>
      </c>
      <c r="J773" s="7">
        <v>4.6950000000000003</v>
      </c>
      <c r="K773" s="7">
        <v>4.9619999999999997</v>
      </c>
      <c r="L773" s="7">
        <v>4.8710000000000004</v>
      </c>
      <c r="M773" s="7">
        <v>5.3209999999999997</v>
      </c>
      <c r="N773" s="7">
        <v>6.0019999999999998</v>
      </c>
      <c r="O773" s="7">
        <v>6.2640000000000002</v>
      </c>
      <c r="P773" s="7">
        <v>6.0659999999999998</v>
      </c>
      <c r="Q773" s="7">
        <v>5.9550000000000001</v>
      </c>
      <c r="R773" s="7">
        <v>5.3460000000000001</v>
      </c>
      <c r="S773" s="7">
        <f t="shared" si="12"/>
        <v>5.4098333333333342</v>
      </c>
    </row>
    <row r="774" spans="1:19">
      <c r="A774" s="5" t="str">
        <f>B774&amp;"-"&amp;COUNTIF($B$2:B774,B774)</f>
        <v>CEARA-154</v>
      </c>
      <c r="B774" s="5" t="s">
        <v>558</v>
      </c>
      <c r="C774" s="5" t="s">
        <v>670</v>
      </c>
      <c r="D774" s="6">
        <v>-405762</v>
      </c>
      <c r="E774" s="6">
        <v>-41423</v>
      </c>
      <c r="F774" s="7">
        <v>5.5540000000000003</v>
      </c>
      <c r="G774" s="7">
        <v>5.1470000000000002</v>
      </c>
      <c r="H774" s="7">
        <v>5.3840000000000003</v>
      </c>
      <c r="I774" s="7">
        <v>5.33</v>
      </c>
      <c r="J774" s="7">
        <v>4.9889999999999999</v>
      </c>
      <c r="K774" s="7">
        <v>5.0339999999999998</v>
      </c>
      <c r="L774" s="7">
        <v>5.0430000000000001</v>
      </c>
      <c r="M774" s="7">
        <v>5.2990000000000004</v>
      </c>
      <c r="N774" s="7">
        <v>6.0540000000000003</v>
      </c>
      <c r="O774" s="7">
        <v>6.5030000000000001</v>
      </c>
      <c r="P774" s="7">
        <v>6.3789999999999996</v>
      </c>
      <c r="Q774" s="7">
        <v>6.0540000000000003</v>
      </c>
      <c r="R774" s="7">
        <v>5.431</v>
      </c>
      <c r="S774" s="7">
        <f t="shared" si="12"/>
        <v>5.5539166666666668</v>
      </c>
    </row>
    <row r="775" spans="1:19">
      <c r="A775" s="5" t="str">
        <f>B775&amp;"-"&amp;COUNTIF($B$2:B775,B775)</f>
        <v>CEARA-155</v>
      </c>
      <c r="B775" s="5" t="s">
        <v>558</v>
      </c>
      <c r="C775" s="5" t="s">
        <v>671</v>
      </c>
      <c r="D775" s="6">
        <v>-379724</v>
      </c>
      <c r="E775" s="6">
        <v>-49271</v>
      </c>
      <c r="F775" s="7">
        <v>5.7880000000000003</v>
      </c>
      <c r="G775" s="7">
        <v>5.7640000000000002</v>
      </c>
      <c r="H775" s="7">
        <v>5.8010000000000002</v>
      </c>
      <c r="I775" s="7">
        <v>5.8479999999999999</v>
      </c>
      <c r="J775" s="7">
        <v>5.4089999999999998</v>
      </c>
      <c r="K775" s="7">
        <v>5.2510000000000003</v>
      </c>
      <c r="L775" s="7">
        <v>5.0590000000000002</v>
      </c>
      <c r="M775" s="7">
        <v>5.3150000000000004</v>
      </c>
      <c r="N775" s="7">
        <v>5.9690000000000003</v>
      </c>
      <c r="O775" s="7">
        <v>6.3259999999999996</v>
      </c>
      <c r="P775" s="7">
        <v>6.46</v>
      </c>
      <c r="Q775" s="7">
        <v>6.3419999999999996</v>
      </c>
      <c r="R775" s="7">
        <v>5.9130000000000003</v>
      </c>
      <c r="S775" s="7">
        <f t="shared" si="12"/>
        <v>5.7880833333333328</v>
      </c>
    </row>
    <row r="776" spans="1:19">
      <c r="A776" s="5" t="str">
        <f>B776&amp;"-"&amp;COUNTIF($B$2:B776,B776)</f>
        <v>CEARA-156</v>
      </c>
      <c r="B776" s="5" t="s">
        <v>558</v>
      </c>
      <c r="C776" s="5" t="s">
        <v>3924</v>
      </c>
      <c r="D776" s="6">
        <v>-408599</v>
      </c>
      <c r="E776" s="6">
        <v>-40475</v>
      </c>
      <c r="F776" s="7">
        <v>5.4180000000000001</v>
      </c>
      <c r="G776" s="7">
        <v>4.952</v>
      </c>
      <c r="H776" s="7">
        <v>4.9720000000000004</v>
      </c>
      <c r="I776" s="7">
        <v>4.9829999999999997</v>
      </c>
      <c r="J776" s="7">
        <v>4.5519999999999996</v>
      </c>
      <c r="K776" s="7">
        <v>4.7370000000000001</v>
      </c>
      <c r="L776" s="7">
        <v>4.8559999999999999</v>
      </c>
      <c r="M776" s="7">
        <v>5.2859999999999996</v>
      </c>
      <c r="N776" s="7">
        <v>6.0720000000000001</v>
      </c>
      <c r="O776" s="7">
        <v>6.54</v>
      </c>
      <c r="P776" s="7">
        <v>6.3710000000000004</v>
      </c>
      <c r="Q776" s="7">
        <v>6.2069999999999999</v>
      </c>
      <c r="R776" s="7">
        <v>5.484</v>
      </c>
      <c r="S776" s="7">
        <f t="shared" si="12"/>
        <v>5.4176666666666664</v>
      </c>
    </row>
    <row r="777" spans="1:19">
      <c r="A777" s="5" t="str">
        <f>B777&amp;"-"&amp;COUNTIF($B$2:B777,B777)</f>
        <v>CEARA-157</v>
      </c>
      <c r="B777" s="5" t="s">
        <v>558</v>
      </c>
      <c r="C777" s="5" t="s">
        <v>4627</v>
      </c>
      <c r="D777" s="6">
        <v>-38973</v>
      </c>
      <c r="E777" s="6">
        <v>-36055</v>
      </c>
      <c r="F777" s="7">
        <v>5.766</v>
      </c>
      <c r="G777" s="7">
        <v>5.7370000000000001</v>
      </c>
      <c r="H777" s="7">
        <v>5.7</v>
      </c>
      <c r="I777" s="7">
        <v>5.4770000000000003</v>
      </c>
      <c r="J777" s="7">
        <v>4.7430000000000003</v>
      </c>
      <c r="K777" s="7">
        <v>5.2270000000000003</v>
      </c>
      <c r="L777" s="7">
        <v>5.2539999999999996</v>
      </c>
      <c r="M777" s="7">
        <v>5.5590000000000002</v>
      </c>
      <c r="N777" s="7">
        <v>6.1760000000000002</v>
      </c>
      <c r="O777" s="7">
        <v>6.3540000000000001</v>
      </c>
      <c r="P777" s="7">
        <v>6.4009999999999998</v>
      </c>
      <c r="Q777" s="7">
        <v>6.5129999999999999</v>
      </c>
      <c r="R777" s="7">
        <v>6.0540000000000003</v>
      </c>
      <c r="S777" s="7">
        <f t="shared" si="12"/>
        <v>5.7662499999999994</v>
      </c>
    </row>
    <row r="778" spans="1:19">
      <c r="A778" s="5" t="str">
        <f>B778&amp;"-"&amp;COUNTIF($B$2:B778,B778)</f>
        <v>CEARA-158</v>
      </c>
      <c r="B778" s="5" t="s">
        <v>558</v>
      </c>
      <c r="C778" s="5" t="s">
        <v>3925</v>
      </c>
      <c r="D778" s="6">
        <v>-382697</v>
      </c>
      <c r="E778" s="6">
        <v>-52756</v>
      </c>
      <c r="F778" s="7">
        <v>5.8250000000000002</v>
      </c>
      <c r="G778" s="7">
        <v>5.68</v>
      </c>
      <c r="H778" s="7">
        <v>5.8049999999999997</v>
      </c>
      <c r="I778" s="7">
        <v>5.9269999999999996</v>
      </c>
      <c r="J778" s="7">
        <v>5.484</v>
      </c>
      <c r="K778" s="7">
        <v>5.2709999999999999</v>
      </c>
      <c r="L778" s="7">
        <v>5.0129999999999999</v>
      </c>
      <c r="M778" s="7">
        <v>5.3739999999999997</v>
      </c>
      <c r="N778" s="7">
        <v>6.0350000000000001</v>
      </c>
      <c r="O778" s="7">
        <v>6.3929999999999998</v>
      </c>
      <c r="P778" s="7">
        <v>6.5830000000000002</v>
      </c>
      <c r="Q778" s="7">
        <v>6.4420000000000002</v>
      </c>
      <c r="R778" s="7">
        <v>5.9</v>
      </c>
      <c r="S778" s="7">
        <f t="shared" si="12"/>
        <v>5.8255833333333342</v>
      </c>
    </row>
    <row r="779" spans="1:19">
      <c r="A779" s="5" t="str">
        <f>B779&amp;"-"&amp;COUNTIF($B$2:B779,B779)</f>
        <v>CEARA-159</v>
      </c>
      <c r="B779" s="5" t="s">
        <v>558</v>
      </c>
      <c r="C779" s="5" t="s">
        <v>3926</v>
      </c>
      <c r="D779" s="6">
        <v>-392394</v>
      </c>
      <c r="E779" s="6">
        <v>-36702</v>
      </c>
      <c r="F779" s="7">
        <v>5.5540000000000003</v>
      </c>
      <c r="G779" s="7">
        <v>5.28</v>
      </c>
      <c r="H779" s="7">
        <v>5.3460000000000001</v>
      </c>
      <c r="I779" s="7">
        <v>5.2140000000000004</v>
      </c>
      <c r="J779" s="7">
        <v>4.8280000000000003</v>
      </c>
      <c r="K779" s="7">
        <v>5.1970000000000001</v>
      </c>
      <c r="L779" s="7">
        <v>5.0599999999999996</v>
      </c>
      <c r="M779" s="7">
        <v>5.3570000000000002</v>
      </c>
      <c r="N779" s="7">
        <v>6.0759999999999996</v>
      </c>
      <c r="O779" s="7">
        <v>6.3579999999999997</v>
      </c>
      <c r="P779" s="7">
        <v>6.266</v>
      </c>
      <c r="Q779" s="7">
        <v>6.1379999999999999</v>
      </c>
      <c r="R779" s="7">
        <v>5.5259999999999998</v>
      </c>
      <c r="S779" s="7">
        <f t="shared" si="12"/>
        <v>5.5538333333333334</v>
      </c>
    </row>
    <row r="780" spans="1:19">
      <c r="A780" s="5" t="str">
        <f>B780&amp;"-"&amp;COUNTIF($B$2:B780,B780)</f>
        <v>CEARA-160</v>
      </c>
      <c r="B780" s="5" t="s">
        <v>558</v>
      </c>
      <c r="C780" s="5" t="s">
        <v>672</v>
      </c>
      <c r="D780" s="6">
        <v>-399021</v>
      </c>
      <c r="E780" s="6">
        <v>-6535</v>
      </c>
      <c r="F780" s="7">
        <v>5.7560000000000002</v>
      </c>
      <c r="G780" s="7">
        <v>5.5650000000000004</v>
      </c>
      <c r="H780" s="7">
        <v>5.6020000000000003</v>
      </c>
      <c r="I780" s="7">
        <v>5.5940000000000003</v>
      </c>
      <c r="J780" s="7">
        <v>5.2779999999999996</v>
      </c>
      <c r="K780" s="7">
        <v>5.1130000000000004</v>
      </c>
      <c r="L780" s="7">
        <v>5.0789999999999997</v>
      </c>
      <c r="M780" s="7">
        <v>5.4450000000000003</v>
      </c>
      <c r="N780" s="7">
        <v>6.2009999999999996</v>
      </c>
      <c r="O780" s="7">
        <v>6.5579999999999998</v>
      </c>
      <c r="P780" s="7">
        <v>6.4589999999999996</v>
      </c>
      <c r="Q780" s="7">
        <v>6.36</v>
      </c>
      <c r="R780" s="7">
        <v>5.8239999999999998</v>
      </c>
      <c r="S780" s="7">
        <f t="shared" si="12"/>
        <v>5.7565</v>
      </c>
    </row>
    <row r="781" spans="1:19">
      <c r="A781" s="5" t="str">
        <f>B781&amp;"-"&amp;COUNTIF($B$2:B781,B781)</f>
        <v>CEARA-161</v>
      </c>
      <c r="B781" s="5" t="s">
        <v>558</v>
      </c>
      <c r="C781" s="5" t="s">
        <v>673</v>
      </c>
      <c r="D781" s="6">
        <v>-40459</v>
      </c>
      <c r="E781" s="6">
        <v>-72842</v>
      </c>
      <c r="F781" s="7">
        <v>5.7130000000000001</v>
      </c>
      <c r="G781" s="7">
        <v>5.4560000000000004</v>
      </c>
      <c r="H781" s="7">
        <v>5.4020000000000001</v>
      </c>
      <c r="I781" s="7">
        <v>5.3920000000000003</v>
      </c>
      <c r="J781" s="7">
        <v>5.2809999999999997</v>
      </c>
      <c r="K781" s="7">
        <v>5.141</v>
      </c>
      <c r="L781" s="7">
        <v>5.1319999999999997</v>
      </c>
      <c r="M781" s="7">
        <v>5.4550000000000001</v>
      </c>
      <c r="N781" s="7">
        <v>6.1479999999999997</v>
      </c>
      <c r="O781" s="7">
        <v>6.5090000000000003</v>
      </c>
      <c r="P781" s="7">
        <v>6.4189999999999996</v>
      </c>
      <c r="Q781" s="7">
        <v>6.3239999999999998</v>
      </c>
      <c r="R781" s="7">
        <v>5.8970000000000002</v>
      </c>
      <c r="S781" s="7">
        <f t="shared" si="12"/>
        <v>5.7130000000000001</v>
      </c>
    </row>
    <row r="782" spans="1:19">
      <c r="A782" s="5" t="str">
        <f>B782&amp;"-"&amp;COUNTIF($B$2:B782,B782)</f>
        <v>CEARA-162</v>
      </c>
      <c r="B782" s="5" t="s">
        <v>558</v>
      </c>
      <c r="C782" s="5" t="s">
        <v>4301</v>
      </c>
      <c r="D782" s="6">
        <v>-401546</v>
      </c>
      <c r="E782" s="6">
        <v>-43359</v>
      </c>
      <c r="F782" s="7">
        <v>5.6349999999999998</v>
      </c>
      <c r="G782" s="7">
        <v>5.2960000000000003</v>
      </c>
      <c r="H782" s="7">
        <v>5.4210000000000003</v>
      </c>
      <c r="I782" s="7">
        <v>5.4160000000000004</v>
      </c>
      <c r="J782" s="7">
        <v>5.024</v>
      </c>
      <c r="K782" s="7">
        <v>5.0490000000000004</v>
      </c>
      <c r="L782" s="7">
        <v>4.9930000000000003</v>
      </c>
      <c r="M782" s="7">
        <v>5.274</v>
      </c>
      <c r="N782" s="7">
        <v>6.06</v>
      </c>
      <c r="O782" s="7">
        <v>6.5650000000000004</v>
      </c>
      <c r="P782" s="7">
        <v>6.5060000000000002</v>
      </c>
      <c r="Q782" s="7">
        <v>6.351</v>
      </c>
      <c r="R782" s="7">
        <v>5.6580000000000004</v>
      </c>
      <c r="S782" s="7">
        <f t="shared" si="12"/>
        <v>5.6344166666666666</v>
      </c>
    </row>
    <row r="783" spans="1:19">
      <c r="A783" s="5" t="str">
        <f>B783&amp;"-"&amp;COUNTIF($B$2:B783,B783)</f>
        <v>CEARA-163</v>
      </c>
      <c r="B783" s="5" t="s">
        <v>558</v>
      </c>
      <c r="C783" s="5" t="s">
        <v>4826</v>
      </c>
      <c r="D783" s="6">
        <v>-402085</v>
      </c>
      <c r="E783" s="6">
        <v>-34605</v>
      </c>
      <c r="F783" s="7">
        <v>5.5060000000000002</v>
      </c>
      <c r="G783" s="7">
        <v>5.04</v>
      </c>
      <c r="H783" s="7">
        <v>5.1589999999999998</v>
      </c>
      <c r="I783" s="7">
        <v>5.1589999999999998</v>
      </c>
      <c r="J783" s="7">
        <v>4.8639999999999999</v>
      </c>
      <c r="K783" s="7">
        <v>5.1260000000000003</v>
      </c>
      <c r="L783" s="7">
        <v>5.0090000000000003</v>
      </c>
      <c r="M783" s="7">
        <v>5.2779999999999996</v>
      </c>
      <c r="N783" s="7">
        <v>6.0460000000000003</v>
      </c>
      <c r="O783" s="7">
        <v>6.4509999999999996</v>
      </c>
      <c r="P783" s="7">
        <v>6.37</v>
      </c>
      <c r="Q783" s="7">
        <v>6.12</v>
      </c>
      <c r="R783" s="7">
        <v>5.4539999999999997</v>
      </c>
      <c r="S783" s="7">
        <f t="shared" si="12"/>
        <v>5.5063333333333331</v>
      </c>
    </row>
    <row r="784" spans="1:19">
      <c r="A784" s="5" t="str">
        <f>B784&amp;"-"&amp;COUNTIF($B$2:B784,B784)</f>
        <v>CEARA-164</v>
      </c>
      <c r="B784" s="5" t="s">
        <v>558</v>
      </c>
      <c r="C784" s="5" t="s">
        <v>674</v>
      </c>
      <c r="D784" s="6">
        <v>-397381</v>
      </c>
      <c r="E784" s="6">
        <v>-71839</v>
      </c>
      <c r="F784" s="7">
        <v>5.7080000000000002</v>
      </c>
      <c r="G784" s="7">
        <v>5.5990000000000002</v>
      </c>
      <c r="H784" s="7">
        <v>5.4829999999999997</v>
      </c>
      <c r="I784" s="7">
        <v>5.5410000000000004</v>
      </c>
      <c r="J784" s="7">
        <v>5.2549999999999999</v>
      </c>
      <c r="K784" s="7">
        <v>5.024</v>
      </c>
      <c r="L784" s="7">
        <v>4.9180000000000001</v>
      </c>
      <c r="M784" s="7">
        <v>5.319</v>
      </c>
      <c r="N784" s="7">
        <v>6.0860000000000003</v>
      </c>
      <c r="O784" s="7">
        <v>6.4749999999999996</v>
      </c>
      <c r="P784" s="7">
        <v>6.3719999999999999</v>
      </c>
      <c r="Q784" s="7">
        <v>6.4020000000000001</v>
      </c>
      <c r="R784" s="7">
        <v>6.0279999999999996</v>
      </c>
      <c r="S784" s="7">
        <f t="shared" si="12"/>
        <v>5.7085000000000008</v>
      </c>
    </row>
    <row r="785" spans="1:19">
      <c r="A785" s="5" t="str">
        <f>B785&amp;"-"&amp;COUNTIF($B$2:B785,B785)</f>
        <v>CEARA-165</v>
      </c>
      <c r="B785" s="5" t="s">
        <v>558</v>
      </c>
      <c r="C785" s="5" t="s">
        <v>675</v>
      </c>
      <c r="D785" s="6">
        <v>-393707</v>
      </c>
      <c r="E785" s="6">
        <v>-55829</v>
      </c>
      <c r="F785" s="7">
        <v>5.68</v>
      </c>
      <c r="G785" s="7">
        <v>5.4470000000000001</v>
      </c>
      <c r="H785" s="7">
        <v>5.5190000000000001</v>
      </c>
      <c r="I785" s="7">
        <v>5.6239999999999997</v>
      </c>
      <c r="J785" s="7">
        <v>5.125</v>
      </c>
      <c r="K785" s="7">
        <v>5.0119999999999996</v>
      </c>
      <c r="L785" s="7">
        <v>4.944</v>
      </c>
      <c r="M785" s="7">
        <v>5.3419999999999996</v>
      </c>
      <c r="N785" s="7">
        <v>6.03</v>
      </c>
      <c r="O785" s="7">
        <v>6.48</v>
      </c>
      <c r="P785" s="7">
        <v>6.4560000000000004</v>
      </c>
      <c r="Q785" s="7">
        <v>6.4059999999999997</v>
      </c>
      <c r="R785" s="7">
        <v>5.7809999999999997</v>
      </c>
      <c r="S785" s="7">
        <f t="shared" si="12"/>
        <v>5.6804999999999994</v>
      </c>
    </row>
    <row r="786" spans="1:19">
      <c r="A786" s="5" t="str">
        <f>B786&amp;"-"&amp;COUNTIF($B$2:B786,B786)</f>
        <v>CEARA-166</v>
      </c>
      <c r="B786" s="5" t="s">
        <v>558</v>
      </c>
      <c r="C786" s="5" t="s">
        <v>5493</v>
      </c>
      <c r="D786" s="6">
        <v>-404665</v>
      </c>
      <c r="E786" s="6">
        <v>-33534</v>
      </c>
      <c r="F786" s="7">
        <v>5.5709999999999997</v>
      </c>
      <c r="G786" s="7">
        <v>5.0780000000000003</v>
      </c>
      <c r="H786" s="7">
        <v>5.1970000000000001</v>
      </c>
      <c r="I786" s="7">
        <v>5.16</v>
      </c>
      <c r="J786" s="7">
        <v>4.8979999999999997</v>
      </c>
      <c r="K786" s="7">
        <v>5.242</v>
      </c>
      <c r="L786" s="7">
        <v>5.1909999999999998</v>
      </c>
      <c r="M786" s="7">
        <v>5.4429999999999996</v>
      </c>
      <c r="N786" s="7">
        <v>6.0750000000000002</v>
      </c>
      <c r="O786" s="7">
        <v>6.4969999999999999</v>
      </c>
      <c r="P786" s="7">
        <v>6.4550000000000001</v>
      </c>
      <c r="Q786" s="7">
        <v>6.1609999999999996</v>
      </c>
      <c r="R786" s="7">
        <v>5.4560000000000004</v>
      </c>
      <c r="S786" s="7">
        <f t="shared" si="12"/>
        <v>5.5710833333333332</v>
      </c>
    </row>
    <row r="787" spans="1:19">
      <c r="A787" s="5" t="str">
        <f>B787&amp;"-"&amp;COUNTIF($B$2:B787,B787)</f>
        <v>CEARA-167</v>
      </c>
      <c r="B787" s="5" t="s">
        <v>558</v>
      </c>
      <c r="C787" s="5" t="s">
        <v>676</v>
      </c>
      <c r="D787" s="6">
        <v>-403485</v>
      </c>
      <c r="E787" s="6">
        <v>-36895</v>
      </c>
      <c r="F787" s="7">
        <v>5.4909999999999997</v>
      </c>
      <c r="G787" s="7">
        <v>5.1859999999999999</v>
      </c>
      <c r="H787" s="7">
        <v>5.3079999999999998</v>
      </c>
      <c r="I787" s="7">
        <v>5.2610000000000001</v>
      </c>
      <c r="J787" s="7">
        <v>4.899</v>
      </c>
      <c r="K787" s="7">
        <v>5.0010000000000003</v>
      </c>
      <c r="L787" s="7">
        <v>4.9089999999999998</v>
      </c>
      <c r="M787" s="7">
        <v>5.1950000000000003</v>
      </c>
      <c r="N787" s="7">
        <v>5.8769999999999998</v>
      </c>
      <c r="O787" s="7">
        <v>6.3970000000000002</v>
      </c>
      <c r="P787" s="7">
        <v>6.3070000000000004</v>
      </c>
      <c r="Q787" s="7">
        <v>6.1130000000000004</v>
      </c>
      <c r="R787" s="7">
        <v>5.4429999999999996</v>
      </c>
      <c r="S787" s="7">
        <f t="shared" si="12"/>
        <v>5.4913333333333334</v>
      </c>
    </row>
    <row r="788" spans="1:19">
      <c r="A788" s="5" t="str">
        <f>B788&amp;"-"&amp;COUNTIF($B$2:B788,B788)</f>
        <v>CEARA-168</v>
      </c>
      <c r="B788" s="5" t="s">
        <v>558</v>
      </c>
      <c r="C788" s="5" t="s">
        <v>5070</v>
      </c>
      <c r="D788" s="6">
        <v>-39011</v>
      </c>
      <c r="E788" s="6">
        <v>-57193</v>
      </c>
      <c r="F788" s="7">
        <v>5.8070000000000004</v>
      </c>
      <c r="G788" s="7">
        <v>5.6360000000000001</v>
      </c>
      <c r="H788" s="7">
        <v>5.6820000000000004</v>
      </c>
      <c r="I788" s="7">
        <v>5.7889999999999997</v>
      </c>
      <c r="J788" s="7">
        <v>5.335</v>
      </c>
      <c r="K788" s="7">
        <v>5.09</v>
      </c>
      <c r="L788" s="7">
        <v>5.0250000000000004</v>
      </c>
      <c r="M788" s="7">
        <v>5.3609999999999998</v>
      </c>
      <c r="N788" s="7">
        <v>6.0380000000000003</v>
      </c>
      <c r="O788" s="7">
        <v>6.508</v>
      </c>
      <c r="P788" s="7">
        <v>6.617</v>
      </c>
      <c r="Q788" s="7">
        <v>6.5629999999999997</v>
      </c>
      <c r="R788" s="7">
        <v>6.0430000000000001</v>
      </c>
      <c r="S788" s="7">
        <f t="shared" si="12"/>
        <v>5.8072500000000007</v>
      </c>
    </row>
    <row r="789" spans="1:19">
      <c r="A789" s="5" t="str">
        <f>B789&amp;"-"&amp;COUNTIF($B$2:B789,B789)</f>
        <v>CEARA-169</v>
      </c>
      <c r="B789" s="5" t="s">
        <v>558</v>
      </c>
      <c r="C789" s="5" t="s">
        <v>677</v>
      </c>
      <c r="D789" s="6">
        <v>-381285</v>
      </c>
      <c r="E789" s="6">
        <v>-52439</v>
      </c>
      <c r="F789" s="7">
        <v>5.84</v>
      </c>
      <c r="G789" s="7">
        <v>5.77</v>
      </c>
      <c r="H789" s="7">
        <v>5.8209999999999997</v>
      </c>
      <c r="I789" s="7">
        <v>5.9429999999999996</v>
      </c>
      <c r="J789" s="7">
        <v>5.4660000000000002</v>
      </c>
      <c r="K789" s="7">
        <v>5.2450000000000001</v>
      </c>
      <c r="L789" s="7">
        <v>5.0570000000000004</v>
      </c>
      <c r="M789" s="7">
        <v>5.3470000000000004</v>
      </c>
      <c r="N789" s="7">
        <v>6.03</v>
      </c>
      <c r="O789" s="7">
        <v>6.391</v>
      </c>
      <c r="P789" s="7">
        <v>6.5830000000000002</v>
      </c>
      <c r="Q789" s="7">
        <v>6.4329999999999998</v>
      </c>
      <c r="R789" s="7">
        <v>5.9859999999999998</v>
      </c>
      <c r="S789" s="7">
        <f t="shared" si="12"/>
        <v>5.8393333333333333</v>
      </c>
    </row>
    <row r="790" spans="1:19">
      <c r="A790" s="5" t="str">
        <f>B790&amp;"-"&amp;COUNTIF($B$2:B790,B790)</f>
        <v>CEARA-170</v>
      </c>
      <c r="B790" s="5" t="s">
        <v>558</v>
      </c>
      <c r="C790" s="5" t="s">
        <v>678</v>
      </c>
      <c r="D790" s="6">
        <v>-403199</v>
      </c>
      <c r="E790" s="6">
        <v>-48318</v>
      </c>
      <c r="F790" s="7">
        <v>5.609</v>
      </c>
      <c r="G790" s="7">
        <v>5.1139999999999999</v>
      </c>
      <c r="H790" s="7">
        <v>5.3</v>
      </c>
      <c r="I790" s="7">
        <v>5.3019999999999996</v>
      </c>
      <c r="J790" s="7">
        <v>4.9749999999999996</v>
      </c>
      <c r="K790" s="7">
        <v>5.0869999999999997</v>
      </c>
      <c r="L790" s="7">
        <v>5.03</v>
      </c>
      <c r="M790" s="7">
        <v>5.36</v>
      </c>
      <c r="N790" s="7">
        <v>6.1459999999999999</v>
      </c>
      <c r="O790" s="7">
        <v>6.6159999999999997</v>
      </c>
      <c r="P790" s="7">
        <v>6.5060000000000002</v>
      </c>
      <c r="Q790" s="7">
        <v>6.3360000000000003</v>
      </c>
      <c r="R790" s="7">
        <v>5.5350000000000001</v>
      </c>
      <c r="S790" s="7">
        <f t="shared" si="12"/>
        <v>5.6089166666666666</v>
      </c>
    </row>
    <row r="791" spans="1:19">
      <c r="A791" s="5" t="str">
        <f>B791&amp;"-"&amp;COUNTIF($B$2:B791,B791)</f>
        <v>CEARA-171</v>
      </c>
      <c r="B791" s="5" t="s">
        <v>558</v>
      </c>
      <c r="C791" s="5" t="s">
        <v>679</v>
      </c>
      <c r="D791" s="6">
        <v>-397575</v>
      </c>
      <c r="E791" s="6">
        <v>-66832</v>
      </c>
      <c r="F791" s="7">
        <v>5.7839999999999998</v>
      </c>
      <c r="G791" s="7">
        <v>5.63</v>
      </c>
      <c r="H791" s="7">
        <v>5.6829999999999998</v>
      </c>
      <c r="I791" s="7">
        <v>5.6710000000000003</v>
      </c>
      <c r="J791" s="7">
        <v>5.37</v>
      </c>
      <c r="K791" s="7">
        <v>5.1829999999999998</v>
      </c>
      <c r="L791" s="7">
        <v>5.077</v>
      </c>
      <c r="M791" s="7">
        <v>5.4009999999999998</v>
      </c>
      <c r="N791" s="7">
        <v>6.1529999999999996</v>
      </c>
      <c r="O791" s="7">
        <v>6.5430000000000001</v>
      </c>
      <c r="P791" s="7">
        <v>6.4480000000000004</v>
      </c>
      <c r="Q791" s="7">
        <v>6.351</v>
      </c>
      <c r="R791" s="7">
        <v>5.9</v>
      </c>
      <c r="S791" s="7">
        <f t="shared" si="12"/>
        <v>5.7841666666666667</v>
      </c>
    </row>
    <row r="792" spans="1:19">
      <c r="A792" s="5" t="str">
        <f>B792&amp;"-"&amp;COUNTIF($B$2:B792,B792)</f>
        <v>CEARA-172</v>
      </c>
      <c r="B792" s="5" t="s">
        <v>558</v>
      </c>
      <c r="C792" s="5" t="s">
        <v>5494</v>
      </c>
      <c r="D792" s="6">
        <v>-402971</v>
      </c>
      <c r="E792" s="6">
        <v>-59863</v>
      </c>
      <c r="F792" s="7">
        <v>5.6379999999999999</v>
      </c>
      <c r="G792" s="7">
        <v>5.2629999999999999</v>
      </c>
      <c r="H792" s="7">
        <v>5.3609999999999998</v>
      </c>
      <c r="I792" s="7">
        <v>5.4080000000000004</v>
      </c>
      <c r="J792" s="7">
        <v>5.0730000000000004</v>
      </c>
      <c r="K792" s="7">
        <v>5.0090000000000003</v>
      </c>
      <c r="L792" s="7">
        <v>5.0069999999999997</v>
      </c>
      <c r="M792" s="7">
        <v>5.4020000000000001</v>
      </c>
      <c r="N792" s="7">
        <v>6.2009999999999996</v>
      </c>
      <c r="O792" s="7">
        <v>6.5720000000000001</v>
      </c>
      <c r="P792" s="7">
        <v>6.3979999999999997</v>
      </c>
      <c r="Q792" s="7">
        <v>6.2770000000000001</v>
      </c>
      <c r="R792" s="7">
        <v>5.6779999999999999</v>
      </c>
      <c r="S792" s="7">
        <f t="shared" si="12"/>
        <v>5.6374166666666667</v>
      </c>
    </row>
    <row r="793" spans="1:19">
      <c r="A793" s="5" t="str">
        <f>B793&amp;"-"&amp;COUNTIF($B$2:B793,B793)</f>
        <v>CEARA-173</v>
      </c>
      <c r="B793" s="5" t="s">
        <v>558</v>
      </c>
      <c r="C793" s="5" t="s">
        <v>4628</v>
      </c>
      <c r="D793" s="6">
        <v>-395802</v>
      </c>
      <c r="E793" s="6">
        <v>-39887</v>
      </c>
      <c r="F793" s="7">
        <v>5.593</v>
      </c>
      <c r="G793" s="7">
        <v>5.1529999999999996</v>
      </c>
      <c r="H793" s="7">
        <v>5.3810000000000002</v>
      </c>
      <c r="I793" s="7">
        <v>5.3090000000000002</v>
      </c>
      <c r="J793" s="7">
        <v>4.9550000000000001</v>
      </c>
      <c r="K793" s="7">
        <v>5.1749999999999998</v>
      </c>
      <c r="L793" s="7">
        <v>5.0039999999999996</v>
      </c>
      <c r="M793" s="7">
        <v>5.3319999999999999</v>
      </c>
      <c r="N793" s="7">
        <v>6.1269999999999998</v>
      </c>
      <c r="O793" s="7">
        <v>6.5460000000000003</v>
      </c>
      <c r="P793" s="7">
        <v>6.431</v>
      </c>
      <c r="Q793" s="7">
        <v>6.1630000000000003</v>
      </c>
      <c r="R793" s="7">
        <v>5.5389999999999997</v>
      </c>
      <c r="S793" s="7">
        <f t="shared" si="12"/>
        <v>5.5929166666666674</v>
      </c>
    </row>
    <row r="794" spans="1:19">
      <c r="A794" s="5" t="str">
        <f>B794&amp;"-"&amp;COUNTIF($B$2:B794,B794)</f>
        <v>CEARA-174</v>
      </c>
      <c r="B794" s="5" t="s">
        <v>558</v>
      </c>
      <c r="C794" s="5" t="s">
        <v>5495</v>
      </c>
      <c r="D794" s="6">
        <v>-409926</v>
      </c>
      <c r="E794" s="5" t="s">
        <v>680</v>
      </c>
      <c r="F794" s="7">
        <v>5.4790000000000001</v>
      </c>
      <c r="G794" s="7">
        <v>5.0369999999999999</v>
      </c>
      <c r="H794" s="7">
        <v>5.0190000000000001</v>
      </c>
      <c r="I794" s="7">
        <v>4.9960000000000004</v>
      </c>
      <c r="J794" s="7">
        <v>4.6470000000000002</v>
      </c>
      <c r="K794" s="7">
        <v>4.843</v>
      </c>
      <c r="L794" s="7">
        <v>4.9939999999999998</v>
      </c>
      <c r="M794" s="7">
        <v>5.3540000000000001</v>
      </c>
      <c r="N794" s="7">
        <v>6.11</v>
      </c>
      <c r="O794" s="7">
        <v>6.5270000000000001</v>
      </c>
      <c r="P794" s="7">
        <v>6.4349999999999996</v>
      </c>
      <c r="Q794" s="7">
        <v>6.2530000000000001</v>
      </c>
      <c r="R794" s="7">
        <v>5.5339999999999998</v>
      </c>
      <c r="S794" s="7">
        <f t="shared" si="12"/>
        <v>5.4790833333333344</v>
      </c>
    </row>
    <row r="795" spans="1:19">
      <c r="A795" s="5" t="str">
        <f>B795&amp;"-"&amp;COUNTIF($B$2:B795,B795)</f>
        <v>CEARA-175</v>
      </c>
      <c r="B795" s="5" t="s">
        <v>558</v>
      </c>
      <c r="C795" s="5" t="s">
        <v>681</v>
      </c>
      <c r="D795" s="6">
        <v>-392684</v>
      </c>
      <c r="E795" s="6">
        <v>-32697</v>
      </c>
      <c r="F795" s="7">
        <v>5.5940000000000003</v>
      </c>
      <c r="G795" s="7">
        <v>5.63</v>
      </c>
      <c r="H795" s="7">
        <v>5.6749999999999998</v>
      </c>
      <c r="I795" s="7">
        <v>5.4489999999999998</v>
      </c>
      <c r="J795" s="7">
        <v>4.7309999999999999</v>
      </c>
      <c r="K795" s="7">
        <v>5.1340000000000003</v>
      </c>
      <c r="L795" s="7">
        <v>5.1520000000000001</v>
      </c>
      <c r="M795" s="7">
        <v>5.3780000000000001</v>
      </c>
      <c r="N795" s="7">
        <v>5.7839999999999998</v>
      </c>
      <c r="O795" s="7">
        <v>5.9690000000000003</v>
      </c>
      <c r="P795" s="7">
        <v>6.0229999999999997</v>
      </c>
      <c r="Q795" s="7">
        <v>6.2649999999999997</v>
      </c>
      <c r="R795" s="7">
        <v>5.9349999999999996</v>
      </c>
      <c r="S795" s="7">
        <f t="shared" si="12"/>
        <v>5.59375</v>
      </c>
    </row>
    <row r="796" spans="1:19">
      <c r="A796" s="5" t="str">
        <f>B796&amp;"-"&amp;COUNTIF($B$2:B796,B796)</f>
        <v>CEARA-176</v>
      </c>
      <c r="B796" s="5" t="s">
        <v>558</v>
      </c>
      <c r="C796" s="5" t="s">
        <v>682</v>
      </c>
      <c r="D796" s="5" t="s">
        <v>683</v>
      </c>
      <c r="E796" s="6">
        <v>-35845</v>
      </c>
      <c r="F796" s="7">
        <v>5.3289999999999997</v>
      </c>
      <c r="G796" s="7">
        <v>4.8360000000000003</v>
      </c>
      <c r="H796" s="7">
        <v>5.056</v>
      </c>
      <c r="I796" s="7">
        <v>4.9770000000000003</v>
      </c>
      <c r="J796" s="7">
        <v>4.6130000000000004</v>
      </c>
      <c r="K796" s="7">
        <v>4.9509999999999996</v>
      </c>
      <c r="L796" s="7">
        <v>4.9720000000000004</v>
      </c>
      <c r="M796" s="7">
        <v>5.2549999999999999</v>
      </c>
      <c r="N796" s="7">
        <v>5.9870000000000001</v>
      </c>
      <c r="O796" s="7">
        <v>6.2830000000000004</v>
      </c>
      <c r="P796" s="7">
        <v>6.0380000000000003</v>
      </c>
      <c r="Q796" s="7">
        <v>5.8479999999999999</v>
      </c>
      <c r="R796" s="7">
        <v>5.1310000000000002</v>
      </c>
      <c r="S796" s="7">
        <f t="shared" si="12"/>
        <v>5.3289166666666672</v>
      </c>
    </row>
    <row r="797" spans="1:19">
      <c r="A797" s="5" t="str">
        <f>B797&amp;"-"&amp;COUNTIF($B$2:B797,B797)</f>
        <v>CEARA-177</v>
      </c>
      <c r="B797" s="5" t="s">
        <v>558</v>
      </c>
      <c r="C797" s="5" t="s">
        <v>684</v>
      </c>
      <c r="D797" s="6">
        <v>-409208</v>
      </c>
      <c r="E797" s="6">
        <v>-38549</v>
      </c>
      <c r="F797" s="7">
        <v>5.6609999999999996</v>
      </c>
      <c r="G797" s="7">
        <v>5.21</v>
      </c>
      <c r="H797" s="7">
        <v>5.29</v>
      </c>
      <c r="I797" s="7">
        <v>5.2949999999999999</v>
      </c>
      <c r="J797" s="7">
        <v>4.851</v>
      </c>
      <c r="K797" s="7">
        <v>5.032</v>
      </c>
      <c r="L797" s="7">
        <v>5.1379999999999999</v>
      </c>
      <c r="M797" s="7">
        <v>5.4589999999999996</v>
      </c>
      <c r="N797" s="7">
        <v>6.2329999999999997</v>
      </c>
      <c r="O797" s="7">
        <v>6.6619999999999999</v>
      </c>
      <c r="P797" s="7">
        <v>6.5549999999999997</v>
      </c>
      <c r="Q797" s="7">
        <v>6.47</v>
      </c>
      <c r="R797" s="7">
        <v>5.7409999999999997</v>
      </c>
      <c r="S797" s="7">
        <f t="shared" si="12"/>
        <v>5.6613333333333342</v>
      </c>
    </row>
    <row r="798" spans="1:19">
      <c r="A798" s="5" t="str">
        <f>B798&amp;"-"&amp;COUNTIF($B$2:B798,B798)</f>
        <v>CEARA-178</v>
      </c>
      <c r="B798" s="5" t="s">
        <v>558</v>
      </c>
      <c r="C798" s="5" t="s">
        <v>685</v>
      </c>
      <c r="D798" s="6">
        <v>-387011</v>
      </c>
      <c r="E798" s="6">
        <v>-66393</v>
      </c>
      <c r="F798" s="7">
        <v>5.9340000000000002</v>
      </c>
      <c r="G798" s="7">
        <v>5.9189999999999996</v>
      </c>
      <c r="H798" s="7">
        <v>5.92</v>
      </c>
      <c r="I798" s="7">
        <v>5.88</v>
      </c>
      <c r="J798" s="7">
        <v>5.5679999999999996</v>
      </c>
      <c r="K798" s="7">
        <v>5.2149999999999999</v>
      </c>
      <c r="L798" s="7">
        <v>5.08</v>
      </c>
      <c r="M798" s="7">
        <v>5.3719999999999999</v>
      </c>
      <c r="N798" s="7">
        <v>6.1470000000000002</v>
      </c>
      <c r="O798" s="7">
        <v>6.52</v>
      </c>
      <c r="P798" s="7">
        <v>6.6719999999999997</v>
      </c>
      <c r="Q798" s="7">
        <v>6.7320000000000002</v>
      </c>
      <c r="R798" s="7">
        <v>6.18</v>
      </c>
      <c r="S798" s="7">
        <f t="shared" si="12"/>
        <v>5.933749999999999</v>
      </c>
    </row>
    <row r="799" spans="1:19">
      <c r="A799" s="5" t="str">
        <f>B799&amp;"-"&amp;COUNTIF($B$2:B799,B799)</f>
        <v>CEARA-179</v>
      </c>
      <c r="B799" s="5" t="s">
        <v>558</v>
      </c>
      <c r="C799" s="5" t="s">
        <v>686</v>
      </c>
      <c r="D799" s="6">
        <v>-393468</v>
      </c>
      <c r="E799" s="6">
        <v>-36769</v>
      </c>
      <c r="F799" s="7">
        <v>5.5129999999999999</v>
      </c>
      <c r="G799" s="7">
        <v>5.1680000000000001</v>
      </c>
      <c r="H799" s="7">
        <v>5.3019999999999996</v>
      </c>
      <c r="I799" s="7">
        <v>5.1749999999999998</v>
      </c>
      <c r="J799" s="7">
        <v>4.8220000000000001</v>
      </c>
      <c r="K799" s="7">
        <v>5.15</v>
      </c>
      <c r="L799" s="7">
        <v>5.0060000000000002</v>
      </c>
      <c r="M799" s="7">
        <v>5.3090000000000002</v>
      </c>
      <c r="N799" s="7">
        <v>6.0609999999999999</v>
      </c>
      <c r="O799" s="7">
        <v>6.3849999999999998</v>
      </c>
      <c r="P799" s="7">
        <v>6.2549999999999999</v>
      </c>
      <c r="Q799" s="7">
        <v>6.0579999999999998</v>
      </c>
      <c r="R799" s="7">
        <v>5.4610000000000003</v>
      </c>
      <c r="S799" s="7">
        <f t="shared" si="12"/>
        <v>5.512666666666667</v>
      </c>
    </row>
    <row r="800" spans="1:19">
      <c r="A800" s="5" t="str">
        <f>B800&amp;"-"&amp;COUNTIF($B$2:B800,B800)</f>
        <v>CEARA-180</v>
      </c>
      <c r="B800" s="5" t="s">
        <v>558</v>
      </c>
      <c r="C800" s="5" t="s">
        <v>687</v>
      </c>
      <c r="D800" s="6">
        <v>-39511</v>
      </c>
      <c r="E800" s="6">
        <v>-36236</v>
      </c>
      <c r="F800" s="7">
        <v>5.3529999999999998</v>
      </c>
      <c r="G800" s="7">
        <v>4.88</v>
      </c>
      <c r="H800" s="7">
        <v>4.9880000000000004</v>
      </c>
      <c r="I800" s="7">
        <v>4.8869999999999996</v>
      </c>
      <c r="J800" s="7">
        <v>4.5149999999999997</v>
      </c>
      <c r="K800" s="7">
        <v>4.8689999999999998</v>
      </c>
      <c r="L800" s="7">
        <v>4.9640000000000004</v>
      </c>
      <c r="M800" s="7">
        <v>5.2919999999999998</v>
      </c>
      <c r="N800" s="7">
        <v>6.1180000000000003</v>
      </c>
      <c r="O800" s="7">
        <v>6.4050000000000002</v>
      </c>
      <c r="P800" s="7">
        <v>6.194</v>
      </c>
      <c r="Q800" s="7">
        <v>5.9160000000000004</v>
      </c>
      <c r="R800" s="7">
        <v>5.2060000000000004</v>
      </c>
      <c r="S800" s="7">
        <f t="shared" si="12"/>
        <v>5.3528333333333338</v>
      </c>
    </row>
    <row r="801" spans="1:19">
      <c r="A801" s="5" t="str">
        <f>B801&amp;"-"&amp;COUNTIF($B$2:B801,B801)</f>
        <v>CEARA-181</v>
      </c>
      <c r="B801" s="5" t="s">
        <v>558</v>
      </c>
      <c r="C801" s="5" t="s">
        <v>688</v>
      </c>
      <c r="D801" s="6">
        <v>-405589</v>
      </c>
      <c r="E801" s="6">
        <v>-33137</v>
      </c>
      <c r="F801" s="7">
        <v>5.5519999999999996</v>
      </c>
      <c r="G801" s="7">
        <v>5.0449999999999999</v>
      </c>
      <c r="H801" s="7">
        <v>5.1059999999999999</v>
      </c>
      <c r="I801" s="7">
        <v>5.0960000000000001</v>
      </c>
      <c r="J801" s="7">
        <v>4.8920000000000003</v>
      </c>
      <c r="K801" s="7">
        <v>5.1909999999999998</v>
      </c>
      <c r="L801" s="7">
        <v>5.2480000000000002</v>
      </c>
      <c r="M801" s="7">
        <v>5.4560000000000004</v>
      </c>
      <c r="N801" s="7">
        <v>6.0410000000000004</v>
      </c>
      <c r="O801" s="7">
        <v>6.5010000000000003</v>
      </c>
      <c r="P801" s="7">
        <v>6.4160000000000004</v>
      </c>
      <c r="Q801" s="7">
        <v>6.1360000000000001</v>
      </c>
      <c r="R801" s="7">
        <v>5.4950000000000001</v>
      </c>
      <c r="S801" s="7">
        <f t="shared" si="12"/>
        <v>5.5519166666666671</v>
      </c>
    </row>
    <row r="802" spans="1:19">
      <c r="A802" s="5" t="str">
        <f>B802&amp;"-"&amp;COUNTIF($B$2:B802,B802)</f>
        <v>CEARA-182</v>
      </c>
      <c r="B802" s="5" t="s">
        <v>558</v>
      </c>
      <c r="C802" s="5" t="s">
        <v>5496</v>
      </c>
      <c r="D802" s="6">
        <v>-392952</v>
      </c>
      <c r="E802" s="6">
        <v>-67898</v>
      </c>
      <c r="F802" s="7">
        <v>5.8929999999999998</v>
      </c>
      <c r="G802" s="7">
        <v>5.89</v>
      </c>
      <c r="H802" s="7">
        <v>5.8949999999999996</v>
      </c>
      <c r="I802" s="7">
        <v>5.819</v>
      </c>
      <c r="J802" s="7">
        <v>5.5670000000000002</v>
      </c>
      <c r="K802" s="7">
        <v>5.2320000000000002</v>
      </c>
      <c r="L802" s="7">
        <v>5.133</v>
      </c>
      <c r="M802" s="7">
        <v>5.4009999999999998</v>
      </c>
      <c r="N802" s="7">
        <v>6.1059999999999999</v>
      </c>
      <c r="O802" s="7">
        <v>6.47</v>
      </c>
      <c r="P802" s="7">
        <v>6.5359999999999996</v>
      </c>
      <c r="Q802" s="7">
        <v>6.5330000000000004</v>
      </c>
      <c r="R802" s="7">
        <v>6.13</v>
      </c>
      <c r="S802" s="7">
        <f t="shared" si="12"/>
        <v>5.8926666666666661</v>
      </c>
    </row>
    <row r="803" spans="1:19">
      <c r="A803" s="5" t="str">
        <f>B803&amp;"-"&amp;COUNTIF($B$2:B803,B803)</f>
        <v>CEARA-183</v>
      </c>
      <c r="B803" s="5" t="s">
        <v>558</v>
      </c>
      <c r="C803" s="5" t="s">
        <v>689</v>
      </c>
      <c r="D803" s="6">
        <v>-404744</v>
      </c>
      <c r="E803" s="6">
        <v>-41943</v>
      </c>
      <c r="F803" s="7">
        <v>5.6040000000000001</v>
      </c>
      <c r="G803" s="7">
        <v>5.2690000000000001</v>
      </c>
      <c r="H803" s="7">
        <v>5.3959999999999999</v>
      </c>
      <c r="I803" s="7">
        <v>5.4409999999999998</v>
      </c>
      <c r="J803" s="7">
        <v>5.0419999999999998</v>
      </c>
      <c r="K803" s="7">
        <v>5.0919999999999996</v>
      </c>
      <c r="L803" s="7">
        <v>5.0709999999999997</v>
      </c>
      <c r="M803" s="7">
        <v>5.3070000000000004</v>
      </c>
      <c r="N803" s="7">
        <v>6.03</v>
      </c>
      <c r="O803" s="7">
        <v>6.5090000000000003</v>
      </c>
      <c r="P803" s="7">
        <v>6.3310000000000004</v>
      </c>
      <c r="Q803" s="7">
        <v>6.2</v>
      </c>
      <c r="R803" s="7">
        <v>5.5590000000000002</v>
      </c>
      <c r="S803" s="7">
        <f t="shared" si="12"/>
        <v>5.6039166666666667</v>
      </c>
    </row>
    <row r="804" spans="1:19">
      <c r="A804" s="5" t="str">
        <f>B804&amp;"-"&amp;COUNTIF($B$2:B804,B804)</f>
        <v>CEARA-184</v>
      </c>
      <c r="B804" s="5" t="s">
        <v>558</v>
      </c>
      <c r="C804" s="5" t="s">
        <v>5497</v>
      </c>
      <c r="D804" s="6">
        <v>-410919</v>
      </c>
      <c r="E804" s="6">
        <v>-35671</v>
      </c>
      <c r="F804" s="7">
        <v>5.4870000000000001</v>
      </c>
      <c r="G804" s="7">
        <v>4.9640000000000004</v>
      </c>
      <c r="H804" s="7">
        <v>5.0839999999999996</v>
      </c>
      <c r="I804" s="7">
        <v>5.0149999999999997</v>
      </c>
      <c r="J804" s="7">
        <v>4.7249999999999996</v>
      </c>
      <c r="K804" s="7">
        <v>4.9039999999999999</v>
      </c>
      <c r="L804" s="7">
        <v>5.0289999999999999</v>
      </c>
      <c r="M804" s="7">
        <v>5.3179999999999996</v>
      </c>
      <c r="N804" s="7">
        <v>6.1029999999999998</v>
      </c>
      <c r="O804" s="7">
        <v>6.516</v>
      </c>
      <c r="P804" s="7">
        <v>6.4379999999999997</v>
      </c>
      <c r="Q804" s="7">
        <v>6.2779999999999996</v>
      </c>
      <c r="R804" s="7">
        <v>5.4740000000000002</v>
      </c>
      <c r="S804" s="7">
        <f t="shared" si="12"/>
        <v>5.487333333333333</v>
      </c>
    </row>
    <row r="805" spans="1:19">
      <c r="A805" s="5" t="str">
        <f>B805&amp;"-"&amp;COUNTIF($B$2:B805,B805)</f>
        <v>DISTRITO FEDERAL-1</v>
      </c>
      <c r="B805" s="5" t="s">
        <v>690</v>
      </c>
      <c r="C805" s="5" t="s">
        <v>691</v>
      </c>
      <c r="D805" s="6">
        <v>-479304</v>
      </c>
      <c r="E805" s="6">
        <v>-157804</v>
      </c>
      <c r="F805" s="7">
        <v>5.2519999999999998</v>
      </c>
      <c r="G805" s="7">
        <v>5.3319999999999999</v>
      </c>
      <c r="H805" s="7">
        <v>5.6440000000000001</v>
      </c>
      <c r="I805" s="7">
        <v>5</v>
      </c>
      <c r="J805" s="7">
        <v>4.9649999999999999</v>
      </c>
      <c r="K805" s="7">
        <v>4.798</v>
      </c>
      <c r="L805" s="7">
        <v>4.7190000000000003</v>
      </c>
      <c r="M805" s="7">
        <v>5.0190000000000001</v>
      </c>
      <c r="N805" s="7">
        <v>5.9029999999999996</v>
      </c>
      <c r="O805" s="7">
        <v>5.7119999999999997</v>
      </c>
      <c r="P805" s="7">
        <v>5.5449999999999999</v>
      </c>
      <c r="Q805" s="7">
        <v>5.0170000000000003</v>
      </c>
      <c r="R805" s="7">
        <v>5.3620000000000001</v>
      </c>
      <c r="S805" s="7">
        <f t="shared" si="12"/>
        <v>5.2513333333333341</v>
      </c>
    </row>
    <row r="806" spans="1:19">
      <c r="A806" s="5" t="str">
        <f>B806&amp;"-"&amp;COUNTIF($B$2:B806,B806)</f>
        <v>ESPIRITO SANTO-1</v>
      </c>
      <c r="B806" s="5" t="s">
        <v>55</v>
      </c>
      <c r="C806" s="5" t="s">
        <v>692</v>
      </c>
      <c r="D806" s="6">
        <v>-411264</v>
      </c>
      <c r="E806" s="6">
        <v>-200783</v>
      </c>
      <c r="F806" s="7">
        <v>4.7530000000000001</v>
      </c>
      <c r="G806" s="7">
        <v>5.8810000000000002</v>
      </c>
      <c r="H806" s="7">
        <v>6.1340000000000003</v>
      </c>
      <c r="I806" s="7">
        <v>5.07</v>
      </c>
      <c r="J806" s="7">
        <v>4.5659999999999998</v>
      </c>
      <c r="K806" s="7">
        <v>3.827</v>
      </c>
      <c r="L806" s="7">
        <v>3.5910000000000002</v>
      </c>
      <c r="M806" s="7">
        <v>3.6829999999999998</v>
      </c>
      <c r="N806" s="7">
        <v>4.3890000000000002</v>
      </c>
      <c r="O806" s="7">
        <v>4.7210000000000001</v>
      </c>
      <c r="P806" s="7">
        <v>4.8719999999999999</v>
      </c>
      <c r="Q806" s="7">
        <v>4.7859999999999996</v>
      </c>
      <c r="R806" s="7">
        <v>5.5149999999999997</v>
      </c>
      <c r="S806" s="7">
        <f t="shared" si="12"/>
        <v>4.7529166666666676</v>
      </c>
    </row>
    <row r="807" spans="1:19">
      <c r="A807" s="5" t="str">
        <f>B807&amp;"-"&amp;COUNTIF($B$2:B807,B807)</f>
        <v>ESPIRITO SANTO-2</v>
      </c>
      <c r="B807" s="5" t="s">
        <v>55</v>
      </c>
      <c r="C807" s="5" t="s">
        <v>693</v>
      </c>
      <c r="D807" s="6">
        <v>-409858</v>
      </c>
      <c r="E807" s="6">
        <v>-185487</v>
      </c>
      <c r="F807" s="7">
        <v>4.7670000000000003</v>
      </c>
      <c r="G807" s="7">
        <v>5.9039999999999999</v>
      </c>
      <c r="H807" s="7">
        <v>6.0590000000000002</v>
      </c>
      <c r="I807" s="7">
        <v>5.2</v>
      </c>
      <c r="J807" s="7">
        <v>4.5460000000000003</v>
      </c>
      <c r="K807" s="7">
        <v>3.8029999999999999</v>
      </c>
      <c r="L807" s="7">
        <v>3.569</v>
      </c>
      <c r="M807" s="7">
        <v>3.6619999999999999</v>
      </c>
      <c r="N807" s="7">
        <v>4.194</v>
      </c>
      <c r="O807" s="7">
        <v>4.7839999999999998</v>
      </c>
      <c r="P807" s="7">
        <v>4.9160000000000004</v>
      </c>
      <c r="Q807" s="7">
        <v>4.87</v>
      </c>
      <c r="R807" s="7">
        <v>5.694</v>
      </c>
      <c r="S807" s="7">
        <f t="shared" si="12"/>
        <v>4.76675</v>
      </c>
    </row>
    <row r="808" spans="1:19">
      <c r="A808" s="5" t="str">
        <f>B808&amp;"-"&amp;COUNTIF($B$2:B808,B808)</f>
        <v>ESPIRITO SANTO-3</v>
      </c>
      <c r="B808" s="5" t="s">
        <v>55</v>
      </c>
      <c r="C808" s="5" t="s">
        <v>694</v>
      </c>
      <c r="D808" s="6">
        <v>-40744</v>
      </c>
      <c r="E808" s="6">
        <v>-189851</v>
      </c>
      <c r="F808" s="7">
        <v>4.7990000000000004</v>
      </c>
      <c r="G808" s="7">
        <v>6.0090000000000003</v>
      </c>
      <c r="H808" s="7">
        <v>6.0890000000000004</v>
      </c>
      <c r="I808" s="7">
        <v>5.2770000000000001</v>
      </c>
      <c r="J808" s="7">
        <v>4.5819999999999999</v>
      </c>
      <c r="K808" s="7">
        <v>3.8809999999999998</v>
      </c>
      <c r="L808" s="7">
        <v>3.6269999999999998</v>
      </c>
      <c r="M808" s="7">
        <v>3.6579999999999999</v>
      </c>
      <c r="N808" s="7">
        <v>4.2279999999999998</v>
      </c>
      <c r="O808" s="7">
        <v>4.6920000000000002</v>
      </c>
      <c r="P808" s="7">
        <v>4.9249999999999998</v>
      </c>
      <c r="Q808" s="7">
        <v>4.8739999999999997</v>
      </c>
      <c r="R808" s="7">
        <v>5.7480000000000002</v>
      </c>
      <c r="S808" s="7">
        <f t="shared" si="12"/>
        <v>4.7991666666666664</v>
      </c>
    </row>
    <row r="809" spans="1:19">
      <c r="A809" s="5" t="str">
        <f>B809&amp;"-"&amp;COUNTIF($B$2:B809,B809)</f>
        <v>ESPIRITO SANTO-4</v>
      </c>
      <c r="B809" s="5" t="s">
        <v>55</v>
      </c>
      <c r="C809" s="5" t="s">
        <v>695</v>
      </c>
      <c r="D809" s="6">
        <v>-415386</v>
      </c>
      <c r="E809" s="6">
        <v>-207585</v>
      </c>
      <c r="F809" s="7">
        <v>4.8929999999999998</v>
      </c>
      <c r="G809" s="7">
        <v>6.1379999999999999</v>
      </c>
      <c r="H809" s="7">
        <v>6.3330000000000002</v>
      </c>
      <c r="I809" s="7">
        <v>5.13</v>
      </c>
      <c r="J809" s="7">
        <v>4.4749999999999996</v>
      </c>
      <c r="K809" s="7">
        <v>3.8639999999999999</v>
      </c>
      <c r="L809" s="7">
        <v>3.665</v>
      </c>
      <c r="M809" s="7">
        <v>3.7650000000000001</v>
      </c>
      <c r="N809" s="7">
        <v>4.5129999999999999</v>
      </c>
      <c r="O809" s="7">
        <v>5.0049999999999999</v>
      </c>
      <c r="P809" s="7">
        <v>5.1349999999999998</v>
      </c>
      <c r="Q809" s="7">
        <v>4.9870000000000001</v>
      </c>
      <c r="R809" s="7">
        <v>5.7069999999999999</v>
      </c>
      <c r="S809" s="7">
        <f t="shared" si="12"/>
        <v>4.8930833333333332</v>
      </c>
    </row>
    <row r="810" spans="1:19">
      <c r="A810" s="5" t="str">
        <f>B810&amp;"-"&amp;COUNTIF($B$2:B810,B810)</f>
        <v>ESPIRITO SANTO-5</v>
      </c>
      <c r="B810" s="5" t="s">
        <v>55</v>
      </c>
      <c r="C810" s="5" t="s">
        <v>696</v>
      </c>
      <c r="D810" s="6">
        <v>-407546</v>
      </c>
      <c r="E810" s="6">
        <v>-206401</v>
      </c>
      <c r="F810" s="7">
        <v>4.7140000000000004</v>
      </c>
      <c r="G810" s="7">
        <v>5.968</v>
      </c>
      <c r="H810" s="7">
        <v>6.1989999999999998</v>
      </c>
      <c r="I810" s="7">
        <v>4.9779999999999998</v>
      </c>
      <c r="J810" s="7">
        <v>4.3319999999999999</v>
      </c>
      <c r="K810" s="7">
        <v>3.7130000000000001</v>
      </c>
      <c r="L810" s="7">
        <v>3.548</v>
      </c>
      <c r="M810" s="7">
        <v>3.6080000000000001</v>
      </c>
      <c r="N810" s="7">
        <v>4.2990000000000004</v>
      </c>
      <c r="O810" s="7">
        <v>4.7480000000000002</v>
      </c>
      <c r="P810" s="7">
        <v>4.8609999999999998</v>
      </c>
      <c r="Q810" s="7">
        <v>4.7699999999999996</v>
      </c>
      <c r="R810" s="7">
        <v>5.5419999999999998</v>
      </c>
      <c r="S810" s="7">
        <f t="shared" si="12"/>
        <v>4.7138333333333327</v>
      </c>
    </row>
    <row r="811" spans="1:19">
      <c r="A811" s="5" t="str">
        <f>B811&amp;"-"&amp;COUNTIF($B$2:B811,B811)</f>
        <v>ESPIRITO SANTO-6</v>
      </c>
      <c r="B811" s="5" t="s">
        <v>55</v>
      </c>
      <c r="C811" s="5" t="s">
        <v>697</v>
      </c>
      <c r="D811" s="6">
        <v>-410168</v>
      </c>
      <c r="E811" s="6">
        <v>-190578</v>
      </c>
      <c r="F811" s="7">
        <v>4.8159999999999998</v>
      </c>
      <c r="G811" s="7">
        <v>5.9930000000000003</v>
      </c>
      <c r="H811" s="7">
        <v>6.101</v>
      </c>
      <c r="I811" s="7">
        <v>5.19</v>
      </c>
      <c r="J811" s="7">
        <v>4.5460000000000003</v>
      </c>
      <c r="K811" s="7">
        <v>3.8740000000000001</v>
      </c>
      <c r="L811" s="7">
        <v>3.552</v>
      </c>
      <c r="M811" s="7">
        <v>3.6680000000000001</v>
      </c>
      <c r="N811" s="7">
        <v>4.3029999999999999</v>
      </c>
      <c r="O811" s="7">
        <v>4.851</v>
      </c>
      <c r="P811" s="7">
        <v>5.0570000000000004</v>
      </c>
      <c r="Q811" s="7">
        <v>4.9260000000000002</v>
      </c>
      <c r="R811" s="7">
        <v>5.7240000000000002</v>
      </c>
      <c r="S811" s="7">
        <f t="shared" si="12"/>
        <v>4.8154166666666667</v>
      </c>
    </row>
    <row r="812" spans="1:19">
      <c r="A812" s="5" t="str">
        <f>B812&amp;"-"&amp;COUNTIF($B$2:B812,B812)</f>
        <v>ESPIRITO SANTO-7</v>
      </c>
      <c r="B812" s="5" t="s">
        <v>55</v>
      </c>
      <c r="C812" s="5" t="s">
        <v>698</v>
      </c>
      <c r="D812" s="6">
        <v>-406429</v>
      </c>
      <c r="E812" s="6">
        <v>-20796</v>
      </c>
      <c r="F812" s="7">
        <v>5.0179999999999998</v>
      </c>
      <c r="G812" s="7">
        <v>6.4039999999999999</v>
      </c>
      <c r="H812" s="7">
        <v>6.641</v>
      </c>
      <c r="I812" s="7">
        <v>5.3959999999999999</v>
      </c>
      <c r="J812" s="7">
        <v>4.6829999999999998</v>
      </c>
      <c r="K812" s="7">
        <v>3.9</v>
      </c>
      <c r="L812" s="7">
        <v>3.6640000000000001</v>
      </c>
      <c r="M812" s="7">
        <v>3.7349999999999999</v>
      </c>
      <c r="N812" s="7">
        <v>4.49</v>
      </c>
      <c r="O812" s="7">
        <v>4.9379999999999997</v>
      </c>
      <c r="P812" s="7">
        <v>5.2329999999999997</v>
      </c>
      <c r="Q812" s="7">
        <v>5.1520000000000001</v>
      </c>
      <c r="R812" s="7">
        <v>5.9729999999999999</v>
      </c>
      <c r="S812" s="7">
        <f t="shared" si="12"/>
        <v>5.0174166666666666</v>
      </c>
    </row>
    <row r="813" spans="1:19">
      <c r="A813" s="5" t="str">
        <f>B813&amp;"-"&amp;COUNTIF($B$2:B813,B813)</f>
        <v>ESPIRITO SANTO-8</v>
      </c>
      <c r="B813" s="5" t="s">
        <v>55</v>
      </c>
      <c r="C813" s="5" t="s">
        <v>699</v>
      </c>
      <c r="D813" s="6">
        <v>-415697</v>
      </c>
      <c r="E813" s="6">
        <v>-211528</v>
      </c>
      <c r="F813" s="7">
        <v>4.9089999999999998</v>
      </c>
      <c r="G813" s="7">
        <v>6.2039999999999997</v>
      </c>
      <c r="H813" s="7">
        <v>6.4</v>
      </c>
      <c r="I813" s="7">
        <v>5.2069999999999999</v>
      </c>
      <c r="J813" s="7">
        <v>4.524</v>
      </c>
      <c r="K813" s="7">
        <v>3.855</v>
      </c>
      <c r="L813" s="7">
        <v>3.5790000000000002</v>
      </c>
      <c r="M813" s="7">
        <v>3.677</v>
      </c>
      <c r="N813" s="7">
        <v>4.4640000000000004</v>
      </c>
      <c r="O813" s="7">
        <v>4.891</v>
      </c>
      <c r="P813" s="7">
        <v>5.1689999999999996</v>
      </c>
      <c r="Q813" s="7">
        <v>5.0259999999999998</v>
      </c>
      <c r="R813" s="7">
        <v>5.9169999999999998</v>
      </c>
      <c r="S813" s="7">
        <f t="shared" si="12"/>
        <v>4.9094166666666661</v>
      </c>
    </row>
    <row r="814" spans="1:19">
      <c r="A814" s="5" t="str">
        <f>B814&amp;"-"&amp;COUNTIF($B$2:B814,B814)</f>
        <v>ESPIRITO SANTO-9</v>
      </c>
      <c r="B814" s="5" t="s">
        <v>55</v>
      </c>
      <c r="C814" s="5" t="s">
        <v>700</v>
      </c>
      <c r="D814" s="6">
        <v>-402768</v>
      </c>
      <c r="E814" s="6">
        <v>-198205</v>
      </c>
      <c r="F814" s="7">
        <v>4.835</v>
      </c>
      <c r="G814" s="7">
        <v>6.0919999999999996</v>
      </c>
      <c r="H814" s="7">
        <v>6.266</v>
      </c>
      <c r="I814" s="7">
        <v>5.3570000000000002</v>
      </c>
      <c r="J814" s="7">
        <v>4.5170000000000003</v>
      </c>
      <c r="K814" s="7">
        <v>3.9020000000000001</v>
      </c>
      <c r="L814" s="7">
        <v>3.625</v>
      </c>
      <c r="M814" s="7">
        <v>3.7010000000000001</v>
      </c>
      <c r="N814" s="7">
        <v>4.2789999999999999</v>
      </c>
      <c r="O814" s="7">
        <v>4.7169999999999996</v>
      </c>
      <c r="P814" s="7">
        <v>4.8639999999999999</v>
      </c>
      <c r="Q814" s="7">
        <v>4.9320000000000004</v>
      </c>
      <c r="R814" s="7">
        <v>5.766</v>
      </c>
      <c r="S814" s="7">
        <f t="shared" si="12"/>
        <v>4.8348333333333331</v>
      </c>
    </row>
    <row r="815" spans="1:19">
      <c r="A815" s="5" t="str">
        <f>B815&amp;"-"&amp;COUNTIF($B$2:B815,B815)</f>
        <v>ESPIRITO SANTO-10</v>
      </c>
      <c r="B815" s="5" t="s">
        <v>55</v>
      </c>
      <c r="C815" s="5" t="s">
        <v>701</v>
      </c>
      <c r="D815" s="6">
        <v>-411989</v>
      </c>
      <c r="E815" s="6">
        <v>-209135</v>
      </c>
      <c r="F815" s="7">
        <v>4.9470000000000001</v>
      </c>
      <c r="G815" s="7">
        <v>6.2549999999999999</v>
      </c>
      <c r="H815" s="7">
        <v>6.492</v>
      </c>
      <c r="I815" s="7">
        <v>5.2560000000000002</v>
      </c>
      <c r="J815" s="7">
        <v>4.5549999999999997</v>
      </c>
      <c r="K815" s="7">
        <v>3.8849999999999998</v>
      </c>
      <c r="L815" s="7">
        <v>3.6520000000000001</v>
      </c>
      <c r="M815" s="7">
        <v>3.7170000000000001</v>
      </c>
      <c r="N815" s="7">
        <v>4.4710000000000001</v>
      </c>
      <c r="O815" s="7">
        <v>4.9429999999999996</v>
      </c>
      <c r="P815" s="7">
        <v>5.1559999999999997</v>
      </c>
      <c r="Q815" s="7">
        <v>5.0819999999999999</v>
      </c>
      <c r="R815" s="7">
        <v>5.9029999999999996</v>
      </c>
      <c r="S815" s="7">
        <f t="shared" si="12"/>
        <v>4.9472499999999995</v>
      </c>
    </row>
    <row r="816" spans="1:19">
      <c r="A816" s="5" t="str">
        <f>B816&amp;"-"&amp;COUNTIF($B$2:B816,B816)</f>
        <v>ESPIRITO SANTO-11</v>
      </c>
      <c r="B816" s="5" t="s">
        <v>55</v>
      </c>
      <c r="C816" s="5" t="s">
        <v>702</v>
      </c>
      <c r="D816" s="6">
        <v>-410113</v>
      </c>
      <c r="E816" s="6">
        <v>-195218</v>
      </c>
      <c r="F816" s="7">
        <v>4.9610000000000003</v>
      </c>
      <c r="G816" s="7">
        <v>6.226</v>
      </c>
      <c r="H816" s="7">
        <v>6.33</v>
      </c>
      <c r="I816" s="7">
        <v>5.3449999999999998</v>
      </c>
      <c r="J816" s="7">
        <v>4.718</v>
      </c>
      <c r="K816" s="7">
        <v>4.0030000000000001</v>
      </c>
      <c r="L816" s="7">
        <v>3.6659999999999999</v>
      </c>
      <c r="M816" s="7">
        <v>3.8079999999999998</v>
      </c>
      <c r="N816" s="7">
        <v>4.4480000000000004</v>
      </c>
      <c r="O816" s="7">
        <v>4.891</v>
      </c>
      <c r="P816" s="7">
        <v>5.0869999999999997</v>
      </c>
      <c r="Q816" s="7">
        <v>5.093</v>
      </c>
      <c r="R816" s="7">
        <v>5.9119999999999999</v>
      </c>
      <c r="S816" s="7">
        <f t="shared" si="12"/>
        <v>4.960583333333334</v>
      </c>
    </row>
    <row r="817" spans="1:19">
      <c r="A817" s="5" t="str">
        <f>B817&amp;"-"&amp;COUNTIF($B$2:B817,B817)</f>
        <v>ESPIRITO SANTO-12</v>
      </c>
      <c r="B817" s="5" t="s">
        <v>55</v>
      </c>
      <c r="C817" s="5" t="s">
        <v>703</v>
      </c>
      <c r="D817" s="6">
        <v>-408968</v>
      </c>
      <c r="E817" s="6">
        <v>-187553</v>
      </c>
      <c r="F817" s="7">
        <v>4.8460000000000001</v>
      </c>
      <c r="G817" s="7">
        <v>6.1239999999999997</v>
      </c>
      <c r="H817" s="7">
        <v>6.202</v>
      </c>
      <c r="I817" s="7">
        <v>5.3369999999999997</v>
      </c>
      <c r="J817" s="7">
        <v>4.6269999999999998</v>
      </c>
      <c r="K817" s="7">
        <v>3.88</v>
      </c>
      <c r="L817" s="7">
        <v>3.6160000000000001</v>
      </c>
      <c r="M817" s="7">
        <v>3.6579999999999999</v>
      </c>
      <c r="N817" s="7">
        <v>4.22</v>
      </c>
      <c r="O817" s="7">
        <v>4.7709999999999999</v>
      </c>
      <c r="P817" s="7">
        <v>4.952</v>
      </c>
      <c r="Q817" s="7">
        <v>4.9489999999999998</v>
      </c>
      <c r="R817" s="7">
        <v>5.8179999999999996</v>
      </c>
      <c r="S817" s="7">
        <f t="shared" si="12"/>
        <v>4.8461666666666661</v>
      </c>
    </row>
    <row r="818" spans="1:19">
      <c r="A818" s="5" t="str">
        <f>B818&amp;"-"&amp;COUNTIF($B$2:B818,B818)</f>
        <v>ESPIRITO SANTO-13</v>
      </c>
      <c r="B818" s="5" t="s">
        <v>55</v>
      </c>
      <c r="C818" s="5" t="s">
        <v>704</v>
      </c>
      <c r="D818" s="6">
        <v>-402928</v>
      </c>
      <c r="E818" s="6">
        <v>-185394</v>
      </c>
      <c r="F818" s="7">
        <v>4.8499999999999996</v>
      </c>
      <c r="G818" s="7">
        <v>6.08</v>
      </c>
      <c r="H818" s="7">
        <v>6.133</v>
      </c>
      <c r="I818" s="7">
        <v>5.2759999999999998</v>
      </c>
      <c r="J818" s="7">
        <v>4.5679999999999996</v>
      </c>
      <c r="K818" s="7">
        <v>3.8559999999999999</v>
      </c>
      <c r="L818" s="7">
        <v>3.5430000000000001</v>
      </c>
      <c r="M818" s="7">
        <v>3.653</v>
      </c>
      <c r="N818" s="7">
        <v>4.2679999999999998</v>
      </c>
      <c r="O818" s="7">
        <v>4.8330000000000002</v>
      </c>
      <c r="P818" s="7">
        <v>5.0670000000000002</v>
      </c>
      <c r="Q818" s="7">
        <v>5.0209999999999999</v>
      </c>
      <c r="R818" s="7">
        <v>5.9009999999999998</v>
      </c>
      <c r="S818" s="7">
        <f t="shared" si="12"/>
        <v>4.8499166666666662</v>
      </c>
    </row>
    <row r="819" spans="1:19">
      <c r="A819" s="5" t="str">
        <f>B819&amp;"-"&amp;COUNTIF($B$2:B819,B819)</f>
        <v>ESPIRITO SANTO-14</v>
      </c>
      <c r="B819" s="5" t="s">
        <v>55</v>
      </c>
      <c r="C819" s="5" t="s">
        <v>705</v>
      </c>
      <c r="D819" s="6">
        <v>-416731</v>
      </c>
      <c r="E819" s="6">
        <v>-211246</v>
      </c>
      <c r="F819" s="7">
        <v>4.87</v>
      </c>
      <c r="G819" s="7">
        <v>6.1120000000000001</v>
      </c>
      <c r="H819" s="7">
        <v>6.2530000000000001</v>
      </c>
      <c r="I819" s="7">
        <v>5.1269999999999998</v>
      </c>
      <c r="J819" s="7">
        <v>4.49</v>
      </c>
      <c r="K819" s="7">
        <v>3.8610000000000002</v>
      </c>
      <c r="L819" s="7">
        <v>3.6219999999999999</v>
      </c>
      <c r="M819" s="7">
        <v>3.7189999999999999</v>
      </c>
      <c r="N819" s="7">
        <v>4.4880000000000004</v>
      </c>
      <c r="O819" s="7">
        <v>4.899</v>
      </c>
      <c r="P819" s="7">
        <v>5.0970000000000004</v>
      </c>
      <c r="Q819" s="7">
        <v>4.9720000000000004</v>
      </c>
      <c r="R819" s="7">
        <v>5.8</v>
      </c>
      <c r="S819" s="7">
        <f t="shared" si="12"/>
        <v>4.87</v>
      </c>
    </row>
    <row r="820" spans="1:19">
      <c r="A820" s="5" t="str">
        <f>B820&amp;"-"&amp;COUNTIF($B$2:B820,B820)</f>
        <v>ESPIRITO SANTO-15</v>
      </c>
      <c r="B820" s="5" t="s">
        <v>55</v>
      </c>
      <c r="C820" s="5" t="s">
        <v>706</v>
      </c>
      <c r="D820" s="6">
        <v>-412924</v>
      </c>
      <c r="E820" s="5" t="s">
        <v>707</v>
      </c>
      <c r="F820" s="7">
        <v>4.625</v>
      </c>
      <c r="G820" s="7">
        <v>5.6180000000000003</v>
      </c>
      <c r="H820" s="7">
        <v>5.9240000000000004</v>
      </c>
      <c r="I820" s="7">
        <v>4.8949999999999996</v>
      </c>
      <c r="J820" s="7">
        <v>4.4390000000000001</v>
      </c>
      <c r="K820" s="7">
        <v>3.7650000000000001</v>
      </c>
      <c r="L820" s="7">
        <v>3.5150000000000001</v>
      </c>
      <c r="M820" s="7">
        <v>3.6360000000000001</v>
      </c>
      <c r="N820" s="7">
        <v>4.3099999999999996</v>
      </c>
      <c r="O820" s="7">
        <v>4.633</v>
      </c>
      <c r="P820" s="7">
        <v>4.74</v>
      </c>
      <c r="Q820" s="7">
        <v>4.6539999999999999</v>
      </c>
      <c r="R820" s="7">
        <v>5.37</v>
      </c>
      <c r="S820" s="7">
        <f t="shared" si="12"/>
        <v>4.6249166666666666</v>
      </c>
    </row>
    <row r="821" spans="1:19">
      <c r="A821" s="5" t="str">
        <f>B821&amp;"-"&amp;COUNTIF($B$2:B821,B821)</f>
        <v>ESPIRITO SANTO-16</v>
      </c>
      <c r="B821" s="5" t="s">
        <v>55</v>
      </c>
      <c r="C821" s="5" t="s">
        <v>708</v>
      </c>
      <c r="D821" s="6">
        <v>-411202</v>
      </c>
      <c r="E821" s="6">
        <v>-208467</v>
      </c>
      <c r="F821" s="7">
        <v>5.0129999999999999</v>
      </c>
      <c r="G821" s="7">
        <v>6.3550000000000004</v>
      </c>
      <c r="H821" s="7">
        <v>6.508</v>
      </c>
      <c r="I821" s="7">
        <v>5.3280000000000003</v>
      </c>
      <c r="J821" s="7">
        <v>4.6289999999999996</v>
      </c>
      <c r="K821" s="7">
        <v>3.9449999999999998</v>
      </c>
      <c r="L821" s="7">
        <v>3.7280000000000002</v>
      </c>
      <c r="M821" s="7">
        <v>3.7749999999999999</v>
      </c>
      <c r="N821" s="7">
        <v>4.5209999999999999</v>
      </c>
      <c r="O821" s="7">
        <v>5.0010000000000003</v>
      </c>
      <c r="P821" s="7">
        <v>5.2329999999999997</v>
      </c>
      <c r="Q821" s="7">
        <v>5.1559999999999997</v>
      </c>
      <c r="R821" s="7">
        <v>5.9820000000000002</v>
      </c>
      <c r="S821" s="7">
        <f t="shared" si="12"/>
        <v>5.0134166666666662</v>
      </c>
    </row>
    <row r="822" spans="1:19">
      <c r="A822" s="5" t="str">
        <f>B822&amp;"-"&amp;COUNTIF($B$2:B822,B822)</f>
        <v>ESPIRITO SANTO-17</v>
      </c>
      <c r="B822" s="5" t="s">
        <v>55</v>
      </c>
      <c r="C822" s="5" t="s">
        <v>709</v>
      </c>
      <c r="D822" s="6">
        <v>-404169</v>
      </c>
      <c r="E822" s="6">
        <v>-202637</v>
      </c>
      <c r="F822" s="7">
        <v>4.7830000000000004</v>
      </c>
      <c r="G822" s="7">
        <v>6.0369999999999999</v>
      </c>
      <c r="H822" s="7">
        <v>6.3460000000000001</v>
      </c>
      <c r="I822" s="7">
        <v>5.2389999999999999</v>
      </c>
      <c r="J822" s="7">
        <v>4.452</v>
      </c>
      <c r="K822" s="7">
        <v>3.8029999999999999</v>
      </c>
      <c r="L822" s="7">
        <v>3.5630000000000002</v>
      </c>
      <c r="M822" s="7">
        <v>3.6309999999999998</v>
      </c>
      <c r="N822" s="7">
        <v>4.258</v>
      </c>
      <c r="O822" s="7">
        <v>4.7130000000000001</v>
      </c>
      <c r="P822" s="7">
        <v>4.7919999999999998</v>
      </c>
      <c r="Q822" s="7">
        <v>4.843</v>
      </c>
      <c r="R822" s="7">
        <v>5.7220000000000004</v>
      </c>
      <c r="S822" s="7">
        <f t="shared" si="12"/>
        <v>4.7832500000000007</v>
      </c>
    </row>
    <row r="823" spans="1:19">
      <c r="A823" s="5" t="str">
        <f>B823&amp;"-"&amp;COUNTIF($B$2:B823,B823)</f>
        <v>ESPIRITO SANTO-18</v>
      </c>
      <c r="B823" s="5" t="s">
        <v>55</v>
      </c>
      <c r="C823" s="5" t="s">
        <v>710</v>
      </c>
      <c r="D823" s="6">
        <v>-412035</v>
      </c>
      <c r="E823" s="6">
        <v>-206037</v>
      </c>
      <c r="F823" s="7">
        <v>4.8959999999999999</v>
      </c>
      <c r="G823" s="7">
        <v>6.1079999999999997</v>
      </c>
      <c r="H823" s="7">
        <v>6.2709999999999999</v>
      </c>
      <c r="I823" s="7">
        <v>5.1630000000000003</v>
      </c>
      <c r="J823" s="7">
        <v>4.5179999999999998</v>
      </c>
      <c r="K823" s="7">
        <v>3.8980000000000001</v>
      </c>
      <c r="L823" s="7">
        <v>3.6869999999999998</v>
      </c>
      <c r="M823" s="7">
        <v>3.7850000000000001</v>
      </c>
      <c r="N823" s="7">
        <v>4.5209999999999999</v>
      </c>
      <c r="O823" s="7">
        <v>4.9729999999999999</v>
      </c>
      <c r="P823" s="7">
        <v>5.0970000000000004</v>
      </c>
      <c r="Q823" s="7">
        <v>4.9980000000000002</v>
      </c>
      <c r="R823" s="7">
        <v>5.7329999999999997</v>
      </c>
      <c r="S823" s="7">
        <f t="shared" si="12"/>
        <v>4.8959999999999999</v>
      </c>
    </row>
    <row r="824" spans="1:19">
      <c r="A824" s="5" t="str">
        <f>B824&amp;"-"&amp;COUNTIF($B$2:B824,B824)</f>
        <v>ESPIRITO SANTO-19</v>
      </c>
      <c r="B824" s="5" t="s">
        <v>55</v>
      </c>
      <c r="C824" s="5" t="s">
        <v>711</v>
      </c>
      <c r="D824" s="6">
        <v>-406278</v>
      </c>
      <c r="E824" s="6">
        <v>-195389</v>
      </c>
      <c r="F824" s="7">
        <v>4.8490000000000002</v>
      </c>
      <c r="G824" s="7">
        <v>6.0890000000000004</v>
      </c>
      <c r="H824" s="7">
        <v>6.1950000000000003</v>
      </c>
      <c r="I824" s="7">
        <v>5.3380000000000001</v>
      </c>
      <c r="J824" s="7">
        <v>4.5810000000000004</v>
      </c>
      <c r="K824" s="7">
        <v>3.9409999999999998</v>
      </c>
      <c r="L824" s="7">
        <v>3.6230000000000002</v>
      </c>
      <c r="M824" s="7">
        <v>3.6890000000000001</v>
      </c>
      <c r="N824" s="7">
        <v>4.3140000000000001</v>
      </c>
      <c r="O824" s="7">
        <v>4.7770000000000001</v>
      </c>
      <c r="P824" s="7">
        <v>4.9320000000000004</v>
      </c>
      <c r="Q824" s="7">
        <v>4.9580000000000002</v>
      </c>
      <c r="R824" s="7">
        <v>5.7510000000000003</v>
      </c>
      <c r="S824" s="7">
        <f t="shared" si="12"/>
        <v>4.8490000000000002</v>
      </c>
    </row>
    <row r="825" spans="1:19">
      <c r="A825" s="5" t="str">
        <f>B825&amp;"-"&amp;COUNTIF($B$2:B825,B825)</f>
        <v>ESPIRITO SANTO-20</v>
      </c>
      <c r="B825" s="5" t="s">
        <v>55</v>
      </c>
      <c r="C825" s="5" t="s">
        <v>712</v>
      </c>
      <c r="D825" s="6">
        <v>-397365</v>
      </c>
      <c r="E825" s="6">
        <v>-185888</v>
      </c>
      <c r="F825" s="7">
        <v>5.13</v>
      </c>
      <c r="G825" s="7">
        <v>6.367</v>
      </c>
      <c r="H825" s="7">
        <v>6.468</v>
      </c>
      <c r="I825" s="7">
        <v>5.601</v>
      </c>
      <c r="J825" s="7">
        <v>4.6509999999999998</v>
      </c>
      <c r="K825" s="7">
        <v>4.0469999999999997</v>
      </c>
      <c r="L825" s="7">
        <v>3.6619999999999999</v>
      </c>
      <c r="M825" s="7">
        <v>3.8069999999999999</v>
      </c>
      <c r="N825" s="7">
        <v>4.5430000000000001</v>
      </c>
      <c r="O825" s="7">
        <v>5.2359999999999998</v>
      </c>
      <c r="P825" s="7">
        <v>5.4619999999999997</v>
      </c>
      <c r="Q825" s="7">
        <v>5.4749999999999996</v>
      </c>
      <c r="R825" s="7">
        <v>6.24</v>
      </c>
      <c r="S825" s="7">
        <f t="shared" si="12"/>
        <v>5.1299166666666665</v>
      </c>
    </row>
    <row r="826" spans="1:19">
      <c r="A826" s="5" t="str">
        <f>B826&amp;"-"&amp;COUNTIF($B$2:B826,B826)</f>
        <v>ESPIRITO SANTO-21</v>
      </c>
      <c r="B826" s="5" t="s">
        <v>55</v>
      </c>
      <c r="C826" s="5" t="s">
        <v>713</v>
      </c>
      <c r="D826" s="6">
        <v>-412421</v>
      </c>
      <c r="E826" s="6">
        <v>-203644</v>
      </c>
      <c r="F826" s="7">
        <v>4.7590000000000003</v>
      </c>
      <c r="G826" s="7">
        <v>5.8860000000000001</v>
      </c>
      <c r="H826" s="7">
        <v>6.1230000000000002</v>
      </c>
      <c r="I826" s="7">
        <v>4.9909999999999997</v>
      </c>
      <c r="J826" s="7">
        <v>4.3719999999999999</v>
      </c>
      <c r="K826" s="7">
        <v>3.75</v>
      </c>
      <c r="L826" s="7">
        <v>3.6309999999999998</v>
      </c>
      <c r="M826" s="7">
        <v>3.7360000000000002</v>
      </c>
      <c r="N826" s="7">
        <v>4.4409999999999998</v>
      </c>
      <c r="O826" s="7">
        <v>4.8780000000000001</v>
      </c>
      <c r="P826" s="7">
        <v>4.9480000000000004</v>
      </c>
      <c r="Q826" s="7">
        <v>4.8029999999999999</v>
      </c>
      <c r="R826" s="7">
        <v>5.5460000000000003</v>
      </c>
      <c r="S826" s="7">
        <f t="shared" si="12"/>
        <v>4.75875</v>
      </c>
    </row>
    <row r="827" spans="1:19">
      <c r="A827" s="5" t="str">
        <f>B827&amp;"-"&amp;COUNTIF($B$2:B827,B827)</f>
        <v>ESPIRITO SANTO-22</v>
      </c>
      <c r="B827" s="5" t="s">
        <v>55</v>
      </c>
      <c r="C827" s="5" t="s">
        <v>714</v>
      </c>
      <c r="D827" s="6">
        <v>-416835</v>
      </c>
      <c r="E827" s="6">
        <v>-206207</v>
      </c>
      <c r="F827" s="7">
        <v>4.7859999999999996</v>
      </c>
      <c r="G827" s="7">
        <v>5.9130000000000003</v>
      </c>
      <c r="H827" s="7">
        <v>6.157</v>
      </c>
      <c r="I827" s="7">
        <v>4.9550000000000001</v>
      </c>
      <c r="J827" s="7">
        <v>4.3540000000000001</v>
      </c>
      <c r="K827" s="7">
        <v>3.7549999999999999</v>
      </c>
      <c r="L827" s="7">
        <v>3.6539999999999999</v>
      </c>
      <c r="M827" s="7">
        <v>3.7930000000000001</v>
      </c>
      <c r="N827" s="7">
        <v>4.5469999999999997</v>
      </c>
      <c r="O827" s="7">
        <v>4.96</v>
      </c>
      <c r="P827" s="7">
        <v>5.0119999999999996</v>
      </c>
      <c r="Q827" s="7">
        <v>4.8109999999999999</v>
      </c>
      <c r="R827" s="7">
        <v>5.5220000000000002</v>
      </c>
      <c r="S827" s="7">
        <f t="shared" si="12"/>
        <v>4.786083333333333</v>
      </c>
    </row>
    <row r="828" spans="1:19">
      <c r="A828" s="5" t="str">
        <f>B828&amp;"-"&amp;COUNTIF($B$2:B828,B828)</f>
        <v>ESPIRITO SANTO-23</v>
      </c>
      <c r="B828" s="5" t="s">
        <v>55</v>
      </c>
      <c r="C828" s="5" t="s">
        <v>715</v>
      </c>
      <c r="D828" s="6">
        <v>-406598</v>
      </c>
      <c r="E828" s="6">
        <v>-203608</v>
      </c>
      <c r="F828" s="7">
        <v>4.673</v>
      </c>
      <c r="G828" s="7">
        <v>5.8529999999999998</v>
      </c>
      <c r="H828" s="7">
        <v>6.1429999999999998</v>
      </c>
      <c r="I828" s="7">
        <v>5.056</v>
      </c>
      <c r="J828" s="7">
        <v>4.335</v>
      </c>
      <c r="K828" s="7">
        <v>3.734</v>
      </c>
      <c r="L828" s="7">
        <v>3.5089999999999999</v>
      </c>
      <c r="M828" s="7">
        <v>3.569</v>
      </c>
      <c r="N828" s="7">
        <v>4.2140000000000004</v>
      </c>
      <c r="O828" s="7">
        <v>4.6950000000000003</v>
      </c>
      <c r="P828" s="7">
        <v>4.7549999999999999</v>
      </c>
      <c r="Q828" s="7">
        <v>4.6890000000000001</v>
      </c>
      <c r="R828" s="7">
        <v>5.5270000000000001</v>
      </c>
      <c r="S828" s="7">
        <f t="shared" si="12"/>
        <v>4.6732500000000003</v>
      </c>
    </row>
    <row r="829" spans="1:19">
      <c r="A829" s="5" t="str">
        <f>B829&amp;"-"&amp;COUNTIF($B$2:B829,B829)</f>
        <v>ESPIRITO SANTO-24</v>
      </c>
      <c r="B829" s="5" t="s">
        <v>55</v>
      </c>
      <c r="C829" s="5" t="s">
        <v>716</v>
      </c>
      <c r="D829" s="6">
        <v>-418409</v>
      </c>
      <c r="E829" s="6">
        <v>-206936</v>
      </c>
      <c r="F829" s="7">
        <v>4.8</v>
      </c>
      <c r="G829" s="7">
        <v>5.8929999999999998</v>
      </c>
      <c r="H829" s="7">
        <v>6.0410000000000004</v>
      </c>
      <c r="I829" s="7">
        <v>4.8970000000000002</v>
      </c>
      <c r="J829" s="7">
        <v>4.4039999999999999</v>
      </c>
      <c r="K829" s="7">
        <v>3.806</v>
      </c>
      <c r="L829" s="7">
        <v>3.7069999999999999</v>
      </c>
      <c r="M829" s="7">
        <v>3.8239999999999998</v>
      </c>
      <c r="N829" s="7">
        <v>4.6120000000000001</v>
      </c>
      <c r="O829" s="7">
        <v>4.9630000000000001</v>
      </c>
      <c r="P829" s="7">
        <v>5.0709999999999997</v>
      </c>
      <c r="Q829" s="7">
        <v>4.7809999999999997</v>
      </c>
      <c r="R829" s="7">
        <v>5.6029999999999998</v>
      </c>
      <c r="S829" s="7">
        <f t="shared" si="12"/>
        <v>4.8001666666666667</v>
      </c>
    </row>
    <row r="830" spans="1:19">
      <c r="A830" s="5" t="str">
        <f>B830&amp;"-"&amp;COUNTIF($B$2:B830,B830)</f>
        <v>ESPIRITO SANTO-25</v>
      </c>
      <c r="B830" s="5" t="s">
        <v>55</v>
      </c>
      <c r="C830" s="5" t="s">
        <v>717</v>
      </c>
      <c r="D830" s="6">
        <v>-40831</v>
      </c>
      <c r="E830" s="6">
        <v>-183722</v>
      </c>
      <c r="F830" s="7">
        <v>4.7839999999999998</v>
      </c>
      <c r="G830" s="7">
        <v>5.9450000000000003</v>
      </c>
      <c r="H830" s="7">
        <v>6.0979999999999999</v>
      </c>
      <c r="I830" s="7">
        <v>5.2560000000000002</v>
      </c>
      <c r="J830" s="7">
        <v>4.6180000000000003</v>
      </c>
      <c r="K830" s="7">
        <v>3.8079999999999998</v>
      </c>
      <c r="L830" s="7">
        <v>3.5459999999999998</v>
      </c>
      <c r="M830" s="7">
        <v>3.6139999999999999</v>
      </c>
      <c r="N830" s="7">
        <v>4.1680000000000001</v>
      </c>
      <c r="O830" s="7">
        <v>4.7549999999999999</v>
      </c>
      <c r="P830" s="7">
        <v>4.9240000000000004</v>
      </c>
      <c r="Q830" s="7">
        <v>4.9130000000000003</v>
      </c>
      <c r="R830" s="7">
        <v>5.7619999999999996</v>
      </c>
      <c r="S830" s="7">
        <f t="shared" si="12"/>
        <v>4.7839166666666664</v>
      </c>
    </row>
    <row r="831" spans="1:19">
      <c r="A831" s="5" t="str">
        <f>B831&amp;"-"&amp;COUNTIF($B$2:B831,B831)</f>
        <v>ESPIRITO SANTO-26</v>
      </c>
      <c r="B831" s="5" t="s">
        <v>55</v>
      </c>
      <c r="C831" s="5" t="s">
        <v>718</v>
      </c>
      <c r="D831" s="6">
        <v>-404081</v>
      </c>
      <c r="E831" s="6">
        <v>-199375</v>
      </c>
      <c r="F831" s="7">
        <v>4.6040000000000001</v>
      </c>
      <c r="G831" s="7">
        <v>5.7729999999999997</v>
      </c>
      <c r="H831" s="7">
        <v>6.0140000000000002</v>
      </c>
      <c r="I831" s="7">
        <v>5.0839999999999996</v>
      </c>
      <c r="J831" s="7">
        <v>4.2779999999999996</v>
      </c>
      <c r="K831" s="7">
        <v>3.7130000000000001</v>
      </c>
      <c r="L831" s="7">
        <v>3.4710000000000001</v>
      </c>
      <c r="M831" s="7">
        <v>3.5680000000000001</v>
      </c>
      <c r="N831" s="7">
        <v>4.0839999999999996</v>
      </c>
      <c r="O831" s="7">
        <v>4.5209999999999999</v>
      </c>
      <c r="P831" s="7">
        <v>4.6109999999999998</v>
      </c>
      <c r="Q831" s="7">
        <v>4.6269999999999998</v>
      </c>
      <c r="R831" s="7">
        <v>5.5019999999999998</v>
      </c>
      <c r="S831" s="7">
        <f t="shared" si="12"/>
        <v>4.6038333333333332</v>
      </c>
    </row>
    <row r="832" spans="1:19">
      <c r="A832" s="5" t="str">
        <f>B832&amp;"-"&amp;COUNTIF($B$2:B832,B832)</f>
        <v>ESPIRITO SANTO-27</v>
      </c>
      <c r="B832" s="5" t="s">
        <v>55</v>
      </c>
      <c r="C832" s="5" t="s">
        <v>719</v>
      </c>
      <c r="D832" s="6">
        <v>-404613</v>
      </c>
      <c r="E832" s="6">
        <v>-192523</v>
      </c>
      <c r="F832" s="7">
        <v>4.6840000000000002</v>
      </c>
      <c r="G832" s="7">
        <v>5.8979999999999997</v>
      </c>
      <c r="H832" s="7">
        <v>6.0039999999999996</v>
      </c>
      <c r="I832" s="7">
        <v>5.1749999999999998</v>
      </c>
      <c r="J832" s="7">
        <v>4.3860000000000001</v>
      </c>
      <c r="K832" s="7">
        <v>3.7759999999999998</v>
      </c>
      <c r="L832" s="7">
        <v>3.5019999999999998</v>
      </c>
      <c r="M832" s="7">
        <v>3.5830000000000002</v>
      </c>
      <c r="N832" s="7">
        <v>4.125</v>
      </c>
      <c r="O832" s="7">
        <v>4.6120000000000001</v>
      </c>
      <c r="P832" s="7">
        <v>4.7519999999999998</v>
      </c>
      <c r="Q832" s="7">
        <v>4.7640000000000002</v>
      </c>
      <c r="R832" s="7">
        <v>5.633</v>
      </c>
      <c r="S832" s="7">
        <f t="shared" si="12"/>
        <v>4.684166666666667</v>
      </c>
    </row>
    <row r="833" spans="1:19">
      <c r="A833" s="5" t="str">
        <f>B833&amp;"-"&amp;COUNTIF($B$2:B833,B833)</f>
        <v>ESPIRITO SANTO-28</v>
      </c>
      <c r="B833" s="5" t="s">
        <v>55</v>
      </c>
      <c r="C833" s="5" t="s">
        <v>720</v>
      </c>
      <c r="D833" s="6">
        <v>-416738</v>
      </c>
      <c r="E833" s="6">
        <v>-207673</v>
      </c>
      <c r="F833" s="7">
        <v>4.8</v>
      </c>
      <c r="G833" s="7">
        <v>5.9960000000000004</v>
      </c>
      <c r="H833" s="7">
        <v>6.1849999999999996</v>
      </c>
      <c r="I833" s="7">
        <v>4.9690000000000003</v>
      </c>
      <c r="J833" s="7">
        <v>4.383</v>
      </c>
      <c r="K833" s="7">
        <v>3.8</v>
      </c>
      <c r="L833" s="7">
        <v>3.62</v>
      </c>
      <c r="M833" s="7">
        <v>3.7480000000000002</v>
      </c>
      <c r="N833" s="7">
        <v>4.508</v>
      </c>
      <c r="O833" s="7">
        <v>4.952</v>
      </c>
      <c r="P833" s="7">
        <v>5.0540000000000003</v>
      </c>
      <c r="Q833" s="7">
        <v>4.8319999999999999</v>
      </c>
      <c r="R833" s="7">
        <v>5.5490000000000004</v>
      </c>
      <c r="S833" s="7">
        <f t="shared" si="12"/>
        <v>4.799666666666667</v>
      </c>
    </row>
    <row r="834" spans="1:19">
      <c r="A834" s="5" t="str">
        <f>B834&amp;"-"&amp;COUNTIF($B$2:B834,B834)</f>
        <v>ESPIRITO SANTO-29</v>
      </c>
      <c r="B834" s="5" t="s">
        <v>55</v>
      </c>
      <c r="C834" s="5" t="s">
        <v>721</v>
      </c>
      <c r="D834" s="6">
        <v>-405096</v>
      </c>
      <c r="E834" s="6">
        <v>-206777</v>
      </c>
      <c r="F834" s="7">
        <v>4.9539999999999997</v>
      </c>
      <c r="G834" s="7">
        <v>6.423</v>
      </c>
      <c r="H834" s="7">
        <v>6.5659999999999998</v>
      </c>
      <c r="I834" s="7">
        <v>5.3049999999999997</v>
      </c>
      <c r="J834" s="7">
        <v>4.5830000000000002</v>
      </c>
      <c r="K834" s="7">
        <v>3.9009999999999998</v>
      </c>
      <c r="L834" s="7">
        <v>3.6389999999999998</v>
      </c>
      <c r="M834" s="7">
        <v>3.6920000000000002</v>
      </c>
      <c r="N834" s="7">
        <v>4.4530000000000003</v>
      </c>
      <c r="O834" s="7">
        <v>4.8959999999999999</v>
      </c>
      <c r="P834" s="7">
        <v>5.0659999999999998</v>
      </c>
      <c r="Q834" s="7">
        <v>5.0330000000000004</v>
      </c>
      <c r="R834" s="7">
        <v>5.8970000000000002</v>
      </c>
      <c r="S834" s="7">
        <f t="shared" si="12"/>
        <v>4.9545000000000003</v>
      </c>
    </row>
    <row r="835" spans="1:19">
      <c r="A835" s="5" t="str">
        <f>B835&amp;"-"&amp;COUNTIF($B$2:B835,B835)</f>
        <v>ESPIRITO SANTO-30</v>
      </c>
      <c r="B835" s="5" t="s">
        <v>55</v>
      </c>
      <c r="C835" s="5" t="s">
        <v>722</v>
      </c>
      <c r="D835" s="6">
        <v>-41509</v>
      </c>
      <c r="E835" s="6">
        <v>-202352</v>
      </c>
      <c r="F835" s="7">
        <v>4.7069999999999999</v>
      </c>
      <c r="G835" s="7">
        <v>5.7779999999999996</v>
      </c>
      <c r="H835" s="7">
        <v>5.9610000000000003</v>
      </c>
      <c r="I835" s="7">
        <v>4.9580000000000002</v>
      </c>
      <c r="J835" s="7">
        <v>4.5119999999999996</v>
      </c>
      <c r="K835" s="7">
        <v>3.8039999999999998</v>
      </c>
      <c r="L835" s="7">
        <v>3.589</v>
      </c>
      <c r="M835" s="7">
        <v>3.714</v>
      </c>
      <c r="N835" s="7">
        <v>4.391</v>
      </c>
      <c r="O835" s="7">
        <v>4.7590000000000003</v>
      </c>
      <c r="P835" s="7">
        <v>4.8330000000000002</v>
      </c>
      <c r="Q835" s="7">
        <v>4.7460000000000004</v>
      </c>
      <c r="R835" s="7">
        <v>5.44</v>
      </c>
      <c r="S835" s="7">
        <f t="shared" ref="S835:S898" si="13">(G835+H835+I835+J835+K835+L835+M835+N835+O835+P835+Q835+R835)/12</f>
        <v>4.7070833333333333</v>
      </c>
    </row>
    <row r="836" spans="1:19">
      <c r="A836" s="5" t="str">
        <f>B836&amp;"-"&amp;COUNTIF($B$2:B836,B836)</f>
        <v>ESPIRITO SANTO-31</v>
      </c>
      <c r="B836" s="5" t="s">
        <v>55</v>
      </c>
      <c r="C836" s="5" t="s">
        <v>723</v>
      </c>
      <c r="D836" s="6">
        <v>-403735</v>
      </c>
      <c r="E836" s="6">
        <v>-198371</v>
      </c>
      <c r="F836" s="7">
        <v>4.7460000000000004</v>
      </c>
      <c r="G836" s="7">
        <v>5.9550000000000001</v>
      </c>
      <c r="H836" s="7">
        <v>6.1429999999999998</v>
      </c>
      <c r="I836" s="7">
        <v>5.2729999999999997</v>
      </c>
      <c r="J836" s="7">
        <v>4.47</v>
      </c>
      <c r="K836" s="7">
        <v>3.8580000000000001</v>
      </c>
      <c r="L836" s="7">
        <v>3.5670000000000002</v>
      </c>
      <c r="M836" s="7">
        <v>3.6709999999999998</v>
      </c>
      <c r="N836" s="7">
        <v>4.2060000000000004</v>
      </c>
      <c r="O836" s="7">
        <v>4.649</v>
      </c>
      <c r="P836" s="7">
        <v>4.7329999999999997</v>
      </c>
      <c r="Q836" s="7">
        <v>4.79</v>
      </c>
      <c r="R836" s="7">
        <v>5.6310000000000002</v>
      </c>
      <c r="S836" s="7">
        <f t="shared" si="13"/>
        <v>4.7454999999999998</v>
      </c>
    </row>
    <row r="837" spans="1:19">
      <c r="A837" s="5" t="str">
        <f>B837&amp;"-"&amp;COUNTIF($B$2:B837,B837)</f>
        <v>ESPIRITO SANTO-32</v>
      </c>
      <c r="B837" s="5" t="s">
        <v>55</v>
      </c>
      <c r="C837" s="5" t="s">
        <v>724</v>
      </c>
      <c r="D837" s="6">
        <v>-416671</v>
      </c>
      <c r="E837" s="6">
        <v>-205471</v>
      </c>
      <c r="F837" s="7">
        <v>4.742</v>
      </c>
      <c r="G837" s="7">
        <v>5.7889999999999997</v>
      </c>
      <c r="H837" s="7">
        <v>6.0910000000000002</v>
      </c>
      <c r="I837" s="7">
        <v>4.9080000000000004</v>
      </c>
      <c r="J837" s="7">
        <v>4.3259999999999996</v>
      </c>
      <c r="K837" s="7">
        <v>3.7589999999999999</v>
      </c>
      <c r="L837" s="7">
        <v>3.6389999999999998</v>
      </c>
      <c r="M837" s="7">
        <v>3.7709999999999999</v>
      </c>
      <c r="N837" s="7">
        <v>4.5090000000000003</v>
      </c>
      <c r="O837" s="7">
        <v>4.9290000000000003</v>
      </c>
      <c r="P837" s="7">
        <v>4.9450000000000003</v>
      </c>
      <c r="Q837" s="7">
        <v>4.6959999999999997</v>
      </c>
      <c r="R837" s="7">
        <v>5.5389999999999997</v>
      </c>
      <c r="S837" s="7">
        <f t="shared" si="13"/>
        <v>4.7417500000000006</v>
      </c>
    </row>
    <row r="838" spans="1:19">
      <c r="A838" s="5" t="str">
        <f>B838&amp;"-"&amp;COUNTIF($B$2:B838,B838)</f>
        <v>ESPIRITO SANTO-33</v>
      </c>
      <c r="B838" s="5" t="s">
        <v>55</v>
      </c>
      <c r="C838" s="5" t="s">
        <v>725</v>
      </c>
      <c r="D838" s="6">
        <v>-408136</v>
      </c>
      <c r="E838" s="6">
        <v>-207918</v>
      </c>
      <c r="F838" s="7">
        <v>4.6760000000000002</v>
      </c>
      <c r="G838" s="7">
        <v>5.9909999999999997</v>
      </c>
      <c r="H838" s="7">
        <v>6.2190000000000003</v>
      </c>
      <c r="I838" s="7">
        <v>4.9560000000000004</v>
      </c>
      <c r="J838" s="7">
        <v>4.2830000000000004</v>
      </c>
      <c r="K838" s="7">
        <v>3.6789999999999998</v>
      </c>
      <c r="L838" s="7">
        <v>3.4940000000000002</v>
      </c>
      <c r="M838" s="7">
        <v>3.548</v>
      </c>
      <c r="N838" s="7">
        <v>4.2699999999999996</v>
      </c>
      <c r="O838" s="7">
        <v>4.673</v>
      </c>
      <c r="P838" s="7">
        <v>4.8220000000000001</v>
      </c>
      <c r="Q838" s="7">
        <v>4.694</v>
      </c>
      <c r="R838" s="7">
        <v>5.4870000000000001</v>
      </c>
      <c r="S838" s="7">
        <f t="shared" si="13"/>
        <v>4.6763333333333339</v>
      </c>
    </row>
    <row r="839" spans="1:19">
      <c r="A839" s="5" t="str">
        <f>B839&amp;"-"&amp;COUNTIF($B$2:B839,B839)</f>
        <v>ESPIRITO SANTO-34</v>
      </c>
      <c r="B839" s="5" t="s">
        <v>55</v>
      </c>
      <c r="C839" s="5" t="s">
        <v>726</v>
      </c>
      <c r="D839" s="6">
        <v>-416447</v>
      </c>
      <c r="E839" s="6">
        <v>-203506</v>
      </c>
      <c r="F839" s="7">
        <v>4.7270000000000003</v>
      </c>
      <c r="G839" s="7">
        <v>5.7510000000000003</v>
      </c>
      <c r="H839" s="7">
        <v>6.0469999999999997</v>
      </c>
      <c r="I839" s="7">
        <v>4.9550000000000001</v>
      </c>
      <c r="J839" s="7">
        <v>4.3810000000000002</v>
      </c>
      <c r="K839" s="7">
        <v>3.7749999999999999</v>
      </c>
      <c r="L839" s="7">
        <v>3.6360000000000001</v>
      </c>
      <c r="M839" s="7">
        <v>3.7509999999999999</v>
      </c>
      <c r="N839" s="7">
        <v>4.4539999999999997</v>
      </c>
      <c r="O839" s="7">
        <v>4.835</v>
      </c>
      <c r="P839" s="7">
        <v>4.8970000000000002</v>
      </c>
      <c r="Q839" s="7">
        <v>4.7069999999999999</v>
      </c>
      <c r="R839" s="7">
        <v>5.5389999999999997</v>
      </c>
      <c r="S839" s="7">
        <f t="shared" si="13"/>
        <v>4.7273333333333332</v>
      </c>
    </row>
    <row r="840" spans="1:19">
      <c r="A840" s="5" t="str">
        <f>B840&amp;"-"&amp;COUNTIF($B$2:B840,B840)</f>
        <v>ESPIRITO SANTO-35</v>
      </c>
      <c r="B840" s="5" t="s">
        <v>55</v>
      </c>
      <c r="C840" s="5" t="s">
        <v>727</v>
      </c>
      <c r="D840" s="6">
        <v>-408605</v>
      </c>
      <c r="E840" s="6">
        <v>-198023</v>
      </c>
      <c r="F840" s="7">
        <v>4.82</v>
      </c>
      <c r="G840" s="7">
        <v>5.9960000000000004</v>
      </c>
      <c r="H840" s="7">
        <v>6.3070000000000004</v>
      </c>
      <c r="I840" s="7">
        <v>5.2590000000000003</v>
      </c>
      <c r="J840" s="7">
        <v>4.6159999999999997</v>
      </c>
      <c r="K840" s="7">
        <v>3.915</v>
      </c>
      <c r="L840" s="7">
        <v>3.6</v>
      </c>
      <c r="M840" s="7">
        <v>3.72</v>
      </c>
      <c r="N840" s="7">
        <v>4.3250000000000002</v>
      </c>
      <c r="O840" s="7">
        <v>4.742</v>
      </c>
      <c r="P840" s="7">
        <v>4.8789999999999996</v>
      </c>
      <c r="Q840" s="7">
        <v>4.851</v>
      </c>
      <c r="R840" s="7">
        <v>5.63</v>
      </c>
      <c r="S840" s="7">
        <f t="shared" si="13"/>
        <v>4.82</v>
      </c>
    </row>
    <row r="841" spans="1:19">
      <c r="A841" s="5" t="str">
        <f>B841&amp;"-"&amp;COUNTIF($B$2:B841,B841)</f>
        <v>ESPIRITO SANTO-36</v>
      </c>
      <c r="B841" s="5" t="s">
        <v>55</v>
      </c>
      <c r="C841" s="5" t="s">
        <v>728</v>
      </c>
      <c r="D841" s="6">
        <v>-40831</v>
      </c>
      <c r="E841" s="5" t="s">
        <v>729</v>
      </c>
      <c r="F841" s="7">
        <v>5.0209999999999999</v>
      </c>
      <c r="G841" s="7">
        <v>6.5369999999999999</v>
      </c>
      <c r="H841" s="7">
        <v>6.6269999999999998</v>
      </c>
      <c r="I841" s="7">
        <v>5.3410000000000002</v>
      </c>
      <c r="J841" s="7">
        <v>4.5659999999999998</v>
      </c>
      <c r="K841" s="7">
        <v>3.831</v>
      </c>
      <c r="L841" s="7">
        <v>3.6459999999999999</v>
      </c>
      <c r="M841" s="7">
        <v>3.7029999999999998</v>
      </c>
      <c r="N841" s="7">
        <v>4.5369999999999999</v>
      </c>
      <c r="O841" s="7">
        <v>4.9649999999999999</v>
      </c>
      <c r="P841" s="7">
        <v>5.29</v>
      </c>
      <c r="Q841" s="7">
        <v>5.1740000000000004</v>
      </c>
      <c r="R841" s="7">
        <v>6.0359999999999996</v>
      </c>
      <c r="S841" s="7">
        <f t="shared" si="13"/>
        <v>5.0210833333333333</v>
      </c>
    </row>
    <row r="842" spans="1:19">
      <c r="A842" s="5" t="str">
        <f>B842&amp;"-"&amp;COUNTIF($B$2:B842,B842)</f>
        <v>ESPIRITO SANTO-37</v>
      </c>
      <c r="B842" s="5" t="s">
        <v>55</v>
      </c>
      <c r="C842" s="5" t="s">
        <v>730</v>
      </c>
      <c r="D842" s="6">
        <v>-408756</v>
      </c>
      <c r="E842" s="6">
        <v>-198755</v>
      </c>
      <c r="F842" s="7">
        <v>4.798</v>
      </c>
      <c r="G842" s="7">
        <v>5.9349999999999996</v>
      </c>
      <c r="H842" s="7">
        <v>6.2640000000000002</v>
      </c>
      <c r="I842" s="7">
        <v>5.2190000000000003</v>
      </c>
      <c r="J842" s="7">
        <v>4.6150000000000002</v>
      </c>
      <c r="K842" s="7">
        <v>3.9220000000000002</v>
      </c>
      <c r="L842" s="7">
        <v>3.56</v>
      </c>
      <c r="M842" s="7">
        <v>3.714</v>
      </c>
      <c r="N842" s="7">
        <v>4.327</v>
      </c>
      <c r="O842" s="7">
        <v>4.7229999999999999</v>
      </c>
      <c r="P842" s="7">
        <v>4.8650000000000002</v>
      </c>
      <c r="Q842" s="7">
        <v>4.8730000000000002</v>
      </c>
      <c r="R842" s="7">
        <v>5.5590000000000002</v>
      </c>
      <c r="S842" s="7">
        <f t="shared" si="13"/>
        <v>4.7979999999999992</v>
      </c>
    </row>
    <row r="843" spans="1:19">
      <c r="A843" s="5" t="str">
        <f>B843&amp;"-"&amp;COUNTIF($B$2:B843,B843)</f>
        <v>ESPIRITO SANTO-38</v>
      </c>
      <c r="B843" s="5" t="s">
        <v>55</v>
      </c>
      <c r="C843" s="5" t="s">
        <v>731</v>
      </c>
      <c r="D843" s="6">
        <v>-415338</v>
      </c>
      <c r="E843" s="6">
        <v>-203536</v>
      </c>
      <c r="F843" s="7">
        <v>4.782</v>
      </c>
      <c r="G843" s="7">
        <v>5.859</v>
      </c>
      <c r="H843" s="7">
        <v>6.1289999999999996</v>
      </c>
      <c r="I843" s="7">
        <v>5.0179999999999998</v>
      </c>
      <c r="J843" s="7">
        <v>4.46</v>
      </c>
      <c r="K843" s="7">
        <v>3.8140000000000001</v>
      </c>
      <c r="L843" s="7">
        <v>3.66</v>
      </c>
      <c r="M843" s="7">
        <v>3.7280000000000002</v>
      </c>
      <c r="N843" s="7">
        <v>4.4820000000000002</v>
      </c>
      <c r="O843" s="7">
        <v>4.84</v>
      </c>
      <c r="P843" s="7">
        <v>4.9630000000000001</v>
      </c>
      <c r="Q843" s="7">
        <v>4.798</v>
      </c>
      <c r="R843" s="7">
        <v>5.6390000000000002</v>
      </c>
      <c r="S843" s="7">
        <f t="shared" si="13"/>
        <v>4.7824999999999998</v>
      </c>
    </row>
    <row r="844" spans="1:19">
      <c r="A844" s="5" t="str">
        <f>B844&amp;"-"&amp;COUNTIF($B$2:B844,B844)</f>
        <v>ESPIRITO SANTO-39</v>
      </c>
      <c r="B844" s="5" t="s">
        <v>55</v>
      </c>
      <c r="C844" s="5" t="s">
        <v>732</v>
      </c>
      <c r="D844" s="6">
        <v>-400762</v>
      </c>
      <c r="E844" s="6">
        <v>-189075</v>
      </c>
      <c r="F844" s="7">
        <v>4.8209999999999997</v>
      </c>
      <c r="G844" s="7">
        <v>6.0540000000000003</v>
      </c>
      <c r="H844" s="7">
        <v>6.133</v>
      </c>
      <c r="I844" s="7">
        <v>5.3109999999999999</v>
      </c>
      <c r="J844" s="7">
        <v>4.4640000000000004</v>
      </c>
      <c r="K844" s="7">
        <v>3.806</v>
      </c>
      <c r="L844" s="7">
        <v>3.5430000000000001</v>
      </c>
      <c r="M844" s="7">
        <v>3.5920000000000001</v>
      </c>
      <c r="N844" s="7">
        <v>4.2510000000000003</v>
      </c>
      <c r="O844" s="7">
        <v>4.8029999999999999</v>
      </c>
      <c r="P844" s="7">
        <v>5.0209999999999999</v>
      </c>
      <c r="Q844" s="7">
        <v>5.0110000000000001</v>
      </c>
      <c r="R844" s="7">
        <v>5.8659999999999997</v>
      </c>
      <c r="S844" s="7">
        <f t="shared" si="13"/>
        <v>4.82125</v>
      </c>
    </row>
    <row r="845" spans="1:19">
      <c r="A845" s="5" t="str">
        <f>B845&amp;"-"&amp;COUNTIF($B$2:B845,B845)</f>
        <v>ESPIRITO SANTO-40</v>
      </c>
      <c r="B845" s="5" t="s">
        <v>55</v>
      </c>
      <c r="C845" s="5" t="s">
        <v>733</v>
      </c>
      <c r="D845" s="6">
        <v>-413952</v>
      </c>
      <c r="E845" s="6">
        <v>-207998</v>
      </c>
      <c r="F845" s="7">
        <v>4.95</v>
      </c>
      <c r="G845" s="7">
        <v>6.1689999999999996</v>
      </c>
      <c r="H845" s="7">
        <v>6.3739999999999997</v>
      </c>
      <c r="I845" s="7">
        <v>5.234</v>
      </c>
      <c r="J845" s="7">
        <v>4.5839999999999996</v>
      </c>
      <c r="K845" s="7">
        <v>3.9460000000000002</v>
      </c>
      <c r="L845" s="7">
        <v>3.71</v>
      </c>
      <c r="M845" s="7">
        <v>3.782</v>
      </c>
      <c r="N845" s="7">
        <v>4.5</v>
      </c>
      <c r="O845" s="7">
        <v>5.0030000000000001</v>
      </c>
      <c r="P845" s="7">
        <v>5.173</v>
      </c>
      <c r="Q845" s="7">
        <v>5.0709999999999997</v>
      </c>
      <c r="R845" s="7">
        <v>5.8559999999999999</v>
      </c>
      <c r="S845" s="7">
        <f t="shared" si="13"/>
        <v>4.950166666666667</v>
      </c>
    </row>
    <row r="846" spans="1:19">
      <c r="A846" s="5" t="str">
        <f>B846&amp;"-"&amp;COUNTIF($B$2:B846,B846)</f>
        <v>ESPIRITO SANTO-41</v>
      </c>
      <c r="B846" s="5" t="s">
        <v>55</v>
      </c>
      <c r="C846" s="5" t="s">
        <v>734</v>
      </c>
      <c r="D846" s="6">
        <v>-403863</v>
      </c>
      <c r="E846" s="6">
        <v>-197582</v>
      </c>
      <c r="F846" s="7">
        <v>4.7460000000000004</v>
      </c>
      <c r="G846" s="7">
        <v>5.9550000000000001</v>
      </c>
      <c r="H846" s="7">
        <v>6.1429999999999998</v>
      </c>
      <c r="I846" s="7">
        <v>5.2729999999999997</v>
      </c>
      <c r="J846" s="7">
        <v>4.47</v>
      </c>
      <c r="K846" s="7">
        <v>3.8580000000000001</v>
      </c>
      <c r="L846" s="7">
        <v>3.5670000000000002</v>
      </c>
      <c r="M846" s="7">
        <v>3.6709999999999998</v>
      </c>
      <c r="N846" s="7">
        <v>4.2060000000000004</v>
      </c>
      <c r="O846" s="7">
        <v>4.649</v>
      </c>
      <c r="P846" s="7">
        <v>4.7329999999999997</v>
      </c>
      <c r="Q846" s="7">
        <v>4.79</v>
      </c>
      <c r="R846" s="7">
        <v>5.6310000000000002</v>
      </c>
      <c r="S846" s="7">
        <f t="shared" si="13"/>
        <v>4.7454999999999998</v>
      </c>
    </row>
    <row r="847" spans="1:19">
      <c r="A847" s="5" t="str">
        <f>B847&amp;"-"&amp;COUNTIF($B$2:B847,B847)</f>
        <v>ESPIRITO SANTO-42</v>
      </c>
      <c r="B847" s="5" t="s">
        <v>55</v>
      </c>
      <c r="C847" s="5" t="s">
        <v>735</v>
      </c>
      <c r="D847" s="6">
        <v>-410625</v>
      </c>
      <c r="E847" s="6">
        <v>-198999</v>
      </c>
      <c r="F847" s="7">
        <v>4.8360000000000003</v>
      </c>
      <c r="G847" s="7">
        <v>6.03</v>
      </c>
      <c r="H847" s="7">
        <v>6.1840000000000002</v>
      </c>
      <c r="I847" s="7">
        <v>5.2480000000000002</v>
      </c>
      <c r="J847" s="7">
        <v>4.7060000000000004</v>
      </c>
      <c r="K847" s="7">
        <v>3.948</v>
      </c>
      <c r="L847" s="7">
        <v>3.6379999999999999</v>
      </c>
      <c r="M847" s="7">
        <v>3.7269999999999999</v>
      </c>
      <c r="N847" s="7">
        <v>4.3920000000000003</v>
      </c>
      <c r="O847" s="7">
        <v>4.7240000000000002</v>
      </c>
      <c r="P847" s="7">
        <v>4.9050000000000002</v>
      </c>
      <c r="Q847" s="7">
        <v>4.8730000000000002</v>
      </c>
      <c r="R847" s="7">
        <v>5.6630000000000003</v>
      </c>
      <c r="S847" s="7">
        <f t="shared" si="13"/>
        <v>4.8365</v>
      </c>
    </row>
    <row r="848" spans="1:19">
      <c r="A848" s="5" t="str">
        <f>B848&amp;"-"&amp;COUNTIF($B$2:B848,B848)</f>
        <v>ESPIRITO SANTO-43</v>
      </c>
      <c r="B848" s="5" t="s">
        <v>55</v>
      </c>
      <c r="C848" s="5" t="s">
        <v>736</v>
      </c>
      <c r="D848" s="6">
        <v>-400646</v>
      </c>
      <c r="E848" s="6">
        <v>-193951</v>
      </c>
      <c r="F848" s="7">
        <v>4.8520000000000003</v>
      </c>
      <c r="G848" s="7">
        <v>6.06</v>
      </c>
      <c r="H848" s="7">
        <v>6.1379999999999999</v>
      </c>
      <c r="I848" s="7">
        <v>5.2770000000000001</v>
      </c>
      <c r="J848" s="7">
        <v>4.4880000000000004</v>
      </c>
      <c r="K848" s="7">
        <v>3.927</v>
      </c>
      <c r="L848" s="7">
        <v>3.6030000000000002</v>
      </c>
      <c r="M848" s="7">
        <v>3.6829999999999998</v>
      </c>
      <c r="N848" s="7">
        <v>4.2969999999999997</v>
      </c>
      <c r="O848" s="7">
        <v>4.8239999999999998</v>
      </c>
      <c r="P848" s="7">
        <v>4.9829999999999997</v>
      </c>
      <c r="Q848" s="7">
        <v>5.0359999999999996</v>
      </c>
      <c r="R848" s="7">
        <v>5.9059999999999997</v>
      </c>
      <c r="S848" s="7">
        <f t="shared" si="13"/>
        <v>4.8518333333333326</v>
      </c>
    </row>
    <row r="849" spans="1:19">
      <c r="A849" s="5" t="str">
        <f>B849&amp;"-"&amp;COUNTIF($B$2:B849,B849)</f>
        <v>ESPIRITO SANTO-44</v>
      </c>
      <c r="B849" s="5" t="s">
        <v>55</v>
      </c>
      <c r="C849" s="5" t="s">
        <v>737</v>
      </c>
      <c r="D849" s="6">
        <v>-411221</v>
      </c>
      <c r="E849" s="6">
        <v>-188626</v>
      </c>
      <c r="F849" s="7">
        <v>4.7869999999999999</v>
      </c>
      <c r="G849" s="7">
        <v>5.9569999999999999</v>
      </c>
      <c r="H849" s="7">
        <v>5.9989999999999997</v>
      </c>
      <c r="I849" s="7">
        <v>5.165</v>
      </c>
      <c r="J849" s="7">
        <v>4.4560000000000004</v>
      </c>
      <c r="K849" s="7">
        <v>3.8250000000000002</v>
      </c>
      <c r="L849" s="7">
        <v>3.548</v>
      </c>
      <c r="M849" s="7">
        <v>3.6469999999999998</v>
      </c>
      <c r="N849" s="7">
        <v>4.282</v>
      </c>
      <c r="O849" s="7">
        <v>4.83</v>
      </c>
      <c r="P849" s="7">
        <v>5.0599999999999996</v>
      </c>
      <c r="Q849" s="7">
        <v>4.9379999999999997</v>
      </c>
      <c r="R849" s="7">
        <v>5.734</v>
      </c>
      <c r="S849" s="7">
        <f t="shared" si="13"/>
        <v>4.7867499999999996</v>
      </c>
    </row>
    <row r="850" spans="1:19">
      <c r="A850" s="5" t="str">
        <f>B850&amp;"-"&amp;COUNTIF($B$2:B850,B850)</f>
        <v>ESPIRITO SANTO-45</v>
      </c>
      <c r="B850" s="5" t="s">
        <v>55</v>
      </c>
      <c r="C850" s="5" t="s">
        <v>738</v>
      </c>
      <c r="D850" s="6">
        <v>-408388</v>
      </c>
      <c r="E850" s="6">
        <v>-210403</v>
      </c>
      <c r="F850" s="7">
        <v>5.0209999999999999</v>
      </c>
      <c r="G850" s="7">
        <v>6.5369999999999999</v>
      </c>
      <c r="H850" s="7">
        <v>6.6269999999999998</v>
      </c>
      <c r="I850" s="7">
        <v>5.3410000000000002</v>
      </c>
      <c r="J850" s="7">
        <v>4.5659999999999998</v>
      </c>
      <c r="K850" s="7">
        <v>3.831</v>
      </c>
      <c r="L850" s="7">
        <v>3.6459999999999999</v>
      </c>
      <c r="M850" s="7">
        <v>3.7029999999999998</v>
      </c>
      <c r="N850" s="7">
        <v>4.5369999999999999</v>
      </c>
      <c r="O850" s="7">
        <v>4.9649999999999999</v>
      </c>
      <c r="P850" s="7">
        <v>5.29</v>
      </c>
      <c r="Q850" s="7">
        <v>5.1740000000000004</v>
      </c>
      <c r="R850" s="7">
        <v>6.0359999999999996</v>
      </c>
      <c r="S850" s="7">
        <f t="shared" si="13"/>
        <v>5.0210833333333333</v>
      </c>
    </row>
    <row r="851" spans="1:19">
      <c r="A851" s="5" t="str">
        <f>B851&amp;"-"&amp;COUNTIF($B$2:B851,B851)</f>
        <v>ESPIRITO SANTO-46</v>
      </c>
      <c r="B851" s="5" t="s">
        <v>55</v>
      </c>
      <c r="C851" s="5" t="s">
        <v>739</v>
      </c>
      <c r="D851" s="6">
        <v>-406754</v>
      </c>
      <c r="E851" s="6">
        <v>-204123</v>
      </c>
      <c r="F851" s="7">
        <v>4.673</v>
      </c>
      <c r="G851" s="7">
        <v>5.8529999999999998</v>
      </c>
      <c r="H851" s="7">
        <v>6.1429999999999998</v>
      </c>
      <c r="I851" s="7">
        <v>5.056</v>
      </c>
      <c r="J851" s="7">
        <v>4.335</v>
      </c>
      <c r="K851" s="7">
        <v>3.734</v>
      </c>
      <c r="L851" s="7">
        <v>3.5089999999999999</v>
      </c>
      <c r="M851" s="7">
        <v>3.569</v>
      </c>
      <c r="N851" s="7">
        <v>4.2140000000000004</v>
      </c>
      <c r="O851" s="7">
        <v>4.6950000000000003</v>
      </c>
      <c r="P851" s="7">
        <v>4.7549999999999999</v>
      </c>
      <c r="Q851" s="7">
        <v>4.6890000000000001</v>
      </c>
      <c r="R851" s="7">
        <v>5.5270000000000001</v>
      </c>
      <c r="S851" s="7">
        <f t="shared" si="13"/>
        <v>4.6732500000000003</v>
      </c>
    </row>
    <row r="852" spans="1:19">
      <c r="A852" s="5" t="str">
        <f>B852&amp;"-"&amp;COUNTIF($B$2:B852,B852)</f>
        <v>ESPIRITO SANTO-47</v>
      </c>
      <c r="B852" s="5" t="s">
        <v>55</v>
      </c>
      <c r="C852" s="5" t="s">
        <v>740</v>
      </c>
      <c r="D852" s="6">
        <v>-40546</v>
      </c>
      <c r="E852" s="6">
        <v>-194118</v>
      </c>
      <c r="F852" s="7">
        <v>4.7530000000000001</v>
      </c>
      <c r="G852" s="7">
        <v>5.9889999999999999</v>
      </c>
      <c r="H852" s="7">
        <v>6.093</v>
      </c>
      <c r="I852" s="7">
        <v>5.2149999999999999</v>
      </c>
      <c r="J852" s="7">
        <v>4.4480000000000004</v>
      </c>
      <c r="K852" s="7">
        <v>3.82</v>
      </c>
      <c r="L852" s="7">
        <v>3.5539999999999998</v>
      </c>
      <c r="M852" s="7">
        <v>3.6059999999999999</v>
      </c>
      <c r="N852" s="7">
        <v>4.2039999999999997</v>
      </c>
      <c r="O852" s="7">
        <v>4.67</v>
      </c>
      <c r="P852" s="7">
        <v>4.8570000000000002</v>
      </c>
      <c r="Q852" s="7">
        <v>4.8600000000000003</v>
      </c>
      <c r="R852" s="7">
        <v>5.7169999999999996</v>
      </c>
      <c r="S852" s="7">
        <f t="shared" si="13"/>
        <v>4.7527499999999998</v>
      </c>
    </row>
    <row r="853" spans="1:19">
      <c r="A853" s="5" t="str">
        <f>B853&amp;"-"&amp;COUNTIF($B$2:B853,B853)</f>
        <v>ESPIRITO SANTO-48</v>
      </c>
      <c r="B853" s="5" t="s">
        <v>55</v>
      </c>
      <c r="C853" s="5" t="s">
        <v>741</v>
      </c>
      <c r="D853" s="6">
        <v>-413619</v>
      </c>
      <c r="E853" s="6">
        <v>-210633</v>
      </c>
      <c r="F853" s="7">
        <v>4.8339999999999996</v>
      </c>
      <c r="G853" s="7">
        <v>6.1689999999999996</v>
      </c>
      <c r="H853" s="7">
        <v>6.2939999999999996</v>
      </c>
      <c r="I853" s="7">
        <v>5.0830000000000002</v>
      </c>
      <c r="J853" s="7">
        <v>4.5110000000000001</v>
      </c>
      <c r="K853" s="7">
        <v>3.8010000000000002</v>
      </c>
      <c r="L853" s="7">
        <v>3.6070000000000002</v>
      </c>
      <c r="M853" s="7">
        <v>3.6360000000000001</v>
      </c>
      <c r="N853" s="7">
        <v>4.4139999999999997</v>
      </c>
      <c r="O853" s="7">
        <v>4.8460000000000001</v>
      </c>
      <c r="P853" s="7">
        <v>5.05</v>
      </c>
      <c r="Q853" s="7">
        <v>4.9370000000000003</v>
      </c>
      <c r="R853" s="7">
        <v>5.665</v>
      </c>
      <c r="S853" s="7">
        <f t="shared" si="13"/>
        <v>4.8344166666666668</v>
      </c>
    </row>
    <row r="854" spans="1:19">
      <c r="A854" s="5" t="str">
        <f>B854&amp;"-"&amp;COUNTIF($B$2:B854,B854)</f>
        <v>ESPIRITO SANTO-49</v>
      </c>
      <c r="B854" s="5" t="s">
        <v>55</v>
      </c>
      <c r="C854" s="5" t="s">
        <v>742</v>
      </c>
      <c r="D854" s="6">
        <v>-403645</v>
      </c>
      <c r="E854" s="6">
        <v>-181272</v>
      </c>
      <c r="F854" s="7">
        <v>4.9029999999999996</v>
      </c>
      <c r="G854" s="7">
        <v>6.1920000000000002</v>
      </c>
      <c r="H854" s="7">
        <v>6.1619999999999999</v>
      </c>
      <c r="I854" s="7">
        <v>5.3659999999999997</v>
      </c>
      <c r="J854" s="7">
        <v>4.6109999999999998</v>
      </c>
      <c r="K854" s="7">
        <v>3.8239999999999998</v>
      </c>
      <c r="L854" s="7">
        <v>3.5649999999999999</v>
      </c>
      <c r="M854" s="7">
        <v>3.6709999999999998</v>
      </c>
      <c r="N854" s="7">
        <v>4.2779999999999996</v>
      </c>
      <c r="O854" s="7">
        <v>4.8490000000000002</v>
      </c>
      <c r="P854" s="7">
        <v>5.1870000000000003</v>
      </c>
      <c r="Q854" s="7">
        <v>5.1120000000000001</v>
      </c>
      <c r="R854" s="7">
        <v>6.0149999999999997</v>
      </c>
      <c r="S854" s="7">
        <f t="shared" si="13"/>
        <v>4.9026666666666667</v>
      </c>
    </row>
    <row r="855" spans="1:19">
      <c r="A855" s="5" t="str">
        <f>B855&amp;"-"&amp;COUNTIF($B$2:B855,B855)</f>
        <v>ESPIRITO SANTO-50</v>
      </c>
      <c r="B855" s="5" t="s">
        <v>55</v>
      </c>
      <c r="C855" s="5" t="s">
        <v>743</v>
      </c>
      <c r="D855" s="6">
        <v>-405191</v>
      </c>
      <c r="E855" s="6">
        <v>-180942</v>
      </c>
      <c r="F855" s="7">
        <v>4.8650000000000002</v>
      </c>
      <c r="G855" s="7">
        <v>6.1239999999999997</v>
      </c>
      <c r="H855" s="7">
        <v>6.1909999999999998</v>
      </c>
      <c r="I855" s="7">
        <v>5.3380000000000001</v>
      </c>
      <c r="J855" s="7">
        <v>4.6100000000000003</v>
      </c>
      <c r="K855" s="7">
        <v>3.8029999999999999</v>
      </c>
      <c r="L855" s="7">
        <v>3.4740000000000002</v>
      </c>
      <c r="M855" s="7">
        <v>3.6419999999999999</v>
      </c>
      <c r="N855" s="7">
        <v>4.2430000000000003</v>
      </c>
      <c r="O855" s="7">
        <v>4.8140000000000001</v>
      </c>
      <c r="P855" s="7">
        <v>5.1289999999999996</v>
      </c>
      <c r="Q855" s="7">
        <v>5.0330000000000004</v>
      </c>
      <c r="R855" s="7">
        <v>5.9770000000000003</v>
      </c>
      <c r="S855" s="7">
        <f t="shared" si="13"/>
        <v>4.8648333333333333</v>
      </c>
    </row>
    <row r="856" spans="1:19">
      <c r="A856" s="5" t="str">
        <f>B856&amp;"-"&amp;COUNTIF($B$2:B856,B856)</f>
        <v>ESPIRITO SANTO-51</v>
      </c>
      <c r="B856" s="5" t="s">
        <v>55</v>
      </c>
      <c r="C856" s="5" t="s">
        <v>744</v>
      </c>
      <c r="D856" s="6">
        <v>-41416</v>
      </c>
      <c r="E856" s="6">
        <v>-204657</v>
      </c>
      <c r="F856" s="7">
        <v>4.8659999999999997</v>
      </c>
      <c r="G856" s="7">
        <v>6.0339999999999998</v>
      </c>
      <c r="H856" s="7">
        <v>6.2069999999999999</v>
      </c>
      <c r="I856" s="7">
        <v>5.1230000000000002</v>
      </c>
      <c r="J856" s="7">
        <v>4.5469999999999997</v>
      </c>
      <c r="K856" s="7">
        <v>3.8860000000000001</v>
      </c>
      <c r="L856" s="7">
        <v>3.7309999999999999</v>
      </c>
      <c r="M856" s="7">
        <v>3.7829999999999999</v>
      </c>
      <c r="N856" s="7">
        <v>4.5469999999999997</v>
      </c>
      <c r="O856" s="7">
        <v>4.9269999999999996</v>
      </c>
      <c r="P856" s="7">
        <v>5.0339999999999998</v>
      </c>
      <c r="Q856" s="7">
        <v>4.8849999999999998</v>
      </c>
      <c r="R856" s="7">
        <v>5.681</v>
      </c>
      <c r="S856" s="7">
        <f t="shared" si="13"/>
        <v>4.8654166666666656</v>
      </c>
    </row>
    <row r="857" spans="1:19">
      <c r="A857" s="5" t="str">
        <f>B857&amp;"-"&amp;COUNTIF($B$2:B857,B857)</f>
        <v>ESPIRITO SANTO-52</v>
      </c>
      <c r="B857" s="5" t="s">
        <v>55</v>
      </c>
      <c r="C857" s="5" t="s">
        <v>745</v>
      </c>
      <c r="D857" s="6">
        <v>-413463</v>
      </c>
      <c r="E857" s="6">
        <v>-209513</v>
      </c>
      <c r="F857" s="7">
        <v>4.7919999999999998</v>
      </c>
      <c r="G857" s="7">
        <v>6.05</v>
      </c>
      <c r="H857" s="7">
        <v>6.2720000000000002</v>
      </c>
      <c r="I857" s="7">
        <v>5.0579999999999998</v>
      </c>
      <c r="J857" s="7">
        <v>4.4169999999999998</v>
      </c>
      <c r="K857" s="7">
        <v>3.782</v>
      </c>
      <c r="L857" s="7">
        <v>3.556</v>
      </c>
      <c r="M857" s="7">
        <v>3.6429999999999998</v>
      </c>
      <c r="N857" s="7">
        <v>4.3970000000000002</v>
      </c>
      <c r="O857" s="7">
        <v>4.8659999999999997</v>
      </c>
      <c r="P857" s="7">
        <v>4.9800000000000004</v>
      </c>
      <c r="Q857" s="7">
        <v>4.8410000000000002</v>
      </c>
      <c r="R857" s="7">
        <v>5.6390000000000002</v>
      </c>
      <c r="S857" s="7">
        <f t="shared" si="13"/>
        <v>4.7917500000000004</v>
      </c>
    </row>
    <row r="858" spans="1:19">
      <c r="A858" s="5" t="str">
        <f>B858&amp;"-"&amp;COUNTIF($B$2:B858,B858)</f>
        <v>ESPIRITO SANTO-53</v>
      </c>
      <c r="B858" s="5" t="s">
        <v>55</v>
      </c>
      <c r="C858" s="5" t="s">
        <v>746</v>
      </c>
      <c r="D858" s="6">
        <v>-404056</v>
      </c>
      <c r="E858" s="6">
        <v>-187155</v>
      </c>
      <c r="F858" s="7">
        <v>4.8049999999999997</v>
      </c>
      <c r="G858" s="7">
        <v>6.07</v>
      </c>
      <c r="H858" s="7">
        <v>6.1070000000000002</v>
      </c>
      <c r="I858" s="7">
        <v>5.2859999999999996</v>
      </c>
      <c r="J858" s="7">
        <v>4.5709999999999997</v>
      </c>
      <c r="K858" s="7">
        <v>3.8540000000000001</v>
      </c>
      <c r="L858" s="7">
        <v>3.5249999999999999</v>
      </c>
      <c r="M858" s="7">
        <v>3.6230000000000002</v>
      </c>
      <c r="N858" s="7">
        <v>4.226</v>
      </c>
      <c r="O858" s="7">
        <v>4.7679999999999998</v>
      </c>
      <c r="P858" s="7">
        <v>4.93</v>
      </c>
      <c r="Q858" s="7">
        <v>4.9349999999999996</v>
      </c>
      <c r="R858" s="7">
        <v>5.7670000000000003</v>
      </c>
      <c r="S858" s="7">
        <f t="shared" si="13"/>
        <v>4.8051666666666666</v>
      </c>
    </row>
    <row r="859" spans="1:19">
      <c r="A859" s="5" t="str">
        <f>B859&amp;"-"&amp;COUNTIF($B$2:B859,B859)</f>
        <v>ESPIRITO SANTO-54</v>
      </c>
      <c r="B859" s="5" t="s">
        <v>55</v>
      </c>
      <c r="C859" s="5" t="s">
        <v>747</v>
      </c>
      <c r="D859" s="6">
        <v>-408538</v>
      </c>
      <c r="E859" s="6">
        <v>-192234</v>
      </c>
      <c r="F859" s="7">
        <v>4.7450000000000001</v>
      </c>
      <c r="G859" s="7">
        <v>5.8769999999999998</v>
      </c>
      <c r="H859" s="7">
        <v>6.0309999999999997</v>
      </c>
      <c r="I859" s="7">
        <v>5.165</v>
      </c>
      <c r="J859" s="7">
        <v>4.4729999999999999</v>
      </c>
      <c r="K859" s="7">
        <v>3.8159999999999998</v>
      </c>
      <c r="L859" s="7">
        <v>3.5539999999999998</v>
      </c>
      <c r="M859" s="7">
        <v>3.6629999999999998</v>
      </c>
      <c r="N859" s="7">
        <v>4.2309999999999999</v>
      </c>
      <c r="O859" s="7">
        <v>4.75</v>
      </c>
      <c r="P859" s="7">
        <v>4.9420000000000002</v>
      </c>
      <c r="Q859" s="7">
        <v>4.8550000000000004</v>
      </c>
      <c r="R859" s="7">
        <v>5.585</v>
      </c>
      <c r="S859" s="7">
        <f t="shared" si="13"/>
        <v>4.745166666666667</v>
      </c>
    </row>
    <row r="860" spans="1:19">
      <c r="A860" s="5" t="str">
        <f>B860&amp;"-"&amp;COUNTIF($B$2:B860,B860)</f>
        <v>ESPIRITO SANTO-55</v>
      </c>
      <c r="B860" s="5" t="s">
        <v>55</v>
      </c>
      <c r="C860" s="5" t="s">
        <v>748</v>
      </c>
      <c r="D860" s="6">
        <v>-399542</v>
      </c>
      <c r="E860" s="6">
        <v>-183002</v>
      </c>
      <c r="F860" s="7">
        <v>4.8970000000000002</v>
      </c>
      <c r="G860" s="7">
        <v>6.1189999999999998</v>
      </c>
      <c r="H860" s="7">
        <v>6.1840000000000002</v>
      </c>
      <c r="I860" s="7">
        <v>5.319</v>
      </c>
      <c r="J860" s="7">
        <v>4.524</v>
      </c>
      <c r="K860" s="7">
        <v>3.8620000000000001</v>
      </c>
      <c r="L860" s="7">
        <v>3.5110000000000001</v>
      </c>
      <c r="M860" s="7">
        <v>3.673</v>
      </c>
      <c r="N860" s="7">
        <v>4.3620000000000001</v>
      </c>
      <c r="O860" s="7">
        <v>4.8949999999999996</v>
      </c>
      <c r="P860" s="7">
        <v>5.133</v>
      </c>
      <c r="Q860" s="7">
        <v>5.1539999999999999</v>
      </c>
      <c r="R860" s="7">
        <v>6.0330000000000004</v>
      </c>
      <c r="S860" s="7">
        <f t="shared" si="13"/>
        <v>4.8974166666666674</v>
      </c>
    </row>
    <row r="861" spans="1:19">
      <c r="A861" s="5" t="str">
        <f>B861&amp;"-"&amp;COUNTIF($B$2:B861,B861)</f>
        <v>ESPIRITO SANTO-56</v>
      </c>
      <c r="B861" s="5" t="s">
        <v>55</v>
      </c>
      <c r="C861" s="5" t="s">
        <v>749</v>
      </c>
      <c r="D861" s="6">
        <v>-402175</v>
      </c>
      <c r="E861" s="6">
        <v>-184145</v>
      </c>
      <c r="F861" s="7">
        <v>4.8609999999999998</v>
      </c>
      <c r="G861" s="7">
        <v>6.1159999999999997</v>
      </c>
      <c r="H861" s="7">
        <v>6.165</v>
      </c>
      <c r="I861" s="7">
        <v>5.2949999999999999</v>
      </c>
      <c r="J861" s="7">
        <v>4.5419999999999998</v>
      </c>
      <c r="K861" s="7">
        <v>3.8260000000000001</v>
      </c>
      <c r="L861" s="7">
        <v>3.5659999999999998</v>
      </c>
      <c r="M861" s="7">
        <v>3.657</v>
      </c>
      <c r="N861" s="7">
        <v>4.2510000000000003</v>
      </c>
      <c r="O861" s="7">
        <v>4.8410000000000002</v>
      </c>
      <c r="P861" s="7">
        <v>5.0999999999999996</v>
      </c>
      <c r="Q861" s="7">
        <v>5.0259999999999998</v>
      </c>
      <c r="R861" s="7">
        <v>5.94</v>
      </c>
      <c r="S861" s="7">
        <f t="shared" si="13"/>
        <v>4.8604166666666666</v>
      </c>
    </row>
    <row r="862" spans="1:19">
      <c r="A862" s="5" t="str">
        <f>B862&amp;"-"&amp;COUNTIF($B$2:B862,B862)</f>
        <v>ESPIRITO SANTO-57</v>
      </c>
      <c r="B862" s="5" t="s">
        <v>55</v>
      </c>
      <c r="C862" s="5" t="s">
        <v>750</v>
      </c>
      <c r="D862" s="6">
        <v>-407272</v>
      </c>
      <c r="E862" s="6">
        <v>-208339</v>
      </c>
      <c r="F862" s="7">
        <v>4.8680000000000003</v>
      </c>
      <c r="G862" s="7">
        <v>6.2320000000000002</v>
      </c>
      <c r="H862" s="7">
        <v>6.5</v>
      </c>
      <c r="I862" s="7">
        <v>5.2290000000000001</v>
      </c>
      <c r="J862" s="7">
        <v>4.4930000000000003</v>
      </c>
      <c r="K862" s="7">
        <v>3.8</v>
      </c>
      <c r="L862" s="7">
        <v>3.6</v>
      </c>
      <c r="M862" s="7">
        <v>3.6429999999999998</v>
      </c>
      <c r="N862" s="7">
        <v>4.38</v>
      </c>
      <c r="O862" s="7">
        <v>4.8129999999999997</v>
      </c>
      <c r="P862" s="7">
        <v>5.0430000000000001</v>
      </c>
      <c r="Q862" s="7">
        <v>4.9320000000000004</v>
      </c>
      <c r="R862" s="7">
        <v>5.7530000000000001</v>
      </c>
      <c r="S862" s="7">
        <f t="shared" si="13"/>
        <v>4.8681666666666672</v>
      </c>
    </row>
    <row r="863" spans="1:19">
      <c r="A863" s="5" t="str">
        <f>B863&amp;"-"&amp;COUNTIF($B$2:B863,B863)</f>
        <v>ESPIRITO SANTO-58</v>
      </c>
      <c r="B863" s="5" t="s">
        <v>55</v>
      </c>
      <c r="C863" s="5" t="s">
        <v>751</v>
      </c>
      <c r="D863" s="6">
        <v>-405408</v>
      </c>
      <c r="E863" s="6">
        <v>-181229</v>
      </c>
      <c r="F863" s="7">
        <v>4.8650000000000002</v>
      </c>
      <c r="G863" s="7">
        <v>6.1239999999999997</v>
      </c>
      <c r="H863" s="7">
        <v>6.1909999999999998</v>
      </c>
      <c r="I863" s="7">
        <v>5.3380000000000001</v>
      </c>
      <c r="J863" s="7">
        <v>4.6100000000000003</v>
      </c>
      <c r="K863" s="7">
        <v>3.8029999999999999</v>
      </c>
      <c r="L863" s="7">
        <v>3.4740000000000002</v>
      </c>
      <c r="M863" s="7">
        <v>3.6419999999999999</v>
      </c>
      <c r="N863" s="7">
        <v>4.2430000000000003</v>
      </c>
      <c r="O863" s="7">
        <v>4.8140000000000001</v>
      </c>
      <c r="P863" s="7">
        <v>5.1289999999999996</v>
      </c>
      <c r="Q863" s="7">
        <v>5.0330000000000004</v>
      </c>
      <c r="R863" s="7">
        <v>5.9770000000000003</v>
      </c>
      <c r="S863" s="7">
        <f t="shared" si="13"/>
        <v>4.8648333333333333</v>
      </c>
    </row>
    <row r="864" spans="1:19">
      <c r="A864" s="5" t="str">
        <f>B864&amp;"-"&amp;COUNTIF($B$2:B864,B864)</f>
        <v>ESPIRITO SANTO-59</v>
      </c>
      <c r="B864" s="5" t="s">
        <v>55</v>
      </c>
      <c r="C864" s="5" t="s">
        <v>752</v>
      </c>
      <c r="D864" s="6">
        <v>-410472</v>
      </c>
      <c r="E864" s="6">
        <v>-210968</v>
      </c>
      <c r="F864" s="7">
        <v>4.952</v>
      </c>
      <c r="G864" s="7">
        <v>6.3470000000000004</v>
      </c>
      <c r="H864" s="7">
        <v>6.6139999999999999</v>
      </c>
      <c r="I864" s="7">
        <v>5.258</v>
      </c>
      <c r="J864" s="7">
        <v>4.55</v>
      </c>
      <c r="K864" s="7">
        <v>3.8460000000000001</v>
      </c>
      <c r="L864" s="7">
        <v>3.63</v>
      </c>
      <c r="M864" s="7">
        <v>3.6709999999999998</v>
      </c>
      <c r="N864" s="7">
        <v>4.4729999999999999</v>
      </c>
      <c r="O864" s="7">
        <v>4.867</v>
      </c>
      <c r="P864" s="7">
        <v>5.1639999999999997</v>
      </c>
      <c r="Q864" s="7">
        <v>5.1100000000000003</v>
      </c>
      <c r="R864" s="7">
        <v>5.8959999999999999</v>
      </c>
      <c r="S864" s="7">
        <f t="shared" si="13"/>
        <v>4.9521666666666668</v>
      </c>
    </row>
    <row r="865" spans="1:19">
      <c r="A865" s="5" t="str">
        <f>B865&amp;"-"&amp;COUNTIF($B$2:B865,B865)</f>
        <v>ESPIRITO SANTO-60</v>
      </c>
      <c r="B865" s="5" t="s">
        <v>55</v>
      </c>
      <c r="C865" s="5" t="s">
        <v>753</v>
      </c>
      <c r="D865" s="6">
        <v>-403369</v>
      </c>
      <c r="E865" s="6">
        <v>-192724</v>
      </c>
      <c r="F865" s="7">
        <v>4.7160000000000002</v>
      </c>
      <c r="G865" s="7">
        <v>5.907</v>
      </c>
      <c r="H865" s="7">
        <v>6.0229999999999997</v>
      </c>
      <c r="I865" s="7">
        <v>5.218</v>
      </c>
      <c r="J865" s="7">
        <v>4.4109999999999996</v>
      </c>
      <c r="K865" s="7">
        <v>3.8340000000000001</v>
      </c>
      <c r="L865" s="7">
        <v>3.552</v>
      </c>
      <c r="M865" s="7">
        <v>3.6219999999999999</v>
      </c>
      <c r="N865" s="7">
        <v>4.1340000000000003</v>
      </c>
      <c r="O865" s="7">
        <v>4.6609999999999996</v>
      </c>
      <c r="P865" s="7">
        <v>4.7629999999999999</v>
      </c>
      <c r="Q865" s="7">
        <v>4.7779999999999996</v>
      </c>
      <c r="R865" s="7">
        <v>5.6929999999999996</v>
      </c>
      <c r="S865" s="7">
        <f t="shared" si="13"/>
        <v>4.7163333333333322</v>
      </c>
    </row>
    <row r="866" spans="1:19">
      <c r="A866" s="5" t="str">
        <f>B866&amp;"-"&amp;COUNTIF($B$2:B866,B866)</f>
        <v>ESPIRITO SANTO-61</v>
      </c>
      <c r="B866" s="5" t="s">
        <v>55</v>
      </c>
      <c r="C866" s="5" t="s">
        <v>754</v>
      </c>
      <c r="D866" s="6">
        <v>-409391</v>
      </c>
      <c r="E866" s="6">
        <v>-208561</v>
      </c>
      <c r="F866" s="7">
        <v>4.8680000000000003</v>
      </c>
      <c r="G866" s="7">
        <v>6.2190000000000003</v>
      </c>
      <c r="H866" s="7">
        <v>6.42</v>
      </c>
      <c r="I866" s="7">
        <v>5.1760000000000002</v>
      </c>
      <c r="J866" s="7">
        <v>4.4690000000000003</v>
      </c>
      <c r="K866" s="7">
        <v>3.8090000000000002</v>
      </c>
      <c r="L866" s="7">
        <v>3.6269999999999998</v>
      </c>
      <c r="M866" s="7">
        <v>3.6469999999999998</v>
      </c>
      <c r="N866" s="7">
        <v>4.407</v>
      </c>
      <c r="O866" s="7">
        <v>4.8339999999999996</v>
      </c>
      <c r="P866" s="7">
        <v>5.069</v>
      </c>
      <c r="Q866" s="7">
        <v>4.9279999999999999</v>
      </c>
      <c r="R866" s="7">
        <v>5.806</v>
      </c>
      <c r="S866" s="7">
        <f t="shared" si="13"/>
        <v>4.8675833333333332</v>
      </c>
    </row>
    <row r="867" spans="1:19">
      <c r="A867" s="5" t="str">
        <f>B867&amp;"-"&amp;COUNTIF($B$2:B867,B867)</f>
        <v>ESPIRITO SANTO-62</v>
      </c>
      <c r="B867" s="5" t="s">
        <v>55</v>
      </c>
      <c r="C867" s="5" t="s">
        <v>755</v>
      </c>
      <c r="D867" s="6">
        <v>-405273</v>
      </c>
      <c r="E867" s="6">
        <v>-201004</v>
      </c>
      <c r="F867" s="7">
        <v>4.5910000000000002</v>
      </c>
      <c r="G867" s="7">
        <v>5.7160000000000002</v>
      </c>
      <c r="H867" s="7">
        <v>5.9630000000000001</v>
      </c>
      <c r="I867" s="7">
        <v>5.0170000000000003</v>
      </c>
      <c r="J867" s="7">
        <v>4.3079999999999998</v>
      </c>
      <c r="K867" s="7">
        <v>3.7210000000000001</v>
      </c>
      <c r="L867" s="7">
        <v>3.4670000000000001</v>
      </c>
      <c r="M867" s="7">
        <v>3.5289999999999999</v>
      </c>
      <c r="N867" s="7">
        <v>4.125</v>
      </c>
      <c r="O867" s="7">
        <v>4.5570000000000004</v>
      </c>
      <c r="P867" s="7">
        <v>4.6239999999999997</v>
      </c>
      <c r="Q867" s="7">
        <v>4.5869999999999997</v>
      </c>
      <c r="R867" s="7">
        <v>5.4729999999999999</v>
      </c>
      <c r="S867" s="7">
        <f t="shared" si="13"/>
        <v>4.5905833333333339</v>
      </c>
    </row>
    <row r="868" spans="1:19">
      <c r="A868" s="5" t="str">
        <f>B868&amp;"-"&amp;COUNTIF($B$2:B868,B868)</f>
        <v>ESPIRITO SANTO-63</v>
      </c>
      <c r="B868" s="5" t="s">
        <v>55</v>
      </c>
      <c r="C868" s="5" t="s">
        <v>756</v>
      </c>
      <c r="D868" s="6">
        <v>-407443</v>
      </c>
      <c r="E868" s="6">
        <v>-200258</v>
      </c>
      <c r="F868" s="7">
        <v>4.6189999999999998</v>
      </c>
      <c r="G868" s="7">
        <v>5.7889999999999997</v>
      </c>
      <c r="H868" s="7">
        <v>6.0359999999999996</v>
      </c>
      <c r="I868" s="7">
        <v>5.016</v>
      </c>
      <c r="J868" s="7">
        <v>4.3890000000000002</v>
      </c>
      <c r="K868" s="7">
        <v>3.754</v>
      </c>
      <c r="L868" s="7">
        <v>3.492</v>
      </c>
      <c r="M868" s="7">
        <v>3.5609999999999999</v>
      </c>
      <c r="N868" s="7">
        <v>4.1900000000000004</v>
      </c>
      <c r="O868" s="7">
        <v>4.569</v>
      </c>
      <c r="P868" s="7">
        <v>4.6100000000000003</v>
      </c>
      <c r="Q868" s="7">
        <v>4.6459999999999999</v>
      </c>
      <c r="R868" s="7">
        <v>5.3760000000000003</v>
      </c>
      <c r="S868" s="7">
        <f t="shared" si="13"/>
        <v>4.6190000000000007</v>
      </c>
    </row>
    <row r="869" spans="1:19">
      <c r="A869" s="5" t="str">
        <f>B869&amp;"-"&amp;COUNTIF($B$2:B869,B869)</f>
        <v>ESPIRITO SANTO-64</v>
      </c>
      <c r="B869" s="5" t="s">
        <v>55</v>
      </c>
      <c r="C869" s="5" t="s">
        <v>757</v>
      </c>
      <c r="D869" s="6">
        <v>-405983</v>
      </c>
      <c r="E869" s="6">
        <v>-199368</v>
      </c>
      <c r="F869" s="7">
        <v>4.5419999999999998</v>
      </c>
      <c r="G869" s="7">
        <v>5.65</v>
      </c>
      <c r="H869" s="7">
        <v>5.9009999999999998</v>
      </c>
      <c r="I869" s="7">
        <v>5.008</v>
      </c>
      <c r="J869" s="7">
        <v>4.2569999999999997</v>
      </c>
      <c r="K869" s="7">
        <v>3.6890000000000001</v>
      </c>
      <c r="L869" s="7">
        <v>3.43</v>
      </c>
      <c r="M869" s="7">
        <v>3.48</v>
      </c>
      <c r="N869" s="7">
        <v>4.0670000000000002</v>
      </c>
      <c r="O869" s="7">
        <v>4.4969999999999999</v>
      </c>
      <c r="P869" s="7">
        <v>4.5369999999999999</v>
      </c>
      <c r="Q869" s="7">
        <v>4.5830000000000002</v>
      </c>
      <c r="R869" s="7">
        <v>5.4</v>
      </c>
      <c r="S869" s="7">
        <f t="shared" si="13"/>
        <v>4.5415833333333326</v>
      </c>
    </row>
    <row r="870" spans="1:19">
      <c r="A870" s="5" t="str">
        <f>B870&amp;"-"&amp;COUNTIF($B$2:B870,B870)</f>
        <v>ESPIRITO SANTO-65</v>
      </c>
      <c r="B870" s="5" t="s">
        <v>55</v>
      </c>
      <c r="C870" s="5" t="s">
        <v>758</v>
      </c>
      <c r="D870" s="6">
        <v>-406238</v>
      </c>
      <c r="E870" s="6">
        <v>-191442</v>
      </c>
      <c r="F870" s="7">
        <v>4.806</v>
      </c>
      <c r="G870" s="7">
        <v>6.04</v>
      </c>
      <c r="H870" s="7">
        <v>6.1440000000000001</v>
      </c>
      <c r="I870" s="7">
        <v>5.3150000000000004</v>
      </c>
      <c r="J870" s="7">
        <v>4.548</v>
      </c>
      <c r="K870" s="7">
        <v>3.8740000000000001</v>
      </c>
      <c r="L870" s="7">
        <v>3.5939999999999999</v>
      </c>
      <c r="M870" s="7">
        <v>3.633</v>
      </c>
      <c r="N870" s="7">
        <v>4.2450000000000001</v>
      </c>
      <c r="O870" s="7">
        <v>4.7210000000000001</v>
      </c>
      <c r="P870" s="7">
        <v>4.8959999999999999</v>
      </c>
      <c r="Q870" s="7">
        <v>4.9189999999999996</v>
      </c>
      <c r="R870" s="7">
        <v>5.7450000000000001</v>
      </c>
      <c r="S870" s="7">
        <f t="shared" si="13"/>
        <v>4.8061666666666669</v>
      </c>
    </row>
    <row r="871" spans="1:19">
      <c r="A871" s="5" t="str">
        <f>B871&amp;"-"&amp;COUNTIF($B$2:B871,B871)</f>
        <v>ESPIRITO SANTO-66</v>
      </c>
      <c r="B871" s="5" t="s">
        <v>55</v>
      </c>
      <c r="C871" s="5" t="s">
        <v>759</v>
      </c>
      <c r="D871" s="6">
        <v>-405368</v>
      </c>
      <c r="E871" s="6">
        <v>-190187</v>
      </c>
      <c r="F871" s="7">
        <v>4.8029999999999999</v>
      </c>
      <c r="G871" s="7">
        <v>6.0819999999999999</v>
      </c>
      <c r="H871" s="7">
        <v>6.1890000000000001</v>
      </c>
      <c r="I871" s="7">
        <v>5.2830000000000004</v>
      </c>
      <c r="J871" s="7">
        <v>4.5720000000000001</v>
      </c>
      <c r="K871" s="7">
        <v>3.8340000000000001</v>
      </c>
      <c r="L871" s="7">
        <v>3.577</v>
      </c>
      <c r="M871" s="7">
        <v>3.6339999999999999</v>
      </c>
      <c r="N871" s="7">
        <v>4.1760000000000002</v>
      </c>
      <c r="O871" s="7">
        <v>4.6989999999999998</v>
      </c>
      <c r="P871" s="7">
        <v>4.8970000000000002</v>
      </c>
      <c r="Q871" s="7">
        <v>4.9249999999999998</v>
      </c>
      <c r="R871" s="7">
        <v>5.77</v>
      </c>
      <c r="S871" s="7">
        <f t="shared" si="13"/>
        <v>4.8031666666666659</v>
      </c>
    </row>
    <row r="872" spans="1:19">
      <c r="A872" s="5" t="str">
        <f>B872&amp;"-"&amp;COUNTIF($B$2:B872,B872)</f>
        <v>ESPIRITO SANTO-67</v>
      </c>
      <c r="B872" s="5" t="s">
        <v>55</v>
      </c>
      <c r="C872" s="5" t="s">
        <v>760</v>
      </c>
      <c r="D872" s="6">
        <v>-416568</v>
      </c>
      <c r="E872" s="6">
        <v>-210303</v>
      </c>
      <c r="F872" s="7">
        <v>4.7939999999999996</v>
      </c>
      <c r="G872" s="7">
        <v>5.95</v>
      </c>
      <c r="H872" s="7">
        <v>6.1319999999999997</v>
      </c>
      <c r="I872" s="7">
        <v>5.0199999999999996</v>
      </c>
      <c r="J872" s="7">
        <v>4.4459999999999997</v>
      </c>
      <c r="K872" s="7">
        <v>3.7839999999999998</v>
      </c>
      <c r="L872" s="7">
        <v>3.61</v>
      </c>
      <c r="M872" s="7">
        <v>3.7050000000000001</v>
      </c>
      <c r="N872" s="7">
        <v>4.45</v>
      </c>
      <c r="O872" s="7">
        <v>4.899</v>
      </c>
      <c r="P872" s="7">
        <v>5.0170000000000003</v>
      </c>
      <c r="Q872" s="7">
        <v>4.87</v>
      </c>
      <c r="R872" s="7">
        <v>5.6479999999999997</v>
      </c>
      <c r="S872" s="7">
        <f t="shared" si="13"/>
        <v>4.7942500000000008</v>
      </c>
    </row>
    <row r="873" spans="1:19">
      <c r="A873" s="5" t="str">
        <f>B873&amp;"-"&amp;COUNTIF($B$2:B873,B873)</f>
        <v>ESPIRITO SANTO-68</v>
      </c>
      <c r="B873" s="5" t="s">
        <v>55</v>
      </c>
      <c r="C873" s="5" t="s">
        <v>761</v>
      </c>
      <c r="D873" s="6">
        <v>-398583</v>
      </c>
      <c r="E873" s="6">
        <v>-187219</v>
      </c>
      <c r="F873" s="7">
        <v>4.9969999999999999</v>
      </c>
      <c r="G873" s="7">
        <v>6.2729999999999997</v>
      </c>
      <c r="H873" s="7">
        <v>6.3920000000000003</v>
      </c>
      <c r="I873" s="7">
        <v>5.5069999999999997</v>
      </c>
      <c r="J873" s="7">
        <v>4.55</v>
      </c>
      <c r="K873" s="7">
        <v>3.9249999999999998</v>
      </c>
      <c r="L873" s="7">
        <v>3.5790000000000002</v>
      </c>
      <c r="M873" s="7">
        <v>3.7189999999999999</v>
      </c>
      <c r="N873" s="7">
        <v>4.4189999999999996</v>
      </c>
      <c r="O873" s="7">
        <v>5.0090000000000003</v>
      </c>
      <c r="P873" s="7">
        <v>5.2309999999999999</v>
      </c>
      <c r="Q873" s="7">
        <v>5.2569999999999997</v>
      </c>
      <c r="R873" s="7">
        <v>6.0979999999999999</v>
      </c>
      <c r="S873" s="7">
        <f t="shared" si="13"/>
        <v>4.9965833333333327</v>
      </c>
    </row>
    <row r="874" spans="1:19">
      <c r="A874" s="5" t="str">
        <f>B874&amp;"-"&amp;COUNTIF($B$2:B874,B874)</f>
        <v>ESPIRITO SANTO-69</v>
      </c>
      <c r="B874" s="5" t="s">
        <v>55</v>
      </c>
      <c r="C874" s="5" t="s">
        <v>762</v>
      </c>
      <c r="D874" s="6">
        <v>-406529</v>
      </c>
      <c r="E874" s="6">
        <v>-197416</v>
      </c>
      <c r="F874" s="7">
        <v>4.8099999999999996</v>
      </c>
      <c r="G874" s="7">
        <v>6.03</v>
      </c>
      <c r="H874" s="7">
        <v>6.194</v>
      </c>
      <c r="I874" s="7">
        <v>5.274</v>
      </c>
      <c r="J874" s="7">
        <v>4.5659999999999998</v>
      </c>
      <c r="K874" s="7">
        <v>3.9260000000000002</v>
      </c>
      <c r="L874" s="7">
        <v>3.6179999999999999</v>
      </c>
      <c r="M874" s="7">
        <v>3.6970000000000001</v>
      </c>
      <c r="N874" s="7">
        <v>4.2549999999999999</v>
      </c>
      <c r="O874" s="7">
        <v>4.734</v>
      </c>
      <c r="P874" s="7">
        <v>4.84</v>
      </c>
      <c r="Q874" s="7">
        <v>4.8769999999999998</v>
      </c>
      <c r="R874" s="7">
        <v>5.7149999999999999</v>
      </c>
      <c r="S874" s="7">
        <f t="shared" si="13"/>
        <v>4.8105000000000002</v>
      </c>
    </row>
    <row r="875" spans="1:19">
      <c r="A875" s="5" t="str">
        <f>B875&amp;"-"&amp;COUNTIF($B$2:B875,B875)</f>
        <v>ESPIRITO SANTO-70</v>
      </c>
      <c r="B875" s="5" t="s">
        <v>55</v>
      </c>
      <c r="C875" s="5" t="s">
        <v>763</v>
      </c>
      <c r="D875" s="6">
        <v>-403078</v>
      </c>
      <c r="E875" s="6">
        <v>-201215</v>
      </c>
      <c r="F875" s="7">
        <v>4.9029999999999996</v>
      </c>
      <c r="G875" s="7">
        <v>6.1159999999999997</v>
      </c>
      <c r="H875" s="7">
        <v>6.44</v>
      </c>
      <c r="I875" s="7">
        <v>5.3949999999999996</v>
      </c>
      <c r="J875" s="7">
        <v>4.5570000000000004</v>
      </c>
      <c r="K875" s="7">
        <v>3.9169999999999998</v>
      </c>
      <c r="L875" s="7">
        <v>3.63</v>
      </c>
      <c r="M875" s="7">
        <v>3.7450000000000001</v>
      </c>
      <c r="N875" s="7">
        <v>4.3479999999999999</v>
      </c>
      <c r="O875" s="7">
        <v>4.8550000000000004</v>
      </c>
      <c r="P875" s="7">
        <v>4.9569999999999999</v>
      </c>
      <c r="Q875" s="7">
        <v>4.992</v>
      </c>
      <c r="R875" s="7">
        <v>5.891</v>
      </c>
      <c r="S875" s="7">
        <f t="shared" si="13"/>
        <v>4.9035833333333327</v>
      </c>
    </row>
    <row r="876" spans="1:19">
      <c r="A876" s="5" t="str">
        <f>B876&amp;"-"&amp;COUNTIF($B$2:B876,B876)</f>
        <v>ESPIRITO SANTO-71</v>
      </c>
      <c r="B876" s="5" t="s">
        <v>55</v>
      </c>
      <c r="C876" s="5" t="s">
        <v>764</v>
      </c>
      <c r="D876" s="6">
        <v>-400977</v>
      </c>
      <c r="E876" s="6">
        <v>-191902</v>
      </c>
      <c r="F876" s="7">
        <v>4.8209999999999997</v>
      </c>
      <c r="G876" s="7">
        <v>6.1150000000000002</v>
      </c>
      <c r="H876" s="7">
        <v>6.0949999999999998</v>
      </c>
      <c r="I876" s="7">
        <v>5.28</v>
      </c>
      <c r="J876" s="7">
        <v>4.4560000000000004</v>
      </c>
      <c r="K876" s="7">
        <v>3.8650000000000002</v>
      </c>
      <c r="L876" s="7">
        <v>3.5350000000000001</v>
      </c>
      <c r="M876" s="7">
        <v>3.629</v>
      </c>
      <c r="N876" s="7">
        <v>4.2729999999999997</v>
      </c>
      <c r="O876" s="7">
        <v>4.782</v>
      </c>
      <c r="P876" s="7">
        <v>4.9290000000000003</v>
      </c>
      <c r="Q876" s="7">
        <v>4.9859999999999998</v>
      </c>
      <c r="R876" s="7">
        <v>5.9130000000000003</v>
      </c>
      <c r="S876" s="7">
        <f t="shared" si="13"/>
        <v>4.8215000000000003</v>
      </c>
    </row>
    <row r="877" spans="1:19">
      <c r="A877" s="5" t="str">
        <f>B877&amp;"-"&amp;COUNTIF($B$2:B877,B877)</f>
        <v>ESPIRITO SANTO-72</v>
      </c>
      <c r="B877" s="5" t="s">
        <v>55</v>
      </c>
      <c r="C877" s="5" t="s">
        <v>765</v>
      </c>
      <c r="D877" s="6">
        <v>-410074</v>
      </c>
      <c r="E877" s="6">
        <v>-206714</v>
      </c>
      <c r="F877" s="7">
        <v>4.8220000000000001</v>
      </c>
      <c r="G877" s="7">
        <v>6.1130000000000004</v>
      </c>
      <c r="H877" s="7">
        <v>6.1550000000000002</v>
      </c>
      <c r="I877" s="7">
        <v>5.0570000000000004</v>
      </c>
      <c r="J877" s="7">
        <v>4.4829999999999997</v>
      </c>
      <c r="K877" s="7">
        <v>3.84</v>
      </c>
      <c r="L877" s="7">
        <v>3.645</v>
      </c>
      <c r="M877" s="7">
        <v>3.6720000000000002</v>
      </c>
      <c r="N877" s="7">
        <v>4.4340000000000002</v>
      </c>
      <c r="O877" s="7">
        <v>4.8849999999999998</v>
      </c>
      <c r="P877" s="7">
        <v>5.0049999999999999</v>
      </c>
      <c r="Q877" s="7">
        <v>4.867</v>
      </c>
      <c r="R877" s="7">
        <v>5.7030000000000003</v>
      </c>
      <c r="S877" s="7">
        <f t="shared" si="13"/>
        <v>4.8215833333333338</v>
      </c>
    </row>
    <row r="878" spans="1:19">
      <c r="A878" s="5" t="str">
        <f>B878&amp;"-"&amp;COUNTIF($B$2:B878,B878)</f>
        <v>ESPIRITO SANTO-73</v>
      </c>
      <c r="B878" s="5" t="s">
        <v>55</v>
      </c>
      <c r="C878" s="5" t="s">
        <v>766</v>
      </c>
      <c r="D878" s="6">
        <v>-411359</v>
      </c>
      <c r="E878" s="6">
        <v>-203275</v>
      </c>
      <c r="F878" s="7">
        <v>4.6840000000000002</v>
      </c>
      <c r="G878" s="7">
        <v>5.8040000000000003</v>
      </c>
      <c r="H878" s="7">
        <v>6.06</v>
      </c>
      <c r="I878" s="7">
        <v>4.9660000000000002</v>
      </c>
      <c r="J878" s="7">
        <v>4.3879999999999999</v>
      </c>
      <c r="K878" s="7">
        <v>3.7349999999999999</v>
      </c>
      <c r="L878" s="7">
        <v>3.5659999999999998</v>
      </c>
      <c r="M878" s="7">
        <v>3.6669999999999998</v>
      </c>
      <c r="N878" s="7">
        <v>4.3630000000000004</v>
      </c>
      <c r="O878" s="7">
        <v>4.7140000000000004</v>
      </c>
      <c r="P878" s="7">
        <v>4.8390000000000004</v>
      </c>
      <c r="Q878" s="7">
        <v>4.7069999999999999</v>
      </c>
      <c r="R878" s="7">
        <v>5.4020000000000001</v>
      </c>
      <c r="S878" s="7">
        <f t="shared" si="13"/>
        <v>4.6842499999999996</v>
      </c>
    </row>
    <row r="879" spans="1:19">
      <c r="A879" s="5" t="str">
        <f>B879&amp;"-"&amp;COUNTIF($B$2:B879,B879)</f>
        <v>ESPIRITO SANTO-74</v>
      </c>
      <c r="B879" s="5" t="s">
        <v>55</v>
      </c>
      <c r="C879" s="5" t="s">
        <v>767</v>
      </c>
      <c r="D879" s="6">
        <v>-404936</v>
      </c>
      <c r="E879" s="6">
        <v>-20383</v>
      </c>
      <c r="F879" s="7">
        <v>4.8659999999999997</v>
      </c>
      <c r="G879" s="7">
        <v>6.1269999999999998</v>
      </c>
      <c r="H879" s="7">
        <v>6.4530000000000003</v>
      </c>
      <c r="I879" s="7">
        <v>5.3029999999999999</v>
      </c>
      <c r="J879" s="7">
        <v>4.5270000000000001</v>
      </c>
      <c r="K879" s="7">
        <v>3.8540000000000001</v>
      </c>
      <c r="L879" s="7">
        <v>3.6120000000000001</v>
      </c>
      <c r="M879" s="7">
        <v>3.6509999999999998</v>
      </c>
      <c r="N879" s="7">
        <v>4.3540000000000001</v>
      </c>
      <c r="O879" s="7">
        <v>4.8120000000000003</v>
      </c>
      <c r="P879" s="7">
        <v>4.9169999999999998</v>
      </c>
      <c r="Q879" s="7">
        <v>4.952</v>
      </c>
      <c r="R879" s="7">
        <v>5.8339999999999996</v>
      </c>
      <c r="S879" s="7">
        <f t="shared" si="13"/>
        <v>4.8663333333333334</v>
      </c>
    </row>
    <row r="880" spans="1:19">
      <c r="A880" s="5" t="str">
        <f>B880&amp;"-"&amp;COUNTIF($B$2:B880,B880)</f>
        <v>ESPIRITO SANTO-75</v>
      </c>
      <c r="B880" s="5" t="s">
        <v>55</v>
      </c>
      <c r="C880" s="5" t="s">
        <v>768</v>
      </c>
      <c r="D880" s="6">
        <v>-406093</v>
      </c>
      <c r="E880" s="6">
        <v>-186096</v>
      </c>
      <c r="F880" s="7">
        <v>4.7949999999999999</v>
      </c>
      <c r="G880" s="7">
        <v>5.976</v>
      </c>
      <c r="H880" s="7">
        <v>6.09</v>
      </c>
      <c r="I880" s="7">
        <v>5.2640000000000002</v>
      </c>
      <c r="J880" s="7">
        <v>4.6130000000000004</v>
      </c>
      <c r="K880" s="7">
        <v>3.9089999999999998</v>
      </c>
      <c r="L880" s="7">
        <v>3.5649999999999999</v>
      </c>
      <c r="M880" s="7">
        <v>3.6160000000000001</v>
      </c>
      <c r="N880" s="7">
        <v>4.1749999999999998</v>
      </c>
      <c r="O880" s="7">
        <v>4.7300000000000004</v>
      </c>
      <c r="P880" s="7">
        <v>4.9139999999999997</v>
      </c>
      <c r="Q880" s="7">
        <v>4.8659999999999997</v>
      </c>
      <c r="R880" s="7">
        <v>5.8289999999999997</v>
      </c>
      <c r="S880" s="7">
        <f t="shared" si="13"/>
        <v>4.795583333333334</v>
      </c>
    </row>
    <row r="881" spans="1:19">
      <c r="A881" s="5" t="str">
        <f>B881&amp;"-"&amp;COUNTIF($B$2:B881,B881)</f>
        <v>ESPIRITO SANTO-76</v>
      </c>
      <c r="B881" s="5" t="s">
        <v>55</v>
      </c>
      <c r="C881" s="5" t="s">
        <v>769</v>
      </c>
      <c r="D881" s="6">
        <v>-403853</v>
      </c>
      <c r="E881" s="6">
        <v>-189962</v>
      </c>
      <c r="F881" s="7">
        <v>4.7869999999999999</v>
      </c>
      <c r="G881" s="7">
        <v>6.0720000000000001</v>
      </c>
      <c r="H881" s="7">
        <v>6.1059999999999999</v>
      </c>
      <c r="I881" s="7">
        <v>5.2910000000000004</v>
      </c>
      <c r="J881" s="7">
        <v>4.516</v>
      </c>
      <c r="K881" s="7">
        <v>3.85</v>
      </c>
      <c r="L881" s="7">
        <v>3.5630000000000002</v>
      </c>
      <c r="M881" s="7">
        <v>3.605</v>
      </c>
      <c r="N881" s="7">
        <v>4.2039999999999997</v>
      </c>
      <c r="O881" s="7">
        <v>4.7210000000000001</v>
      </c>
      <c r="P881" s="7">
        <v>4.8949999999999996</v>
      </c>
      <c r="Q881" s="7">
        <v>4.8769999999999998</v>
      </c>
      <c r="R881" s="7">
        <v>5.7439999999999998</v>
      </c>
      <c r="S881" s="7">
        <f t="shared" si="13"/>
        <v>4.7869999999999999</v>
      </c>
    </row>
    <row r="882" spans="1:19">
      <c r="A882" s="5" t="str">
        <f>B882&amp;"-"&amp;COUNTIF($B$2:B882,B882)</f>
        <v>ESPIRITO SANTO-77</v>
      </c>
      <c r="B882" s="5" t="s">
        <v>55</v>
      </c>
      <c r="C882" s="5" t="s">
        <v>770</v>
      </c>
      <c r="D882" s="6">
        <v>-402878</v>
      </c>
      <c r="E882" s="6">
        <v>-203422</v>
      </c>
      <c r="F882" s="7">
        <v>5.0259999999999998</v>
      </c>
      <c r="G882" s="7">
        <v>6.3090000000000002</v>
      </c>
      <c r="H882" s="7">
        <v>6.6029999999999998</v>
      </c>
      <c r="I882" s="7">
        <v>5.452</v>
      </c>
      <c r="J882" s="7">
        <v>4.6749999999999998</v>
      </c>
      <c r="K882" s="7">
        <v>3.9609999999999999</v>
      </c>
      <c r="L882" s="7">
        <v>3.6379999999999999</v>
      </c>
      <c r="M882" s="7">
        <v>3.754</v>
      </c>
      <c r="N882" s="7">
        <v>4.492</v>
      </c>
      <c r="O882" s="7">
        <v>4.9720000000000004</v>
      </c>
      <c r="P882" s="7">
        <v>5.1550000000000002</v>
      </c>
      <c r="Q882" s="7">
        <v>5.2460000000000004</v>
      </c>
      <c r="R882" s="7">
        <v>6.0519999999999996</v>
      </c>
      <c r="S882" s="7">
        <f t="shared" si="13"/>
        <v>5.0257499999999995</v>
      </c>
    </row>
    <row r="883" spans="1:19">
      <c r="A883" s="5" t="str">
        <f>B883&amp;"-"&amp;COUNTIF($B$2:B883,B883)</f>
        <v>ESPIRITO SANTO-78</v>
      </c>
      <c r="B883" s="5" t="s">
        <v>55</v>
      </c>
      <c r="C883" s="5" t="s">
        <v>56</v>
      </c>
      <c r="D883" s="6">
        <v>-403135</v>
      </c>
      <c r="E883" s="6">
        <v>-203164</v>
      </c>
      <c r="F883" s="7">
        <v>4.9569999999999999</v>
      </c>
      <c r="G883" s="7">
        <v>6.1989999999999998</v>
      </c>
      <c r="H883" s="7">
        <v>6.5430000000000001</v>
      </c>
      <c r="I883" s="7">
        <v>5.4009999999999998</v>
      </c>
      <c r="J883" s="7">
        <v>4.6059999999999999</v>
      </c>
      <c r="K883" s="7">
        <v>3.931</v>
      </c>
      <c r="L883" s="7">
        <v>3.6259999999999999</v>
      </c>
      <c r="M883" s="7">
        <v>3.7229999999999999</v>
      </c>
      <c r="N883" s="7">
        <v>4.4450000000000003</v>
      </c>
      <c r="O883" s="7">
        <v>4.9020000000000001</v>
      </c>
      <c r="P883" s="7">
        <v>5.03</v>
      </c>
      <c r="Q883" s="7">
        <v>5.117</v>
      </c>
      <c r="R883" s="7">
        <v>5.9589999999999996</v>
      </c>
      <c r="S883" s="7">
        <f t="shared" si="13"/>
        <v>4.956833333333333</v>
      </c>
    </row>
    <row r="884" spans="1:19">
      <c r="A884" s="5" t="str">
        <f>B884&amp;"-"&amp;COUNTIF($B$2:B884,B884)</f>
        <v>GOIAS-1</v>
      </c>
      <c r="B884" s="5" t="s">
        <v>771</v>
      </c>
      <c r="C884" s="5" t="s">
        <v>5498</v>
      </c>
      <c r="D884" s="6">
        <v>-477827</v>
      </c>
      <c r="E884" s="6">
        <v>-149814</v>
      </c>
      <c r="F884" s="7">
        <v>5.3840000000000003</v>
      </c>
      <c r="G884" s="7">
        <v>5.5369999999999999</v>
      </c>
      <c r="H884" s="7">
        <v>5.7960000000000003</v>
      </c>
      <c r="I884" s="7">
        <v>5.2489999999999997</v>
      </c>
      <c r="J884" s="7">
        <v>5.2469999999999999</v>
      </c>
      <c r="K884" s="7">
        <v>4.9749999999999996</v>
      </c>
      <c r="L884" s="7">
        <v>4.7670000000000003</v>
      </c>
      <c r="M884" s="7">
        <v>5.0529999999999999</v>
      </c>
      <c r="N884" s="7">
        <v>5.9580000000000002</v>
      </c>
      <c r="O884" s="7">
        <v>5.85</v>
      </c>
      <c r="P884" s="7">
        <v>5.65</v>
      </c>
      <c r="Q884" s="7">
        <v>5.0270000000000001</v>
      </c>
      <c r="R884" s="7">
        <v>5.4989999999999997</v>
      </c>
      <c r="S884" s="7">
        <f t="shared" si="13"/>
        <v>5.3840000000000003</v>
      </c>
    </row>
    <row r="885" spans="1:19">
      <c r="A885" s="5" t="str">
        <f>B885&amp;"-"&amp;COUNTIF($B$2:B885,B885)</f>
        <v>GOIAS-2</v>
      </c>
      <c r="B885" s="5" t="s">
        <v>771</v>
      </c>
      <c r="C885" s="5" t="s">
        <v>772</v>
      </c>
      <c r="D885" s="6">
        <v>-487643</v>
      </c>
      <c r="E885" s="6">
        <v>-180797</v>
      </c>
      <c r="F885" s="7">
        <v>5.2779999999999996</v>
      </c>
      <c r="G885" s="7">
        <v>5.625</v>
      </c>
      <c r="H885" s="7">
        <v>5.819</v>
      </c>
      <c r="I885" s="7">
        <v>5.2480000000000002</v>
      </c>
      <c r="J885" s="7">
        <v>5.1479999999999997</v>
      </c>
      <c r="K885" s="7">
        <v>4.6959999999999997</v>
      </c>
      <c r="L885" s="7">
        <v>4.4240000000000004</v>
      </c>
      <c r="M885" s="7">
        <v>4.6100000000000003</v>
      </c>
      <c r="N885" s="7">
        <v>5.415</v>
      </c>
      <c r="O885" s="7">
        <v>5.38</v>
      </c>
      <c r="P885" s="7">
        <v>5.6159999999999997</v>
      </c>
      <c r="Q885" s="7">
        <v>5.5910000000000002</v>
      </c>
      <c r="R885" s="7">
        <v>5.7640000000000002</v>
      </c>
      <c r="S885" s="7">
        <f t="shared" si="13"/>
        <v>5.2780000000000005</v>
      </c>
    </row>
    <row r="886" spans="1:19">
      <c r="A886" s="5" t="str">
        <f>B886&amp;"-"&amp;COUNTIF($B$2:B886,B886)</f>
        <v>GOIAS-3</v>
      </c>
      <c r="B886" s="5" t="s">
        <v>771</v>
      </c>
      <c r="C886" s="5" t="s">
        <v>5807</v>
      </c>
      <c r="D886" s="6">
        <v>-482597</v>
      </c>
      <c r="E886" s="6">
        <v>-157414</v>
      </c>
      <c r="F886" s="7">
        <v>5.2629999999999999</v>
      </c>
      <c r="G886" s="7">
        <v>5.3869999999999996</v>
      </c>
      <c r="H886" s="7">
        <v>5.5430000000000001</v>
      </c>
      <c r="I886" s="7">
        <v>5.0570000000000004</v>
      </c>
      <c r="J886" s="7">
        <v>4.93</v>
      </c>
      <c r="K886" s="7">
        <v>4.8600000000000003</v>
      </c>
      <c r="L886" s="7">
        <v>4.7590000000000003</v>
      </c>
      <c r="M886" s="7">
        <v>4.9790000000000001</v>
      </c>
      <c r="N886" s="7">
        <v>5.931</v>
      </c>
      <c r="O886" s="7">
        <v>5.6790000000000003</v>
      </c>
      <c r="P886" s="7">
        <v>5.524</v>
      </c>
      <c r="Q886" s="7">
        <v>5.12</v>
      </c>
      <c r="R886" s="7">
        <v>5.3849999999999998</v>
      </c>
      <c r="S886" s="7">
        <f t="shared" si="13"/>
        <v>5.262833333333333</v>
      </c>
    </row>
    <row r="887" spans="1:19">
      <c r="A887" s="5" t="str">
        <f>B887&amp;"-"&amp;COUNTIF($B$2:B887,B887)</f>
        <v>GOIAS-4</v>
      </c>
      <c r="B887" s="5" t="s">
        <v>771</v>
      </c>
      <c r="C887" s="5" t="s">
        <v>5499</v>
      </c>
      <c r="D887" s="6">
        <v>-494384</v>
      </c>
      <c r="E887" s="6">
        <v>-167621</v>
      </c>
      <c r="F887" s="7">
        <v>5.2560000000000002</v>
      </c>
      <c r="G887" s="7">
        <v>5.5110000000000001</v>
      </c>
      <c r="H887" s="7">
        <v>5.57</v>
      </c>
      <c r="I887" s="7">
        <v>5.2389999999999999</v>
      </c>
      <c r="J887" s="7">
        <v>5.1109999999999998</v>
      </c>
      <c r="K887" s="7">
        <v>4.8120000000000003</v>
      </c>
      <c r="L887" s="7">
        <v>4.5640000000000001</v>
      </c>
      <c r="M887" s="7">
        <v>4.7119999999999997</v>
      </c>
      <c r="N887" s="7">
        <v>5.5830000000000002</v>
      </c>
      <c r="O887" s="7">
        <v>5.4960000000000004</v>
      </c>
      <c r="P887" s="7">
        <v>5.5510000000000002</v>
      </c>
      <c r="Q887" s="7">
        <v>5.4219999999999997</v>
      </c>
      <c r="R887" s="7">
        <v>5.5069999999999997</v>
      </c>
      <c r="S887" s="7">
        <f t="shared" si="13"/>
        <v>5.2565</v>
      </c>
    </row>
    <row r="888" spans="1:19">
      <c r="A888" s="5" t="str">
        <f>B888&amp;"-"&amp;COUNTIF($B$2:B888,B888)</f>
        <v>GOIAS-5</v>
      </c>
      <c r="B888" s="5" t="s">
        <v>771</v>
      </c>
      <c r="C888" s="5" t="s">
        <v>4910</v>
      </c>
      <c r="D888" s="6">
        <v>-487061</v>
      </c>
      <c r="E888" s="6">
        <v>-161974</v>
      </c>
      <c r="F888" s="7">
        <v>5.2649999999999997</v>
      </c>
      <c r="G888" s="7">
        <v>5.4109999999999996</v>
      </c>
      <c r="H888" s="7">
        <v>5.5990000000000002</v>
      </c>
      <c r="I888" s="7">
        <v>5.1269999999999998</v>
      </c>
      <c r="J888" s="7">
        <v>5.09</v>
      </c>
      <c r="K888" s="7">
        <v>4.8760000000000003</v>
      </c>
      <c r="L888" s="7">
        <v>4.657</v>
      </c>
      <c r="M888" s="7">
        <v>4.9219999999999997</v>
      </c>
      <c r="N888" s="7">
        <v>5.7889999999999997</v>
      </c>
      <c r="O888" s="7">
        <v>5.6120000000000001</v>
      </c>
      <c r="P888" s="7">
        <v>5.55</v>
      </c>
      <c r="Q888" s="7">
        <v>5.1269999999999998</v>
      </c>
      <c r="R888" s="7">
        <v>5.4160000000000004</v>
      </c>
      <c r="S888" s="7">
        <f t="shared" si="13"/>
        <v>5.2646666666666668</v>
      </c>
    </row>
    <row r="889" spans="1:19">
      <c r="A889" s="5" t="str">
        <f>B889&amp;"-"&amp;COUNTIF($B$2:B889,B889)</f>
        <v>GOIAS-6</v>
      </c>
      <c r="B889" s="5" t="s">
        <v>771</v>
      </c>
      <c r="C889" s="5" t="s">
        <v>4827</v>
      </c>
      <c r="D889" s="6">
        <v>-503753</v>
      </c>
      <c r="E889" s="6">
        <v>-173964</v>
      </c>
      <c r="F889" s="7">
        <v>5.2670000000000003</v>
      </c>
      <c r="G889" s="7">
        <v>5.6580000000000004</v>
      </c>
      <c r="H889" s="7">
        <v>5.77</v>
      </c>
      <c r="I889" s="7">
        <v>5.2450000000000001</v>
      </c>
      <c r="J889" s="7">
        <v>5.085</v>
      </c>
      <c r="K889" s="7">
        <v>4.7619999999999996</v>
      </c>
      <c r="L889" s="7">
        <v>4.3849999999999998</v>
      </c>
      <c r="M889" s="7">
        <v>4.6849999999999996</v>
      </c>
      <c r="N889" s="7">
        <v>5.5510000000000002</v>
      </c>
      <c r="O889" s="7">
        <v>5.359</v>
      </c>
      <c r="P889" s="7">
        <v>5.4710000000000001</v>
      </c>
      <c r="Q889" s="7">
        <v>5.5309999999999997</v>
      </c>
      <c r="R889" s="7">
        <v>5.7039999999999997</v>
      </c>
      <c r="S889" s="7">
        <f t="shared" si="13"/>
        <v>5.2671666666666672</v>
      </c>
    </row>
    <row r="890" spans="1:19">
      <c r="A890" s="5" t="str">
        <f>B890&amp;"-"&amp;COUNTIF($B$2:B890,B890)</f>
        <v>GOIAS-7</v>
      </c>
      <c r="B890" s="5" t="s">
        <v>771</v>
      </c>
      <c r="C890" s="5" t="s">
        <v>4911</v>
      </c>
      <c r="D890" s="6">
        <v>-501683</v>
      </c>
      <c r="E890" s="6">
        <v>-164165</v>
      </c>
      <c r="F890" s="7">
        <v>5.2729999999999997</v>
      </c>
      <c r="G890" s="7">
        <v>5.5069999999999997</v>
      </c>
      <c r="H890" s="7">
        <v>5.5869999999999997</v>
      </c>
      <c r="I890" s="7">
        <v>5.2130000000000001</v>
      </c>
      <c r="J890" s="7">
        <v>5.1340000000000003</v>
      </c>
      <c r="K890" s="7">
        <v>4.827</v>
      </c>
      <c r="L890" s="7">
        <v>4.5990000000000002</v>
      </c>
      <c r="M890" s="7">
        <v>4.7939999999999996</v>
      </c>
      <c r="N890" s="7">
        <v>5.6369999999999996</v>
      </c>
      <c r="O890" s="7">
        <v>5.4359999999999999</v>
      </c>
      <c r="P890" s="7">
        <v>5.5579999999999998</v>
      </c>
      <c r="Q890" s="7">
        <v>5.4290000000000003</v>
      </c>
      <c r="R890" s="7">
        <v>5.55</v>
      </c>
      <c r="S890" s="7">
        <f t="shared" si="13"/>
        <v>5.2725833333333334</v>
      </c>
    </row>
    <row r="891" spans="1:19">
      <c r="A891" s="5" t="str">
        <f>B891&amp;"-"&amp;COUNTIF($B$2:B891,B891)</f>
        <v>GOIAS-8</v>
      </c>
      <c r="B891" s="5" t="s">
        <v>771</v>
      </c>
      <c r="C891" s="5" t="s">
        <v>4912</v>
      </c>
      <c r="D891" s="6">
        <v>-48508</v>
      </c>
      <c r="E891" s="6">
        <v>-160839</v>
      </c>
      <c r="F891" s="7">
        <v>5.2460000000000004</v>
      </c>
      <c r="G891" s="7">
        <v>5.4249999999999998</v>
      </c>
      <c r="H891" s="7">
        <v>5.5419999999999998</v>
      </c>
      <c r="I891" s="7">
        <v>5.024</v>
      </c>
      <c r="J891" s="7">
        <v>5.0389999999999997</v>
      </c>
      <c r="K891" s="7">
        <v>4.8369999999999997</v>
      </c>
      <c r="L891" s="7">
        <v>4.6459999999999999</v>
      </c>
      <c r="M891" s="7">
        <v>4.9400000000000004</v>
      </c>
      <c r="N891" s="7">
        <v>5.819</v>
      </c>
      <c r="O891" s="7">
        <v>5.5670000000000002</v>
      </c>
      <c r="P891" s="7">
        <v>5.5590000000000002</v>
      </c>
      <c r="Q891" s="7">
        <v>5.1040000000000001</v>
      </c>
      <c r="R891" s="7">
        <v>5.4450000000000003</v>
      </c>
      <c r="S891" s="7">
        <f t="shared" si="13"/>
        <v>5.2455833333333333</v>
      </c>
    </row>
    <row r="892" spans="1:19">
      <c r="A892" s="5" t="str">
        <f>B892&amp;"-"&amp;COUNTIF($B$2:B892,B892)</f>
        <v>GOIAS-9</v>
      </c>
      <c r="B892" s="5" t="s">
        <v>771</v>
      </c>
      <c r="C892" s="5" t="s">
        <v>4913</v>
      </c>
      <c r="D892" s="6">
        <v>-494813</v>
      </c>
      <c r="E892" s="6">
        <v>-177289</v>
      </c>
      <c r="F892" s="7">
        <v>5.2850000000000001</v>
      </c>
      <c r="G892" s="7">
        <v>5.6740000000000004</v>
      </c>
      <c r="H892" s="7">
        <v>5.7789999999999999</v>
      </c>
      <c r="I892" s="7">
        <v>5.3129999999999997</v>
      </c>
      <c r="J892" s="7">
        <v>5.1340000000000003</v>
      </c>
      <c r="K892" s="7">
        <v>4.7060000000000004</v>
      </c>
      <c r="L892" s="7">
        <v>4.4240000000000004</v>
      </c>
      <c r="M892" s="7">
        <v>4.6239999999999997</v>
      </c>
      <c r="N892" s="7">
        <v>5.4889999999999999</v>
      </c>
      <c r="O892" s="7">
        <v>5.3609999999999998</v>
      </c>
      <c r="P892" s="7">
        <v>5.6079999999999997</v>
      </c>
      <c r="Q892" s="7">
        <v>5.5880000000000001</v>
      </c>
      <c r="R892" s="7">
        <v>5.7169999999999996</v>
      </c>
      <c r="S892" s="7">
        <f t="shared" si="13"/>
        <v>5.2847499999999989</v>
      </c>
    </row>
    <row r="893" spans="1:19">
      <c r="A893" s="5" t="str">
        <f>B893&amp;"-"&amp;COUNTIF($B$2:B893,B893)</f>
        <v>GOIAS-10</v>
      </c>
      <c r="B893" s="5" t="s">
        <v>771</v>
      </c>
      <c r="C893" s="5" t="s">
        <v>773</v>
      </c>
      <c r="D893" s="6">
        <v>-493368</v>
      </c>
      <c r="E893" s="6">
        <v>-141985</v>
      </c>
      <c r="F893" s="7">
        <v>5.359</v>
      </c>
      <c r="G893" s="7">
        <v>5.4710000000000001</v>
      </c>
      <c r="H893" s="7">
        <v>5.65</v>
      </c>
      <c r="I893" s="7">
        <v>5.319</v>
      </c>
      <c r="J893" s="7">
        <v>5.1920000000000002</v>
      </c>
      <c r="K893" s="7">
        <v>4.9909999999999997</v>
      </c>
      <c r="L893" s="7">
        <v>4.7229999999999999</v>
      </c>
      <c r="M893" s="7">
        <v>5.1269999999999998</v>
      </c>
      <c r="N893" s="7">
        <v>5.7460000000000004</v>
      </c>
      <c r="O893" s="7">
        <v>5.6520000000000001</v>
      </c>
      <c r="P893" s="7">
        <v>5.7080000000000002</v>
      </c>
      <c r="Q893" s="7">
        <v>5.2750000000000004</v>
      </c>
      <c r="R893" s="7">
        <v>5.4470000000000001</v>
      </c>
      <c r="S893" s="7">
        <f t="shared" si="13"/>
        <v>5.3584166666666668</v>
      </c>
    </row>
    <row r="894" spans="1:19">
      <c r="A894" s="5" t="str">
        <f>B894&amp;"-"&amp;COUNTIF($B$2:B894,B894)</f>
        <v>GOIAS-11</v>
      </c>
      <c r="B894" s="5" t="s">
        <v>771</v>
      </c>
      <c r="C894" s="5" t="s">
        <v>5500</v>
      </c>
      <c r="D894" s="6">
        <v>-475177</v>
      </c>
      <c r="E894" s="5" t="s">
        <v>774</v>
      </c>
      <c r="F894" s="7">
        <v>5.2750000000000004</v>
      </c>
      <c r="G894" s="7">
        <v>5.2380000000000004</v>
      </c>
      <c r="H894" s="7">
        <v>5.38</v>
      </c>
      <c r="I894" s="7">
        <v>4.9240000000000004</v>
      </c>
      <c r="J894" s="7">
        <v>4.9930000000000003</v>
      </c>
      <c r="K894" s="7">
        <v>4.99</v>
      </c>
      <c r="L894" s="7">
        <v>5.032</v>
      </c>
      <c r="M894" s="7">
        <v>5.4720000000000004</v>
      </c>
      <c r="N894" s="7">
        <v>6.22</v>
      </c>
      <c r="O894" s="7">
        <v>5.8579999999999997</v>
      </c>
      <c r="P894" s="7">
        <v>5.3540000000000001</v>
      </c>
      <c r="Q894" s="7">
        <v>4.6749999999999998</v>
      </c>
      <c r="R894" s="7">
        <v>5.1580000000000004</v>
      </c>
      <c r="S894" s="7">
        <f t="shared" si="13"/>
        <v>5.2744999999999997</v>
      </c>
    </row>
    <row r="895" spans="1:19">
      <c r="A895" s="5" t="str">
        <f>B895&amp;"-"&amp;COUNTIF($B$2:B895,B895)</f>
        <v>GOIAS-12</v>
      </c>
      <c r="B895" s="5" t="s">
        <v>771</v>
      </c>
      <c r="C895" s="5" t="s">
        <v>775</v>
      </c>
      <c r="D895" s="6">
        <v>-464943</v>
      </c>
      <c r="E895" s="6">
        <v>-144844</v>
      </c>
      <c r="F895" s="7">
        <v>5.6210000000000004</v>
      </c>
      <c r="G895" s="7">
        <v>6.0819999999999999</v>
      </c>
      <c r="H895" s="7">
        <v>6.1269999999999998</v>
      </c>
      <c r="I895" s="7">
        <v>5.5679999999999996</v>
      </c>
      <c r="J895" s="7">
        <v>5.492</v>
      </c>
      <c r="K895" s="7">
        <v>5.0449999999999999</v>
      </c>
      <c r="L895" s="7">
        <v>4.867</v>
      </c>
      <c r="M895" s="7">
        <v>5.2140000000000004</v>
      </c>
      <c r="N895" s="7">
        <v>5.8710000000000004</v>
      </c>
      <c r="O895" s="7">
        <v>5.9619999999999997</v>
      </c>
      <c r="P895" s="7">
        <v>5.8760000000000003</v>
      </c>
      <c r="Q895" s="7">
        <v>5.4009999999999998</v>
      </c>
      <c r="R895" s="7">
        <v>5.9530000000000003</v>
      </c>
      <c r="S895" s="7">
        <f t="shared" si="13"/>
        <v>5.6215000000000002</v>
      </c>
    </row>
    <row r="896" spans="1:19">
      <c r="A896" s="5" t="str">
        <f>B896&amp;"-"&amp;COUNTIF($B$2:B896,B896)</f>
        <v>GOIAS-13</v>
      </c>
      <c r="B896" s="5" t="s">
        <v>771</v>
      </c>
      <c r="C896" s="5" t="s">
        <v>776</v>
      </c>
      <c r="D896" s="6">
        <v>-492983</v>
      </c>
      <c r="E896" s="6">
        <v>-139279</v>
      </c>
      <c r="F896" s="7">
        <v>5.3230000000000004</v>
      </c>
      <c r="G896" s="7">
        <v>5.4119999999999999</v>
      </c>
      <c r="H896" s="7">
        <v>5.5839999999999996</v>
      </c>
      <c r="I896" s="7">
        <v>5.1349999999999998</v>
      </c>
      <c r="J896" s="7">
        <v>5.2130000000000001</v>
      </c>
      <c r="K896" s="7">
        <v>4.9850000000000003</v>
      </c>
      <c r="L896" s="7">
        <v>4.6890000000000001</v>
      </c>
      <c r="M896" s="7">
        <v>5.1139999999999999</v>
      </c>
      <c r="N896" s="7">
        <v>5.9</v>
      </c>
      <c r="O896" s="7">
        <v>5.6680000000000001</v>
      </c>
      <c r="P896" s="7">
        <v>5.58</v>
      </c>
      <c r="Q896" s="7">
        <v>5.21</v>
      </c>
      <c r="R896" s="7">
        <v>5.3810000000000002</v>
      </c>
      <c r="S896" s="7">
        <f t="shared" si="13"/>
        <v>5.3225833333333332</v>
      </c>
    </row>
    <row r="897" spans="1:19">
      <c r="A897" s="5" t="str">
        <f>B897&amp;"-"&amp;COUNTIF($B$2:B897,B897)</f>
        <v>GOIAS-14</v>
      </c>
      <c r="B897" s="5" t="s">
        <v>771</v>
      </c>
      <c r="C897" s="5" t="s">
        <v>777</v>
      </c>
      <c r="D897" s="6">
        <v>-499799</v>
      </c>
      <c r="E897" s="6">
        <v>-16253</v>
      </c>
      <c r="F897" s="7">
        <v>5.2370000000000001</v>
      </c>
      <c r="G897" s="7">
        <v>5.423</v>
      </c>
      <c r="H897" s="7">
        <v>5.5019999999999998</v>
      </c>
      <c r="I897" s="7">
        <v>5.1479999999999997</v>
      </c>
      <c r="J897" s="7">
        <v>5.0650000000000004</v>
      </c>
      <c r="K897" s="7">
        <v>4.84</v>
      </c>
      <c r="L897" s="7">
        <v>4.6289999999999996</v>
      </c>
      <c r="M897" s="7">
        <v>4.8339999999999996</v>
      </c>
      <c r="N897" s="7">
        <v>5.6920000000000002</v>
      </c>
      <c r="O897" s="7">
        <v>5.4909999999999997</v>
      </c>
      <c r="P897" s="7">
        <v>5.5229999999999997</v>
      </c>
      <c r="Q897" s="7">
        <v>5.2640000000000002</v>
      </c>
      <c r="R897" s="7">
        <v>5.4359999999999999</v>
      </c>
      <c r="S897" s="7">
        <f t="shared" si="13"/>
        <v>5.2372500000000004</v>
      </c>
    </row>
    <row r="898" spans="1:19">
      <c r="A898" s="5" t="str">
        <f>B898&amp;"-"&amp;COUNTIF($B$2:B898,B898)</f>
        <v>GOIAS-15</v>
      </c>
      <c r="B898" s="5" t="s">
        <v>771</v>
      </c>
      <c r="C898" s="5" t="s">
        <v>5071</v>
      </c>
      <c r="D898" s="6">
        <v>-510948</v>
      </c>
      <c r="E898" s="5" t="s">
        <v>778</v>
      </c>
      <c r="F898" s="7">
        <v>5.2690000000000001</v>
      </c>
      <c r="G898" s="7">
        <v>5.5549999999999997</v>
      </c>
      <c r="H898" s="7">
        <v>5.6210000000000004</v>
      </c>
      <c r="I898" s="7">
        <v>5.3040000000000003</v>
      </c>
      <c r="J898" s="7">
        <v>5.2690000000000001</v>
      </c>
      <c r="K898" s="7">
        <v>4.8739999999999997</v>
      </c>
      <c r="L898" s="7">
        <v>4.4790000000000001</v>
      </c>
      <c r="M898" s="7">
        <v>4.694</v>
      </c>
      <c r="N898" s="7">
        <v>5.4589999999999996</v>
      </c>
      <c r="O898" s="7">
        <v>5.38</v>
      </c>
      <c r="P898" s="7">
        <v>5.5720000000000001</v>
      </c>
      <c r="Q898" s="7">
        <v>5.4509999999999996</v>
      </c>
      <c r="R898" s="7">
        <v>5.5730000000000004</v>
      </c>
      <c r="S898" s="7">
        <f t="shared" si="13"/>
        <v>5.2692500000000004</v>
      </c>
    </row>
    <row r="899" spans="1:19">
      <c r="A899" s="5" t="str">
        <f>B899&amp;"-"&amp;COUNTIF($B$2:B899,B899)</f>
        <v>GOIAS-16</v>
      </c>
      <c r="B899" s="5" t="s">
        <v>771</v>
      </c>
      <c r="C899" s="5" t="s">
        <v>5501</v>
      </c>
      <c r="D899" s="6">
        <v>-489534</v>
      </c>
      <c r="E899" s="6">
        <v>-163285</v>
      </c>
      <c r="F899" s="7">
        <v>5.21</v>
      </c>
      <c r="G899" s="7">
        <v>5.3680000000000003</v>
      </c>
      <c r="H899" s="7">
        <v>5.524</v>
      </c>
      <c r="I899" s="7">
        <v>5.0389999999999997</v>
      </c>
      <c r="J899" s="7">
        <v>5.0149999999999997</v>
      </c>
      <c r="K899" s="7">
        <v>4.7830000000000004</v>
      </c>
      <c r="L899" s="7">
        <v>4.6349999999999998</v>
      </c>
      <c r="M899" s="7">
        <v>4.8959999999999999</v>
      </c>
      <c r="N899" s="7">
        <v>5.7450000000000001</v>
      </c>
      <c r="O899" s="7">
        <v>5.5369999999999999</v>
      </c>
      <c r="P899" s="7">
        <v>5.4889999999999999</v>
      </c>
      <c r="Q899" s="7">
        <v>5.1230000000000002</v>
      </c>
      <c r="R899" s="7">
        <v>5.3609999999999998</v>
      </c>
      <c r="S899" s="7">
        <f t="shared" ref="S899:S962" si="14">(G899+H899+I899+J899+K899+L899+M899+N899+O899+P899+Q899+R899)/12</f>
        <v>5.2095833333333319</v>
      </c>
    </row>
    <row r="900" spans="1:19">
      <c r="A900" s="5" t="str">
        <f>B900&amp;"-"&amp;COUNTIF($B$2:B900,B900)</f>
        <v>GOIAS-17</v>
      </c>
      <c r="B900" s="5" t="s">
        <v>771</v>
      </c>
      <c r="C900" s="5" t="s">
        <v>779</v>
      </c>
      <c r="D900" s="6">
        <v>-48219</v>
      </c>
      <c r="E900" s="6">
        <v>-18337</v>
      </c>
      <c r="F900" s="7">
        <v>5.3170000000000002</v>
      </c>
      <c r="G900" s="7">
        <v>5.633</v>
      </c>
      <c r="H900" s="7">
        <v>5.923</v>
      </c>
      <c r="I900" s="7">
        <v>5.2080000000000002</v>
      </c>
      <c r="J900" s="7">
        <v>5.1369999999999996</v>
      </c>
      <c r="K900" s="7">
        <v>4.6989999999999998</v>
      </c>
      <c r="L900" s="7">
        <v>4.41</v>
      </c>
      <c r="M900" s="7">
        <v>4.6399999999999997</v>
      </c>
      <c r="N900" s="7">
        <v>5.5609999999999999</v>
      </c>
      <c r="O900" s="7">
        <v>5.5149999999999997</v>
      </c>
      <c r="P900" s="7">
        <v>5.69</v>
      </c>
      <c r="Q900" s="7">
        <v>5.5679999999999996</v>
      </c>
      <c r="R900" s="7">
        <v>5.8140000000000001</v>
      </c>
      <c r="S900" s="7">
        <f t="shared" si="14"/>
        <v>5.3164999999999996</v>
      </c>
    </row>
    <row r="901" spans="1:19">
      <c r="A901" s="5" t="str">
        <f>B901&amp;"-"&amp;COUNTIF($B$2:B901,B901)</f>
        <v>GOIAS-18</v>
      </c>
      <c r="B901" s="5" t="s">
        <v>771</v>
      </c>
      <c r="C901" s="5" t="s">
        <v>780</v>
      </c>
      <c r="D901" s="6">
        <v>-499589</v>
      </c>
      <c r="E901" s="6">
        <v>-16459</v>
      </c>
      <c r="F901" s="7">
        <v>5.2770000000000001</v>
      </c>
      <c r="G901" s="7">
        <v>5.4660000000000002</v>
      </c>
      <c r="H901" s="7">
        <v>5.65</v>
      </c>
      <c r="I901" s="7">
        <v>5.2110000000000003</v>
      </c>
      <c r="J901" s="7">
        <v>5.1539999999999999</v>
      </c>
      <c r="K901" s="7">
        <v>4.8120000000000003</v>
      </c>
      <c r="L901" s="7">
        <v>4.6139999999999999</v>
      </c>
      <c r="M901" s="7">
        <v>4.8159999999999998</v>
      </c>
      <c r="N901" s="7">
        <v>5.702</v>
      </c>
      <c r="O901" s="7">
        <v>5.4710000000000001</v>
      </c>
      <c r="P901" s="7">
        <v>5.55</v>
      </c>
      <c r="Q901" s="7">
        <v>5.351</v>
      </c>
      <c r="R901" s="7">
        <v>5.5259999999999998</v>
      </c>
      <c r="S901" s="7">
        <f t="shared" si="14"/>
        <v>5.2769166666666658</v>
      </c>
    </row>
    <row r="902" spans="1:19">
      <c r="A902" s="5" t="str">
        <f>B902&amp;"-"&amp;COUNTIF($B$2:B902,B902)</f>
        <v>GOIAS-19</v>
      </c>
      <c r="B902" s="5" t="s">
        <v>771</v>
      </c>
      <c r="C902" s="5" t="s">
        <v>4914</v>
      </c>
      <c r="D902" s="6">
        <v>-492473</v>
      </c>
      <c r="E902" s="6">
        <v>-168203</v>
      </c>
      <c r="F902" s="7">
        <v>5.2560000000000002</v>
      </c>
      <c r="G902" s="7">
        <v>5.46</v>
      </c>
      <c r="H902" s="7">
        <v>5.56</v>
      </c>
      <c r="I902" s="7">
        <v>5.1660000000000004</v>
      </c>
      <c r="J902" s="7">
        <v>5.0599999999999996</v>
      </c>
      <c r="K902" s="7">
        <v>4.7380000000000004</v>
      </c>
      <c r="L902" s="7">
        <v>4.5279999999999996</v>
      </c>
      <c r="M902" s="7">
        <v>4.7510000000000003</v>
      </c>
      <c r="N902" s="7">
        <v>5.6349999999999998</v>
      </c>
      <c r="O902" s="7">
        <v>5.5679999999999996</v>
      </c>
      <c r="P902" s="7">
        <v>5.617</v>
      </c>
      <c r="Q902" s="7">
        <v>5.42</v>
      </c>
      <c r="R902" s="7">
        <v>5.5609999999999999</v>
      </c>
      <c r="S902" s="7">
        <f t="shared" si="14"/>
        <v>5.2553333333333327</v>
      </c>
    </row>
    <row r="903" spans="1:19">
      <c r="A903" s="5" t="str">
        <f>B903&amp;"-"&amp;COUNTIF($B$2:B903,B903)</f>
        <v>GOIAS-20</v>
      </c>
      <c r="B903" s="5" t="s">
        <v>771</v>
      </c>
      <c r="C903" s="5" t="s">
        <v>781</v>
      </c>
      <c r="D903" s="6">
        <v>-51152</v>
      </c>
      <c r="E903" s="6">
        <v>-182945</v>
      </c>
      <c r="F903" s="7">
        <v>5.19</v>
      </c>
      <c r="G903" s="7">
        <v>5.54</v>
      </c>
      <c r="H903" s="7">
        <v>5.68</v>
      </c>
      <c r="I903" s="7">
        <v>5.258</v>
      </c>
      <c r="J903" s="7">
        <v>5.0279999999999996</v>
      </c>
      <c r="K903" s="7">
        <v>4.5439999999999996</v>
      </c>
      <c r="L903" s="7">
        <v>4.2990000000000004</v>
      </c>
      <c r="M903" s="7">
        <v>4.4779999999999998</v>
      </c>
      <c r="N903" s="7">
        <v>5.4189999999999996</v>
      </c>
      <c r="O903" s="7">
        <v>5.226</v>
      </c>
      <c r="P903" s="7">
        <v>5.4489999999999998</v>
      </c>
      <c r="Q903" s="7">
        <v>5.6079999999999997</v>
      </c>
      <c r="R903" s="7">
        <v>5.7510000000000003</v>
      </c>
      <c r="S903" s="7">
        <f t="shared" si="14"/>
        <v>5.1899999999999986</v>
      </c>
    </row>
    <row r="904" spans="1:19">
      <c r="A904" s="5" t="str">
        <f>B904&amp;"-"&amp;COUNTIF($B$2:B904,B904)</f>
        <v>GOIAS-21</v>
      </c>
      <c r="B904" s="5" t="s">
        <v>771</v>
      </c>
      <c r="C904" s="5" t="s">
        <v>4302</v>
      </c>
      <c r="D904" s="6">
        <v>-519259</v>
      </c>
      <c r="E904" s="6">
        <v>-18965</v>
      </c>
      <c r="F904" s="7">
        <v>5.1829999999999998</v>
      </c>
      <c r="G904" s="7">
        <v>5.6470000000000002</v>
      </c>
      <c r="H904" s="7">
        <v>5.8460000000000001</v>
      </c>
      <c r="I904" s="7">
        <v>5.3440000000000003</v>
      </c>
      <c r="J904" s="7">
        <v>4.9459999999999997</v>
      </c>
      <c r="K904" s="7">
        <v>4.3860000000000001</v>
      </c>
      <c r="L904" s="7">
        <v>4.1719999999999997</v>
      </c>
      <c r="M904" s="7">
        <v>4.3529999999999998</v>
      </c>
      <c r="N904" s="7">
        <v>5.218</v>
      </c>
      <c r="O904" s="7">
        <v>5.1180000000000003</v>
      </c>
      <c r="P904" s="7">
        <v>5.4619999999999997</v>
      </c>
      <c r="Q904" s="7">
        <v>5.6580000000000004</v>
      </c>
      <c r="R904" s="7">
        <v>6.0439999999999996</v>
      </c>
      <c r="S904" s="7">
        <f t="shared" si="14"/>
        <v>5.1828333333333338</v>
      </c>
    </row>
    <row r="905" spans="1:19">
      <c r="A905" s="5" t="str">
        <f>B905&amp;"-"&amp;COUNTIF($B$2:B905,B905)</f>
        <v>GOIAS-22</v>
      </c>
      <c r="B905" s="5" t="s">
        <v>771</v>
      </c>
      <c r="C905" s="5" t="s">
        <v>4629</v>
      </c>
      <c r="D905" s="6">
        <v>-496808</v>
      </c>
      <c r="E905" s="6">
        <v>-163568</v>
      </c>
      <c r="F905" s="7">
        <v>5.2670000000000003</v>
      </c>
      <c r="G905" s="7">
        <v>5.4980000000000002</v>
      </c>
      <c r="H905" s="7">
        <v>5.5549999999999997</v>
      </c>
      <c r="I905" s="7">
        <v>5.1630000000000003</v>
      </c>
      <c r="J905" s="7">
        <v>5.1459999999999999</v>
      </c>
      <c r="K905" s="7">
        <v>4.88</v>
      </c>
      <c r="L905" s="7">
        <v>4.58</v>
      </c>
      <c r="M905" s="7">
        <v>4.8159999999999998</v>
      </c>
      <c r="N905" s="7">
        <v>5.7510000000000003</v>
      </c>
      <c r="O905" s="7">
        <v>5.4870000000000001</v>
      </c>
      <c r="P905" s="7">
        <v>5.5549999999999997</v>
      </c>
      <c r="Q905" s="7">
        <v>5.3239999999999998</v>
      </c>
      <c r="R905" s="7">
        <v>5.4539999999999997</v>
      </c>
      <c r="S905" s="7">
        <f t="shared" si="14"/>
        <v>5.2674166666666666</v>
      </c>
    </row>
    <row r="906" spans="1:19">
      <c r="A906" s="5" t="str">
        <f>B906&amp;"-"&amp;COUNTIF($B$2:B906,B906)</f>
        <v>GOIAS-23</v>
      </c>
      <c r="B906" s="5" t="s">
        <v>771</v>
      </c>
      <c r="C906" s="5" t="s">
        <v>4630</v>
      </c>
      <c r="D906" s="6">
        <v>-52245</v>
      </c>
      <c r="E906" s="6">
        <v>-159033</v>
      </c>
      <c r="F906" s="7">
        <v>5.2560000000000002</v>
      </c>
      <c r="G906" s="7">
        <v>5.4729999999999999</v>
      </c>
      <c r="H906" s="7">
        <v>5.6029999999999998</v>
      </c>
      <c r="I906" s="7">
        <v>5.2009999999999996</v>
      </c>
      <c r="J906" s="7">
        <v>5.2939999999999996</v>
      </c>
      <c r="K906" s="7">
        <v>4.9409999999999998</v>
      </c>
      <c r="L906" s="7">
        <v>4.585</v>
      </c>
      <c r="M906" s="7">
        <v>4.7210000000000001</v>
      </c>
      <c r="N906" s="7">
        <v>5.4889999999999999</v>
      </c>
      <c r="O906" s="7">
        <v>5.2919999999999998</v>
      </c>
      <c r="P906" s="7">
        <v>5.4889999999999999</v>
      </c>
      <c r="Q906" s="7">
        <v>5.43</v>
      </c>
      <c r="R906" s="7">
        <v>5.5449999999999999</v>
      </c>
      <c r="S906" s="7">
        <f t="shared" si="14"/>
        <v>5.2552499999999993</v>
      </c>
    </row>
    <row r="907" spans="1:19">
      <c r="A907" s="5" t="str">
        <f>B907&amp;"-"&amp;COUNTIF($B$2:B907,B907)</f>
        <v>GOIAS-24</v>
      </c>
      <c r="B907" s="5" t="s">
        <v>771</v>
      </c>
      <c r="C907" s="5" t="s">
        <v>4915</v>
      </c>
      <c r="D907" s="6">
        <v>-49448</v>
      </c>
      <c r="E907" s="6">
        <v>-169091</v>
      </c>
      <c r="F907" s="7">
        <v>5.2489999999999997</v>
      </c>
      <c r="G907" s="7">
        <v>5.524</v>
      </c>
      <c r="H907" s="7">
        <v>5.5739999999999998</v>
      </c>
      <c r="I907" s="7">
        <v>5.2759999999999998</v>
      </c>
      <c r="J907" s="7">
        <v>5.1150000000000002</v>
      </c>
      <c r="K907" s="7">
        <v>4.7779999999999996</v>
      </c>
      <c r="L907" s="7">
        <v>4.5179999999999998</v>
      </c>
      <c r="M907" s="7">
        <v>4.7210000000000001</v>
      </c>
      <c r="N907" s="7">
        <v>5.5339999999999998</v>
      </c>
      <c r="O907" s="7">
        <v>5.4480000000000004</v>
      </c>
      <c r="P907" s="7">
        <v>5.556</v>
      </c>
      <c r="Q907" s="7">
        <v>5.4269999999999996</v>
      </c>
      <c r="R907" s="7">
        <v>5.5129999999999999</v>
      </c>
      <c r="S907" s="7">
        <f t="shared" si="14"/>
        <v>5.2486666666666659</v>
      </c>
    </row>
    <row r="908" spans="1:19">
      <c r="A908" s="5" t="str">
        <f>B908&amp;"-"&amp;COUNTIF($B$2:B908,B908)</f>
        <v>GOIAS-25</v>
      </c>
      <c r="B908" s="5" t="s">
        <v>771</v>
      </c>
      <c r="C908" s="5" t="s">
        <v>782</v>
      </c>
      <c r="D908" s="6">
        <v>-506319</v>
      </c>
      <c r="E908" s="6">
        <v>-150913</v>
      </c>
      <c r="F908" s="7">
        <v>5.2839999999999998</v>
      </c>
      <c r="G908" s="7">
        <v>5.4420000000000002</v>
      </c>
      <c r="H908" s="7">
        <v>5.609</v>
      </c>
      <c r="I908" s="7">
        <v>5.3840000000000003</v>
      </c>
      <c r="J908" s="7">
        <v>5.2619999999999996</v>
      </c>
      <c r="K908" s="7">
        <v>4.9189999999999996</v>
      </c>
      <c r="L908" s="7">
        <v>4.5999999999999996</v>
      </c>
      <c r="M908" s="7">
        <v>4.8369999999999997</v>
      </c>
      <c r="N908" s="7">
        <v>5.5140000000000002</v>
      </c>
      <c r="O908" s="7">
        <v>5.431</v>
      </c>
      <c r="P908" s="7">
        <v>5.5880000000000001</v>
      </c>
      <c r="Q908" s="7">
        <v>5.3949999999999996</v>
      </c>
      <c r="R908" s="7">
        <v>5.4269999999999996</v>
      </c>
      <c r="S908" s="7">
        <f t="shared" si="14"/>
        <v>5.2839999999999998</v>
      </c>
    </row>
    <row r="909" spans="1:19">
      <c r="A909" s="5" t="str">
        <f>B909&amp;"-"&amp;COUNTIF($B$2:B909,B909)</f>
        <v>GOIAS-26</v>
      </c>
      <c r="B909" s="5" t="s">
        <v>771</v>
      </c>
      <c r="C909" s="5" t="s">
        <v>5072</v>
      </c>
      <c r="D909" s="6">
        <v>-515597</v>
      </c>
      <c r="E909" s="6">
        <v>-163861</v>
      </c>
      <c r="F909" s="7">
        <v>5.282</v>
      </c>
      <c r="G909" s="7">
        <v>5.5419999999999998</v>
      </c>
      <c r="H909" s="7">
        <v>5.6740000000000004</v>
      </c>
      <c r="I909" s="7">
        <v>5.3360000000000003</v>
      </c>
      <c r="J909" s="7">
        <v>5.2629999999999999</v>
      </c>
      <c r="K909" s="7">
        <v>4.8819999999999997</v>
      </c>
      <c r="L909" s="7">
        <v>4.5650000000000004</v>
      </c>
      <c r="M909" s="7">
        <v>4.6260000000000003</v>
      </c>
      <c r="N909" s="7">
        <v>5.4710000000000001</v>
      </c>
      <c r="O909" s="7">
        <v>5.38</v>
      </c>
      <c r="P909" s="7">
        <v>5.5659999999999998</v>
      </c>
      <c r="Q909" s="7">
        <v>5.5069999999999997</v>
      </c>
      <c r="R909" s="7">
        <v>5.5679999999999996</v>
      </c>
      <c r="S909" s="7">
        <f t="shared" si="14"/>
        <v>5.2816666666666663</v>
      </c>
    </row>
    <row r="910" spans="1:19">
      <c r="A910" s="5" t="str">
        <f>B910&amp;"-"&amp;COUNTIF($B$2:B910,B910)</f>
        <v>GOIAS-27</v>
      </c>
      <c r="B910" s="5" t="s">
        <v>771</v>
      </c>
      <c r="C910" s="5" t="s">
        <v>5352</v>
      </c>
      <c r="D910" s="6">
        <v>-510808</v>
      </c>
      <c r="E910" s="6">
        <v>-149263</v>
      </c>
      <c r="F910" s="7">
        <v>5.3140000000000001</v>
      </c>
      <c r="G910" s="7">
        <v>5.5339999999999998</v>
      </c>
      <c r="H910" s="7">
        <v>5.68</v>
      </c>
      <c r="I910" s="7">
        <v>5.4189999999999996</v>
      </c>
      <c r="J910" s="7">
        <v>5.343</v>
      </c>
      <c r="K910" s="7">
        <v>4.9340000000000002</v>
      </c>
      <c r="L910" s="7">
        <v>4.5830000000000002</v>
      </c>
      <c r="M910" s="7">
        <v>4.859</v>
      </c>
      <c r="N910" s="7">
        <v>5.4210000000000003</v>
      </c>
      <c r="O910" s="7">
        <v>5.5</v>
      </c>
      <c r="P910" s="7">
        <v>5.5789999999999997</v>
      </c>
      <c r="Q910" s="7">
        <v>5.4409999999999998</v>
      </c>
      <c r="R910" s="7">
        <v>5.4790000000000001</v>
      </c>
      <c r="S910" s="7">
        <f t="shared" si="14"/>
        <v>5.3143333333333338</v>
      </c>
    </row>
    <row r="911" spans="1:19">
      <c r="A911" s="5" t="str">
        <f>B911&amp;"-"&amp;COUNTIF($B$2:B911,B911)</f>
        <v>GOIAS-28</v>
      </c>
      <c r="B911" s="5" t="s">
        <v>771</v>
      </c>
      <c r="C911" s="5" t="s">
        <v>4916</v>
      </c>
      <c r="D911" s="6">
        <v>-504645</v>
      </c>
      <c r="E911" s="6">
        <v>-166777</v>
      </c>
      <c r="F911" s="7">
        <v>5.3319999999999999</v>
      </c>
      <c r="G911" s="7">
        <v>5.6669999999999998</v>
      </c>
      <c r="H911" s="7">
        <v>5.7069999999999999</v>
      </c>
      <c r="I911" s="7">
        <v>5.3849999999999998</v>
      </c>
      <c r="J911" s="7">
        <v>5.226</v>
      </c>
      <c r="K911" s="7">
        <v>4.8310000000000004</v>
      </c>
      <c r="L911" s="7">
        <v>4.5890000000000004</v>
      </c>
      <c r="M911" s="7">
        <v>4.7240000000000002</v>
      </c>
      <c r="N911" s="7">
        <v>5.54</v>
      </c>
      <c r="O911" s="7">
        <v>5.4240000000000004</v>
      </c>
      <c r="P911" s="7">
        <v>5.6139999999999999</v>
      </c>
      <c r="Q911" s="7">
        <v>5.6280000000000001</v>
      </c>
      <c r="R911" s="7">
        <v>5.6420000000000003</v>
      </c>
      <c r="S911" s="7">
        <f t="shared" si="14"/>
        <v>5.3314166666666667</v>
      </c>
    </row>
    <row r="912" spans="1:19">
      <c r="A912" s="5" t="str">
        <f>B912&amp;"-"&amp;COUNTIF($B$2:B912,B912)</f>
        <v>GOIAS-29</v>
      </c>
      <c r="B912" s="5" t="s">
        <v>771</v>
      </c>
      <c r="C912" s="5" t="s">
        <v>5073</v>
      </c>
      <c r="D912" s="6">
        <v>-497583</v>
      </c>
      <c r="E912" s="6">
        <v>-164677</v>
      </c>
      <c r="F912" s="7">
        <v>5.2709999999999999</v>
      </c>
      <c r="G912" s="7">
        <v>5.5129999999999999</v>
      </c>
      <c r="H912" s="7">
        <v>5.5759999999999996</v>
      </c>
      <c r="I912" s="7">
        <v>5.2030000000000003</v>
      </c>
      <c r="J912" s="7">
        <v>5.1870000000000003</v>
      </c>
      <c r="K912" s="7">
        <v>4.8449999999999998</v>
      </c>
      <c r="L912" s="7">
        <v>4.5679999999999996</v>
      </c>
      <c r="M912" s="7">
        <v>4.7880000000000003</v>
      </c>
      <c r="N912" s="7">
        <v>5.7240000000000002</v>
      </c>
      <c r="O912" s="7">
        <v>5.444</v>
      </c>
      <c r="P912" s="7">
        <v>5.5739999999999998</v>
      </c>
      <c r="Q912" s="7">
        <v>5.3330000000000002</v>
      </c>
      <c r="R912" s="7">
        <v>5.4930000000000003</v>
      </c>
      <c r="S912" s="7">
        <f t="shared" si="14"/>
        <v>5.2706666666666662</v>
      </c>
    </row>
    <row r="913" spans="1:19">
      <c r="A913" s="5" t="str">
        <f>B913&amp;"-"&amp;COUNTIF($B$2:B913,B913)</f>
        <v>GOIAS-30</v>
      </c>
      <c r="B913" s="5" t="s">
        <v>771</v>
      </c>
      <c r="C913" s="5" t="s">
        <v>783</v>
      </c>
      <c r="D913" s="6">
        <v>-525444</v>
      </c>
      <c r="E913" s="6">
        <v>-161975</v>
      </c>
      <c r="F913" s="7">
        <v>5.2759999999999998</v>
      </c>
      <c r="G913" s="7">
        <v>5.5220000000000002</v>
      </c>
      <c r="H913" s="7">
        <v>5.633</v>
      </c>
      <c r="I913" s="7">
        <v>5.2489999999999997</v>
      </c>
      <c r="J913" s="7">
        <v>5.319</v>
      </c>
      <c r="K913" s="7">
        <v>4.8810000000000002</v>
      </c>
      <c r="L913" s="7">
        <v>4.5490000000000004</v>
      </c>
      <c r="M913" s="7">
        <v>4.67</v>
      </c>
      <c r="N913" s="7">
        <v>5.4379999999999997</v>
      </c>
      <c r="O913" s="7">
        <v>5.4240000000000004</v>
      </c>
      <c r="P913" s="7">
        <v>5.4619999999999997</v>
      </c>
      <c r="Q913" s="7">
        <v>5.5339999999999998</v>
      </c>
      <c r="R913" s="7">
        <v>5.6289999999999996</v>
      </c>
      <c r="S913" s="7">
        <f t="shared" si="14"/>
        <v>5.2758333333333338</v>
      </c>
    </row>
    <row r="914" spans="1:19">
      <c r="A914" s="5" t="str">
        <f>B914&amp;"-"&amp;COUNTIF($B$2:B914,B914)</f>
        <v>GOIAS-31</v>
      </c>
      <c r="B914" s="5" t="s">
        <v>771</v>
      </c>
      <c r="C914" s="5" t="s">
        <v>324</v>
      </c>
      <c r="D914" s="6">
        <v>-48913</v>
      </c>
      <c r="E914" s="6">
        <v>-149681</v>
      </c>
      <c r="F914" s="7">
        <v>5.2729999999999997</v>
      </c>
      <c r="G914" s="7">
        <v>5.3029999999999999</v>
      </c>
      <c r="H914" s="7">
        <v>5.5469999999999997</v>
      </c>
      <c r="I914" s="7">
        <v>5.1630000000000003</v>
      </c>
      <c r="J914" s="7">
        <v>5.1580000000000004</v>
      </c>
      <c r="K914" s="7">
        <v>4.9560000000000004</v>
      </c>
      <c r="L914" s="7">
        <v>4.6879999999999997</v>
      </c>
      <c r="M914" s="7">
        <v>4.83</v>
      </c>
      <c r="N914" s="7">
        <v>5.899</v>
      </c>
      <c r="O914" s="7">
        <v>5.66</v>
      </c>
      <c r="P914" s="7">
        <v>5.5819999999999999</v>
      </c>
      <c r="Q914" s="7">
        <v>5.1390000000000002</v>
      </c>
      <c r="R914" s="7">
        <v>5.3559999999999999</v>
      </c>
      <c r="S914" s="7">
        <f t="shared" si="14"/>
        <v>5.2734166666666669</v>
      </c>
    </row>
    <row r="915" spans="1:19">
      <c r="A915" s="5" t="str">
        <f>B915&amp;"-"&amp;COUNTIF($B$2:B915,B915)</f>
        <v>GOIAS-32</v>
      </c>
      <c r="B915" s="5" t="s">
        <v>771</v>
      </c>
      <c r="C915" s="5" t="s">
        <v>5502</v>
      </c>
      <c r="D915" s="6">
        <v>-489517</v>
      </c>
      <c r="E915" s="6">
        <v>-169697</v>
      </c>
      <c r="F915" s="7">
        <v>5.2910000000000004</v>
      </c>
      <c r="G915" s="7">
        <v>5.5659999999999998</v>
      </c>
      <c r="H915" s="7">
        <v>5.7130000000000001</v>
      </c>
      <c r="I915" s="7">
        <v>5.2309999999999999</v>
      </c>
      <c r="J915" s="7">
        <v>5.1070000000000002</v>
      </c>
      <c r="K915" s="7">
        <v>4.7779999999999996</v>
      </c>
      <c r="L915" s="7">
        <v>4.5720000000000001</v>
      </c>
      <c r="M915" s="7">
        <v>4.7370000000000001</v>
      </c>
      <c r="N915" s="7">
        <v>5.6029999999999998</v>
      </c>
      <c r="O915" s="7">
        <v>5.5410000000000004</v>
      </c>
      <c r="P915" s="7">
        <v>5.625</v>
      </c>
      <c r="Q915" s="7">
        <v>5.43</v>
      </c>
      <c r="R915" s="7">
        <v>5.5919999999999996</v>
      </c>
      <c r="S915" s="7">
        <f t="shared" si="14"/>
        <v>5.2912499999999998</v>
      </c>
    </row>
    <row r="916" spans="1:19">
      <c r="A916" s="5" t="str">
        <f>B916&amp;"-"&amp;COUNTIF($B$2:B916,B916)</f>
        <v>GOIAS-33</v>
      </c>
      <c r="B916" s="5" t="s">
        <v>771</v>
      </c>
      <c r="C916" s="5" t="s">
        <v>5503</v>
      </c>
      <c r="D916" s="6">
        <v>-521759</v>
      </c>
      <c r="E916" s="6">
        <v>-162001</v>
      </c>
      <c r="F916" s="7">
        <v>5.2510000000000003</v>
      </c>
      <c r="G916" s="7">
        <v>5.5170000000000003</v>
      </c>
      <c r="H916" s="7">
        <v>5.6520000000000001</v>
      </c>
      <c r="I916" s="7">
        <v>5.2130000000000001</v>
      </c>
      <c r="J916" s="7">
        <v>5.2709999999999999</v>
      </c>
      <c r="K916" s="7">
        <v>4.8639999999999999</v>
      </c>
      <c r="L916" s="7">
        <v>4.5190000000000001</v>
      </c>
      <c r="M916" s="7">
        <v>4.6390000000000002</v>
      </c>
      <c r="N916" s="7">
        <v>5.4</v>
      </c>
      <c r="O916" s="7">
        <v>5.36</v>
      </c>
      <c r="P916" s="7">
        <v>5.4889999999999999</v>
      </c>
      <c r="Q916" s="7">
        <v>5.4829999999999997</v>
      </c>
      <c r="R916" s="7">
        <v>5.6040000000000001</v>
      </c>
      <c r="S916" s="7">
        <f t="shared" si="14"/>
        <v>5.250916666666666</v>
      </c>
    </row>
    <row r="917" spans="1:19">
      <c r="A917" s="5" t="str">
        <f>B917&amp;"-"&amp;COUNTIF($B$2:B917,B917)</f>
        <v>GOIAS-34</v>
      </c>
      <c r="B917" s="5" t="s">
        <v>771</v>
      </c>
      <c r="C917" s="5" t="s">
        <v>5504</v>
      </c>
      <c r="D917" s="6">
        <v>-497404</v>
      </c>
      <c r="E917" s="6">
        <v>-182177</v>
      </c>
      <c r="F917" s="7">
        <v>5.2069999999999999</v>
      </c>
      <c r="G917" s="7">
        <v>5.67</v>
      </c>
      <c r="H917" s="7">
        <v>5.6420000000000003</v>
      </c>
      <c r="I917" s="7">
        <v>5.1150000000000002</v>
      </c>
      <c r="J917" s="7">
        <v>5.0190000000000001</v>
      </c>
      <c r="K917" s="7">
        <v>4.5730000000000004</v>
      </c>
      <c r="L917" s="7">
        <v>4.3209999999999997</v>
      </c>
      <c r="M917" s="7">
        <v>4.5839999999999996</v>
      </c>
      <c r="N917" s="7">
        <v>5.476</v>
      </c>
      <c r="O917" s="7">
        <v>5.2960000000000003</v>
      </c>
      <c r="P917" s="7">
        <v>5.5039999999999996</v>
      </c>
      <c r="Q917" s="7">
        <v>5.556</v>
      </c>
      <c r="R917" s="7">
        <v>5.7329999999999997</v>
      </c>
      <c r="S917" s="7">
        <f t="shared" si="14"/>
        <v>5.2074166666666653</v>
      </c>
    </row>
    <row r="918" spans="1:19">
      <c r="A918" s="5" t="str">
        <f>B918&amp;"-"&amp;COUNTIF($B$2:B918,B918)</f>
        <v>GOIAS-35</v>
      </c>
      <c r="B918" s="5" t="s">
        <v>771</v>
      </c>
      <c r="C918" s="5" t="s">
        <v>5074</v>
      </c>
      <c r="D918" s="6">
        <v>-498342</v>
      </c>
      <c r="E918" s="6">
        <v>-136509</v>
      </c>
      <c r="F918" s="7">
        <v>5.32</v>
      </c>
      <c r="G918" s="7">
        <v>5.37</v>
      </c>
      <c r="H918" s="7">
        <v>5.5789999999999997</v>
      </c>
      <c r="I918" s="7">
        <v>5.2279999999999998</v>
      </c>
      <c r="J918" s="7">
        <v>5.2160000000000002</v>
      </c>
      <c r="K918" s="7">
        <v>4.9660000000000002</v>
      </c>
      <c r="L918" s="7">
        <v>4.7679999999999998</v>
      </c>
      <c r="M918" s="7">
        <v>5.1180000000000003</v>
      </c>
      <c r="N918" s="7">
        <v>5.7160000000000002</v>
      </c>
      <c r="O918" s="7">
        <v>5.7089999999999996</v>
      </c>
      <c r="P918" s="7">
        <v>5.5549999999999997</v>
      </c>
      <c r="Q918" s="7">
        <v>5.2110000000000003</v>
      </c>
      <c r="R918" s="7">
        <v>5.4</v>
      </c>
      <c r="S918" s="7">
        <f t="shared" si="14"/>
        <v>5.3196666666666665</v>
      </c>
    </row>
    <row r="919" spans="1:19">
      <c r="A919" s="5" t="str">
        <f>B919&amp;"-"&amp;COUNTIF($B$2:B919,B919)</f>
        <v>GOIAS-36</v>
      </c>
      <c r="B919" s="5" t="s">
        <v>771</v>
      </c>
      <c r="C919" s="5" t="s">
        <v>5075</v>
      </c>
      <c r="D919" s="6">
        <v>-48962</v>
      </c>
      <c r="E919" s="6">
        <v>-166177</v>
      </c>
      <c r="F919" s="7">
        <v>5.2450000000000001</v>
      </c>
      <c r="G919" s="7">
        <v>5.4560000000000004</v>
      </c>
      <c r="H919" s="7">
        <v>5.6230000000000002</v>
      </c>
      <c r="I919" s="7">
        <v>5.1630000000000003</v>
      </c>
      <c r="J919" s="7">
        <v>5.0650000000000004</v>
      </c>
      <c r="K919" s="7">
        <v>4.843</v>
      </c>
      <c r="L919" s="7">
        <v>4.577</v>
      </c>
      <c r="M919" s="7">
        <v>4.8390000000000004</v>
      </c>
      <c r="N919" s="7">
        <v>5.6790000000000003</v>
      </c>
      <c r="O919" s="7">
        <v>5.5129999999999999</v>
      </c>
      <c r="P919" s="7">
        <v>5.5780000000000003</v>
      </c>
      <c r="Q919" s="7">
        <v>5.226</v>
      </c>
      <c r="R919" s="7">
        <v>5.375</v>
      </c>
      <c r="S919" s="7">
        <f t="shared" si="14"/>
        <v>5.2447500000000007</v>
      </c>
    </row>
    <row r="920" spans="1:19">
      <c r="A920" s="5" t="str">
        <f>B920&amp;"-"&amp;COUNTIF($B$2:B920,B920)</f>
        <v>GOIAS-37</v>
      </c>
      <c r="B920" s="5" t="s">
        <v>771</v>
      </c>
      <c r="C920" s="5" t="s">
        <v>784</v>
      </c>
      <c r="D920" s="6">
        <v>-493857</v>
      </c>
      <c r="E920" s="6">
        <v>-164316</v>
      </c>
      <c r="F920" s="7">
        <v>5.2690000000000001</v>
      </c>
      <c r="G920" s="7">
        <v>5.47</v>
      </c>
      <c r="H920" s="7">
        <v>5.56</v>
      </c>
      <c r="I920" s="7">
        <v>5.1849999999999996</v>
      </c>
      <c r="J920" s="7">
        <v>5.1180000000000003</v>
      </c>
      <c r="K920" s="7">
        <v>4.8719999999999999</v>
      </c>
      <c r="L920" s="7">
        <v>4.5839999999999996</v>
      </c>
      <c r="M920" s="7">
        <v>4.8230000000000004</v>
      </c>
      <c r="N920" s="7">
        <v>5.7670000000000003</v>
      </c>
      <c r="O920" s="7">
        <v>5.532</v>
      </c>
      <c r="P920" s="7">
        <v>5.55</v>
      </c>
      <c r="Q920" s="7">
        <v>5.2969999999999997</v>
      </c>
      <c r="R920" s="7">
        <v>5.4710000000000001</v>
      </c>
      <c r="S920" s="7">
        <f t="shared" si="14"/>
        <v>5.2690833333333336</v>
      </c>
    </row>
    <row r="921" spans="1:19">
      <c r="A921" s="5" t="str">
        <f>B921&amp;"-"&amp;COUNTIF($B$2:B921,B921)</f>
        <v>GOIAS-38</v>
      </c>
      <c r="B921" s="5" t="s">
        <v>771</v>
      </c>
      <c r="C921" s="5" t="s">
        <v>4917</v>
      </c>
      <c r="D921" s="6">
        <v>-511654</v>
      </c>
      <c r="E921" s="6">
        <v>-152429</v>
      </c>
      <c r="F921" s="7">
        <v>5.3479999999999999</v>
      </c>
      <c r="G921" s="7">
        <v>5.6390000000000002</v>
      </c>
      <c r="H921" s="7">
        <v>5.7290000000000001</v>
      </c>
      <c r="I921" s="7">
        <v>5.44</v>
      </c>
      <c r="J921" s="7">
        <v>5.3380000000000001</v>
      </c>
      <c r="K921" s="7">
        <v>4.9530000000000003</v>
      </c>
      <c r="L921" s="7">
        <v>4.6449999999999996</v>
      </c>
      <c r="M921" s="7">
        <v>4.83</v>
      </c>
      <c r="N921" s="7">
        <v>5.5090000000000003</v>
      </c>
      <c r="O921" s="7">
        <v>5.5289999999999999</v>
      </c>
      <c r="P921" s="7">
        <v>5.5570000000000004</v>
      </c>
      <c r="Q921" s="7">
        <v>5.4219999999999997</v>
      </c>
      <c r="R921" s="7">
        <v>5.5810000000000004</v>
      </c>
      <c r="S921" s="7">
        <f t="shared" si="14"/>
        <v>5.3476666666666661</v>
      </c>
    </row>
    <row r="922" spans="1:19">
      <c r="A922" s="5" t="str">
        <f>B922&amp;"-"&amp;COUNTIF($B$2:B922,B922)</f>
        <v>GOIAS-39</v>
      </c>
      <c r="B922" s="5" t="s">
        <v>771</v>
      </c>
      <c r="C922" s="5" t="s">
        <v>785</v>
      </c>
      <c r="D922" s="6">
        <v>-490408</v>
      </c>
      <c r="E922" s="6">
        <v>-181382</v>
      </c>
      <c r="F922" s="7">
        <v>5.23</v>
      </c>
      <c r="G922" s="7">
        <v>5.5179999999999998</v>
      </c>
      <c r="H922" s="7">
        <v>5.7779999999999996</v>
      </c>
      <c r="I922" s="7">
        <v>5.1289999999999996</v>
      </c>
      <c r="J922" s="7">
        <v>5.1050000000000004</v>
      </c>
      <c r="K922" s="7">
        <v>4.6589999999999998</v>
      </c>
      <c r="L922" s="7">
        <v>4.41</v>
      </c>
      <c r="M922" s="7">
        <v>4.5960000000000001</v>
      </c>
      <c r="N922" s="7">
        <v>5.4909999999999997</v>
      </c>
      <c r="O922" s="7">
        <v>5.2939999999999996</v>
      </c>
      <c r="P922" s="7">
        <v>5.5830000000000002</v>
      </c>
      <c r="Q922" s="7">
        <v>5.5220000000000002</v>
      </c>
      <c r="R922" s="7">
        <v>5.6689999999999996</v>
      </c>
      <c r="S922" s="7">
        <f t="shared" si="14"/>
        <v>5.2294999999999989</v>
      </c>
    </row>
    <row r="923" spans="1:19">
      <c r="A923" s="5" t="str">
        <f>B923&amp;"-"&amp;COUNTIF($B$2:B923,B923)</f>
        <v>GOIAS-40</v>
      </c>
      <c r="B923" s="5" t="s">
        <v>771</v>
      </c>
      <c r="C923" s="5" t="s">
        <v>5505</v>
      </c>
      <c r="D923" s="6">
        <v>-504346</v>
      </c>
      <c r="E923" s="6">
        <v>-161766</v>
      </c>
      <c r="F923" s="7">
        <v>5.3029999999999999</v>
      </c>
      <c r="G923" s="7">
        <v>5.5780000000000003</v>
      </c>
      <c r="H923" s="7">
        <v>5.6</v>
      </c>
      <c r="I923" s="7">
        <v>5.327</v>
      </c>
      <c r="J923" s="7">
        <v>5.2549999999999999</v>
      </c>
      <c r="K923" s="7">
        <v>4.8819999999999997</v>
      </c>
      <c r="L923" s="7">
        <v>4.6059999999999999</v>
      </c>
      <c r="M923" s="7">
        <v>4.7619999999999996</v>
      </c>
      <c r="N923" s="7">
        <v>5.5359999999999996</v>
      </c>
      <c r="O923" s="7">
        <v>5.3890000000000002</v>
      </c>
      <c r="P923" s="7">
        <v>5.6159999999999997</v>
      </c>
      <c r="Q923" s="7">
        <v>5.5529999999999999</v>
      </c>
      <c r="R923" s="7">
        <v>5.5270000000000001</v>
      </c>
      <c r="S923" s="7">
        <f t="shared" si="14"/>
        <v>5.3025833333333336</v>
      </c>
    </row>
    <row r="924" spans="1:19">
      <c r="A924" s="5" t="str">
        <f>B924&amp;"-"&amp;COUNTIF($B$2:B924,B924)</f>
        <v>GOIAS-41</v>
      </c>
      <c r="B924" s="5" t="s">
        <v>771</v>
      </c>
      <c r="C924" s="5" t="s">
        <v>5076</v>
      </c>
      <c r="D924" s="6">
        <v>-464313</v>
      </c>
      <c r="E924" s="6">
        <v>-144561</v>
      </c>
      <c r="F924" s="7">
        <v>5.6210000000000004</v>
      </c>
      <c r="G924" s="7">
        <v>6.0819999999999999</v>
      </c>
      <c r="H924" s="7">
        <v>6.1269999999999998</v>
      </c>
      <c r="I924" s="7">
        <v>5.5679999999999996</v>
      </c>
      <c r="J924" s="7">
        <v>5.492</v>
      </c>
      <c r="K924" s="7">
        <v>5.0449999999999999</v>
      </c>
      <c r="L924" s="7">
        <v>4.867</v>
      </c>
      <c r="M924" s="7">
        <v>5.2140000000000004</v>
      </c>
      <c r="N924" s="7">
        <v>5.8710000000000004</v>
      </c>
      <c r="O924" s="7">
        <v>5.9619999999999997</v>
      </c>
      <c r="P924" s="7">
        <v>5.8760000000000003</v>
      </c>
      <c r="Q924" s="7">
        <v>5.4009999999999998</v>
      </c>
      <c r="R924" s="7">
        <v>5.9530000000000003</v>
      </c>
      <c r="S924" s="7">
        <f t="shared" si="14"/>
        <v>5.6215000000000002</v>
      </c>
    </row>
    <row r="925" spans="1:19">
      <c r="A925" s="5" t="str">
        <f>B925&amp;"-"&amp;COUNTIF($B$2:B925,B925)</f>
        <v>GOIAS-42</v>
      </c>
      <c r="B925" s="5" t="s">
        <v>771</v>
      </c>
      <c r="C925" s="5" t="s">
        <v>5077</v>
      </c>
      <c r="D925" s="6">
        <v>-505525</v>
      </c>
      <c r="E925" s="6">
        <v>-162954</v>
      </c>
      <c r="F925" s="7">
        <v>5.2670000000000003</v>
      </c>
      <c r="G925" s="7">
        <v>5.5209999999999999</v>
      </c>
      <c r="H925" s="7">
        <v>5.5830000000000002</v>
      </c>
      <c r="I925" s="7">
        <v>5.242</v>
      </c>
      <c r="J925" s="7">
        <v>5.2110000000000003</v>
      </c>
      <c r="K925" s="7">
        <v>4.8630000000000004</v>
      </c>
      <c r="L925" s="7">
        <v>4.5810000000000004</v>
      </c>
      <c r="M925" s="7">
        <v>4.7910000000000004</v>
      </c>
      <c r="N925" s="7">
        <v>5.4790000000000001</v>
      </c>
      <c r="O925" s="7">
        <v>5.4080000000000004</v>
      </c>
      <c r="P925" s="7">
        <v>5.5519999999999996</v>
      </c>
      <c r="Q925" s="7">
        <v>5.4950000000000001</v>
      </c>
      <c r="R925" s="7">
        <v>5.48</v>
      </c>
      <c r="S925" s="7">
        <f t="shared" si="14"/>
        <v>5.2671666666666672</v>
      </c>
    </row>
    <row r="926" spans="1:19">
      <c r="A926" s="5" t="str">
        <f>B926&amp;"-"&amp;COUNTIF($B$2:B926,B926)</f>
        <v>GOIAS-43</v>
      </c>
      <c r="B926" s="5" t="s">
        <v>771</v>
      </c>
      <c r="C926" s="5" t="s">
        <v>4631</v>
      </c>
      <c r="D926" s="6">
        <v>-511332</v>
      </c>
      <c r="E926" s="6">
        <v>-185598</v>
      </c>
      <c r="F926" s="7">
        <v>5.24</v>
      </c>
      <c r="G926" s="7">
        <v>5.6849999999999996</v>
      </c>
      <c r="H926" s="7">
        <v>5.7480000000000002</v>
      </c>
      <c r="I926" s="7">
        <v>5.3620000000000001</v>
      </c>
      <c r="J926" s="7">
        <v>5.0869999999999997</v>
      </c>
      <c r="K926" s="7">
        <v>4.5199999999999996</v>
      </c>
      <c r="L926" s="7">
        <v>4.1970000000000001</v>
      </c>
      <c r="M926" s="7">
        <v>4.4850000000000003</v>
      </c>
      <c r="N926" s="7">
        <v>5.3979999999999997</v>
      </c>
      <c r="O926" s="7">
        <v>5.2110000000000003</v>
      </c>
      <c r="P926" s="7">
        <v>5.5149999999999997</v>
      </c>
      <c r="Q926" s="7">
        <v>5.7770000000000001</v>
      </c>
      <c r="R926" s="7">
        <v>5.8949999999999996</v>
      </c>
      <c r="S926" s="7">
        <f t="shared" si="14"/>
        <v>5.2399999999999993</v>
      </c>
    </row>
    <row r="927" spans="1:19">
      <c r="A927" s="5" t="str">
        <f>B927&amp;"-"&amp;COUNTIF($B$2:B927,B927)</f>
        <v>GOIAS-44</v>
      </c>
      <c r="B927" s="5" t="s">
        <v>771</v>
      </c>
      <c r="C927" s="5" t="s">
        <v>786</v>
      </c>
      <c r="D927" s="6">
        <v>-469237</v>
      </c>
      <c r="E927" s="6">
        <v>-158062</v>
      </c>
      <c r="F927" s="7">
        <v>5.5110000000000001</v>
      </c>
      <c r="G927" s="7">
        <v>5.8159999999999998</v>
      </c>
      <c r="H927" s="7">
        <v>6.1219999999999999</v>
      </c>
      <c r="I927" s="7">
        <v>5.3760000000000003</v>
      </c>
      <c r="J927" s="7">
        <v>5.2549999999999999</v>
      </c>
      <c r="K927" s="7">
        <v>4.9720000000000004</v>
      </c>
      <c r="L927" s="7">
        <v>4.8230000000000004</v>
      </c>
      <c r="M927" s="7">
        <v>5.0990000000000002</v>
      </c>
      <c r="N927" s="7">
        <v>5.8440000000000003</v>
      </c>
      <c r="O927" s="7">
        <v>5.95</v>
      </c>
      <c r="P927" s="7">
        <v>5.8520000000000003</v>
      </c>
      <c r="Q927" s="7">
        <v>5.2610000000000001</v>
      </c>
      <c r="R927" s="7">
        <v>5.758</v>
      </c>
      <c r="S927" s="7">
        <f t="shared" si="14"/>
        <v>5.5106666666666682</v>
      </c>
    </row>
    <row r="928" spans="1:19">
      <c r="A928" s="5" t="str">
        <f>B928&amp;"-"&amp;COUNTIF($B$2:B928,B928)</f>
        <v>GOIAS-45</v>
      </c>
      <c r="B928" s="5" t="s">
        <v>771</v>
      </c>
      <c r="C928" s="5" t="s">
        <v>787</v>
      </c>
      <c r="D928" s="6">
        <v>-509437</v>
      </c>
      <c r="E928" s="6">
        <v>-187623</v>
      </c>
      <c r="F928" s="7">
        <v>5.2380000000000004</v>
      </c>
      <c r="G928" s="7">
        <v>5.7619999999999996</v>
      </c>
      <c r="H928" s="7">
        <v>5.7960000000000003</v>
      </c>
      <c r="I928" s="7">
        <v>5.3209999999999997</v>
      </c>
      <c r="J928" s="7">
        <v>5.0620000000000003</v>
      </c>
      <c r="K928" s="7">
        <v>4.4989999999999997</v>
      </c>
      <c r="L928" s="7">
        <v>4.1769999999999996</v>
      </c>
      <c r="M928" s="7">
        <v>4.4370000000000003</v>
      </c>
      <c r="N928" s="7">
        <v>5.3310000000000004</v>
      </c>
      <c r="O928" s="7">
        <v>5.2009999999999996</v>
      </c>
      <c r="P928" s="7">
        <v>5.5519999999999996</v>
      </c>
      <c r="Q928" s="7">
        <v>5.7510000000000003</v>
      </c>
      <c r="R928" s="7">
        <v>5.9669999999999996</v>
      </c>
      <c r="S928" s="7">
        <f t="shared" si="14"/>
        <v>5.2379999999999995</v>
      </c>
    </row>
    <row r="929" spans="1:19">
      <c r="A929" s="5" t="str">
        <f>B929&amp;"-"&amp;COUNTIF($B$2:B929,B929)</f>
        <v>GOIAS-46</v>
      </c>
      <c r="B929" s="5" t="s">
        <v>771</v>
      </c>
      <c r="C929" s="5" t="s">
        <v>5506</v>
      </c>
      <c r="D929" s="6">
        <v>-506436</v>
      </c>
      <c r="E929" s="6">
        <v>-166669</v>
      </c>
      <c r="F929" s="7">
        <v>5.2359999999999998</v>
      </c>
      <c r="G929" s="7">
        <v>5.4969999999999999</v>
      </c>
      <c r="H929" s="7">
        <v>5.5750000000000002</v>
      </c>
      <c r="I929" s="7">
        <v>5.2169999999999996</v>
      </c>
      <c r="J929" s="7">
        <v>5.1630000000000003</v>
      </c>
      <c r="K929" s="7">
        <v>4.79</v>
      </c>
      <c r="L929" s="7">
        <v>4.5259999999999998</v>
      </c>
      <c r="M929" s="7">
        <v>4.68</v>
      </c>
      <c r="N929" s="7">
        <v>5.4470000000000001</v>
      </c>
      <c r="O929" s="7">
        <v>5.3650000000000002</v>
      </c>
      <c r="P929" s="7">
        <v>5.5279999999999996</v>
      </c>
      <c r="Q929" s="7">
        <v>5.4779999999999998</v>
      </c>
      <c r="R929" s="7">
        <v>5.5609999999999999</v>
      </c>
      <c r="S929" s="7">
        <f t="shared" si="14"/>
        <v>5.2355833333333335</v>
      </c>
    </row>
    <row r="930" spans="1:19">
      <c r="A930" s="5" t="str">
        <f>B930&amp;"-"&amp;COUNTIF($B$2:B930,B930)</f>
        <v>GOIAS-47</v>
      </c>
      <c r="B930" s="5" t="s">
        <v>771</v>
      </c>
      <c r="C930" s="5" t="s">
        <v>788</v>
      </c>
      <c r="D930" s="6">
        <v>-49477</v>
      </c>
      <c r="E930" s="6">
        <v>-184863</v>
      </c>
      <c r="F930" s="7">
        <v>5.23</v>
      </c>
      <c r="G930" s="7">
        <v>5.6189999999999998</v>
      </c>
      <c r="H930" s="7">
        <v>5.7569999999999997</v>
      </c>
      <c r="I930" s="7">
        <v>5.1879999999999997</v>
      </c>
      <c r="J930" s="7">
        <v>5.0709999999999997</v>
      </c>
      <c r="K930" s="7">
        <v>4.5720000000000001</v>
      </c>
      <c r="L930" s="7">
        <v>4.3259999999999996</v>
      </c>
      <c r="M930" s="7">
        <v>4.5279999999999996</v>
      </c>
      <c r="N930" s="7">
        <v>5.43</v>
      </c>
      <c r="O930" s="7">
        <v>5.2160000000000002</v>
      </c>
      <c r="P930" s="7">
        <v>5.5510000000000002</v>
      </c>
      <c r="Q930" s="7">
        <v>5.6959999999999997</v>
      </c>
      <c r="R930" s="7">
        <v>5.8109999999999999</v>
      </c>
      <c r="S930" s="7">
        <f t="shared" si="14"/>
        <v>5.2304166666666667</v>
      </c>
    </row>
    <row r="931" spans="1:19">
      <c r="A931" s="5" t="str">
        <f>B931&amp;"-"&amp;COUNTIF($B$2:B931,B931)</f>
        <v>GOIAS-48</v>
      </c>
      <c r="B931" s="5" t="s">
        <v>771</v>
      </c>
      <c r="C931" s="5" t="s">
        <v>4542</v>
      </c>
      <c r="D931" s="6">
        <v>-518095</v>
      </c>
      <c r="E931" s="6">
        <v>-169543</v>
      </c>
      <c r="F931" s="7">
        <v>5.1740000000000004</v>
      </c>
      <c r="G931" s="7">
        <v>5.4969999999999999</v>
      </c>
      <c r="H931" s="7">
        <v>5.5570000000000004</v>
      </c>
      <c r="I931" s="7">
        <v>5.1769999999999996</v>
      </c>
      <c r="J931" s="7">
        <v>5.1100000000000003</v>
      </c>
      <c r="K931" s="7">
        <v>4.7510000000000003</v>
      </c>
      <c r="L931" s="7">
        <v>4.3920000000000003</v>
      </c>
      <c r="M931" s="7">
        <v>4.5910000000000002</v>
      </c>
      <c r="N931" s="7">
        <v>5.4560000000000004</v>
      </c>
      <c r="O931" s="7">
        <v>5.3029999999999999</v>
      </c>
      <c r="P931" s="7">
        <v>5.3170000000000002</v>
      </c>
      <c r="Q931" s="7">
        <v>5.3550000000000004</v>
      </c>
      <c r="R931" s="7">
        <v>5.577</v>
      </c>
      <c r="S931" s="7">
        <f t="shared" si="14"/>
        <v>5.1735833333333332</v>
      </c>
    </row>
    <row r="932" spans="1:19">
      <c r="A932" s="5" t="str">
        <f>B932&amp;"-"&amp;COUNTIF($B$2:B932,B932)</f>
        <v>GOIAS-49</v>
      </c>
      <c r="B932" s="5" t="s">
        <v>771</v>
      </c>
      <c r="C932" s="5" t="s">
        <v>789</v>
      </c>
      <c r="D932" s="6">
        <v>-48625</v>
      </c>
      <c r="E932" s="6">
        <v>-177445</v>
      </c>
      <c r="F932" s="7">
        <v>5.2910000000000004</v>
      </c>
      <c r="G932" s="7">
        <v>5.6349999999999998</v>
      </c>
      <c r="H932" s="7">
        <v>5.8540000000000001</v>
      </c>
      <c r="I932" s="7">
        <v>5.2130000000000001</v>
      </c>
      <c r="J932" s="7">
        <v>5.1520000000000001</v>
      </c>
      <c r="K932" s="7">
        <v>4.7140000000000004</v>
      </c>
      <c r="L932" s="7">
        <v>4.4329999999999998</v>
      </c>
      <c r="M932" s="7">
        <v>4.6760000000000002</v>
      </c>
      <c r="N932" s="7">
        <v>5.5389999999999997</v>
      </c>
      <c r="O932" s="7">
        <v>5.4249999999999998</v>
      </c>
      <c r="P932" s="7">
        <v>5.6040000000000001</v>
      </c>
      <c r="Q932" s="7">
        <v>5.516</v>
      </c>
      <c r="R932" s="7">
        <v>5.7290000000000001</v>
      </c>
      <c r="S932" s="7">
        <f t="shared" si="14"/>
        <v>5.2908333333333335</v>
      </c>
    </row>
    <row r="933" spans="1:19">
      <c r="A933" s="5" t="str">
        <f>B933&amp;"-"&amp;COUNTIF($B$2:B933,B933)</f>
        <v>GOIAS-50</v>
      </c>
      <c r="B933" s="5" t="s">
        <v>771</v>
      </c>
      <c r="C933" s="5" t="s">
        <v>790</v>
      </c>
      <c r="D933" s="6">
        <v>-489992</v>
      </c>
      <c r="E933" s="6">
        <v>-167155</v>
      </c>
      <c r="F933" s="7">
        <v>5.2830000000000004</v>
      </c>
      <c r="G933" s="7">
        <v>5.5039999999999996</v>
      </c>
      <c r="H933" s="7">
        <v>5.66</v>
      </c>
      <c r="I933" s="7">
        <v>5.1890000000000001</v>
      </c>
      <c r="J933" s="7">
        <v>5.1230000000000002</v>
      </c>
      <c r="K933" s="7">
        <v>4.8369999999999997</v>
      </c>
      <c r="L933" s="7">
        <v>4.6050000000000004</v>
      </c>
      <c r="M933" s="7">
        <v>4.7850000000000001</v>
      </c>
      <c r="N933" s="7">
        <v>5.665</v>
      </c>
      <c r="O933" s="7">
        <v>5.5609999999999999</v>
      </c>
      <c r="P933" s="7">
        <v>5.6159999999999997</v>
      </c>
      <c r="Q933" s="7">
        <v>5.3689999999999998</v>
      </c>
      <c r="R933" s="7">
        <v>5.49</v>
      </c>
      <c r="S933" s="7">
        <f t="shared" si="14"/>
        <v>5.283666666666667</v>
      </c>
    </row>
    <row r="934" spans="1:19">
      <c r="A934" s="5" t="str">
        <f>B934&amp;"-"&amp;COUNTIF($B$2:B934,B934)</f>
        <v>GOIAS-51</v>
      </c>
      <c r="B934" s="5" t="s">
        <v>771</v>
      </c>
      <c r="C934" s="5" t="s">
        <v>5507</v>
      </c>
      <c r="D934" s="6">
        <v>-496942</v>
      </c>
      <c r="E934" s="6">
        <v>-167634</v>
      </c>
      <c r="F934" s="7">
        <v>5.2640000000000002</v>
      </c>
      <c r="G934" s="7">
        <v>5.5419999999999998</v>
      </c>
      <c r="H934" s="7">
        <v>5.63</v>
      </c>
      <c r="I934" s="7">
        <v>5.2930000000000001</v>
      </c>
      <c r="J934" s="7">
        <v>5.17</v>
      </c>
      <c r="K934" s="7">
        <v>4.7809999999999997</v>
      </c>
      <c r="L934" s="7">
        <v>4.5220000000000002</v>
      </c>
      <c r="M934" s="7">
        <v>4.7039999999999997</v>
      </c>
      <c r="N934" s="7">
        <v>5.5540000000000003</v>
      </c>
      <c r="O934" s="7">
        <v>5.4459999999999997</v>
      </c>
      <c r="P934" s="7">
        <v>5.5529999999999999</v>
      </c>
      <c r="Q934" s="7">
        <v>5.4089999999999998</v>
      </c>
      <c r="R934" s="7">
        <v>5.556</v>
      </c>
      <c r="S934" s="7">
        <f t="shared" si="14"/>
        <v>5.2633333333333328</v>
      </c>
    </row>
    <row r="935" spans="1:19">
      <c r="A935" s="5" t="str">
        <f>B935&amp;"-"&amp;COUNTIF($B$2:B935,B935)</f>
        <v>GOIAS-52</v>
      </c>
      <c r="B935" s="5" t="s">
        <v>771</v>
      </c>
      <c r="C935" s="5" t="s">
        <v>4632</v>
      </c>
      <c r="D935" s="6">
        <v>-485691</v>
      </c>
      <c r="E935" s="6">
        <v>-137911</v>
      </c>
      <c r="F935" s="7">
        <v>5.274</v>
      </c>
      <c r="G935" s="7">
        <v>5.2729999999999997</v>
      </c>
      <c r="H935" s="7">
        <v>5.4240000000000004</v>
      </c>
      <c r="I935" s="7">
        <v>5.0819999999999999</v>
      </c>
      <c r="J935" s="7">
        <v>5.093</v>
      </c>
      <c r="K935" s="7">
        <v>5.0119999999999996</v>
      </c>
      <c r="L935" s="7">
        <v>4.7949999999999999</v>
      </c>
      <c r="M935" s="7">
        <v>5.21</v>
      </c>
      <c r="N935" s="7">
        <v>5.91</v>
      </c>
      <c r="O935" s="7">
        <v>5.7249999999999996</v>
      </c>
      <c r="P935" s="7">
        <v>5.5119999999999996</v>
      </c>
      <c r="Q935" s="7">
        <v>5.03</v>
      </c>
      <c r="R935" s="7">
        <v>5.2229999999999999</v>
      </c>
      <c r="S935" s="7">
        <f t="shared" si="14"/>
        <v>5.2740833333333343</v>
      </c>
    </row>
    <row r="936" spans="1:19">
      <c r="A936" s="5" t="str">
        <f>B936&amp;"-"&amp;COUNTIF($B$2:B936,B936)</f>
        <v>GOIAS-53</v>
      </c>
      <c r="B936" s="5" t="s">
        <v>771</v>
      </c>
      <c r="C936" s="5" t="s">
        <v>791</v>
      </c>
      <c r="D936" s="6">
        <v>-491515</v>
      </c>
      <c r="E936" s="6">
        <v>-143141</v>
      </c>
      <c r="F936" s="7">
        <v>5.32</v>
      </c>
      <c r="G936" s="7">
        <v>5.4160000000000004</v>
      </c>
      <c r="H936" s="7">
        <v>5.63</v>
      </c>
      <c r="I936" s="7">
        <v>5.2750000000000004</v>
      </c>
      <c r="J936" s="7">
        <v>5.1639999999999997</v>
      </c>
      <c r="K936" s="7">
        <v>5.0060000000000002</v>
      </c>
      <c r="L936" s="7">
        <v>4.7469999999999999</v>
      </c>
      <c r="M936" s="7">
        <v>5.0419999999999998</v>
      </c>
      <c r="N936" s="7">
        <v>5.6840000000000002</v>
      </c>
      <c r="O936" s="7">
        <v>5.6289999999999996</v>
      </c>
      <c r="P936" s="7">
        <v>5.6390000000000002</v>
      </c>
      <c r="Q936" s="7">
        <v>5.2119999999999997</v>
      </c>
      <c r="R936" s="7">
        <v>5.4020000000000001</v>
      </c>
      <c r="S936" s="7">
        <f t="shared" si="14"/>
        <v>5.3205</v>
      </c>
    </row>
    <row r="937" spans="1:19">
      <c r="A937" s="5" t="str">
        <f>B937&amp;"-"&amp;COUNTIF($B$2:B937,B937)</f>
        <v>GOIAS-54</v>
      </c>
      <c r="B937" s="5" t="s">
        <v>771</v>
      </c>
      <c r="C937" s="5" t="s">
        <v>5508</v>
      </c>
      <c r="D937" s="6">
        <v>-477772</v>
      </c>
      <c r="E937" s="6">
        <v>-176368</v>
      </c>
      <c r="F937" s="7">
        <v>5.28</v>
      </c>
      <c r="G937" s="7">
        <v>5.5890000000000004</v>
      </c>
      <c r="H937" s="7">
        <v>5.9089999999999998</v>
      </c>
      <c r="I937" s="7">
        <v>5.0629999999999997</v>
      </c>
      <c r="J937" s="7">
        <v>5.0830000000000002</v>
      </c>
      <c r="K937" s="7">
        <v>4.681</v>
      </c>
      <c r="L937" s="7">
        <v>4.5220000000000002</v>
      </c>
      <c r="M937" s="7">
        <v>4.7699999999999996</v>
      </c>
      <c r="N937" s="7">
        <v>5.617</v>
      </c>
      <c r="O937" s="7">
        <v>5.4909999999999997</v>
      </c>
      <c r="P937" s="7">
        <v>5.6459999999999999</v>
      </c>
      <c r="Q937" s="7">
        <v>5.3730000000000002</v>
      </c>
      <c r="R937" s="7">
        <v>5.62</v>
      </c>
      <c r="S937" s="7">
        <f t="shared" si="14"/>
        <v>5.2803333333333331</v>
      </c>
    </row>
    <row r="938" spans="1:19">
      <c r="A938" s="5" t="str">
        <f>B938&amp;"-"&amp;COUNTIF($B$2:B938,B938)</f>
        <v>GOIAS-55</v>
      </c>
      <c r="B938" s="5" t="s">
        <v>771</v>
      </c>
      <c r="C938" s="5" t="s">
        <v>5509</v>
      </c>
      <c r="D938" s="6">
        <v>-490923</v>
      </c>
      <c r="E938" s="6">
        <v>-162924</v>
      </c>
      <c r="F938" s="7">
        <v>5.2309999999999999</v>
      </c>
      <c r="G938" s="7">
        <v>5.3650000000000002</v>
      </c>
      <c r="H938" s="7">
        <v>5.5129999999999999</v>
      </c>
      <c r="I938" s="7">
        <v>5.0549999999999997</v>
      </c>
      <c r="J938" s="7">
        <v>5.0579999999999998</v>
      </c>
      <c r="K938" s="7">
        <v>4.8550000000000004</v>
      </c>
      <c r="L938" s="7">
        <v>4.6520000000000001</v>
      </c>
      <c r="M938" s="7">
        <v>4.8970000000000002</v>
      </c>
      <c r="N938" s="7">
        <v>5.7960000000000003</v>
      </c>
      <c r="O938" s="7">
        <v>5.5259999999999998</v>
      </c>
      <c r="P938" s="7">
        <v>5.4989999999999997</v>
      </c>
      <c r="Q938" s="7">
        <v>5.1550000000000002</v>
      </c>
      <c r="R938" s="7">
        <v>5.4080000000000004</v>
      </c>
      <c r="S938" s="7">
        <f t="shared" si="14"/>
        <v>5.2315833333333339</v>
      </c>
    </row>
    <row r="939" spans="1:19">
      <c r="A939" s="5" t="str">
        <f>B939&amp;"-"&amp;COUNTIF($B$2:B939,B939)</f>
        <v>GOIAS-56</v>
      </c>
      <c r="B939" s="5" t="s">
        <v>771</v>
      </c>
      <c r="C939" s="5" t="s">
        <v>792</v>
      </c>
      <c r="D939" s="6">
        <v>-467685</v>
      </c>
      <c r="E939" s="6">
        <v>-130354</v>
      </c>
      <c r="F939" s="7">
        <v>5.5439999999999996</v>
      </c>
      <c r="G939" s="7">
        <v>5.8550000000000004</v>
      </c>
      <c r="H939" s="7">
        <v>5.6589999999999998</v>
      </c>
      <c r="I939" s="7">
        <v>5.2830000000000004</v>
      </c>
      <c r="J939" s="7">
        <v>5.33</v>
      </c>
      <c r="K939" s="7">
        <v>5.13</v>
      </c>
      <c r="L939" s="7">
        <v>5.0119999999999996</v>
      </c>
      <c r="M939" s="7">
        <v>5.3959999999999999</v>
      </c>
      <c r="N939" s="7">
        <v>5.9770000000000003</v>
      </c>
      <c r="O939" s="7">
        <v>5.9290000000000003</v>
      </c>
      <c r="P939" s="7">
        <v>5.7779999999999996</v>
      </c>
      <c r="Q939" s="7">
        <v>5.4539999999999997</v>
      </c>
      <c r="R939" s="7">
        <v>5.7279999999999998</v>
      </c>
      <c r="S939" s="7">
        <f t="shared" si="14"/>
        <v>5.544249999999999</v>
      </c>
    </row>
    <row r="940" spans="1:19">
      <c r="A940" s="5" t="str">
        <f>B940&amp;"-"&amp;COUNTIF($B$2:B940,B940)</f>
        <v>GOIAS-57</v>
      </c>
      <c r="B940" s="5" t="s">
        <v>771</v>
      </c>
      <c r="C940" s="5" t="s">
        <v>793</v>
      </c>
      <c r="D940" s="6">
        <v>-496591</v>
      </c>
      <c r="E940" s="6">
        <v>-142664</v>
      </c>
      <c r="F940" s="7">
        <v>5.3369999999999997</v>
      </c>
      <c r="G940" s="7">
        <v>5.4630000000000001</v>
      </c>
      <c r="H940" s="7">
        <v>5.6070000000000002</v>
      </c>
      <c r="I940" s="7">
        <v>5.3070000000000004</v>
      </c>
      <c r="J940" s="7">
        <v>5.226</v>
      </c>
      <c r="K940" s="7">
        <v>4.968</v>
      </c>
      <c r="L940" s="7">
        <v>4.6459999999999999</v>
      </c>
      <c r="M940" s="7">
        <v>5.0330000000000004</v>
      </c>
      <c r="N940" s="7">
        <v>5.7220000000000004</v>
      </c>
      <c r="O940" s="7">
        <v>5.6189999999999998</v>
      </c>
      <c r="P940" s="7">
        <v>5.67</v>
      </c>
      <c r="Q940" s="7">
        <v>5.3129999999999997</v>
      </c>
      <c r="R940" s="7">
        <v>5.4640000000000004</v>
      </c>
      <c r="S940" s="7">
        <f t="shared" si="14"/>
        <v>5.3365000000000009</v>
      </c>
    </row>
    <row r="941" spans="1:19">
      <c r="A941" s="5" t="str">
        <f>B941&amp;"-"&amp;COUNTIF($B$2:B941,B941)</f>
        <v>GOIAS-58</v>
      </c>
      <c r="B941" s="5" t="s">
        <v>771</v>
      </c>
      <c r="C941" s="5" t="s">
        <v>794</v>
      </c>
      <c r="D941" s="6">
        <v>-497084</v>
      </c>
      <c r="E941" s="6">
        <v>-153554</v>
      </c>
      <c r="F941" s="7">
        <v>5.2670000000000003</v>
      </c>
      <c r="G941" s="7">
        <v>5.3470000000000004</v>
      </c>
      <c r="H941" s="7">
        <v>5.5960000000000001</v>
      </c>
      <c r="I941" s="7">
        <v>5.2039999999999997</v>
      </c>
      <c r="J941" s="7">
        <v>5.1760000000000002</v>
      </c>
      <c r="K941" s="7">
        <v>4.9630000000000001</v>
      </c>
      <c r="L941" s="7">
        <v>4.6989999999999998</v>
      </c>
      <c r="M941" s="7">
        <v>4.8280000000000003</v>
      </c>
      <c r="N941" s="7">
        <v>5.76</v>
      </c>
      <c r="O941" s="7">
        <v>5.4930000000000003</v>
      </c>
      <c r="P941" s="7">
        <v>5.5579999999999998</v>
      </c>
      <c r="Q941" s="7">
        <v>5.2050000000000001</v>
      </c>
      <c r="R941" s="7">
        <v>5.3710000000000004</v>
      </c>
      <c r="S941" s="7">
        <f t="shared" si="14"/>
        <v>5.2666666666666666</v>
      </c>
    </row>
    <row r="942" spans="1:19">
      <c r="A942" s="5" t="str">
        <f>B942&amp;"-"&amp;COUNTIF($B$2:B942,B942)</f>
        <v>GOIAS-59</v>
      </c>
      <c r="B942" s="5" t="s">
        <v>771</v>
      </c>
      <c r="C942" s="5" t="s">
        <v>4918</v>
      </c>
      <c r="D942" s="6">
        <v>-502137</v>
      </c>
      <c r="E942" s="6">
        <v>-180887</v>
      </c>
      <c r="F942" s="7">
        <v>5.29</v>
      </c>
      <c r="G942" s="7">
        <v>5.7539999999999996</v>
      </c>
      <c r="H942" s="7">
        <v>5.7750000000000004</v>
      </c>
      <c r="I942" s="7">
        <v>5.3010000000000002</v>
      </c>
      <c r="J942" s="7">
        <v>5.1120000000000001</v>
      </c>
      <c r="K942" s="7">
        <v>4.6520000000000001</v>
      </c>
      <c r="L942" s="7">
        <v>4.3559999999999999</v>
      </c>
      <c r="M942" s="7">
        <v>4.5549999999999997</v>
      </c>
      <c r="N942" s="7">
        <v>5.53</v>
      </c>
      <c r="O942" s="7">
        <v>5.3289999999999997</v>
      </c>
      <c r="P942" s="7">
        <v>5.5739999999999998</v>
      </c>
      <c r="Q942" s="7">
        <v>5.6909999999999998</v>
      </c>
      <c r="R942" s="7">
        <v>5.8490000000000002</v>
      </c>
      <c r="S942" s="7">
        <f t="shared" si="14"/>
        <v>5.2898333333333341</v>
      </c>
    </row>
    <row r="943" spans="1:19">
      <c r="A943" s="5" t="str">
        <f>B943&amp;"-"&amp;COUNTIF($B$2:B943,B943)</f>
        <v>GOIAS-60</v>
      </c>
      <c r="B943" s="5" t="s">
        <v>771</v>
      </c>
      <c r="C943" s="5" t="s">
        <v>3927</v>
      </c>
      <c r="D943" s="6">
        <v>-479444</v>
      </c>
      <c r="E943" s="6">
        <v>-181661</v>
      </c>
      <c r="F943" s="7">
        <v>5.3010000000000002</v>
      </c>
      <c r="G943" s="7">
        <v>5.6509999999999998</v>
      </c>
      <c r="H943" s="7">
        <v>5.883</v>
      </c>
      <c r="I943" s="7">
        <v>5.1449999999999996</v>
      </c>
      <c r="J943" s="7">
        <v>5.0940000000000003</v>
      </c>
      <c r="K943" s="7">
        <v>4.67</v>
      </c>
      <c r="L943" s="7">
        <v>4.4320000000000004</v>
      </c>
      <c r="M943" s="7">
        <v>4.7050000000000001</v>
      </c>
      <c r="N943" s="7">
        <v>5.6280000000000001</v>
      </c>
      <c r="O943" s="7">
        <v>5.5220000000000002</v>
      </c>
      <c r="P943" s="7">
        <v>5.6539999999999999</v>
      </c>
      <c r="Q943" s="7">
        <v>5.516</v>
      </c>
      <c r="R943" s="7">
        <v>5.7169999999999996</v>
      </c>
      <c r="S943" s="7">
        <f t="shared" si="14"/>
        <v>5.3014166666666664</v>
      </c>
    </row>
    <row r="944" spans="1:19">
      <c r="A944" s="5" t="str">
        <f>B944&amp;"-"&amp;COUNTIF($B$2:B944,B944)</f>
        <v>GOIAS-61</v>
      </c>
      <c r="B944" s="5" t="s">
        <v>771</v>
      </c>
      <c r="C944" s="5" t="s">
        <v>795</v>
      </c>
      <c r="D944" s="6">
        <v>-494959</v>
      </c>
      <c r="E944" s="6">
        <v>-164471</v>
      </c>
      <c r="F944" s="7">
        <v>5.258</v>
      </c>
      <c r="G944" s="7">
        <v>5.4480000000000004</v>
      </c>
      <c r="H944" s="7">
        <v>5.56</v>
      </c>
      <c r="I944" s="7">
        <v>5.1790000000000003</v>
      </c>
      <c r="J944" s="7">
        <v>5.08</v>
      </c>
      <c r="K944" s="7">
        <v>4.8630000000000004</v>
      </c>
      <c r="L944" s="7">
        <v>4.58</v>
      </c>
      <c r="M944" s="7">
        <v>4.8099999999999996</v>
      </c>
      <c r="N944" s="7">
        <v>5.7850000000000001</v>
      </c>
      <c r="O944" s="7">
        <v>5.5449999999999999</v>
      </c>
      <c r="P944" s="7">
        <v>5.5279999999999996</v>
      </c>
      <c r="Q944" s="7">
        <v>5.2759999999999998</v>
      </c>
      <c r="R944" s="7">
        <v>5.45</v>
      </c>
      <c r="S944" s="7">
        <f t="shared" si="14"/>
        <v>5.2586666666666666</v>
      </c>
    </row>
    <row r="945" spans="1:19">
      <c r="A945" s="5" t="str">
        <f>B945&amp;"-"&amp;COUNTIF($B$2:B945,B945)</f>
        <v>GOIAS-62</v>
      </c>
      <c r="B945" s="5" t="s">
        <v>771</v>
      </c>
      <c r="C945" s="5" t="s">
        <v>796</v>
      </c>
      <c r="D945" s="6">
        <v>-47457</v>
      </c>
      <c r="E945" s="6">
        <v>-137921</v>
      </c>
      <c r="F945" s="7">
        <v>5.4009999999999998</v>
      </c>
      <c r="G945" s="7">
        <v>5.4889999999999999</v>
      </c>
      <c r="H945" s="7">
        <v>5.508</v>
      </c>
      <c r="I945" s="7">
        <v>5.1050000000000004</v>
      </c>
      <c r="J945" s="7">
        <v>5.1429999999999998</v>
      </c>
      <c r="K945" s="7">
        <v>5.0709999999999997</v>
      </c>
      <c r="L945" s="7">
        <v>5.07</v>
      </c>
      <c r="M945" s="7">
        <v>5.4160000000000004</v>
      </c>
      <c r="N945" s="7">
        <v>6.07</v>
      </c>
      <c r="O945" s="7">
        <v>6.0030000000000001</v>
      </c>
      <c r="P945" s="7">
        <v>5.5880000000000001</v>
      </c>
      <c r="Q945" s="7">
        <v>5.0270000000000001</v>
      </c>
      <c r="R945" s="7">
        <v>5.3209999999999997</v>
      </c>
      <c r="S945" s="7">
        <f t="shared" si="14"/>
        <v>5.4009166666666673</v>
      </c>
    </row>
    <row r="946" spans="1:19">
      <c r="A946" s="5" t="str">
        <f>B946&amp;"-"&amp;COUNTIF($B$2:B946,B946)</f>
        <v>GOIAS-63</v>
      </c>
      <c r="B946" s="5" t="s">
        <v>771</v>
      </c>
      <c r="C946" s="5" t="s">
        <v>797</v>
      </c>
      <c r="D946" s="6">
        <v>-496004</v>
      </c>
      <c r="E946" s="6">
        <v>-153066</v>
      </c>
      <c r="F946" s="7">
        <v>5.2320000000000002</v>
      </c>
      <c r="G946" s="7">
        <v>5.2949999999999999</v>
      </c>
      <c r="H946" s="7">
        <v>5.5259999999999998</v>
      </c>
      <c r="I946" s="7">
        <v>5.1130000000000004</v>
      </c>
      <c r="J946" s="7">
        <v>5.1319999999999997</v>
      </c>
      <c r="K946" s="7">
        <v>4.9470000000000001</v>
      </c>
      <c r="L946" s="7">
        <v>4.6559999999999997</v>
      </c>
      <c r="M946" s="7">
        <v>4.8570000000000002</v>
      </c>
      <c r="N946" s="7">
        <v>5.7750000000000004</v>
      </c>
      <c r="O946" s="7">
        <v>5.516</v>
      </c>
      <c r="P946" s="7">
        <v>5.5220000000000002</v>
      </c>
      <c r="Q946" s="7">
        <v>5.1379999999999999</v>
      </c>
      <c r="R946" s="7">
        <v>5.3049999999999997</v>
      </c>
      <c r="S946" s="7">
        <f t="shared" si="14"/>
        <v>5.2318333333333333</v>
      </c>
    </row>
    <row r="947" spans="1:19">
      <c r="A947" s="5" t="str">
        <f>B947&amp;"-"&amp;COUNTIF($B$2:B947,B947)</f>
        <v>GOIAS-64</v>
      </c>
      <c r="B947" s="5" t="s">
        <v>771</v>
      </c>
      <c r="C947" s="5" t="s">
        <v>798</v>
      </c>
      <c r="D947" s="6">
        <v>-497762</v>
      </c>
      <c r="E947" s="6">
        <v>-169723</v>
      </c>
      <c r="F947" s="7">
        <v>5.2869999999999999</v>
      </c>
      <c r="G947" s="7">
        <v>5.5910000000000002</v>
      </c>
      <c r="H947" s="7">
        <v>5.7240000000000002</v>
      </c>
      <c r="I947" s="7">
        <v>5.3179999999999996</v>
      </c>
      <c r="J947" s="7">
        <v>5.1849999999999996</v>
      </c>
      <c r="K947" s="7">
        <v>4.79</v>
      </c>
      <c r="L947" s="7">
        <v>4.4740000000000002</v>
      </c>
      <c r="M947" s="7">
        <v>4.7309999999999999</v>
      </c>
      <c r="N947" s="7">
        <v>5.5970000000000004</v>
      </c>
      <c r="O947" s="7">
        <v>5.4210000000000003</v>
      </c>
      <c r="P947" s="7">
        <v>5.58</v>
      </c>
      <c r="Q947" s="7">
        <v>5.4470000000000001</v>
      </c>
      <c r="R947" s="7">
        <v>5.5839999999999996</v>
      </c>
      <c r="S947" s="7">
        <f t="shared" si="14"/>
        <v>5.2868333333333339</v>
      </c>
    </row>
    <row r="948" spans="1:19">
      <c r="A948" s="5" t="str">
        <f>B948&amp;"-"&amp;COUNTIF($B$2:B948,B948)</f>
        <v>GOIAS-65</v>
      </c>
      <c r="B948" s="5" t="s">
        <v>771</v>
      </c>
      <c r="C948" s="5" t="s">
        <v>4303</v>
      </c>
      <c r="D948" s="6">
        <v>-526648</v>
      </c>
      <c r="E948" s="6">
        <v>-183946</v>
      </c>
      <c r="F948" s="7">
        <v>5.0720000000000001</v>
      </c>
      <c r="G948" s="7">
        <v>5.5389999999999997</v>
      </c>
      <c r="H948" s="7">
        <v>5.5640000000000001</v>
      </c>
      <c r="I948" s="7">
        <v>5.0999999999999996</v>
      </c>
      <c r="J948" s="7">
        <v>4.9459999999999997</v>
      </c>
      <c r="K948" s="7">
        <v>4.4420000000000002</v>
      </c>
      <c r="L948" s="7">
        <v>4.1920000000000002</v>
      </c>
      <c r="M948" s="7">
        <v>4.3630000000000004</v>
      </c>
      <c r="N948" s="7">
        <v>5.1859999999999999</v>
      </c>
      <c r="O948" s="7">
        <v>5.0990000000000002</v>
      </c>
      <c r="P948" s="7">
        <v>5.2350000000000003</v>
      </c>
      <c r="Q948" s="7">
        <v>5.4089999999999998</v>
      </c>
      <c r="R948" s="7">
        <v>5.7919999999999998</v>
      </c>
      <c r="S948" s="7">
        <f t="shared" si="14"/>
        <v>5.0722499999999995</v>
      </c>
    </row>
    <row r="949" spans="1:19">
      <c r="A949" s="5" t="str">
        <f>B949&amp;"-"&amp;COUNTIF($B$2:B949,B949)</f>
        <v>GOIAS-66</v>
      </c>
      <c r="B949" s="5" t="s">
        <v>771</v>
      </c>
      <c r="C949" s="5" t="s">
        <v>799</v>
      </c>
      <c r="D949" s="6">
        <v>-479339</v>
      </c>
      <c r="E949" s="6">
        <v>-160792</v>
      </c>
      <c r="F949" s="7">
        <v>5.282</v>
      </c>
      <c r="G949" s="7">
        <v>5.4630000000000001</v>
      </c>
      <c r="H949" s="7">
        <v>5.7249999999999996</v>
      </c>
      <c r="I949" s="7">
        <v>5.0830000000000002</v>
      </c>
      <c r="J949" s="7">
        <v>5.08</v>
      </c>
      <c r="K949" s="7">
        <v>4.8230000000000004</v>
      </c>
      <c r="L949" s="7">
        <v>4.718</v>
      </c>
      <c r="M949" s="7">
        <v>4.984</v>
      </c>
      <c r="N949" s="7">
        <v>5.8209999999999997</v>
      </c>
      <c r="O949" s="7">
        <v>5.6639999999999997</v>
      </c>
      <c r="P949" s="7">
        <v>5.5110000000000001</v>
      </c>
      <c r="Q949" s="7">
        <v>5.0910000000000002</v>
      </c>
      <c r="R949" s="7">
        <v>5.415</v>
      </c>
      <c r="S949" s="7">
        <f t="shared" si="14"/>
        <v>5.2815000000000003</v>
      </c>
    </row>
    <row r="950" spans="1:19">
      <c r="A950" s="5" t="str">
        <f>B950&amp;"-"&amp;COUNTIF($B$2:B950,B950)</f>
        <v>GOIAS-67</v>
      </c>
      <c r="B950" s="5" t="s">
        <v>771</v>
      </c>
      <c r="C950" s="5" t="s">
        <v>5510</v>
      </c>
      <c r="D950" s="6">
        <v>-487691</v>
      </c>
      <c r="E950" s="6">
        <v>-157764</v>
      </c>
      <c r="F950" s="7">
        <v>5.2270000000000003</v>
      </c>
      <c r="G950" s="7">
        <v>5.39</v>
      </c>
      <c r="H950" s="7">
        <v>5.4870000000000001</v>
      </c>
      <c r="I950" s="7">
        <v>5.0129999999999999</v>
      </c>
      <c r="J950" s="7">
        <v>5.0170000000000003</v>
      </c>
      <c r="K950" s="7">
        <v>4.87</v>
      </c>
      <c r="L950" s="7">
        <v>4.6589999999999998</v>
      </c>
      <c r="M950" s="7">
        <v>4.93</v>
      </c>
      <c r="N950" s="7">
        <v>5.9020000000000001</v>
      </c>
      <c r="O950" s="7">
        <v>5.5940000000000003</v>
      </c>
      <c r="P950" s="7">
        <v>5.492</v>
      </c>
      <c r="Q950" s="7">
        <v>5.0620000000000003</v>
      </c>
      <c r="R950" s="7">
        <v>5.3109999999999999</v>
      </c>
      <c r="S950" s="7">
        <f t="shared" si="14"/>
        <v>5.2272499999999997</v>
      </c>
    </row>
    <row r="951" spans="1:19">
      <c r="A951" s="5" t="str">
        <f>B951&amp;"-"&amp;COUNTIF($B$2:B951,B951)</f>
        <v>GOIAS-68</v>
      </c>
      <c r="B951" s="5" t="s">
        <v>771</v>
      </c>
      <c r="C951" s="5" t="s">
        <v>800</v>
      </c>
      <c r="D951" s="6">
        <v>-480764</v>
      </c>
      <c r="E951" s="6">
        <v>-141533</v>
      </c>
      <c r="F951" s="7">
        <v>5.3860000000000001</v>
      </c>
      <c r="G951" s="7">
        <v>5.4249999999999998</v>
      </c>
      <c r="H951" s="7">
        <v>5.5540000000000003</v>
      </c>
      <c r="I951" s="7">
        <v>5.2789999999999999</v>
      </c>
      <c r="J951" s="7">
        <v>5.2060000000000004</v>
      </c>
      <c r="K951" s="7">
        <v>5.0419999999999998</v>
      </c>
      <c r="L951" s="7">
        <v>4.9000000000000004</v>
      </c>
      <c r="M951" s="7">
        <v>5.181</v>
      </c>
      <c r="N951" s="7">
        <v>5.9870000000000001</v>
      </c>
      <c r="O951" s="7">
        <v>5.7859999999999996</v>
      </c>
      <c r="P951" s="7">
        <v>5.66</v>
      </c>
      <c r="Q951" s="7">
        <v>5.1859999999999999</v>
      </c>
      <c r="R951" s="7">
        <v>5.4210000000000003</v>
      </c>
      <c r="S951" s="7">
        <f t="shared" si="14"/>
        <v>5.3855833333333329</v>
      </c>
    </row>
    <row r="952" spans="1:19">
      <c r="A952" s="5" t="str">
        <f>B952&amp;"-"&amp;COUNTIF($B$2:B952,B952)</f>
        <v>GOIAS-69</v>
      </c>
      <c r="B952" s="5" t="s">
        <v>771</v>
      </c>
      <c r="C952" s="5" t="s">
        <v>5511</v>
      </c>
      <c r="D952" s="6">
        <v>-48809</v>
      </c>
      <c r="E952" s="6">
        <v>-159283</v>
      </c>
      <c r="F952" s="7">
        <v>5.1890000000000001</v>
      </c>
      <c r="G952" s="7">
        <v>5.298</v>
      </c>
      <c r="H952" s="7">
        <v>5.4130000000000003</v>
      </c>
      <c r="I952" s="7">
        <v>5.0190000000000001</v>
      </c>
      <c r="J952" s="7">
        <v>5.0039999999999996</v>
      </c>
      <c r="K952" s="7">
        <v>4.8600000000000003</v>
      </c>
      <c r="L952" s="7">
        <v>4.6070000000000002</v>
      </c>
      <c r="M952" s="7">
        <v>4.9290000000000003</v>
      </c>
      <c r="N952" s="7">
        <v>5.8129999999999997</v>
      </c>
      <c r="O952" s="7">
        <v>5.5250000000000004</v>
      </c>
      <c r="P952" s="7">
        <v>5.47</v>
      </c>
      <c r="Q952" s="7">
        <v>5.093</v>
      </c>
      <c r="R952" s="7">
        <v>5.2350000000000003</v>
      </c>
      <c r="S952" s="7">
        <f t="shared" si="14"/>
        <v>5.1888333333333341</v>
      </c>
    </row>
    <row r="953" spans="1:19">
      <c r="A953" s="5" t="str">
        <f>B953&amp;"-"&amp;COUNTIF($B$2:B953,B953)</f>
        <v>GOIAS-70</v>
      </c>
      <c r="B953" s="5" t="s">
        <v>771</v>
      </c>
      <c r="C953" s="5" t="s">
        <v>801</v>
      </c>
      <c r="D953" s="6">
        <v>-48562</v>
      </c>
      <c r="E953" s="6">
        <v>-18142</v>
      </c>
      <c r="F953" s="7">
        <v>5.2990000000000004</v>
      </c>
      <c r="G953" s="7">
        <v>5.5780000000000003</v>
      </c>
      <c r="H953" s="7">
        <v>5.8049999999999997</v>
      </c>
      <c r="I953" s="7">
        <v>5.2619999999999996</v>
      </c>
      <c r="J953" s="7">
        <v>5.1559999999999997</v>
      </c>
      <c r="K953" s="7">
        <v>4.7149999999999999</v>
      </c>
      <c r="L953" s="7">
        <v>4.423</v>
      </c>
      <c r="M953" s="7">
        <v>4.641</v>
      </c>
      <c r="N953" s="7">
        <v>5.5149999999999997</v>
      </c>
      <c r="O953" s="7">
        <v>5.4870000000000001</v>
      </c>
      <c r="P953" s="7">
        <v>5.6369999999999996</v>
      </c>
      <c r="Q953" s="7">
        <v>5.62</v>
      </c>
      <c r="R953" s="7">
        <v>5.75</v>
      </c>
      <c r="S953" s="7">
        <f t="shared" si="14"/>
        <v>5.2990833333333329</v>
      </c>
    </row>
    <row r="954" spans="1:19">
      <c r="A954" s="5" t="str">
        <f>B954&amp;"-"&amp;COUNTIF($B$2:B954,B954)</f>
        <v>GOIAS-71</v>
      </c>
      <c r="B954" s="5" t="s">
        <v>771</v>
      </c>
      <c r="C954" s="5" t="s">
        <v>802</v>
      </c>
      <c r="D954" s="6">
        <v>-476135</v>
      </c>
      <c r="E954" s="6">
        <v>-167681</v>
      </c>
      <c r="F954" s="7">
        <v>5.306</v>
      </c>
      <c r="G954" s="7">
        <v>5.6539999999999999</v>
      </c>
      <c r="H954" s="7">
        <v>5.8360000000000003</v>
      </c>
      <c r="I954" s="7">
        <v>5.1289999999999996</v>
      </c>
      <c r="J954" s="7">
        <v>5.0659999999999998</v>
      </c>
      <c r="K954" s="7">
        <v>4.7370000000000001</v>
      </c>
      <c r="L954" s="7">
        <v>4.5919999999999996</v>
      </c>
      <c r="M954" s="7">
        <v>4.8929999999999998</v>
      </c>
      <c r="N954" s="7">
        <v>5.7389999999999999</v>
      </c>
      <c r="O954" s="7">
        <v>5.5949999999999998</v>
      </c>
      <c r="P954" s="7">
        <v>5.66</v>
      </c>
      <c r="Q954" s="7">
        <v>5.1970000000000001</v>
      </c>
      <c r="R954" s="7">
        <v>5.5720000000000001</v>
      </c>
      <c r="S954" s="7">
        <f t="shared" si="14"/>
        <v>5.3058333333333332</v>
      </c>
    </row>
    <row r="955" spans="1:19">
      <c r="A955" s="5" t="str">
        <f>B955&amp;"-"&amp;COUNTIF($B$2:B955,B955)</f>
        <v>GOIAS-72</v>
      </c>
      <c r="B955" s="5" t="s">
        <v>771</v>
      </c>
      <c r="C955" s="5" t="s">
        <v>5078</v>
      </c>
      <c r="D955" s="6">
        <v>-487038</v>
      </c>
      <c r="E955" s="6">
        <v>-171991</v>
      </c>
      <c r="F955" s="7">
        <v>5.2960000000000003</v>
      </c>
      <c r="G955" s="7">
        <v>5.6289999999999996</v>
      </c>
      <c r="H955" s="7">
        <v>5.7329999999999997</v>
      </c>
      <c r="I955" s="7">
        <v>5.18</v>
      </c>
      <c r="J955" s="7">
        <v>5.1529999999999996</v>
      </c>
      <c r="K955" s="7">
        <v>4.7389999999999999</v>
      </c>
      <c r="L955" s="7">
        <v>4.5629999999999997</v>
      </c>
      <c r="M955" s="7">
        <v>4.7880000000000003</v>
      </c>
      <c r="N955" s="7">
        <v>5.6319999999999997</v>
      </c>
      <c r="O955" s="7">
        <v>5.5119999999999996</v>
      </c>
      <c r="P955" s="7">
        <v>5.6449999999999996</v>
      </c>
      <c r="Q955" s="7">
        <v>5.4020000000000001</v>
      </c>
      <c r="R955" s="7">
        <v>5.5830000000000002</v>
      </c>
      <c r="S955" s="7">
        <f t="shared" si="14"/>
        <v>5.2965833333333334</v>
      </c>
    </row>
    <row r="956" spans="1:19">
      <c r="A956" s="5" t="str">
        <f>B956&amp;"-"&amp;COUNTIF($B$2:B956,B956)</f>
        <v>GOIAS-73</v>
      </c>
      <c r="B956" s="5" t="s">
        <v>771</v>
      </c>
      <c r="C956" s="5" t="s">
        <v>5512</v>
      </c>
      <c r="D956" s="6">
        <v>-499756</v>
      </c>
      <c r="E956" s="6">
        <v>-145405</v>
      </c>
      <c r="F956" s="7">
        <v>5.3079999999999998</v>
      </c>
      <c r="G956" s="7">
        <v>5.4</v>
      </c>
      <c r="H956" s="7">
        <v>5.6029999999999998</v>
      </c>
      <c r="I956" s="7">
        <v>5.2309999999999999</v>
      </c>
      <c r="J956" s="7">
        <v>5.2279999999999998</v>
      </c>
      <c r="K956" s="7">
        <v>4.96</v>
      </c>
      <c r="L956" s="7">
        <v>4.6890000000000001</v>
      </c>
      <c r="M956" s="7">
        <v>4.9660000000000002</v>
      </c>
      <c r="N956" s="7">
        <v>5.7270000000000003</v>
      </c>
      <c r="O956" s="7">
        <v>5.5640000000000001</v>
      </c>
      <c r="P956" s="7">
        <v>5.6210000000000004</v>
      </c>
      <c r="Q956" s="7">
        <v>5.2809999999999997</v>
      </c>
      <c r="R956" s="7">
        <v>5.4189999999999996</v>
      </c>
      <c r="S956" s="7">
        <f t="shared" si="14"/>
        <v>5.3074166666666667</v>
      </c>
    </row>
    <row r="957" spans="1:19">
      <c r="A957" s="5" t="str">
        <f>B957&amp;"-"&amp;COUNTIF($B$2:B957,B957)</f>
        <v>GOIAS-74</v>
      </c>
      <c r="B957" s="5" t="s">
        <v>771</v>
      </c>
      <c r="C957" s="5" t="s">
        <v>803</v>
      </c>
      <c r="D957" s="6">
        <v>-493802</v>
      </c>
      <c r="E957" s="6">
        <v>-172888</v>
      </c>
      <c r="F957" s="7">
        <v>5.2759999999999998</v>
      </c>
      <c r="G957" s="7">
        <v>5.6159999999999997</v>
      </c>
      <c r="H957" s="7">
        <v>5.7</v>
      </c>
      <c r="I957" s="7">
        <v>5.2649999999999997</v>
      </c>
      <c r="J957" s="7">
        <v>5.1449999999999996</v>
      </c>
      <c r="K957" s="7">
        <v>4.7380000000000004</v>
      </c>
      <c r="L957" s="7">
        <v>4.4459999999999997</v>
      </c>
      <c r="M957" s="7">
        <v>4.6849999999999996</v>
      </c>
      <c r="N957" s="7">
        <v>5.5949999999999998</v>
      </c>
      <c r="O957" s="7">
        <v>5.4320000000000004</v>
      </c>
      <c r="P957" s="7">
        <v>5.577</v>
      </c>
      <c r="Q957" s="7">
        <v>5.4660000000000002</v>
      </c>
      <c r="R957" s="7">
        <v>5.6470000000000002</v>
      </c>
      <c r="S957" s="7">
        <f t="shared" si="14"/>
        <v>5.2759999999999998</v>
      </c>
    </row>
    <row r="958" spans="1:19">
      <c r="A958" s="5" t="str">
        <f>B958&amp;"-"&amp;COUNTIF($B$2:B958,B958)</f>
        <v>GOIAS-75</v>
      </c>
      <c r="B958" s="5" t="s">
        <v>771</v>
      </c>
      <c r="C958" s="5" t="s">
        <v>804</v>
      </c>
      <c r="D958" s="6">
        <v>-481515</v>
      </c>
      <c r="E958" s="6">
        <v>-182649</v>
      </c>
      <c r="F958" s="7">
        <v>5.298</v>
      </c>
      <c r="G958" s="7">
        <v>5.5970000000000004</v>
      </c>
      <c r="H958" s="7">
        <v>5.86</v>
      </c>
      <c r="I958" s="7">
        <v>5.181</v>
      </c>
      <c r="J958" s="7">
        <v>5.1139999999999999</v>
      </c>
      <c r="K958" s="7">
        <v>4.6669999999999998</v>
      </c>
      <c r="L958" s="7">
        <v>4.4169999999999998</v>
      </c>
      <c r="M958" s="7">
        <v>4.6589999999999998</v>
      </c>
      <c r="N958" s="7">
        <v>5.5419999999999998</v>
      </c>
      <c r="O958" s="7">
        <v>5.5149999999999997</v>
      </c>
      <c r="P958" s="7">
        <v>5.6920000000000002</v>
      </c>
      <c r="Q958" s="7">
        <v>5.5430000000000001</v>
      </c>
      <c r="R958" s="7">
        <v>5.7850000000000001</v>
      </c>
      <c r="S958" s="7">
        <f t="shared" si="14"/>
        <v>5.2976666666666672</v>
      </c>
    </row>
    <row r="959" spans="1:19">
      <c r="A959" s="5" t="str">
        <f>B959&amp;"-"&amp;COUNTIF($B$2:B959,B959)</f>
        <v>GOIAS-76</v>
      </c>
      <c r="B959" s="5" t="s">
        <v>771</v>
      </c>
      <c r="C959" s="5" t="s">
        <v>5079</v>
      </c>
      <c r="D959" s="6">
        <v>-461718</v>
      </c>
      <c r="E959" s="6">
        <v>-145602</v>
      </c>
      <c r="F959" s="7">
        <v>5.5940000000000003</v>
      </c>
      <c r="G959" s="7">
        <v>6.0090000000000003</v>
      </c>
      <c r="H959" s="7">
        <v>6.0250000000000004</v>
      </c>
      <c r="I959" s="7">
        <v>5.4790000000000001</v>
      </c>
      <c r="J959" s="7">
        <v>5.3920000000000003</v>
      </c>
      <c r="K959" s="7">
        <v>5.0220000000000002</v>
      </c>
      <c r="L959" s="7">
        <v>4.8920000000000003</v>
      </c>
      <c r="M959" s="7">
        <v>5.2619999999999996</v>
      </c>
      <c r="N959" s="7">
        <v>5.9390000000000001</v>
      </c>
      <c r="O959" s="7">
        <v>6.03</v>
      </c>
      <c r="P959" s="7">
        <v>5.8970000000000002</v>
      </c>
      <c r="Q959" s="7">
        <v>5.2910000000000004</v>
      </c>
      <c r="R959" s="7">
        <v>5.8929999999999998</v>
      </c>
      <c r="S959" s="7">
        <f t="shared" si="14"/>
        <v>5.5942499999999997</v>
      </c>
    </row>
    <row r="960" spans="1:19">
      <c r="A960" s="5" t="str">
        <f>B960&amp;"-"&amp;COUNTIF($B$2:B960,B960)</f>
        <v>GOIAS-77</v>
      </c>
      <c r="B960" s="5" t="s">
        <v>771</v>
      </c>
      <c r="C960" s="5" t="s">
        <v>4919</v>
      </c>
      <c r="D960" s="6">
        <v>-493668</v>
      </c>
      <c r="E960" s="6">
        <v>-162546</v>
      </c>
      <c r="F960" s="7">
        <v>5.2729999999999997</v>
      </c>
      <c r="G960" s="7">
        <v>5.4009999999999998</v>
      </c>
      <c r="H960" s="7">
        <v>5.57</v>
      </c>
      <c r="I960" s="7">
        <v>5.1680000000000001</v>
      </c>
      <c r="J960" s="7">
        <v>5.1529999999999996</v>
      </c>
      <c r="K960" s="7">
        <v>4.8730000000000002</v>
      </c>
      <c r="L960" s="7">
        <v>4.6470000000000002</v>
      </c>
      <c r="M960" s="7">
        <v>4.8390000000000004</v>
      </c>
      <c r="N960" s="7">
        <v>5.8170000000000002</v>
      </c>
      <c r="O960" s="7">
        <v>5.5529999999999999</v>
      </c>
      <c r="P960" s="7">
        <v>5.5209999999999999</v>
      </c>
      <c r="Q960" s="7">
        <v>5.266</v>
      </c>
      <c r="R960" s="7">
        <v>5.4669999999999996</v>
      </c>
      <c r="S960" s="7">
        <f t="shared" si="14"/>
        <v>5.2729166666666663</v>
      </c>
    </row>
    <row r="961" spans="1:19">
      <c r="A961" s="5" t="str">
        <f>B961&amp;"-"&amp;COUNTIF($B$2:B961,B961)</f>
        <v>GOIAS-78</v>
      </c>
      <c r="B961" s="5" t="s">
        <v>771</v>
      </c>
      <c r="C961" s="5" t="s">
        <v>5080</v>
      </c>
      <c r="D961" s="6">
        <v>-475631</v>
      </c>
      <c r="E961" s="6">
        <v>-181538</v>
      </c>
      <c r="F961" s="7">
        <v>5.3639999999999999</v>
      </c>
      <c r="G961" s="7">
        <v>5.681</v>
      </c>
      <c r="H961" s="7">
        <v>6.0259999999999998</v>
      </c>
      <c r="I961" s="7">
        <v>5.1909999999999998</v>
      </c>
      <c r="J961" s="7">
        <v>5.1749999999999998</v>
      </c>
      <c r="K961" s="7">
        <v>4.7300000000000004</v>
      </c>
      <c r="L961" s="7">
        <v>4.484</v>
      </c>
      <c r="M961" s="7">
        <v>4.798</v>
      </c>
      <c r="N961" s="7">
        <v>5.6749999999999998</v>
      </c>
      <c r="O961" s="7">
        <v>5.6289999999999996</v>
      </c>
      <c r="P961" s="7">
        <v>5.7060000000000004</v>
      </c>
      <c r="Q961" s="7">
        <v>5.5030000000000001</v>
      </c>
      <c r="R961" s="7">
        <v>5.766</v>
      </c>
      <c r="S961" s="7">
        <f t="shared" si="14"/>
        <v>5.363666666666667</v>
      </c>
    </row>
    <row r="962" spans="1:19">
      <c r="A962" s="5" t="str">
        <f>B962&amp;"-"&amp;COUNTIF($B$2:B962,B962)</f>
        <v>GOIAS-79</v>
      </c>
      <c r="B962" s="5" t="s">
        <v>771</v>
      </c>
      <c r="C962" s="5" t="s">
        <v>805</v>
      </c>
      <c r="D962" s="6">
        <v>-512586</v>
      </c>
      <c r="E962" s="6">
        <v>-162339</v>
      </c>
      <c r="F962" s="7">
        <v>5.2560000000000002</v>
      </c>
      <c r="G962" s="7">
        <v>5.5670000000000002</v>
      </c>
      <c r="H962" s="7">
        <v>5.59</v>
      </c>
      <c r="I962" s="7">
        <v>5.2629999999999999</v>
      </c>
      <c r="J962" s="7">
        <v>5.3</v>
      </c>
      <c r="K962" s="7">
        <v>4.8639999999999999</v>
      </c>
      <c r="L962" s="7">
        <v>4.5739999999999998</v>
      </c>
      <c r="M962" s="7">
        <v>4.6340000000000003</v>
      </c>
      <c r="N962" s="7">
        <v>5.4109999999999996</v>
      </c>
      <c r="O962" s="7">
        <v>5.42</v>
      </c>
      <c r="P962" s="7">
        <v>5.532</v>
      </c>
      <c r="Q962" s="7">
        <v>5.3780000000000001</v>
      </c>
      <c r="R962" s="7">
        <v>5.5369999999999999</v>
      </c>
      <c r="S962" s="7">
        <f t="shared" si="14"/>
        <v>5.2558333333333334</v>
      </c>
    </row>
    <row r="963" spans="1:19">
      <c r="A963" s="5" t="str">
        <f>B963&amp;"-"&amp;COUNTIF($B$2:B963,B963)</f>
        <v>GOIAS-80</v>
      </c>
      <c r="B963" s="5" t="s">
        <v>771</v>
      </c>
      <c r="C963" s="5" t="s">
        <v>5513</v>
      </c>
      <c r="D963" s="6">
        <v>-463958</v>
      </c>
      <c r="E963" s="6">
        <v>-132917</v>
      </c>
      <c r="F963" s="7">
        <v>5.5190000000000001</v>
      </c>
      <c r="G963" s="7">
        <v>5.9020000000000001</v>
      </c>
      <c r="H963" s="7">
        <v>5.7679999999999998</v>
      </c>
      <c r="I963" s="7">
        <v>5.2370000000000001</v>
      </c>
      <c r="J963" s="7">
        <v>5.1859999999999999</v>
      </c>
      <c r="K963" s="7">
        <v>5.0590000000000002</v>
      </c>
      <c r="L963" s="7">
        <v>5.0650000000000004</v>
      </c>
      <c r="M963" s="7">
        <v>5.4459999999999997</v>
      </c>
      <c r="N963" s="7">
        <v>5.984</v>
      </c>
      <c r="O963" s="7">
        <v>6.0579999999999998</v>
      </c>
      <c r="P963" s="7">
        <v>5.7309999999999999</v>
      </c>
      <c r="Q963" s="7">
        <v>5.1230000000000002</v>
      </c>
      <c r="R963" s="7">
        <v>5.6669999999999998</v>
      </c>
      <c r="S963" s="7">
        <f t="shared" ref="S963:S1026" si="15">(G963+H963+I963+J963+K963+L963+M963+N963+O963+P963+Q963+R963)/12</f>
        <v>5.5188333333333333</v>
      </c>
    </row>
    <row r="964" spans="1:19">
      <c r="A964" s="5" t="str">
        <f>B964&amp;"-"&amp;COUNTIF($B$2:B964,B964)</f>
        <v>GOIAS-81</v>
      </c>
      <c r="B964" s="5" t="s">
        <v>771</v>
      </c>
      <c r="C964" s="5" t="s">
        <v>4920</v>
      </c>
      <c r="D964" s="6">
        <v>-523141</v>
      </c>
      <c r="E964" s="6">
        <v>-167217</v>
      </c>
      <c r="F964" s="7">
        <v>5.24</v>
      </c>
      <c r="G964" s="7">
        <v>5.4939999999999998</v>
      </c>
      <c r="H964" s="7">
        <v>5.6369999999999996</v>
      </c>
      <c r="I964" s="7">
        <v>5.2949999999999999</v>
      </c>
      <c r="J964" s="7">
        <v>5.2190000000000003</v>
      </c>
      <c r="K964" s="7">
        <v>4.7880000000000003</v>
      </c>
      <c r="L964" s="7">
        <v>4.476</v>
      </c>
      <c r="M964" s="7">
        <v>4.6319999999999997</v>
      </c>
      <c r="N964" s="7">
        <v>5.3979999999999997</v>
      </c>
      <c r="O964" s="7">
        <v>5.3559999999999999</v>
      </c>
      <c r="P964" s="7">
        <v>5.3319999999999999</v>
      </c>
      <c r="Q964" s="7">
        <v>5.5590000000000002</v>
      </c>
      <c r="R964" s="7">
        <v>5.6909999999999998</v>
      </c>
      <c r="S964" s="7">
        <f t="shared" si="15"/>
        <v>5.2397500000000008</v>
      </c>
    </row>
    <row r="965" spans="1:19">
      <c r="A965" s="5" t="str">
        <f>B965&amp;"-"&amp;COUNTIF($B$2:B965,B965)</f>
        <v>GOIAS-82</v>
      </c>
      <c r="B965" s="5" t="s">
        <v>771</v>
      </c>
      <c r="C965" s="5" t="s">
        <v>4304</v>
      </c>
      <c r="D965" s="6">
        <v>-499299</v>
      </c>
      <c r="E965" s="6">
        <v>-173411</v>
      </c>
      <c r="F965" s="7">
        <v>5.2880000000000003</v>
      </c>
      <c r="G965" s="7">
        <v>5.6849999999999996</v>
      </c>
      <c r="H965" s="7">
        <v>5.7359999999999998</v>
      </c>
      <c r="I965" s="7">
        <v>5.3769999999999998</v>
      </c>
      <c r="J965" s="7">
        <v>5.1369999999999996</v>
      </c>
      <c r="K965" s="7">
        <v>4.7149999999999999</v>
      </c>
      <c r="L965" s="7">
        <v>4.4219999999999997</v>
      </c>
      <c r="M965" s="7">
        <v>4.6420000000000003</v>
      </c>
      <c r="N965" s="7">
        <v>5.5019999999999998</v>
      </c>
      <c r="O965" s="7">
        <v>5.3940000000000001</v>
      </c>
      <c r="P965" s="7">
        <v>5.5789999999999997</v>
      </c>
      <c r="Q965" s="7">
        <v>5.585</v>
      </c>
      <c r="R965" s="7">
        <v>5.6790000000000003</v>
      </c>
      <c r="S965" s="7">
        <f t="shared" si="15"/>
        <v>5.28775</v>
      </c>
    </row>
    <row r="966" spans="1:19">
      <c r="A966" s="5" t="str">
        <f>B966&amp;"-"&amp;COUNTIF($B$2:B966,B966)</f>
        <v>GOIAS-83</v>
      </c>
      <c r="B966" s="5" t="s">
        <v>771</v>
      </c>
      <c r="C966" s="5" t="s">
        <v>806</v>
      </c>
      <c r="D966" s="6">
        <v>-496648</v>
      </c>
      <c r="E966" s="6">
        <v>-174244</v>
      </c>
      <c r="F966" s="7">
        <v>5.3010000000000002</v>
      </c>
      <c r="G966" s="7">
        <v>5.6369999999999996</v>
      </c>
      <c r="H966" s="7">
        <v>5.7919999999999998</v>
      </c>
      <c r="I966" s="7">
        <v>5.3609999999999998</v>
      </c>
      <c r="J966" s="7">
        <v>5.17</v>
      </c>
      <c r="K966" s="7">
        <v>4.7229999999999999</v>
      </c>
      <c r="L966" s="7">
        <v>4.4279999999999999</v>
      </c>
      <c r="M966" s="7">
        <v>4.6420000000000003</v>
      </c>
      <c r="N966" s="7">
        <v>5.5330000000000004</v>
      </c>
      <c r="O966" s="7">
        <v>5.4210000000000003</v>
      </c>
      <c r="P966" s="7">
        <v>5.6340000000000003</v>
      </c>
      <c r="Q966" s="7">
        <v>5.5860000000000003</v>
      </c>
      <c r="R966" s="7">
        <v>5.6879999999999997</v>
      </c>
      <c r="S966" s="7">
        <f t="shared" si="15"/>
        <v>5.3012500000000005</v>
      </c>
    </row>
    <row r="967" spans="1:19">
      <c r="A967" s="5" t="str">
        <f>B967&amp;"-"&amp;COUNTIF($B$2:B967,B967)</f>
        <v>GOIAS-84</v>
      </c>
      <c r="B967" s="5" t="s">
        <v>771</v>
      </c>
      <c r="C967" s="5" t="s">
        <v>807</v>
      </c>
      <c r="D967" s="6">
        <v>-490688</v>
      </c>
      <c r="E967" s="6">
        <v>-138676</v>
      </c>
      <c r="F967" s="7">
        <v>5.3159999999999998</v>
      </c>
      <c r="G967" s="7">
        <v>5.3570000000000002</v>
      </c>
      <c r="H967" s="7">
        <v>5.4939999999999998</v>
      </c>
      <c r="I967" s="7">
        <v>5.1260000000000003</v>
      </c>
      <c r="J967" s="7">
        <v>5.1189999999999998</v>
      </c>
      <c r="K967" s="7">
        <v>5.0060000000000002</v>
      </c>
      <c r="L967" s="7">
        <v>4.8639999999999999</v>
      </c>
      <c r="M967" s="7">
        <v>5.202</v>
      </c>
      <c r="N967" s="7">
        <v>5.9089999999999998</v>
      </c>
      <c r="O967" s="7">
        <v>5.6879999999999997</v>
      </c>
      <c r="P967" s="7">
        <v>5.56</v>
      </c>
      <c r="Q967" s="7">
        <v>5.1319999999999997</v>
      </c>
      <c r="R967" s="7">
        <v>5.3380000000000001</v>
      </c>
      <c r="S967" s="7">
        <f t="shared" si="15"/>
        <v>5.3162500000000001</v>
      </c>
    </row>
    <row r="968" spans="1:19">
      <c r="A968" s="5" t="str">
        <f>B968&amp;"-"&amp;COUNTIF($B$2:B968,B968)</f>
        <v>GOIAS-85</v>
      </c>
      <c r="B968" s="5" t="s">
        <v>771</v>
      </c>
      <c r="C968" s="5" t="s">
        <v>808</v>
      </c>
      <c r="D968" s="6">
        <v>-503626</v>
      </c>
      <c r="E968" s="6">
        <v>-154477</v>
      </c>
      <c r="F968" s="7">
        <v>5.2960000000000003</v>
      </c>
      <c r="G968" s="7">
        <v>5.39</v>
      </c>
      <c r="H968" s="7">
        <v>5.5659999999999998</v>
      </c>
      <c r="I968" s="7">
        <v>5.3250000000000002</v>
      </c>
      <c r="J968" s="7">
        <v>5.2510000000000003</v>
      </c>
      <c r="K968" s="7">
        <v>4.9690000000000003</v>
      </c>
      <c r="L968" s="7">
        <v>4.6189999999999998</v>
      </c>
      <c r="M968" s="7">
        <v>4.8259999999999996</v>
      </c>
      <c r="N968" s="7">
        <v>5.66</v>
      </c>
      <c r="O968" s="7">
        <v>5.4930000000000003</v>
      </c>
      <c r="P968" s="7">
        <v>5.6219999999999999</v>
      </c>
      <c r="Q968" s="7">
        <v>5.4020000000000001</v>
      </c>
      <c r="R968" s="7">
        <v>5.4340000000000002</v>
      </c>
      <c r="S968" s="7">
        <f t="shared" si="15"/>
        <v>5.2964166666666666</v>
      </c>
    </row>
    <row r="969" spans="1:19">
      <c r="A969" s="5" t="str">
        <f>B969&amp;"-"&amp;COUNTIF($B$2:B969,B969)</f>
        <v>GOIAS-86</v>
      </c>
      <c r="B969" s="5" t="s">
        <v>771</v>
      </c>
      <c r="C969" s="5" t="s">
        <v>809</v>
      </c>
      <c r="D969" s="6">
        <v>-507822</v>
      </c>
      <c r="E969" s="5" t="s">
        <v>810</v>
      </c>
      <c r="F969" s="7">
        <v>5.2939999999999996</v>
      </c>
      <c r="G969" s="7">
        <v>5.5609999999999999</v>
      </c>
      <c r="H969" s="7">
        <v>5.6390000000000002</v>
      </c>
      <c r="I969" s="7">
        <v>5.3339999999999996</v>
      </c>
      <c r="J969" s="7">
        <v>5.2859999999999996</v>
      </c>
      <c r="K969" s="7">
        <v>4.9089999999999998</v>
      </c>
      <c r="L969" s="7">
        <v>4.5709999999999997</v>
      </c>
      <c r="M969" s="7">
        <v>4.7050000000000001</v>
      </c>
      <c r="N969" s="7">
        <v>5.444</v>
      </c>
      <c r="O969" s="7">
        <v>5.415</v>
      </c>
      <c r="P969" s="7">
        <v>5.6470000000000002</v>
      </c>
      <c r="Q969" s="7">
        <v>5.492</v>
      </c>
      <c r="R969" s="7">
        <v>5.52</v>
      </c>
      <c r="S969" s="7">
        <f t="shared" si="15"/>
        <v>5.2935833333333333</v>
      </c>
    </row>
    <row r="970" spans="1:19">
      <c r="A970" s="5" t="str">
        <f>B970&amp;"-"&amp;COUNTIF($B$2:B970,B970)</f>
        <v>GOIAS-87</v>
      </c>
      <c r="B970" s="5" t="s">
        <v>771</v>
      </c>
      <c r="C970" s="5" t="s">
        <v>5081</v>
      </c>
      <c r="D970" s="6">
        <v>-503044</v>
      </c>
      <c r="E970" s="6">
        <v>-165782</v>
      </c>
      <c r="F970" s="7">
        <v>5.3019999999999996</v>
      </c>
      <c r="G970" s="7">
        <v>5.6470000000000002</v>
      </c>
      <c r="H970" s="7">
        <v>5.6219999999999999</v>
      </c>
      <c r="I970" s="7">
        <v>5.2750000000000004</v>
      </c>
      <c r="J970" s="7">
        <v>5.218</v>
      </c>
      <c r="K970" s="7">
        <v>4.8470000000000004</v>
      </c>
      <c r="L970" s="7">
        <v>4.54</v>
      </c>
      <c r="M970" s="7">
        <v>4.7430000000000003</v>
      </c>
      <c r="N970" s="7">
        <v>5.5350000000000001</v>
      </c>
      <c r="O970" s="7">
        <v>5.4459999999999997</v>
      </c>
      <c r="P970" s="7">
        <v>5.5670000000000002</v>
      </c>
      <c r="Q970" s="7">
        <v>5.6029999999999998</v>
      </c>
      <c r="R970" s="7">
        <v>5.5789999999999997</v>
      </c>
      <c r="S970" s="7">
        <f t="shared" si="15"/>
        <v>5.3018333333333336</v>
      </c>
    </row>
    <row r="971" spans="1:19">
      <c r="A971" s="5" t="str">
        <f>B971&amp;"-"&amp;COUNTIF($B$2:B971,B971)</f>
        <v>GOIAS-88</v>
      </c>
      <c r="B971" s="5" t="s">
        <v>771</v>
      </c>
      <c r="C971" s="5" t="s">
        <v>5514</v>
      </c>
      <c r="D971" s="6">
        <v>-470369</v>
      </c>
      <c r="E971" s="6">
        <v>-144447</v>
      </c>
      <c r="F971" s="7">
        <v>5.5990000000000002</v>
      </c>
      <c r="G971" s="7">
        <v>5.9509999999999996</v>
      </c>
      <c r="H971" s="7">
        <v>6.0970000000000004</v>
      </c>
      <c r="I971" s="7">
        <v>5.5270000000000001</v>
      </c>
      <c r="J971" s="7">
        <v>5.4169999999999998</v>
      </c>
      <c r="K971" s="7">
        <v>5.0460000000000003</v>
      </c>
      <c r="L971" s="7">
        <v>4.9290000000000003</v>
      </c>
      <c r="M971" s="7">
        <v>5.2640000000000002</v>
      </c>
      <c r="N971" s="7">
        <v>5.8559999999999999</v>
      </c>
      <c r="O971" s="7">
        <v>6.0259999999999998</v>
      </c>
      <c r="P971" s="7">
        <v>5.8639999999999999</v>
      </c>
      <c r="Q971" s="7">
        <v>5.3449999999999998</v>
      </c>
      <c r="R971" s="7">
        <v>5.8620000000000001</v>
      </c>
      <c r="S971" s="7">
        <f t="shared" si="15"/>
        <v>5.5986666666666665</v>
      </c>
    </row>
    <row r="972" spans="1:19">
      <c r="A972" s="5" t="str">
        <f>B972&amp;"-"&amp;COUNTIF($B$2:B972,B972)</f>
        <v>GOIAS-89</v>
      </c>
      <c r="B972" s="5" t="s">
        <v>771</v>
      </c>
      <c r="C972" s="5" t="s">
        <v>811</v>
      </c>
      <c r="D972" s="6">
        <v>-473374</v>
      </c>
      <c r="E972" s="6">
        <v>-155404</v>
      </c>
      <c r="F972" s="7">
        <v>5.4470000000000001</v>
      </c>
      <c r="G972" s="7">
        <v>5.6820000000000004</v>
      </c>
      <c r="H972" s="7">
        <v>5.8780000000000001</v>
      </c>
      <c r="I972" s="7">
        <v>5.2759999999999998</v>
      </c>
      <c r="J972" s="7">
        <v>5.165</v>
      </c>
      <c r="K972" s="7">
        <v>4.923</v>
      </c>
      <c r="L972" s="7">
        <v>4.8</v>
      </c>
      <c r="M972" s="7">
        <v>5.1790000000000003</v>
      </c>
      <c r="N972" s="7">
        <v>5.9340000000000002</v>
      </c>
      <c r="O972" s="7">
        <v>5.9409999999999998</v>
      </c>
      <c r="P972" s="7">
        <v>5.7670000000000003</v>
      </c>
      <c r="Q972" s="7">
        <v>5.1849999999999996</v>
      </c>
      <c r="R972" s="7">
        <v>5.63</v>
      </c>
      <c r="S972" s="7">
        <f t="shared" si="15"/>
        <v>5.4466666666666663</v>
      </c>
    </row>
    <row r="973" spans="1:19">
      <c r="A973" s="5" t="str">
        <f>B973&amp;"-"&amp;COUNTIF($B$2:B973,B973)</f>
        <v>GOIAS-90</v>
      </c>
      <c r="B973" s="5" t="s">
        <v>771</v>
      </c>
      <c r="C973" s="5" t="s">
        <v>812</v>
      </c>
      <c r="D973" s="6">
        <v>-488779</v>
      </c>
      <c r="E973" s="6">
        <v>-136503</v>
      </c>
      <c r="F973" s="7">
        <v>5.3460000000000001</v>
      </c>
      <c r="G973" s="7">
        <v>5.3620000000000001</v>
      </c>
      <c r="H973" s="7">
        <v>5.55</v>
      </c>
      <c r="I973" s="7">
        <v>5.17</v>
      </c>
      <c r="J973" s="7">
        <v>5.1909999999999998</v>
      </c>
      <c r="K973" s="7">
        <v>5.0919999999999996</v>
      </c>
      <c r="L973" s="7">
        <v>4.8179999999999996</v>
      </c>
      <c r="M973" s="7">
        <v>5.2080000000000002</v>
      </c>
      <c r="N973" s="7">
        <v>5.8959999999999999</v>
      </c>
      <c r="O973" s="7">
        <v>5.7380000000000004</v>
      </c>
      <c r="P973" s="7">
        <v>5.5949999999999998</v>
      </c>
      <c r="Q973" s="7">
        <v>5.1550000000000002</v>
      </c>
      <c r="R973" s="7">
        <v>5.3760000000000003</v>
      </c>
      <c r="S973" s="7">
        <f t="shared" si="15"/>
        <v>5.3459166666666667</v>
      </c>
    </row>
    <row r="974" spans="1:19">
      <c r="A974" s="5" t="str">
        <f>B974&amp;"-"&amp;COUNTIF($B$2:B974,B974)</f>
        <v>GOIAS-91</v>
      </c>
      <c r="B974" s="5" t="s">
        <v>771</v>
      </c>
      <c r="C974" s="5" t="s">
        <v>5515</v>
      </c>
      <c r="D974" s="6">
        <v>-486448</v>
      </c>
      <c r="E974" s="6">
        <v>-164835</v>
      </c>
      <c r="F974" s="7">
        <v>5.2670000000000003</v>
      </c>
      <c r="G974" s="7">
        <v>5.4829999999999997</v>
      </c>
      <c r="H974" s="7">
        <v>5.7290000000000001</v>
      </c>
      <c r="I974" s="7">
        <v>5.0810000000000004</v>
      </c>
      <c r="J974" s="7">
        <v>5.0640000000000001</v>
      </c>
      <c r="K974" s="7">
        <v>4.7690000000000001</v>
      </c>
      <c r="L974" s="7">
        <v>4.6539999999999999</v>
      </c>
      <c r="M974" s="7">
        <v>4.9139999999999997</v>
      </c>
      <c r="N974" s="7">
        <v>5.78</v>
      </c>
      <c r="O974" s="7">
        <v>5.55</v>
      </c>
      <c r="P974" s="7">
        <v>5.56</v>
      </c>
      <c r="Q974" s="7">
        <v>5.0999999999999996</v>
      </c>
      <c r="R974" s="7">
        <v>5.5170000000000003</v>
      </c>
      <c r="S974" s="7">
        <f t="shared" si="15"/>
        <v>5.26675</v>
      </c>
    </row>
    <row r="975" spans="1:19">
      <c r="A975" s="5" t="str">
        <f>B975&amp;"-"&amp;COUNTIF($B$2:B975,B975)</f>
        <v>GOIAS-92</v>
      </c>
      <c r="B975" s="5" t="s">
        <v>771</v>
      </c>
      <c r="C975" s="5" t="s">
        <v>5516</v>
      </c>
      <c r="D975" s="6">
        <v>-501434</v>
      </c>
      <c r="E975" s="6">
        <v>-159408</v>
      </c>
      <c r="F975" s="7">
        <v>5.2590000000000003</v>
      </c>
      <c r="G975" s="7">
        <v>5.3869999999999996</v>
      </c>
      <c r="H975" s="7">
        <v>5.569</v>
      </c>
      <c r="I975" s="7">
        <v>5.2469999999999999</v>
      </c>
      <c r="J975" s="7">
        <v>5.1870000000000003</v>
      </c>
      <c r="K975" s="7">
        <v>4.9109999999999996</v>
      </c>
      <c r="L975" s="7">
        <v>4.66</v>
      </c>
      <c r="M975" s="7">
        <v>4.7309999999999999</v>
      </c>
      <c r="N975" s="7">
        <v>5.6790000000000003</v>
      </c>
      <c r="O975" s="7">
        <v>5.4459999999999997</v>
      </c>
      <c r="P975" s="7">
        <v>5.5860000000000003</v>
      </c>
      <c r="Q975" s="7">
        <v>5.3339999999999996</v>
      </c>
      <c r="R975" s="7">
        <v>5.367</v>
      </c>
      <c r="S975" s="7">
        <f t="shared" si="15"/>
        <v>5.2586666666666657</v>
      </c>
    </row>
    <row r="976" spans="1:19">
      <c r="A976" s="5" t="str">
        <f>B976&amp;"-"&amp;COUNTIF($B$2:B976,B976)</f>
        <v>GOIAS-93</v>
      </c>
      <c r="B976" s="5" t="s">
        <v>771</v>
      </c>
      <c r="C976" s="5" t="s">
        <v>4921</v>
      </c>
      <c r="D976" s="6">
        <v>-492651</v>
      </c>
      <c r="E976" s="6">
        <v>-166873</v>
      </c>
      <c r="F976" s="7">
        <v>5.2469999999999999</v>
      </c>
      <c r="G976" s="7">
        <v>5.452</v>
      </c>
      <c r="H976" s="7">
        <v>5.5179999999999998</v>
      </c>
      <c r="I976" s="7">
        <v>5.12</v>
      </c>
      <c r="J976" s="7">
        <v>5.024</v>
      </c>
      <c r="K976" s="7">
        <v>4.7530000000000001</v>
      </c>
      <c r="L976" s="7">
        <v>4.5599999999999996</v>
      </c>
      <c r="M976" s="7">
        <v>4.78</v>
      </c>
      <c r="N976" s="7">
        <v>5.6779999999999999</v>
      </c>
      <c r="O976" s="7">
        <v>5.5670000000000002</v>
      </c>
      <c r="P976" s="7">
        <v>5.6109999999999998</v>
      </c>
      <c r="Q976" s="7">
        <v>5.391</v>
      </c>
      <c r="R976" s="7">
        <v>5.5049999999999999</v>
      </c>
      <c r="S976" s="7">
        <f t="shared" si="15"/>
        <v>5.2465833333333327</v>
      </c>
    </row>
    <row r="977" spans="1:19">
      <c r="A977" s="5" t="str">
        <f>B977&amp;"-"&amp;COUNTIF($B$2:B977,B977)</f>
        <v>GOIAS-94</v>
      </c>
      <c r="B977" s="5" t="s">
        <v>771</v>
      </c>
      <c r="C977" s="5" t="s">
        <v>5517</v>
      </c>
      <c r="D977" s="6">
        <v>-490207</v>
      </c>
      <c r="E977" s="6">
        <v>-165023</v>
      </c>
      <c r="F977" s="7">
        <v>5.24</v>
      </c>
      <c r="G977" s="7">
        <v>5.46</v>
      </c>
      <c r="H977" s="7">
        <v>5.55</v>
      </c>
      <c r="I977" s="7">
        <v>5.1369999999999996</v>
      </c>
      <c r="J977" s="7">
        <v>5.0819999999999999</v>
      </c>
      <c r="K977" s="7">
        <v>4.8220000000000001</v>
      </c>
      <c r="L977" s="7">
        <v>4.6079999999999997</v>
      </c>
      <c r="M977" s="7">
        <v>4.8470000000000004</v>
      </c>
      <c r="N977" s="7">
        <v>5.7039999999999997</v>
      </c>
      <c r="O977" s="7">
        <v>5.5119999999999996</v>
      </c>
      <c r="P977" s="7">
        <v>5.548</v>
      </c>
      <c r="Q977" s="7">
        <v>5.2220000000000004</v>
      </c>
      <c r="R977" s="7">
        <v>5.391</v>
      </c>
      <c r="S977" s="7">
        <f t="shared" si="15"/>
        <v>5.2402500000000005</v>
      </c>
    </row>
    <row r="978" spans="1:19">
      <c r="A978" s="5" t="str">
        <f>B978&amp;"-"&amp;COUNTIF($B$2:B978,B978)</f>
        <v>GOIAS-95</v>
      </c>
      <c r="B978" s="5" t="s">
        <v>771</v>
      </c>
      <c r="C978" s="5" t="s">
        <v>4305</v>
      </c>
      <c r="D978" s="6">
        <v>-491166</v>
      </c>
      <c r="E978" s="6">
        <v>-153123</v>
      </c>
      <c r="F978" s="7">
        <v>5.2610000000000001</v>
      </c>
      <c r="G978" s="7">
        <v>5.3540000000000001</v>
      </c>
      <c r="H978" s="7">
        <v>5.5940000000000003</v>
      </c>
      <c r="I978" s="7">
        <v>5.1920000000000002</v>
      </c>
      <c r="J978" s="7">
        <v>5.1580000000000004</v>
      </c>
      <c r="K978" s="7">
        <v>4.9349999999999996</v>
      </c>
      <c r="L978" s="7">
        <v>4.7039999999999997</v>
      </c>
      <c r="M978" s="7">
        <v>4.8630000000000004</v>
      </c>
      <c r="N978" s="7">
        <v>5.6989999999999998</v>
      </c>
      <c r="O978" s="7">
        <v>5.5810000000000004</v>
      </c>
      <c r="P978" s="7">
        <v>5.5140000000000002</v>
      </c>
      <c r="Q978" s="7">
        <v>5.1870000000000003</v>
      </c>
      <c r="R978" s="7">
        <v>5.3559999999999999</v>
      </c>
      <c r="S978" s="7">
        <f t="shared" si="15"/>
        <v>5.2614166666666673</v>
      </c>
    </row>
    <row r="979" spans="1:19">
      <c r="A979" s="5" t="str">
        <f>B979&amp;"-"&amp;COUNTIF($B$2:B979,B979)</f>
        <v>GOIAS-96</v>
      </c>
      <c r="B979" s="5" t="s">
        <v>771</v>
      </c>
      <c r="C979" s="5" t="s">
        <v>813</v>
      </c>
      <c r="D979" s="6">
        <v>-480878</v>
      </c>
      <c r="E979" s="6">
        <v>-181356</v>
      </c>
      <c r="F979" s="7">
        <v>5.33</v>
      </c>
      <c r="G979" s="7">
        <v>5.6820000000000004</v>
      </c>
      <c r="H979" s="7">
        <v>5.91</v>
      </c>
      <c r="I979" s="7">
        <v>5.1959999999999997</v>
      </c>
      <c r="J979" s="7">
        <v>5.1340000000000003</v>
      </c>
      <c r="K979" s="7">
        <v>4.6929999999999996</v>
      </c>
      <c r="L979" s="7">
        <v>4.4459999999999997</v>
      </c>
      <c r="M979" s="7">
        <v>4.7050000000000001</v>
      </c>
      <c r="N979" s="7">
        <v>5.617</v>
      </c>
      <c r="O979" s="7">
        <v>5.5609999999999999</v>
      </c>
      <c r="P979" s="7">
        <v>5.6970000000000001</v>
      </c>
      <c r="Q979" s="7">
        <v>5.5549999999999997</v>
      </c>
      <c r="R979" s="7">
        <v>5.7569999999999997</v>
      </c>
      <c r="S979" s="7">
        <f t="shared" si="15"/>
        <v>5.329416666666666</v>
      </c>
    </row>
    <row r="980" spans="1:19">
      <c r="A980" s="5" t="str">
        <f>B980&amp;"-"&amp;COUNTIF($B$2:B980,B980)</f>
        <v>GOIAS-97</v>
      </c>
      <c r="B980" s="5" t="s">
        <v>771</v>
      </c>
      <c r="C980" s="5" t="s">
        <v>814</v>
      </c>
      <c r="D980" s="6">
        <v>-494206</v>
      </c>
      <c r="E980" s="6">
        <v>-165118</v>
      </c>
      <c r="F980" s="7">
        <v>5.2649999999999997</v>
      </c>
      <c r="G980" s="7">
        <v>5.4930000000000003</v>
      </c>
      <c r="H980" s="7">
        <v>5.5720000000000001</v>
      </c>
      <c r="I980" s="7">
        <v>5.1909999999999998</v>
      </c>
      <c r="J980" s="7">
        <v>5.1159999999999997</v>
      </c>
      <c r="K980" s="7">
        <v>4.827</v>
      </c>
      <c r="L980" s="7">
        <v>4.601</v>
      </c>
      <c r="M980" s="7">
        <v>4.8120000000000003</v>
      </c>
      <c r="N980" s="7">
        <v>5.7489999999999997</v>
      </c>
      <c r="O980" s="7">
        <v>5.5449999999999999</v>
      </c>
      <c r="P980" s="7">
        <v>5.5460000000000003</v>
      </c>
      <c r="Q980" s="7">
        <v>5.2880000000000003</v>
      </c>
      <c r="R980" s="7">
        <v>5.444</v>
      </c>
      <c r="S980" s="7">
        <f t="shared" si="15"/>
        <v>5.2653333333333334</v>
      </c>
    </row>
    <row r="981" spans="1:19">
      <c r="A981" s="5" t="str">
        <f>B981&amp;"-"&amp;COUNTIF($B$2:B981,B981)</f>
        <v>GOIAS-98</v>
      </c>
      <c r="B981" s="5" t="s">
        <v>771</v>
      </c>
      <c r="C981" s="5" t="s">
        <v>815</v>
      </c>
      <c r="D981" s="6">
        <v>-493662</v>
      </c>
      <c r="E981" s="6">
        <v>-18011</v>
      </c>
      <c r="F981" s="7">
        <v>5.2210000000000001</v>
      </c>
      <c r="G981" s="7">
        <v>5.569</v>
      </c>
      <c r="H981" s="7">
        <v>5.6840000000000002</v>
      </c>
      <c r="I981" s="7">
        <v>5.1429999999999998</v>
      </c>
      <c r="J981" s="7">
        <v>5.03</v>
      </c>
      <c r="K981" s="7">
        <v>4.6159999999999997</v>
      </c>
      <c r="L981" s="7">
        <v>4.3650000000000002</v>
      </c>
      <c r="M981" s="7">
        <v>4.6020000000000003</v>
      </c>
      <c r="N981" s="7">
        <v>5.4729999999999999</v>
      </c>
      <c r="O981" s="7">
        <v>5.3449999999999998</v>
      </c>
      <c r="P981" s="7">
        <v>5.5579999999999998</v>
      </c>
      <c r="Q981" s="7">
        <v>5.556</v>
      </c>
      <c r="R981" s="7">
        <v>5.7060000000000004</v>
      </c>
      <c r="S981" s="7">
        <f t="shared" si="15"/>
        <v>5.2205833333333329</v>
      </c>
    </row>
    <row r="982" spans="1:19">
      <c r="A982" s="5" t="str">
        <f>B982&amp;"-"&amp;COUNTIF($B$2:B982,B982)</f>
        <v>GOIAS-99</v>
      </c>
      <c r="B982" s="5" t="s">
        <v>771</v>
      </c>
      <c r="C982" s="5" t="s">
        <v>4922</v>
      </c>
      <c r="D982" s="6">
        <v>-50136</v>
      </c>
      <c r="E982" s="6">
        <v>-18441</v>
      </c>
      <c r="F982" s="7">
        <v>5.29</v>
      </c>
      <c r="G982" s="7">
        <v>5.7450000000000001</v>
      </c>
      <c r="H982" s="7">
        <v>5.6859999999999999</v>
      </c>
      <c r="I982" s="7">
        <v>5.2949999999999999</v>
      </c>
      <c r="J982" s="7">
        <v>5.0839999999999996</v>
      </c>
      <c r="K982" s="7">
        <v>4.6059999999999999</v>
      </c>
      <c r="L982" s="7">
        <v>4.3390000000000004</v>
      </c>
      <c r="M982" s="7">
        <v>4.5469999999999997</v>
      </c>
      <c r="N982" s="7">
        <v>5.5259999999999998</v>
      </c>
      <c r="O982" s="7">
        <v>5.3150000000000004</v>
      </c>
      <c r="P982" s="7">
        <v>5.6310000000000002</v>
      </c>
      <c r="Q982" s="7">
        <v>5.7729999999999997</v>
      </c>
      <c r="R982" s="7">
        <v>5.9379999999999997</v>
      </c>
      <c r="S982" s="7">
        <f t="shared" si="15"/>
        <v>5.2904166666666654</v>
      </c>
    </row>
    <row r="983" spans="1:19">
      <c r="A983" s="5" t="str">
        <f>B983&amp;"-"&amp;COUNTIF($B$2:B983,B983)</f>
        <v>GOIAS-100</v>
      </c>
      <c r="B983" s="5" t="s">
        <v>771</v>
      </c>
      <c r="C983" s="5" t="s">
        <v>5082</v>
      </c>
      <c r="D983" s="6">
        <v>-495349</v>
      </c>
      <c r="E983" s="6">
        <v>-168301</v>
      </c>
      <c r="F983" s="7">
        <v>5.2869999999999999</v>
      </c>
      <c r="G983" s="7">
        <v>5.5819999999999999</v>
      </c>
      <c r="H983" s="7">
        <v>5.6420000000000003</v>
      </c>
      <c r="I983" s="7">
        <v>5.298</v>
      </c>
      <c r="J983" s="7">
        <v>5.1710000000000003</v>
      </c>
      <c r="K983" s="7">
        <v>4.7939999999999996</v>
      </c>
      <c r="L983" s="7">
        <v>4.5439999999999996</v>
      </c>
      <c r="M983" s="7">
        <v>4.7380000000000004</v>
      </c>
      <c r="N983" s="7">
        <v>5.5540000000000003</v>
      </c>
      <c r="O983" s="7">
        <v>5.4790000000000001</v>
      </c>
      <c r="P983" s="7">
        <v>5.5890000000000004</v>
      </c>
      <c r="Q983" s="7">
        <v>5.4619999999999997</v>
      </c>
      <c r="R983" s="7">
        <v>5.5869999999999997</v>
      </c>
      <c r="S983" s="7">
        <f t="shared" si="15"/>
        <v>5.2866666666666662</v>
      </c>
    </row>
    <row r="984" spans="1:19">
      <c r="A984" s="5" t="str">
        <f>B984&amp;"-"&amp;COUNTIF($B$2:B984,B984)</f>
        <v>GOIAS-101</v>
      </c>
      <c r="B984" s="5" t="s">
        <v>771</v>
      </c>
      <c r="C984" s="5" t="s">
        <v>816</v>
      </c>
      <c r="D984" s="6">
        <v>-500296</v>
      </c>
      <c r="E984" s="6">
        <v>-156326</v>
      </c>
      <c r="F984" s="7">
        <v>5.2149999999999999</v>
      </c>
      <c r="G984" s="7">
        <v>5.2679999999999998</v>
      </c>
      <c r="H984" s="7">
        <v>5.5090000000000003</v>
      </c>
      <c r="I984" s="7">
        <v>5.1589999999999998</v>
      </c>
      <c r="J984" s="7">
        <v>5.1550000000000002</v>
      </c>
      <c r="K984" s="7">
        <v>4.9340000000000002</v>
      </c>
      <c r="L984" s="7">
        <v>4.6559999999999997</v>
      </c>
      <c r="M984" s="7">
        <v>4.7619999999999996</v>
      </c>
      <c r="N984" s="7">
        <v>5.6710000000000003</v>
      </c>
      <c r="O984" s="7">
        <v>5.4569999999999999</v>
      </c>
      <c r="P984" s="7">
        <v>5.5259999999999998</v>
      </c>
      <c r="Q984" s="7">
        <v>5.1470000000000002</v>
      </c>
      <c r="R984" s="7">
        <v>5.3330000000000002</v>
      </c>
      <c r="S984" s="7">
        <f t="shared" si="15"/>
        <v>5.2147499999999996</v>
      </c>
    </row>
    <row r="985" spans="1:19">
      <c r="A985" s="5" t="str">
        <f>B985&amp;"-"&amp;COUNTIF($B$2:B985,B985)</f>
        <v>GOIAS-102</v>
      </c>
      <c r="B985" s="5" t="s">
        <v>771</v>
      </c>
      <c r="C985" s="5" t="s">
        <v>5518</v>
      </c>
      <c r="D985" s="6">
        <v>-464862</v>
      </c>
      <c r="E985" s="6">
        <v>-139462</v>
      </c>
      <c r="F985" s="7">
        <v>5.5650000000000004</v>
      </c>
      <c r="G985" s="7">
        <v>5.9329999999999998</v>
      </c>
      <c r="H985" s="7">
        <v>5.9370000000000003</v>
      </c>
      <c r="I985" s="7">
        <v>5.4790000000000001</v>
      </c>
      <c r="J985" s="7">
        <v>5.3479999999999999</v>
      </c>
      <c r="K985" s="7">
        <v>5.0469999999999997</v>
      </c>
      <c r="L985" s="7">
        <v>4.9429999999999996</v>
      </c>
      <c r="M985" s="7">
        <v>5.3079999999999998</v>
      </c>
      <c r="N985" s="7">
        <v>5.9909999999999997</v>
      </c>
      <c r="O985" s="7">
        <v>5.9809999999999999</v>
      </c>
      <c r="P985" s="7">
        <v>5.6989999999999998</v>
      </c>
      <c r="Q985" s="7">
        <v>5.3090000000000002</v>
      </c>
      <c r="R985" s="7">
        <v>5.8079999999999998</v>
      </c>
      <c r="S985" s="7">
        <f t="shared" si="15"/>
        <v>5.5652499999999989</v>
      </c>
    </row>
    <row r="986" spans="1:19">
      <c r="A986" s="5" t="str">
        <f>B986&amp;"-"&amp;COUNTIF($B$2:B986,B986)</f>
        <v>GOIAS-103</v>
      </c>
      <c r="B986" s="5" t="s">
        <v>771</v>
      </c>
      <c r="C986" s="5" t="s">
        <v>817</v>
      </c>
      <c r="D986" s="6">
        <v>-497021</v>
      </c>
      <c r="E986" s="6">
        <v>-147336</v>
      </c>
      <c r="F986" s="7">
        <v>5.3239999999999998</v>
      </c>
      <c r="G986" s="7">
        <v>5.39</v>
      </c>
      <c r="H986" s="7">
        <v>5.5919999999999996</v>
      </c>
      <c r="I986" s="7">
        <v>5.2649999999999997</v>
      </c>
      <c r="J986" s="7">
        <v>5.181</v>
      </c>
      <c r="K986" s="7">
        <v>4.9359999999999999</v>
      </c>
      <c r="L986" s="7">
        <v>4.7619999999999996</v>
      </c>
      <c r="M986" s="7">
        <v>4.9889999999999999</v>
      </c>
      <c r="N986" s="7">
        <v>5.8620000000000001</v>
      </c>
      <c r="O986" s="7">
        <v>5.585</v>
      </c>
      <c r="P986" s="7">
        <v>5.6180000000000003</v>
      </c>
      <c r="Q986" s="7">
        <v>5.2939999999999996</v>
      </c>
      <c r="R986" s="7">
        <v>5.41</v>
      </c>
      <c r="S986" s="7">
        <f t="shared" si="15"/>
        <v>5.323666666666667</v>
      </c>
    </row>
    <row r="987" spans="1:19">
      <c r="A987" s="5" t="str">
        <f>B987&amp;"-"&amp;COUNTIF($B$2:B987,B987)</f>
        <v>GOIAS-104</v>
      </c>
      <c r="B987" s="5" t="s">
        <v>771</v>
      </c>
      <c r="C987" s="5" t="s">
        <v>818</v>
      </c>
      <c r="D987" s="6">
        <v>-498272</v>
      </c>
      <c r="E987" s="6">
        <v>-157194</v>
      </c>
      <c r="F987" s="7">
        <v>5.2309999999999999</v>
      </c>
      <c r="G987" s="7">
        <v>5.3710000000000004</v>
      </c>
      <c r="H987" s="7">
        <v>5.6079999999999997</v>
      </c>
      <c r="I987" s="7">
        <v>5.1449999999999996</v>
      </c>
      <c r="J987" s="7">
        <v>5.1890000000000001</v>
      </c>
      <c r="K987" s="7">
        <v>4.883</v>
      </c>
      <c r="L987" s="7">
        <v>4.6779999999999999</v>
      </c>
      <c r="M987" s="7">
        <v>4.6970000000000001</v>
      </c>
      <c r="N987" s="7">
        <v>5.7080000000000002</v>
      </c>
      <c r="O987" s="7">
        <v>5.4340000000000002</v>
      </c>
      <c r="P987" s="7">
        <v>5.548</v>
      </c>
      <c r="Q987" s="7">
        <v>5.2050000000000001</v>
      </c>
      <c r="R987" s="7">
        <v>5.3079999999999998</v>
      </c>
      <c r="S987" s="7">
        <f t="shared" si="15"/>
        <v>5.2311666666666659</v>
      </c>
    </row>
    <row r="988" spans="1:19">
      <c r="A988" s="5" t="str">
        <f>B988&amp;"-"&amp;COUNTIF($B$2:B988,B988)</f>
        <v>GOIAS-105</v>
      </c>
      <c r="B988" s="5" t="s">
        <v>771</v>
      </c>
      <c r="C988" s="5" t="s">
        <v>4909</v>
      </c>
      <c r="D988" s="6">
        <v>-492283</v>
      </c>
      <c r="E988" s="6">
        <v>-169695</v>
      </c>
      <c r="F988" s="7">
        <v>5.2519999999999998</v>
      </c>
      <c r="G988" s="7">
        <v>5.5229999999999997</v>
      </c>
      <c r="H988" s="7">
        <v>5.641</v>
      </c>
      <c r="I988" s="7">
        <v>5.1890000000000001</v>
      </c>
      <c r="J988" s="7">
        <v>5.0739999999999998</v>
      </c>
      <c r="K988" s="7">
        <v>4.7380000000000004</v>
      </c>
      <c r="L988" s="7">
        <v>4.5199999999999996</v>
      </c>
      <c r="M988" s="7">
        <v>4.7249999999999996</v>
      </c>
      <c r="N988" s="7">
        <v>5.6029999999999998</v>
      </c>
      <c r="O988" s="7">
        <v>5.46</v>
      </c>
      <c r="P988" s="7">
        <v>5.5739999999999998</v>
      </c>
      <c r="Q988" s="7">
        <v>5.3869999999999996</v>
      </c>
      <c r="R988" s="7">
        <v>5.593</v>
      </c>
      <c r="S988" s="7">
        <f t="shared" si="15"/>
        <v>5.2522500000000001</v>
      </c>
    </row>
    <row r="989" spans="1:19">
      <c r="A989" s="5" t="str">
        <f>B989&amp;"-"&amp;COUNTIF($B$2:B989,B989)</f>
        <v>GOIAS-106</v>
      </c>
      <c r="B989" s="5" t="s">
        <v>771</v>
      </c>
      <c r="C989" s="5" t="s">
        <v>819</v>
      </c>
      <c r="D989" s="6">
        <v>-494683</v>
      </c>
      <c r="E989" s="6">
        <v>-147206</v>
      </c>
      <c r="F989" s="7">
        <v>5.2560000000000002</v>
      </c>
      <c r="G989" s="7">
        <v>5.3129999999999997</v>
      </c>
      <c r="H989" s="7">
        <v>5.4690000000000003</v>
      </c>
      <c r="I989" s="7">
        <v>5.1479999999999997</v>
      </c>
      <c r="J989" s="7">
        <v>5.0750000000000002</v>
      </c>
      <c r="K989" s="7">
        <v>4.907</v>
      </c>
      <c r="L989" s="7">
        <v>4.7279999999999998</v>
      </c>
      <c r="M989" s="7">
        <v>4.976</v>
      </c>
      <c r="N989" s="7">
        <v>5.8810000000000002</v>
      </c>
      <c r="O989" s="7">
        <v>5.6109999999999998</v>
      </c>
      <c r="P989" s="7">
        <v>5.4729999999999999</v>
      </c>
      <c r="Q989" s="7">
        <v>5.1619999999999999</v>
      </c>
      <c r="R989" s="7">
        <v>5.335</v>
      </c>
      <c r="S989" s="7">
        <f t="shared" si="15"/>
        <v>5.2565</v>
      </c>
    </row>
    <row r="990" spans="1:19">
      <c r="A990" s="5" t="str">
        <f>B990&amp;"-"&amp;COUNTIF($B$2:B990,B990)</f>
        <v>GOIAS-107</v>
      </c>
      <c r="B990" s="5" t="s">
        <v>771</v>
      </c>
      <c r="C990" s="5" t="s">
        <v>820</v>
      </c>
      <c r="D990" s="6">
        <v>-466338</v>
      </c>
      <c r="E990" s="6">
        <v>-141015</v>
      </c>
      <c r="F990" s="7">
        <v>5.6180000000000003</v>
      </c>
      <c r="G990" s="7">
        <v>6.0060000000000002</v>
      </c>
      <c r="H990" s="7">
        <v>6.016</v>
      </c>
      <c r="I990" s="7">
        <v>5.5149999999999997</v>
      </c>
      <c r="J990" s="7">
        <v>5.3890000000000002</v>
      </c>
      <c r="K990" s="7">
        <v>5.07</v>
      </c>
      <c r="L990" s="7">
        <v>4.9749999999999996</v>
      </c>
      <c r="M990" s="7">
        <v>5.3380000000000001</v>
      </c>
      <c r="N990" s="7">
        <v>5.891</v>
      </c>
      <c r="O990" s="7">
        <v>5.9859999999999998</v>
      </c>
      <c r="P990" s="7">
        <v>5.851</v>
      </c>
      <c r="Q990" s="7">
        <v>5.4240000000000004</v>
      </c>
      <c r="R990" s="7">
        <v>5.952</v>
      </c>
      <c r="S990" s="7">
        <f t="shared" si="15"/>
        <v>5.61775</v>
      </c>
    </row>
    <row r="991" spans="1:19">
      <c r="A991" s="5" t="str">
        <f>B991&amp;"-"&amp;COUNTIF($B$2:B991,B991)</f>
        <v>GOIAS-108</v>
      </c>
      <c r="B991" s="5" t="s">
        <v>771</v>
      </c>
      <c r="C991" s="5" t="s">
        <v>4923</v>
      </c>
      <c r="D991" s="6">
        <v>-499892</v>
      </c>
      <c r="E991" s="6">
        <v>-184874</v>
      </c>
      <c r="F991" s="7">
        <v>5.27</v>
      </c>
      <c r="G991" s="7">
        <v>5.8010000000000002</v>
      </c>
      <c r="H991" s="7">
        <v>5.7460000000000004</v>
      </c>
      <c r="I991" s="7">
        <v>5.2539999999999996</v>
      </c>
      <c r="J991" s="7">
        <v>5.032</v>
      </c>
      <c r="K991" s="7">
        <v>4.5620000000000003</v>
      </c>
      <c r="L991" s="7">
        <v>4.2939999999999996</v>
      </c>
      <c r="M991" s="7">
        <v>4.508</v>
      </c>
      <c r="N991" s="7">
        <v>5.4370000000000003</v>
      </c>
      <c r="O991" s="7">
        <v>5.3090000000000002</v>
      </c>
      <c r="P991" s="7">
        <v>5.5789999999999997</v>
      </c>
      <c r="Q991" s="7">
        <v>5.7670000000000003</v>
      </c>
      <c r="R991" s="7">
        <v>5.9539999999999997</v>
      </c>
      <c r="S991" s="7">
        <f t="shared" si="15"/>
        <v>5.2702499999999999</v>
      </c>
    </row>
    <row r="992" spans="1:19">
      <c r="A992" s="5" t="str">
        <f>B992&amp;"-"&amp;COUNTIF($B$2:B992,B992)</f>
        <v>GOIAS-109</v>
      </c>
      <c r="B992" s="5" t="s">
        <v>771</v>
      </c>
      <c r="C992" s="5" t="s">
        <v>821</v>
      </c>
      <c r="D992" s="6">
        <v>-499866</v>
      </c>
      <c r="E992" s="6">
        <v>-171392</v>
      </c>
      <c r="F992" s="7">
        <v>5.2859999999999996</v>
      </c>
      <c r="G992" s="7">
        <v>5.6369999999999996</v>
      </c>
      <c r="H992" s="7">
        <v>5.7969999999999997</v>
      </c>
      <c r="I992" s="7">
        <v>5.367</v>
      </c>
      <c r="J992" s="7">
        <v>5.141</v>
      </c>
      <c r="K992" s="7">
        <v>4.7619999999999996</v>
      </c>
      <c r="L992" s="7">
        <v>4.4349999999999996</v>
      </c>
      <c r="M992" s="7">
        <v>4.6609999999999996</v>
      </c>
      <c r="N992" s="7">
        <v>5.5259999999999998</v>
      </c>
      <c r="O992" s="7">
        <v>5.4379999999999997</v>
      </c>
      <c r="P992" s="7">
        <v>5.58</v>
      </c>
      <c r="Q992" s="7">
        <v>5.5030000000000001</v>
      </c>
      <c r="R992" s="7">
        <v>5.585</v>
      </c>
      <c r="S992" s="7">
        <f t="shared" si="15"/>
        <v>5.2859999999999996</v>
      </c>
    </row>
    <row r="993" spans="1:19">
      <c r="A993" s="5" t="str">
        <f>B993&amp;"-"&amp;COUNTIF($B$2:B993,B993)</f>
        <v>GOIAS-110</v>
      </c>
      <c r="B993" s="5" t="s">
        <v>771</v>
      </c>
      <c r="C993" s="5" t="s">
        <v>822</v>
      </c>
      <c r="D993" s="6">
        <v>-495005</v>
      </c>
      <c r="E993" s="6">
        <v>-163615</v>
      </c>
      <c r="F993" s="7">
        <v>5.2480000000000002</v>
      </c>
      <c r="G993" s="7">
        <v>5.46</v>
      </c>
      <c r="H993" s="7">
        <v>5.5279999999999996</v>
      </c>
      <c r="I993" s="7">
        <v>5.15</v>
      </c>
      <c r="J993" s="7">
        <v>5.1120000000000001</v>
      </c>
      <c r="K993" s="7">
        <v>4.8710000000000004</v>
      </c>
      <c r="L993" s="7">
        <v>4.5590000000000002</v>
      </c>
      <c r="M993" s="7">
        <v>4.8289999999999997</v>
      </c>
      <c r="N993" s="7">
        <v>5.782</v>
      </c>
      <c r="O993" s="7">
        <v>5.4969999999999999</v>
      </c>
      <c r="P993" s="7">
        <v>5.5209999999999999</v>
      </c>
      <c r="Q993" s="7">
        <v>5.25</v>
      </c>
      <c r="R993" s="7">
        <v>5.4210000000000003</v>
      </c>
      <c r="S993" s="7">
        <f t="shared" si="15"/>
        <v>5.2483333333333331</v>
      </c>
    </row>
    <row r="994" spans="1:19">
      <c r="A994" s="5" t="str">
        <f>B994&amp;"-"&amp;COUNTIF($B$2:B994,B994)</f>
        <v>GOIAS-111</v>
      </c>
      <c r="B994" s="5" t="s">
        <v>771</v>
      </c>
      <c r="C994" s="5" t="s">
        <v>823</v>
      </c>
      <c r="D994" s="6">
        <v>-481585</v>
      </c>
      <c r="E994" s="6">
        <v>-17722</v>
      </c>
      <c r="F994" s="7">
        <v>5.2830000000000004</v>
      </c>
      <c r="G994" s="7">
        <v>5.7039999999999997</v>
      </c>
      <c r="H994" s="7">
        <v>5.7939999999999996</v>
      </c>
      <c r="I994" s="7">
        <v>5.1420000000000003</v>
      </c>
      <c r="J994" s="7">
        <v>5.1120000000000001</v>
      </c>
      <c r="K994" s="7">
        <v>4.7089999999999996</v>
      </c>
      <c r="L994" s="7">
        <v>4.4580000000000002</v>
      </c>
      <c r="M994" s="7">
        <v>4.7190000000000003</v>
      </c>
      <c r="N994" s="7">
        <v>5.6289999999999996</v>
      </c>
      <c r="O994" s="7">
        <v>5.4089999999999998</v>
      </c>
      <c r="P994" s="7">
        <v>5.6120000000000001</v>
      </c>
      <c r="Q994" s="7">
        <v>5.4269999999999996</v>
      </c>
      <c r="R994" s="7">
        <v>5.68</v>
      </c>
      <c r="S994" s="7">
        <f t="shared" si="15"/>
        <v>5.2829166666666669</v>
      </c>
    </row>
    <row r="995" spans="1:19">
      <c r="A995" s="5" t="str">
        <f>B995&amp;"-"&amp;COUNTIF($B$2:B995,B995)</f>
        <v>GOIAS-112</v>
      </c>
      <c r="B995" s="5" t="s">
        <v>771</v>
      </c>
      <c r="C995" s="5" t="s">
        <v>5519</v>
      </c>
      <c r="D995" s="6">
        <v>-496721</v>
      </c>
      <c r="E995" s="6">
        <v>-151732</v>
      </c>
      <c r="F995" s="7">
        <v>5.2389999999999999</v>
      </c>
      <c r="G995" s="7">
        <v>5.3029999999999999</v>
      </c>
      <c r="H995" s="7">
        <v>5.5380000000000003</v>
      </c>
      <c r="I995" s="7">
        <v>5.1760000000000002</v>
      </c>
      <c r="J995" s="7">
        <v>5.1319999999999997</v>
      </c>
      <c r="K995" s="7">
        <v>4.9470000000000001</v>
      </c>
      <c r="L995" s="7">
        <v>4.6260000000000003</v>
      </c>
      <c r="M995" s="7">
        <v>4.8310000000000004</v>
      </c>
      <c r="N995" s="7">
        <v>5.6970000000000001</v>
      </c>
      <c r="O995" s="7">
        <v>5.5629999999999997</v>
      </c>
      <c r="P995" s="7">
        <v>5.53</v>
      </c>
      <c r="Q995" s="7">
        <v>5.1959999999999997</v>
      </c>
      <c r="R995" s="7">
        <v>5.3250000000000002</v>
      </c>
      <c r="S995" s="7">
        <f t="shared" si="15"/>
        <v>5.2386666666666679</v>
      </c>
    </row>
    <row r="996" spans="1:19">
      <c r="A996" s="5" t="str">
        <f>B996&amp;"-"&amp;COUNTIF($B$2:B996,B996)</f>
        <v>GOIAS-113</v>
      </c>
      <c r="B996" s="5" t="s">
        <v>771</v>
      </c>
      <c r="C996" s="5" t="s">
        <v>5520</v>
      </c>
      <c r="D996" s="6">
        <v>-511185</v>
      </c>
      <c r="E996" s="6">
        <v>-164402</v>
      </c>
      <c r="F996" s="7">
        <v>5.2460000000000004</v>
      </c>
      <c r="G996" s="7">
        <v>5.5019999999999998</v>
      </c>
      <c r="H996" s="7">
        <v>5.5419999999999998</v>
      </c>
      <c r="I996" s="7">
        <v>5.2160000000000002</v>
      </c>
      <c r="J996" s="7">
        <v>5.2480000000000002</v>
      </c>
      <c r="K996" s="7">
        <v>4.8339999999999996</v>
      </c>
      <c r="L996" s="7">
        <v>4.5880000000000001</v>
      </c>
      <c r="M996" s="7">
        <v>4.7210000000000001</v>
      </c>
      <c r="N996" s="7">
        <v>5.5110000000000001</v>
      </c>
      <c r="O996" s="7">
        <v>5.37</v>
      </c>
      <c r="P996" s="7">
        <v>5.4989999999999997</v>
      </c>
      <c r="Q996" s="7">
        <v>5.391</v>
      </c>
      <c r="R996" s="7">
        <v>5.5289999999999999</v>
      </c>
      <c r="S996" s="7">
        <f t="shared" si="15"/>
        <v>5.245916666666667</v>
      </c>
    </row>
    <row r="997" spans="1:19">
      <c r="A997" s="5" t="str">
        <f>B997&amp;"-"&amp;COUNTIF($B$2:B997,B997)</f>
        <v>GOIAS-114</v>
      </c>
      <c r="B997" s="5" t="s">
        <v>771</v>
      </c>
      <c r="C997" s="5" t="s">
        <v>4924</v>
      </c>
      <c r="D997" s="6">
        <v>-509057</v>
      </c>
      <c r="E997" s="6">
        <v>-163141</v>
      </c>
      <c r="F997" s="7">
        <v>5.2729999999999997</v>
      </c>
      <c r="G997" s="7">
        <v>5.5410000000000004</v>
      </c>
      <c r="H997" s="7">
        <v>5.6669999999999998</v>
      </c>
      <c r="I997" s="7">
        <v>5.3710000000000004</v>
      </c>
      <c r="J997" s="7">
        <v>5.3170000000000002</v>
      </c>
      <c r="K997" s="7">
        <v>4.8310000000000004</v>
      </c>
      <c r="L997" s="7">
        <v>4.5529999999999999</v>
      </c>
      <c r="M997" s="7">
        <v>4.6680000000000001</v>
      </c>
      <c r="N997" s="7">
        <v>5.3579999999999997</v>
      </c>
      <c r="O997" s="7">
        <v>5.3639999999999999</v>
      </c>
      <c r="P997" s="7">
        <v>5.5709999999999997</v>
      </c>
      <c r="Q997" s="7">
        <v>5.4790000000000001</v>
      </c>
      <c r="R997" s="7">
        <v>5.5579999999999998</v>
      </c>
      <c r="S997" s="7">
        <f t="shared" si="15"/>
        <v>5.2731666666666657</v>
      </c>
    </row>
    <row r="998" spans="1:19">
      <c r="A998" s="5" t="str">
        <f>B998&amp;"-"&amp;COUNTIF($B$2:B998,B998)</f>
        <v>GOIAS-115</v>
      </c>
      <c r="B998" s="5" t="s">
        <v>771</v>
      </c>
      <c r="C998" s="5" t="s">
        <v>824</v>
      </c>
      <c r="D998" s="6">
        <v>-498064</v>
      </c>
      <c r="E998" s="6">
        <v>-16021</v>
      </c>
      <c r="F998" s="7">
        <v>5.2560000000000002</v>
      </c>
      <c r="G998" s="7">
        <v>5.335</v>
      </c>
      <c r="H998" s="7">
        <v>5.6379999999999999</v>
      </c>
      <c r="I998" s="7">
        <v>5.17</v>
      </c>
      <c r="J998" s="7">
        <v>5.1280000000000001</v>
      </c>
      <c r="K998" s="7">
        <v>4.8730000000000002</v>
      </c>
      <c r="L998" s="7">
        <v>4.633</v>
      </c>
      <c r="M998" s="7">
        <v>4.7889999999999997</v>
      </c>
      <c r="N998" s="7">
        <v>5.76</v>
      </c>
      <c r="O998" s="7">
        <v>5.508</v>
      </c>
      <c r="P998" s="7">
        <v>5.5430000000000001</v>
      </c>
      <c r="Q998" s="7">
        <v>5.2960000000000003</v>
      </c>
      <c r="R998" s="7">
        <v>5.4039999999999999</v>
      </c>
      <c r="S998" s="7">
        <f t="shared" si="15"/>
        <v>5.2564166666666665</v>
      </c>
    </row>
    <row r="999" spans="1:19">
      <c r="A999" s="5" t="str">
        <f>B999&amp;"-"&amp;COUNTIF($B$2:B999,B999)</f>
        <v>GOIAS-116</v>
      </c>
      <c r="B999" s="5" t="s">
        <v>771</v>
      </c>
      <c r="C999" s="5" t="s">
        <v>825</v>
      </c>
      <c r="D999" s="6">
        <v>-496033</v>
      </c>
      <c r="E999" s="6">
        <v>-159192</v>
      </c>
      <c r="F999" s="7">
        <v>5.274</v>
      </c>
      <c r="G999" s="7">
        <v>5.4580000000000002</v>
      </c>
      <c r="H999" s="7">
        <v>5.6879999999999997</v>
      </c>
      <c r="I999" s="7">
        <v>5.2240000000000002</v>
      </c>
      <c r="J999" s="7">
        <v>5.1529999999999996</v>
      </c>
      <c r="K999" s="7">
        <v>4.883</v>
      </c>
      <c r="L999" s="7">
        <v>4.673</v>
      </c>
      <c r="M999" s="7">
        <v>4.766</v>
      </c>
      <c r="N999" s="7">
        <v>5.6890000000000001</v>
      </c>
      <c r="O999" s="7">
        <v>5.4950000000000001</v>
      </c>
      <c r="P999" s="7">
        <v>5.5640000000000001</v>
      </c>
      <c r="Q999" s="7">
        <v>5.28</v>
      </c>
      <c r="R999" s="7">
        <v>5.4119999999999999</v>
      </c>
      <c r="S999" s="7">
        <f t="shared" si="15"/>
        <v>5.2737499999999997</v>
      </c>
    </row>
    <row r="1000" spans="1:19">
      <c r="A1000" s="5" t="str">
        <f>B1000&amp;"-"&amp;COUNTIF($B$2:B1000,B1000)</f>
        <v>GOIAS-117</v>
      </c>
      <c r="B1000" s="5" t="s">
        <v>771</v>
      </c>
      <c r="C1000" s="5" t="s">
        <v>826</v>
      </c>
      <c r="D1000" s="6">
        <v>-49634</v>
      </c>
      <c r="E1000" s="6">
        <v>-157611</v>
      </c>
      <c r="F1000" s="7">
        <v>5.266</v>
      </c>
      <c r="G1000" s="7">
        <v>5.42</v>
      </c>
      <c r="H1000" s="7">
        <v>5.6959999999999997</v>
      </c>
      <c r="I1000" s="7">
        <v>5.2480000000000002</v>
      </c>
      <c r="J1000" s="7">
        <v>5.1779999999999999</v>
      </c>
      <c r="K1000" s="7">
        <v>4.9029999999999996</v>
      </c>
      <c r="L1000" s="7">
        <v>4.633</v>
      </c>
      <c r="M1000" s="7">
        <v>4.67</v>
      </c>
      <c r="N1000" s="7">
        <v>5.6479999999999997</v>
      </c>
      <c r="O1000" s="7">
        <v>5.476</v>
      </c>
      <c r="P1000" s="7">
        <v>5.5979999999999999</v>
      </c>
      <c r="Q1000" s="7">
        <v>5.2649999999999997</v>
      </c>
      <c r="R1000" s="7">
        <v>5.4550000000000001</v>
      </c>
      <c r="S1000" s="7">
        <f t="shared" si="15"/>
        <v>5.2658333333333331</v>
      </c>
    </row>
    <row r="1001" spans="1:19">
      <c r="A1001" s="5" t="str">
        <f>B1001&amp;"-"&amp;COUNTIF($B$2:B1001,B1001)</f>
        <v>GOIAS-118</v>
      </c>
      <c r="B1001" s="5" t="s">
        <v>771</v>
      </c>
      <c r="C1001" s="5" t="s">
        <v>5521</v>
      </c>
      <c r="D1001" s="6">
        <v>-515499</v>
      </c>
      <c r="E1001" s="6">
        <v>-190678</v>
      </c>
      <c r="F1001" s="7">
        <v>5.2460000000000004</v>
      </c>
      <c r="G1001" s="7">
        <v>5.7640000000000002</v>
      </c>
      <c r="H1001" s="7">
        <v>5.8680000000000003</v>
      </c>
      <c r="I1001" s="7">
        <v>5.399</v>
      </c>
      <c r="J1001" s="7">
        <v>5.0960000000000001</v>
      </c>
      <c r="K1001" s="7">
        <v>4.46</v>
      </c>
      <c r="L1001" s="7">
        <v>4.1669999999999998</v>
      </c>
      <c r="M1001" s="7">
        <v>4.3879999999999999</v>
      </c>
      <c r="N1001" s="7">
        <v>5.2240000000000002</v>
      </c>
      <c r="O1001" s="7">
        <v>5.1719999999999997</v>
      </c>
      <c r="P1001" s="7">
        <v>5.57</v>
      </c>
      <c r="Q1001" s="7">
        <v>5.766</v>
      </c>
      <c r="R1001" s="7">
        <v>6.0789999999999997</v>
      </c>
      <c r="S1001" s="7">
        <f t="shared" si="15"/>
        <v>5.246083333333333</v>
      </c>
    </row>
    <row r="1002" spans="1:19">
      <c r="A1002" s="5" t="str">
        <f>B1002&amp;"-"&amp;COUNTIF($B$2:B1002,B1002)</f>
        <v>GOIAS-119</v>
      </c>
      <c r="B1002" s="5" t="s">
        <v>771</v>
      </c>
      <c r="C1002" s="5" t="s">
        <v>827</v>
      </c>
      <c r="D1002" s="6">
        <v>-495515</v>
      </c>
      <c r="E1002" s="6">
        <v>-149527</v>
      </c>
      <c r="F1002" s="7">
        <v>5.2460000000000004</v>
      </c>
      <c r="G1002" s="7">
        <v>5.2850000000000001</v>
      </c>
      <c r="H1002" s="7">
        <v>5.556</v>
      </c>
      <c r="I1002" s="7">
        <v>5.1959999999999997</v>
      </c>
      <c r="J1002" s="7">
        <v>5.1479999999999997</v>
      </c>
      <c r="K1002" s="7">
        <v>4.8899999999999997</v>
      </c>
      <c r="L1002" s="7">
        <v>4.625</v>
      </c>
      <c r="M1002" s="7">
        <v>4.8449999999999998</v>
      </c>
      <c r="N1002" s="7">
        <v>5.7060000000000004</v>
      </c>
      <c r="O1002" s="7">
        <v>5.6029999999999998</v>
      </c>
      <c r="P1002" s="7">
        <v>5.5170000000000003</v>
      </c>
      <c r="Q1002" s="7">
        <v>5.2320000000000002</v>
      </c>
      <c r="R1002" s="7">
        <v>5.3460000000000001</v>
      </c>
      <c r="S1002" s="7">
        <f t="shared" si="15"/>
        <v>5.245750000000001</v>
      </c>
    </row>
    <row r="1003" spans="1:19">
      <c r="A1003" s="5" t="str">
        <f>B1003&amp;"-"&amp;COUNTIF($B$2:B1003,B1003)</f>
        <v>GOIAS-120</v>
      </c>
      <c r="B1003" s="5" t="s">
        <v>771</v>
      </c>
      <c r="C1003" s="5" t="s">
        <v>5353</v>
      </c>
      <c r="D1003" s="6">
        <v>-506098</v>
      </c>
      <c r="E1003" s="6">
        <v>-158209</v>
      </c>
      <c r="F1003" s="7">
        <v>5.3010000000000002</v>
      </c>
      <c r="G1003" s="7">
        <v>5.4859999999999998</v>
      </c>
      <c r="H1003" s="7">
        <v>5.6529999999999996</v>
      </c>
      <c r="I1003" s="7">
        <v>5.3470000000000004</v>
      </c>
      <c r="J1003" s="7">
        <v>5.2779999999999996</v>
      </c>
      <c r="K1003" s="7">
        <v>4.899</v>
      </c>
      <c r="L1003" s="7">
        <v>4.649</v>
      </c>
      <c r="M1003" s="7">
        <v>4.7709999999999999</v>
      </c>
      <c r="N1003" s="7">
        <v>5.5709999999999997</v>
      </c>
      <c r="O1003" s="7">
        <v>5.4539999999999997</v>
      </c>
      <c r="P1003" s="7">
        <v>5.5960000000000001</v>
      </c>
      <c r="Q1003" s="7">
        <v>5.3959999999999999</v>
      </c>
      <c r="R1003" s="7">
        <v>5.5119999999999996</v>
      </c>
      <c r="S1003" s="7">
        <f t="shared" si="15"/>
        <v>5.3009999999999993</v>
      </c>
    </row>
    <row r="1004" spans="1:19">
      <c r="A1004" s="5" t="str">
        <f>B1004&amp;"-"&amp;COUNTIF($B$2:B1004,B1004)</f>
        <v>GOIAS-121</v>
      </c>
      <c r="B1004" s="5" t="s">
        <v>771</v>
      </c>
      <c r="C1004" s="5" t="s">
        <v>828</v>
      </c>
      <c r="D1004" s="6">
        <v>-499405</v>
      </c>
      <c r="E1004" s="6">
        <v>-155604</v>
      </c>
      <c r="F1004" s="7">
        <v>5.2460000000000004</v>
      </c>
      <c r="G1004" s="7">
        <v>5.3310000000000004</v>
      </c>
      <c r="H1004" s="7">
        <v>5.61</v>
      </c>
      <c r="I1004" s="7">
        <v>5.2009999999999996</v>
      </c>
      <c r="J1004" s="7">
        <v>5.226</v>
      </c>
      <c r="K1004" s="7">
        <v>4.9400000000000004</v>
      </c>
      <c r="L1004" s="7">
        <v>4.6520000000000001</v>
      </c>
      <c r="M1004" s="7">
        <v>4.7080000000000002</v>
      </c>
      <c r="N1004" s="7">
        <v>5.6369999999999996</v>
      </c>
      <c r="O1004" s="7">
        <v>5.4809999999999999</v>
      </c>
      <c r="P1004" s="7">
        <v>5.5679999999999996</v>
      </c>
      <c r="Q1004" s="7">
        <v>5.2190000000000003</v>
      </c>
      <c r="R1004" s="7">
        <v>5.3810000000000002</v>
      </c>
      <c r="S1004" s="7">
        <f t="shared" si="15"/>
        <v>5.2461666666666664</v>
      </c>
    </row>
    <row r="1005" spans="1:19">
      <c r="A1005" s="5" t="str">
        <f>B1005&amp;"-"&amp;COUNTIF($B$2:B1005,B1005)</f>
        <v>GOIAS-122</v>
      </c>
      <c r="B1005" s="5" t="s">
        <v>771</v>
      </c>
      <c r="C1005" s="5" t="s">
        <v>5354</v>
      </c>
      <c r="D1005" s="6">
        <v>-513489</v>
      </c>
      <c r="E1005" s="6">
        <v>-18765</v>
      </c>
      <c r="F1005" s="7">
        <v>5.2590000000000003</v>
      </c>
      <c r="G1005" s="7">
        <v>5.7770000000000001</v>
      </c>
      <c r="H1005" s="7">
        <v>5.8410000000000002</v>
      </c>
      <c r="I1005" s="7">
        <v>5.3959999999999999</v>
      </c>
      <c r="J1005" s="7">
        <v>5.085</v>
      </c>
      <c r="K1005" s="7">
        <v>4.4829999999999997</v>
      </c>
      <c r="L1005" s="7">
        <v>4.1959999999999997</v>
      </c>
      <c r="M1005" s="7">
        <v>4.407</v>
      </c>
      <c r="N1005" s="7">
        <v>5.3070000000000004</v>
      </c>
      <c r="O1005" s="7">
        <v>5.1950000000000003</v>
      </c>
      <c r="P1005" s="7">
        <v>5.6130000000000004</v>
      </c>
      <c r="Q1005" s="7">
        <v>5.78</v>
      </c>
      <c r="R1005" s="7">
        <v>6.0259999999999998</v>
      </c>
      <c r="S1005" s="7">
        <f t="shared" si="15"/>
        <v>5.2588333333333344</v>
      </c>
    </row>
    <row r="1006" spans="1:19">
      <c r="A1006" s="5" t="str">
        <f>B1006&amp;"-"&amp;COUNTIF($B$2:B1006,B1006)</f>
        <v>GOIAS-123</v>
      </c>
      <c r="B1006" s="5" t="s">
        <v>771</v>
      </c>
      <c r="C1006" s="5" t="s">
        <v>4633</v>
      </c>
      <c r="D1006" s="6">
        <v>-496048</v>
      </c>
      <c r="E1006" s="6">
        <v>-162036</v>
      </c>
      <c r="F1006" s="7">
        <v>5.2480000000000002</v>
      </c>
      <c r="G1006" s="7">
        <v>5.4470000000000001</v>
      </c>
      <c r="H1006" s="7">
        <v>5.5880000000000001</v>
      </c>
      <c r="I1006" s="7">
        <v>5.1260000000000003</v>
      </c>
      <c r="J1006" s="7">
        <v>5.1189999999999998</v>
      </c>
      <c r="K1006" s="7">
        <v>4.851</v>
      </c>
      <c r="L1006" s="7">
        <v>4.6189999999999998</v>
      </c>
      <c r="M1006" s="7">
        <v>4.8010000000000002</v>
      </c>
      <c r="N1006" s="7">
        <v>5.6989999999999998</v>
      </c>
      <c r="O1006" s="7">
        <v>5.49</v>
      </c>
      <c r="P1006" s="7">
        <v>5.54</v>
      </c>
      <c r="Q1006" s="7">
        <v>5.2939999999999996</v>
      </c>
      <c r="R1006" s="7">
        <v>5.3959999999999999</v>
      </c>
      <c r="S1006" s="7">
        <f t="shared" si="15"/>
        <v>5.2474999999999996</v>
      </c>
    </row>
    <row r="1007" spans="1:19">
      <c r="A1007" s="5" t="str">
        <f>B1007&amp;"-"&amp;COUNTIF($B$2:B1007,B1007)</f>
        <v>GOIAS-124</v>
      </c>
      <c r="B1007" s="5" t="s">
        <v>771</v>
      </c>
      <c r="C1007" s="5" t="s">
        <v>829</v>
      </c>
      <c r="D1007" s="6">
        <v>-492162</v>
      </c>
      <c r="E1007" s="6">
        <v>-184097</v>
      </c>
      <c r="F1007" s="7">
        <v>5.242</v>
      </c>
      <c r="G1007" s="7">
        <v>5.5880000000000001</v>
      </c>
      <c r="H1007" s="7">
        <v>5.6950000000000003</v>
      </c>
      <c r="I1007" s="7">
        <v>5.1769999999999996</v>
      </c>
      <c r="J1007" s="7">
        <v>5.0620000000000003</v>
      </c>
      <c r="K1007" s="7">
        <v>4.6230000000000002</v>
      </c>
      <c r="L1007" s="7">
        <v>4.3879999999999999</v>
      </c>
      <c r="M1007" s="7">
        <v>4.569</v>
      </c>
      <c r="N1007" s="7">
        <v>5.548</v>
      </c>
      <c r="O1007" s="7">
        <v>5.3079999999999998</v>
      </c>
      <c r="P1007" s="7">
        <v>5.58</v>
      </c>
      <c r="Q1007" s="7">
        <v>5.5970000000000004</v>
      </c>
      <c r="R1007" s="7">
        <v>5.7750000000000004</v>
      </c>
      <c r="S1007" s="7">
        <f t="shared" si="15"/>
        <v>5.2425000000000006</v>
      </c>
    </row>
    <row r="1008" spans="1:19">
      <c r="A1008" s="5" t="str">
        <f>B1008&amp;"-"&amp;COUNTIF($B$2:B1008,B1008)</f>
        <v>GOIAS-125</v>
      </c>
      <c r="B1008" s="5" t="s">
        <v>771</v>
      </c>
      <c r="C1008" s="5" t="s">
        <v>4925</v>
      </c>
      <c r="D1008" s="6">
        <v>-507924</v>
      </c>
      <c r="E1008" s="6">
        <v>-166061</v>
      </c>
      <c r="F1008" s="7">
        <v>5.2729999999999997</v>
      </c>
      <c r="G1008" s="7">
        <v>5.5789999999999997</v>
      </c>
      <c r="H1008" s="7">
        <v>5.6070000000000002</v>
      </c>
      <c r="I1008" s="7">
        <v>5.2830000000000004</v>
      </c>
      <c r="J1008" s="7">
        <v>5.1959999999999997</v>
      </c>
      <c r="K1008" s="7">
        <v>4.851</v>
      </c>
      <c r="L1008" s="7">
        <v>4.5030000000000001</v>
      </c>
      <c r="M1008" s="7">
        <v>4.7629999999999999</v>
      </c>
      <c r="N1008" s="7">
        <v>5.5039999999999996</v>
      </c>
      <c r="O1008" s="7">
        <v>5.3940000000000001</v>
      </c>
      <c r="P1008" s="7">
        <v>5.556</v>
      </c>
      <c r="Q1008" s="7">
        <v>5.4740000000000002</v>
      </c>
      <c r="R1008" s="7">
        <v>5.5730000000000004</v>
      </c>
      <c r="S1008" s="7">
        <f t="shared" si="15"/>
        <v>5.2735833333333328</v>
      </c>
    </row>
    <row r="1009" spans="1:19">
      <c r="A1009" s="5" t="str">
        <f>B1009&amp;"-"&amp;COUNTIF($B$2:B1009,B1009)</f>
        <v>GOIAS-126</v>
      </c>
      <c r="B1009" s="5" t="s">
        <v>771</v>
      </c>
      <c r="C1009" s="5" t="s">
        <v>830</v>
      </c>
      <c r="D1009" s="6">
        <v>-501457</v>
      </c>
      <c r="E1009" s="6">
        <v>-170486</v>
      </c>
      <c r="F1009" s="7">
        <v>5.2709999999999999</v>
      </c>
      <c r="G1009" s="7">
        <v>5.59</v>
      </c>
      <c r="H1009" s="7">
        <v>5.81</v>
      </c>
      <c r="I1009" s="7">
        <v>5.2930000000000001</v>
      </c>
      <c r="J1009" s="7">
        <v>5.109</v>
      </c>
      <c r="K1009" s="7">
        <v>4.7789999999999999</v>
      </c>
      <c r="L1009" s="7">
        <v>4.452</v>
      </c>
      <c r="M1009" s="7">
        <v>4.6609999999999996</v>
      </c>
      <c r="N1009" s="7">
        <v>5.4530000000000003</v>
      </c>
      <c r="O1009" s="7">
        <v>5.423</v>
      </c>
      <c r="P1009" s="7">
        <v>5.5759999999999996</v>
      </c>
      <c r="Q1009" s="7">
        <v>5.5149999999999997</v>
      </c>
      <c r="R1009" s="7">
        <v>5.5949999999999998</v>
      </c>
      <c r="S1009" s="7">
        <f t="shared" si="15"/>
        <v>5.2713333333333336</v>
      </c>
    </row>
    <row r="1010" spans="1:19">
      <c r="A1010" s="5" t="str">
        <f>B1010&amp;"-"&amp;COUNTIF($B$2:B1010,B1010)</f>
        <v>GOIAS-127</v>
      </c>
      <c r="B1010" s="5" t="s">
        <v>771</v>
      </c>
      <c r="C1010" s="5" t="s">
        <v>5522</v>
      </c>
      <c r="D1010" s="6">
        <v>-493335</v>
      </c>
      <c r="E1010" s="6">
        <v>-157494</v>
      </c>
      <c r="F1010" s="7">
        <v>5.3090000000000002</v>
      </c>
      <c r="G1010" s="7">
        <v>5.4610000000000003</v>
      </c>
      <c r="H1010" s="7">
        <v>5.7169999999999996</v>
      </c>
      <c r="I1010" s="7">
        <v>5.2469999999999999</v>
      </c>
      <c r="J1010" s="7">
        <v>5.1749999999999998</v>
      </c>
      <c r="K1010" s="7">
        <v>4.9020000000000001</v>
      </c>
      <c r="L1010" s="7">
        <v>4.6769999999999996</v>
      </c>
      <c r="M1010" s="7">
        <v>4.7960000000000003</v>
      </c>
      <c r="N1010" s="7">
        <v>5.7229999999999999</v>
      </c>
      <c r="O1010" s="7">
        <v>5.5919999999999996</v>
      </c>
      <c r="P1010" s="7">
        <v>5.6609999999999996</v>
      </c>
      <c r="Q1010" s="7">
        <v>5.3289999999999997</v>
      </c>
      <c r="R1010" s="7">
        <v>5.4290000000000003</v>
      </c>
      <c r="S1010" s="7">
        <f t="shared" si="15"/>
        <v>5.3090833333333336</v>
      </c>
    </row>
    <row r="1011" spans="1:19">
      <c r="A1011" s="5" t="str">
        <f>B1011&amp;"-"&amp;COUNTIF($B$2:B1011,B1011)</f>
        <v>GOIAS-128</v>
      </c>
      <c r="B1011" s="5" t="s">
        <v>771</v>
      </c>
      <c r="C1011" s="5" t="s">
        <v>831</v>
      </c>
      <c r="D1011" s="6">
        <v>-517208</v>
      </c>
      <c r="E1011" s="6">
        <v>-178788</v>
      </c>
      <c r="F1011" s="7">
        <v>5.1630000000000003</v>
      </c>
      <c r="G1011" s="7">
        <v>5.5650000000000004</v>
      </c>
      <c r="H1011" s="7">
        <v>5.4930000000000003</v>
      </c>
      <c r="I1011" s="7">
        <v>5.1710000000000003</v>
      </c>
      <c r="J1011" s="7">
        <v>5.048</v>
      </c>
      <c r="K1011" s="7">
        <v>4.6050000000000004</v>
      </c>
      <c r="L1011" s="7">
        <v>4.3339999999999996</v>
      </c>
      <c r="M1011" s="7">
        <v>4.468</v>
      </c>
      <c r="N1011" s="7">
        <v>5.3789999999999996</v>
      </c>
      <c r="O1011" s="7">
        <v>5.2080000000000002</v>
      </c>
      <c r="P1011" s="7">
        <v>5.34</v>
      </c>
      <c r="Q1011" s="7">
        <v>5.56</v>
      </c>
      <c r="R1011" s="7">
        <v>5.7869999999999999</v>
      </c>
      <c r="S1011" s="7">
        <f t="shared" si="15"/>
        <v>5.1631666666666662</v>
      </c>
    </row>
    <row r="1012" spans="1:19">
      <c r="A1012" s="5" t="str">
        <f>B1012&amp;"-"&amp;COUNTIF($B$2:B1012,B1012)</f>
        <v>GOIAS-129</v>
      </c>
      <c r="B1012" s="5" t="s">
        <v>771</v>
      </c>
      <c r="C1012" s="5" t="s">
        <v>832</v>
      </c>
      <c r="D1012" s="6">
        <v>-509544</v>
      </c>
      <c r="E1012" s="6">
        <v>-161815</v>
      </c>
      <c r="F1012" s="7">
        <v>5.2919999999999998</v>
      </c>
      <c r="G1012" s="7">
        <v>5.5330000000000004</v>
      </c>
      <c r="H1012" s="7">
        <v>5.6689999999999996</v>
      </c>
      <c r="I1012" s="7">
        <v>5.3609999999999998</v>
      </c>
      <c r="J1012" s="7">
        <v>5.306</v>
      </c>
      <c r="K1012" s="7">
        <v>4.899</v>
      </c>
      <c r="L1012" s="7">
        <v>4.5599999999999996</v>
      </c>
      <c r="M1012" s="7">
        <v>4.7309999999999999</v>
      </c>
      <c r="N1012" s="7">
        <v>5.3879999999999999</v>
      </c>
      <c r="O1012" s="7">
        <v>5.3959999999999999</v>
      </c>
      <c r="P1012" s="7">
        <v>5.5949999999999998</v>
      </c>
      <c r="Q1012" s="7">
        <v>5.4809999999999999</v>
      </c>
      <c r="R1012" s="7">
        <v>5.5860000000000003</v>
      </c>
      <c r="S1012" s="7">
        <f t="shared" si="15"/>
        <v>5.2920833333333333</v>
      </c>
    </row>
    <row r="1013" spans="1:19">
      <c r="A1013" s="5" t="str">
        <f>B1013&amp;"-"&amp;COUNTIF($B$2:B1013,B1013)</f>
        <v>GOIAS-130</v>
      </c>
      <c r="B1013" s="5" t="s">
        <v>771</v>
      </c>
      <c r="C1013" s="5" t="s">
        <v>4828</v>
      </c>
      <c r="D1013" s="6">
        <v>-493751</v>
      </c>
      <c r="E1013" s="6">
        <v>-159562</v>
      </c>
      <c r="F1013" s="7">
        <v>5.3140000000000001</v>
      </c>
      <c r="G1013" s="7">
        <v>5.4530000000000003</v>
      </c>
      <c r="H1013" s="7">
        <v>5.6760000000000002</v>
      </c>
      <c r="I1013" s="7">
        <v>5.2859999999999996</v>
      </c>
      <c r="J1013" s="7">
        <v>5.23</v>
      </c>
      <c r="K1013" s="7">
        <v>4.9029999999999996</v>
      </c>
      <c r="L1013" s="7">
        <v>4.66</v>
      </c>
      <c r="M1013" s="7">
        <v>4.8410000000000002</v>
      </c>
      <c r="N1013" s="7">
        <v>5.726</v>
      </c>
      <c r="O1013" s="7">
        <v>5.548</v>
      </c>
      <c r="P1013" s="7">
        <v>5.5949999999999998</v>
      </c>
      <c r="Q1013" s="7">
        <v>5.3479999999999999</v>
      </c>
      <c r="R1013" s="7">
        <v>5.5010000000000003</v>
      </c>
      <c r="S1013" s="7">
        <f t="shared" si="15"/>
        <v>5.3139166666666666</v>
      </c>
    </row>
    <row r="1014" spans="1:19">
      <c r="A1014" s="5" t="str">
        <f>B1014&amp;"-"&amp;COUNTIF($B$2:B1014,B1014)</f>
        <v>GOIAS-131</v>
      </c>
      <c r="B1014" s="5" t="s">
        <v>771</v>
      </c>
      <c r="C1014" s="5" t="s">
        <v>4926</v>
      </c>
      <c r="D1014" s="6">
        <v>-496291</v>
      </c>
      <c r="E1014" s="6">
        <v>-178072</v>
      </c>
      <c r="F1014" s="7">
        <v>5.2480000000000002</v>
      </c>
      <c r="G1014" s="7">
        <v>5.6070000000000002</v>
      </c>
      <c r="H1014" s="7">
        <v>5.6879999999999997</v>
      </c>
      <c r="I1014" s="7">
        <v>5.1879999999999997</v>
      </c>
      <c r="J1014" s="7">
        <v>5.0940000000000003</v>
      </c>
      <c r="K1014" s="7">
        <v>4.6719999999999997</v>
      </c>
      <c r="L1014" s="7">
        <v>4.3630000000000004</v>
      </c>
      <c r="M1014" s="7">
        <v>4.6059999999999999</v>
      </c>
      <c r="N1014" s="7">
        <v>5.54</v>
      </c>
      <c r="O1014" s="7">
        <v>5.33</v>
      </c>
      <c r="P1014" s="7">
        <v>5.5869999999999997</v>
      </c>
      <c r="Q1014" s="7">
        <v>5.5750000000000002</v>
      </c>
      <c r="R1014" s="7">
        <v>5.7249999999999996</v>
      </c>
      <c r="S1014" s="7">
        <f t="shared" si="15"/>
        <v>5.2479166666666668</v>
      </c>
    </row>
    <row r="1015" spans="1:19">
      <c r="A1015" s="5" t="str">
        <f>B1015&amp;"-"&amp;COUNTIF($B$2:B1015,B1015)</f>
        <v>GOIAS-132</v>
      </c>
      <c r="B1015" s="5" t="s">
        <v>771</v>
      </c>
      <c r="C1015" s="5" t="s">
        <v>440</v>
      </c>
      <c r="D1015" s="6">
        <v>-508672</v>
      </c>
      <c r="E1015" s="6">
        <v>-158663</v>
      </c>
      <c r="F1015" s="7">
        <v>5.2930000000000001</v>
      </c>
      <c r="G1015" s="7">
        <v>5.508</v>
      </c>
      <c r="H1015" s="7">
        <v>5.649</v>
      </c>
      <c r="I1015" s="7">
        <v>5.3760000000000003</v>
      </c>
      <c r="J1015" s="7">
        <v>5.3559999999999999</v>
      </c>
      <c r="K1015" s="7">
        <v>4.891</v>
      </c>
      <c r="L1015" s="7">
        <v>4.6340000000000003</v>
      </c>
      <c r="M1015" s="7">
        <v>4.6849999999999996</v>
      </c>
      <c r="N1015" s="7">
        <v>5.4429999999999996</v>
      </c>
      <c r="O1015" s="7">
        <v>5.4269999999999996</v>
      </c>
      <c r="P1015" s="7">
        <v>5.6050000000000004</v>
      </c>
      <c r="Q1015" s="7">
        <v>5.4189999999999996</v>
      </c>
      <c r="R1015" s="7">
        <v>5.5209999999999999</v>
      </c>
      <c r="S1015" s="7">
        <f t="shared" si="15"/>
        <v>5.2928333333333333</v>
      </c>
    </row>
    <row r="1016" spans="1:19">
      <c r="A1016" s="5" t="str">
        <f>B1016&amp;"-"&amp;COUNTIF($B$2:B1016,B1016)</f>
        <v>GOIAS-133</v>
      </c>
      <c r="B1016" s="5" t="s">
        <v>771</v>
      </c>
      <c r="C1016" s="5" t="s">
        <v>833</v>
      </c>
      <c r="D1016" s="6">
        <v>-513998</v>
      </c>
      <c r="E1016" s="6">
        <v>-191856</v>
      </c>
      <c r="F1016" s="7">
        <v>5.2530000000000001</v>
      </c>
      <c r="G1016" s="7">
        <v>5.7519999999999998</v>
      </c>
      <c r="H1016" s="7">
        <v>5.8789999999999996</v>
      </c>
      <c r="I1016" s="7">
        <v>5.3849999999999998</v>
      </c>
      <c r="J1016" s="7">
        <v>5.0789999999999997</v>
      </c>
      <c r="K1016" s="7">
        <v>4.4480000000000004</v>
      </c>
      <c r="L1016" s="7">
        <v>4.1319999999999997</v>
      </c>
      <c r="M1016" s="7">
        <v>4.3869999999999996</v>
      </c>
      <c r="N1016" s="7">
        <v>5.234</v>
      </c>
      <c r="O1016" s="7">
        <v>5.194</v>
      </c>
      <c r="P1016" s="7">
        <v>5.6050000000000004</v>
      </c>
      <c r="Q1016" s="7">
        <v>5.8070000000000004</v>
      </c>
      <c r="R1016" s="7">
        <v>6.1349999999999998</v>
      </c>
      <c r="S1016" s="7">
        <f t="shared" si="15"/>
        <v>5.2530833333333335</v>
      </c>
    </row>
    <row r="1017" spans="1:19">
      <c r="A1017" s="5" t="str">
        <f>B1017&amp;"-"&amp;COUNTIF($B$2:B1017,B1017)</f>
        <v>GOIAS-134</v>
      </c>
      <c r="B1017" s="5" t="s">
        <v>771</v>
      </c>
      <c r="C1017" s="5" t="s">
        <v>5431</v>
      </c>
      <c r="D1017" s="6">
        <v>-487432</v>
      </c>
      <c r="E1017" s="6">
        <v>-166195</v>
      </c>
      <c r="F1017" s="7">
        <v>5.2560000000000002</v>
      </c>
      <c r="G1017" s="7">
        <v>5.4950000000000001</v>
      </c>
      <c r="H1017" s="7">
        <v>5.702</v>
      </c>
      <c r="I1017" s="7">
        <v>5.1340000000000003</v>
      </c>
      <c r="J1017" s="7">
        <v>5.0810000000000004</v>
      </c>
      <c r="K1017" s="7">
        <v>4.7869999999999999</v>
      </c>
      <c r="L1017" s="7">
        <v>4.609</v>
      </c>
      <c r="M1017" s="7">
        <v>4.827</v>
      </c>
      <c r="N1017" s="7">
        <v>5.726</v>
      </c>
      <c r="O1017" s="7">
        <v>5.5369999999999999</v>
      </c>
      <c r="P1017" s="7">
        <v>5.5720000000000001</v>
      </c>
      <c r="Q1017" s="7">
        <v>5.1710000000000003</v>
      </c>
      <c r="R1017" s="7">
        <v>5.4269999999999996</v>
      </c>
      <c r="S1017" s="7">
        <f t="shared" si="15"/>
        <v>5.2556666666666665</v>
      </c>
    </row>
    <row r="1018" spans="1:19">
      <c r="A1018" s="5" t="str">
        <f>B1018&amp;"-"&amp;COUNTIF($B$2:B1018,B1018)</f>
        <v>GOIAS-135</v>
      </c>
      <c r="B1018" s="5" t="s">
        <v>771</v>
      </c>
      <c r="C1018" s="5" t="s">
        <v>4927</v>
      </c>
      <c r="D1018" s="6">
        <v>-479504</v>
      </c>
      <c r="E1018" s="6">
        <v>-162535</v>
      </c>
      <c r="F1018" s="7">
        <v>5.3380000000000001</v>
      </c>
      <c r="G1018" s="7">
        <v>5.6349999999999998</v>
      </c>
      <c r="H1018" s="7">
        <v>5.8170000000000002</v>
      </c>
      <c r="I1018" s="7">
        <v>5.1950000000000003</v>
      </c>
      <c r="J1018" s="7">
        <v>5.1289999999999996</v>
      </c>
      <c r="K1018" s="7">
        <v>4.8129999999999997</v>
      </c>
      <c r="L1018" s="7">
        <v>4.6820000000000004</v>
      </c>
      <c r="M1018" s="7">
        <v>4.9450000000000003</v>
      </c>
      <c r="N1018" s="7">
        <v>5.7709999999999999</v>
      </c>
      <c r="O1018" s="7">
        <v>5.6349999999999998</v>
      </c>
      <c r="P1018" s="7">
        <v>5.6340000000000003</v>
      </c>
      <c r="Q1018" s="7">
        <v>5.2210000000000001</v>
      </c>
      <c r="R1018" s="7">
        <v>5.5789999999999997</v>
      </c>
      <c r="S1018" s="7">
        <f t="shared" si="15"/>
        <v>5.3379999999999983</v>
      </c>
    </row>
    <row r="1019" spans="1:19">
      <c r="A1019" s="5" t="str">
        <f>B1019&amp;"-"&amp;COUNTIF($B$2:B1019,B1019)</f>
        <v>GOIAS-136</v>
      </c>
      <c r="B1019" s="5" t="s">
        <v>771</v>
      </c>
      <c r="C1019" s="5" t="s">
        <v>834</v>
      </c>
      <c r="D1019" s="6">
        <v>-494944</v>
      </c>
      <c r="E1019" s="6">
        <v>-17297</v>
      </c>
      <c r="F1019" s="7">
        <v>5.2779999999999996</v>
      </c>
      <c r="G1019" s="7">
        <v>5.617</v>
      </c>
      <c r="H1019" s="7">
        <v>5.7110000000000003</v>
      </c>
      <c r="I1019" s="7">
        <v>5.2930000000000001</v>
      </c>
      <c r="J1019" s="7">
        <v>5.1529999999999996</v>
      </c>
      <c r="K1019" s="7">
        <v>4.7240000000000002</v>
      </c>
      <c r="L1019" s="7">
        <v>4.4569999999999999</v>
      </c>
      <c r="M1019" s="7">
        <v>4.694</v>
      </c>
      <c r="N1019" s="7">
        <v>5.585</v>
      </c>
      <c r="O1019" s="7">
        <v>5.4160000000000004</v>
      </c>
      <c r="P1019" s="7">
        <v>5.5780000000000003</v>
      </c>
      <c r="Q1019" s="7">
        <v>5.4820000000000002</v>
      </c>
      <c r="R1019" s="7">
        <v>5.625</v>
      </c>
      <c r="S1019" s="7">
        <f t="shared" si="15"/>
        <v>5.277916666666667</v>
      </c>
    </row>
    <row r="1020" spans="1:19">
      <c r="A1020" s="5" t="str">
        <f>B1020&amp;"-"&amp;COUNTIF($B$2:B1020,B1020)</f>
        <v>GOIAS-137</v>
      </c>
      <c r="B1020" s="5" t="s">
        <v>771</v>
      </c>
      <c r="C1020" s="5" t="s">
        <v>835</v>
      </c>
      <c r="D1020" s="6">
        <v>-46109</v>
      </c>
      <c r="E1020" s="6">
        <v>-144966</v>
      </c>
      <c r="F1020" s="7">
        <v>5.6139999999999999</v>
      </c>
      <c r="G1020" s="7">
        <v>6.0449999999999999</v>
      </c>
      <c r="H1020" s="7">
        <v>6.0419999999999998</v>
      </c>
      <c r="I1020" s="7">
        <v>5.5090000000000003</v>
      </c>
      <c r="J1020" s="7">
        <v>5.4480000000000004</v>
      </c>
      <c r="K1020" s="7">
        <v>5.0549999999999997</v>
      </c>
      <c r="L1020" s="7">
        <v>4.9269999999999996</v>
      </c>
      <c r="M1020" s="7">
        <v>5.2880000000000003</v>
      </c>
      <c r="N1020" s="7">
        <v>5.9770000000000003</v>
      </c>
      <c r="O1020" s="7">
        <v>6.0220000000000002</v>
      </c>
      <c r="P1020" s="7">
        <v>5.883</v>
      </c>
      <c r="Q1020" s="7">
        <v>5.2809999999999997</v>
      </c>
      <c r="R1020" s="7">
        <v>5.8970000000000002</v>
      </c>
      <c r="S1020" s="7">
        <f t="shared" si="15"/>
        <v>5.6144999999999996</v>
      </c>
    </row>
    <row r="1021" spans="1:19">
      <c r="A1021" s="5" t="str">
        <f>B1021&amp;"-"&amp;COUNTIF($B$2:B1021,B1021)</f>
        <v>GOIAS-138</v>
      </c>
      <c r="B1021" s="5" t="s">
        <v>771</v>
      </c>
      <c r="C1021" s="5" t="s">
        <v>836</v>
      </c>
      <c r="D1021" s="6">
        <v>-49178</v>
      </c>
      <c r="E1021" s="6">
        <v>-140153</v>
      </c>
      <c r="F1021" s="7">
        <v>5.3120000000000003</v>
      </c>
      <c r="G1021" s="7">
        <v>5.423</v>
      </c>
      <c r="H1021" s="7">
        <v>5.51</v>
      </c>
      <c r="I1021" s="7">
        <v>5.1470000000000002</v>
      </c>
      <c r="J1021" s="7">
        <v>5.1479999999999997</v>
      </c>
      <c r="K1021" s="7">
        <v>4.9960000000000004</v>
      </c>
      <c r="L1021" s="7">
        <v>4.7770000000000001</v>
      </c>
      <c r="M1021" s="7">
        <v>5.1539999999999999</v>
      </c>
      <c r="N1021" s="7">
        <v>5.8419999999999996</v>
      </c>
      <c r="O1021" s="7">
        <v>5.6619999999999999</v>
      </c>
      <c r="P1021" s="7">
        <v>5.57</v>
      </c>
      <c r="Q1021" s="7">
        <v>5.1639999999999997</v>
      </c>
      <c r="R1021" s="7">
        <v>5.3490000000000002</v>
      </c>
      <c r="S1021" s="7">
        <f t="shared" si="15"/>
        <v>5.3118333333333334</v>
      </c>
    </row>
    <row r="1022" spans="1:19">
      <c r="A1022" s="5" t="str">
        <f>B1022&amp;"-"&amp;COUNTIF($B$2:B1022,B1022)</f>
        <v>GOIAS-139</v>
      </c>
      <c r="B1022" s="5" t="s">
        <v>771</v>
      </c>
      <c r="C1022" s="5" t="s">
        <v>3928</v>
      </c>
      <c r="D1022" s="6">
        <v>-486435</v>
      </c>
      <c r="E1022" s="6">
        <v>-179788</v>
      </c>
      <c r="F1022" s="7">
        <v>5.2839999999999998</v>
      </c>
      <c r="G1022" s="7">
        <v>5.6239999999999997</v>
      </c>
      <c r="H1022" s="7">
        <v>5.827</v>
      </c>
      <c r="I1022" s="7">
        <v>5.22</v>
      </c>
      <c r="J1022" s="7">
        <v>5.1150000000000002</v>
      </c>
      <c r="K1022" s="7">
        <v>4.7169999999999996</v>
      </c>
      <c r="L1022" s="7">
        <v>4.399</v>
      </c>
      <c r="M1022" s="7">
        <v>4.63</v>
      </c>
      <c r="N1022" s="7">
        <v>5.48</v>
      </c>
      <c r="O1022" s="7">
        <v>5.4770000000000003</v>
      </c>
      <c r="P1022" s="7">
        <v>5.617</v>
      </c>
      <c r="Q1022" s="7">
        <v>5.6</v>
      </c>
      <c r="R1022" s="7">
        <v>5.7</v>
      </c>
      <c r="S1022" s="7">
        <f t="shared" si="15"/>
        <v>5.2838333333333338</v>
      </c>
    </row>
    <row r="1023" spans="1:19">
      <c r="A1023" s="5" t="str">
        <f>B1023&amp;"-"&amp;COUNTIF($B$2:B1023,B1023)</f>
        <v>GOIAS-140</v>
      </c>
      <c r="B1023" s="5" t="s">
        <v>771</v>
      </c>
      <c r="C1023" s="5" t="s">
        <v>5355</v>
      </c>
      <c r="D1023" s="6">
        <v>-50746</v>
      </c>
      <c r="E1023" s="6">
        <v>-154346</v>
      </c>
      <c r="F1023" s="7">
        <v>5.2789999999999999</v>
      </c>
      <c r="G1023" s="7">
        <v>5.46</v>
      </c>
      <c r="H1023" s="7">
        <v>5.6040000000000001</v>
      </c>
      <c r="I1023" s="7">
        <v>5.3579999999999997</v>
      </c>
      <c r="J1023" s="7">
        <v>5.2629999999999999</v>
      </c>
      <c r="K1023" s="7">
        <v>4.92</v>
      </c>
      <c r="L1023" s="7">
        <v>4.5339999999999998</v>
      </c>
      <c r="M1023" s="7">
        <v>4.7510000000000003</v>
      </c>
      <c r="N1023" s="7">
        <v>5.5449999999999999</v>
      </c>
      <c r="O1023" s="7">
        <v>5.4470000000000001</v>
      </c>
      <c r="P1023" s="7">
        <v>5.5860000000000003</v>
      </c>
      <c r="Q1023" s="7">
        <v>5.4059999999999997</v>
      </c>
      <c r="R1023" s="7">
        <v>5.476</v>
      </c>
      <c r="S1023" s="7">
        <f t="shared" si="15"/>
        <v>5.2791666666666668</v>
      </c>
    </row>
    <row r="1024" spans="1:19">
      <c r="A1024" s="5" t="str">
        <f>B1024&amp;"-"&amp;COUNTIF($B$2:B1024,B1024)</f>
        <v>GOIAS-141</v>
      </c>
      <c r="B1024" s="5" t="s">
        <v>771</v>
      </c>
      <c r="C1024" s="5" t="s">
        <v>4928</v>
      </c>
      <c r="D1024" s="6">
        <v>-503392</v>
      </c>
      <c r="E1024" s="6">
        <v>-179723</v>
      </c>
      <c r="F1024" s="7">
        <v>5.2930000000000001</v>
      </c>
      <c r="G1024" s="7">
        <v>5.7249999999999996</v>
      </c>
      <c r="H1024" s="7">
        <v>5.7880000000000003</v>
      </c>
      <c r="I1024" s="7">
        <v>5.3079999999999998</v>
      </c>
      <c r="J1024" s="7">
        <v>5.0860000000000003</v>
      </c>
      <c r="K1024" s="7">
        <v>4.6740000000000004</v>
      </c>
      <c r="L1024" s="7">
        <v>4.3680000000000003</v>
      </c>
      <c r="M1024" s="7">
        <v>4.5990000000000002</v>
      </c>
      <c r="N1024" s="7">
        <v>5.5819999999999999</v>
      </c>
      <c r="O1024" s="7">
        <v>5.3369999999999997</v>
      </c>
      <c r="P1024" s="7">
        <v>5.5659999999999998</v>
      </c>
      <c r="Q1024" s="7">
        <v>5.6580000000000004</v>
      </c>
      <c r="R1024" s="7">
        <v>5.8209999999999997</v>
      </c>
      <c r="S1024" s="7">
        <f t="shared" si="15"/>
        <v>5.2926666666666664</v>
      </c>
    </row>
    <row r="1025" spans="1:19">
      <c r="A1025" s="5" t="str">
        <f>B1025&amp;"-"&amp;COUNTIF($B$2:B1025,B1025)</f>
        <v>GOIAS-142</v>
      </c>
      <c r="B1025" s="5" t="s">
        <v>771</v>
      </c>
      <c r="C1025" s="5" t="s">
        <v>5523</v>
      </c>
      <c r="D1025" s="6">
        <v>-481632</v>
      </c>
      <c r="E1025" s="6">
        <v>-150551</v>
      </c>
      <c r="F1025" s="7">
        <v>5.4050000000000002</v>
      </c>
      <c r="G1025" s="7">
        <v>5.5259999999999998</v>
      </c>
      <c r="H1025" s="7">
        <v>5.7729999999999997</v>
      </c>
      <c r="I1025" s="7">
        <v>5.3140000000000001</v>
      </c>
      <c r="J1025" s="7">
        <v>5.2290000000000001</v>
      </c>
      <c r="K1025" s="7">
        <v>5.0419999999999998</v>
      </c>
      <c r="L1025" s="7">
        <v>4.8029999999999999</v>
      </c>
      <c r="M1025" s="7">
        <v>5.0279999999999996</v>
      </c>
      <c r="N1025" s="7">
        <v>5.9470000000000001</v>
      </c>
      <c r="O1025" s="7">
        <v>5.7309999999999999</v>
      </c>
      <c r="P1025" s="7">
        <v>5.6859999999999999</v>
      </c>
      <c r="Q1025" s="7">
        <v>5.2549999999999999</v>
      </c>
      <c r="R1025" s="7">
        <v>5.5289999999999999</v>
      </c>
      <c r="S1025" s="7">
        <f t="shared" si="15"/>
        <v>5.4052500000000014</v>
      </c>
    </row>
    <row r="1026" spans="1:19">
      <c r="A1026" s="5" t="str">
        <f>B1026&amp;"-"&amp;COUNTIF($B$2:B1026,B1026)</f>
        <v>GOIAS-143</v>
      </c>
      <c r="B1026" s="5" t="s">
        <v>771</v>
      </c>
      <c r="C1026" s="5" t="s">
        <v>4634</v>
      </c>
      <c r="D1026" s="6">
        <v>-48221</v>
      </c>
      <c r="E1026" s="6">
        <v>-135309</v>
      </c>
      <c r="F1026" s="7">
        <v>5.3040000000000003</v>
      </c>
      <c r="G1026" s="7">
        <v>5.4139999999999997</v>
      </c>
      <c r="H1026" s="7">
        <v>5.4969999999999999</v>
      </c>
      <c r="I1026" s="7">
        <v>5.1959999999999997</v>
      </c>
      <c r="J1026" s="7">
        <v>5.15</v>
      </c>
      <c r="K1026" s="7">
        <v>5.0439999999999996</v>
      </c>
      <c r="L1026" s="7">
        <v>4.7320000000000002</v>
      </c>
      <c r="M1026" s="7">
        <v>5.1349999999999998</v>
      </c>
      <c r="N1026" s="7">
        <v>5.7859999999999996</v>
      </c>
      <c r="O1026" s="7">
        <v>5.6989999999999998</v>
      </c>
      <c r="P1026" s="7">
        <v>5.5339999999999998</v>
      </c>
      <c r="Q1026" s="7">
        <v>5.125</v>
      </c>
      <c r="R1026" s="7">
        <v>5.3360000000000003</v>
      </c>
      <c r="S1026" s="7">
        <f t="shared" si="15"/>
        <v>5.3039999999999994</v>
      </c>
    </row>
    <row r="1027" spans="1:19">
      <c r="A1027" s="5" t="str">
        <f>B1027&amp;"-"&amp;COUNTIF($B$2:B1027,B1027)</f>
        <v>GOIAS-144</v>
      </c>
      <c r="B1027" s="5" t="s">
        <v>771</v>
      </c>
      <c r="C1027" s="5" t="s">
        <v>837</v>
      </c>
      <c r="D1027" s="6">
        <v>-525541</v>
      </c>
      <c r="E1027" s="6">
        <v>-175658</v>
      </c>
      <c r="F1027" s="7">
        <v>5.1820000000000004</v>
      </c>
      <c r="G1027" s="7">
        <v>5.593</v>
      </c>
      <c r="H1027" s="7">
        <v>5.6269999999999998</v>
      </c>
      <c r="I1027" s="7">
        <v>5.2110000000000003</v>
      </c>
      <c r="J1027" s="7">
        <v>5.0979999999999999</v>
      </c>
      <c r="K1027" s="7">
        <v>4.641</v>
      </c>
      <c r="L1027" s="7">
        <v>4.3259999999999996</v>
      </c>
      <c r="M1027" s="7">
        <v>4.5270000000000001</v>
      </c>
      <c r="N1027" s="7">
        <v>5.3520000000000003</v>
      </c>
      <c r="O1027" s="7">
        <v>5.2519999999999998</v>
      </c>
      <c r="P1027" s="7">
        <v>5.2329999999999997</v>
      </c>
      <c r="Q1027" s="7">
        <v>5.5789999999999997</v>
      </c>
      <c r="R1027" s="7">
        <v>5.7430000000000003</v>
      </c>
      <c r="S1027" s="7">
        <f t="shared" ref="S1027:S1090" si="16">(G1027+H1027+I1027+J1027+K1027+L1027+M1027+N1027+O1027+P1027+Q1027+R1027)/12</f>
        <v>5.1818333333333335</v>
      </c>
    </row>
    <row r="1028" spans="1:19">
      <c r="A1028" s="5" t="str">
        <f>B1028&amp;"-"&amp;COUNTIF($B$2:B1028,B1028)</f>
        <v>GOIAS-145</v>
      </c>
      <c r="B1028" s="5" t="s">
        <v>771</v>
      </c>
      <c r="C1028" s="5" t="s">
        <v>5524</v>
      </c>
      <c r="D1028" s="6">
        <v>-507387</v>
      </c>
      <c r="E1028" s="6">
        <v>-165449</v>
      </c>
      <c r="F1028" s="7">
        <v>5.2679999999999998</v>
      </c>
      <c r="G1028" s="7">
        <v>5.58</v>
      </c>
      <c r="H1028" s="7">
        <v>5.5949999999999998</v>
      </c>
      <c r="I1028" s="7">
        <v>5.2590000000000003</v>
      </c>
      <c r="J1028" s="7">
        <v>5.2210000000000001</v>
      </c>
      <c r="K1028" s="7">
        <v>4.8520000000000003</v>
      </c>
      <c r="L1028" s="7">
        <v>4.5119999999999996</v>
      </c>
      <c r="M1028" s="7">
        <v>4.7409999999999997</v>
      </c>
      <c r="N1028" s="7">
        <v>5.4710000000000001</v>
      </c>
      <c r="O1028" s="7">
        <v>5.383</v>
      </c>
      <c r="P1028" s="7">
        <v>5.5609999999999999</v>
      </c>
      <c r="Q1028" s="7">
        <v>5.4939999999999998</v>
      </c>
      <c r="R1028" s="7">
        <v>5.5469999999999997</v>
      </c>
      <c r="S1028" s="7">
        <f t="shared" si="16"/>
        <v>5.2680000000000007</v>
      </c>
    </row>
    <row r="1029" spans="1:19">
      <c r="A1029" s="5" t="str">
        <f>B1029&amp;"-"&amp;COUNTIF($B$2:B1029,B1029)</f>
        <v>GOIAS-146</v>
      </c>
      <c r="B1029" s="5" t="s">
        <v>771</v>
      </c>
      <c r="C1029" s="5" t="s">
        <v>5525</v>
      </c>
      <c r="D1029" s="6">
        <v>-468915</v>
      </c>
      <c r="E1029" s="6">
        <v>-132583</v>
      </c>
      <c r="F1029" s="7">
        <v>5.56</v>
      </c>
      <c r="G1029" s="7">
        <v>5.9089999999999998</v>
      </c>
      <c r="H1029" s="7">
        <v>5.7560000000000002</v>
      </c>
      <c r="I1029" s="7">
        <v>5.4080000000000004</v>
      </c>
      <c r="J1029" s="7">
        <v>5.4050000000000002</v>
      </c>
      <c r="K1029" s="7">
        <v>5.1390000000000002</v>
      </c>
      <c r="L1029" s="7">
        <v>4.9969999999999999</v>
      </c>
      <c r="M1029" s="7">
        <v>5.3540000000000001</v>
      </c>
      <c r="N1029" s="7">
        <v>5.9029999999999996</v>
      </c>
      <c r="O1029" s="7">
        <v>5.95</v>
      </c>
      <c r="P1029" s="7">
        <v>5.73</v>
      </c>
      <c r="Q1029" s="7">
        <v>5.3440000000000003</v>
      </c>
      <c r="R1029" s="7">
        <v>5.8220000000000001</v>
      </c>
      <c r="S1029" s="7">
        <f t="shared" si="16"/>
        <v>5.5597500000000002</v>
      </c>
    </row>
    <row r="1030" spans="1:19">
      <c r="A1030" s="5" t="str">
        <f>B1030&amp;"-"&amp;COUNTIF($B$2:B1030,B1030)</f>
        <v>GOIAS-147</v>
      </c>
      <c r="B1030" s="5" t="s">
        <v>771</v>
      </c>
      <c r="C1030" s="5" t="s">
        <v>5526</v>
      </c>
      <c r="D1030" s="6">
        <v>-513983</v>
      </c>
      <c r="E1030" s="6">
        <v>-160064</v>
      </c>
      <c r="F1030" s="7">
        <v>5.2629999999999999</v>
      </c>
      <c r="G1030" s="7">
        <v>5.5140000000000002</v>
      </c>
      <c r="H1030" s="7">
        <v>5.68</v>
      </c>
      <c r="I1030" s="7">
        <v>5.3010000000000002</v>
      </c>
      <c r="J1030" s="7">
        <v>5.2779999999999996</v>
      </c>
      <c r="K1030" s="7">
        <v>4.8840000000000003</v>
      </c>
      <c r="L1030" s="7">
        <v>4.5739999999999998</v>
      </c>
      <c r="M1030" s="7">
        <v>4.6580000000000004</v>
      </c>
      <c r="N1030" s="7">
        <v>5.3849999999999998</v>
      </c>
      <c r="O1030" s="7">
        <v>5.4219999999999997</v>
      </c>
      <c r="P1030" s="7">
        <v>5.5170000000000003</v>
      </c>
      <c r="Q1030" s="7">
        <v>5.383</v>
      </c>
      <c r="R1030" s="7">
        <v>5.5609999999999999</v>
      </c>
      <c r="S1030" s="7">
        <f t="shared" si="16"/>
        <v>5.2630833333333333</v>
      </c>
    </row>
    <row r="1031" spans="1:19">
      <c r="A1031" s="5" t="str">
        <f>B1031&amp;"-"&amp;COUNTIF($B$2:B1031,B1031)</f>
        <v>GOIAS-148</v>
      </c>
      <c r="B1031" s="5" t="s">
        <v>771</v>
      </c>
      <c r="C1031" s="5" t="s">
        <v>838</v>
      </c>
      <c r="D1031" s="6">
        <v>-511732</v>
      </c>
      <c r="E1031" s="6">
        <v>-174444</v>
      </c>
      <c r="F1031" s="7">
        <v>5.1539999999999999</v>
      </c>
      <c r="G1031" s="7">
        <v>5.5759999999999996</v>
      </c>
      <c r="H1031" s="7">
        <v>5.5030000000000001</v>
      </c>
      <c r="I1031" s="7">
        <v>5.0750000000000002</v>
      </c>
      <c r="J1031" s="7">
        <v>5.0490000000000004</v>
      </c>
      <c r="K1031" s="7">
        <v>4.6619999999999999</v>
      </c>
      <c r="L1031" s="7">
        <v>4.4169999999999998</v>
      </c>
      <c r="M1031" s="7">
        <v>4.5359999999999996</v>
      </c>
      <c r="N1031" s="7">
        <v>5.444</v>
      </c>
      <c r="O1031" s="7">
        <v>5.1920000000000002</v>
      </c>
      <c r="P1031" s="7">
        <v>5.3520000000000003</v>
      </c>
      <c r="Q1031" s="7">
        <v>5.3869999999999996</v>
      </c>
      <c r="R1031" s="7">
        <v>5.657</v>
      </c>
      <c r="S1031" s="7">
        <f t="shared" si="16"/>
        <v>5.1541666666666659</v>
      </c>
    </row>
    <row r="1032" spans="1:19">
      <c r="A1032" s="5" t="str">
        <f>B1032&amp;"-"&amp;COUNTIF($B$2:B1032,B1032)</f>
        <v>GOIAS-149</v>
      </c>
      <c r="B1032" s="5" t="s">
        <v>771</v>
      </c>
      <c r="C1032" s="5" t="s">
        <v>839</v>
      </c>
      <c r="D1032" s="6">
        <v>-486872</v>
      </c>
      <c r="E1032" s="6">
        <v>-133494</v>
      </c>
      <c r="F1032" s="7">
        <v>5.3259999999999996</v>
      </c>
      <c r="G1032" s="7">
        <v>5.3520000000000003</v>
      </c>
      <c r="H1032" s="7">
        <v>5.4480000000000004</v>
      </c>
      <c r="I1032" s="7">
        <v>5.1319999999999997</v>
      </c>
      <c r="J1032" s="7">
        <v>5.1760000000000002</v>
      </c>
      <c r="K1032" s="7">
        <v>4.9939999999999998</v>
      </c>
      <c r="L1032" s="7">
        <v>4.9130000000000003</v>
      </c>
      <c r="M1032" s="7">
        <v>5.2789999999999999</v>
      </c>
      <c r="N1032" s="7">
        <v>5.9539999999999997</v>
      </c>
      <c r="O1032" s="7">
        <v>5.798</v>
      </c>
      <c r="P1032" s="7">
        <v>5.53</v>
      </c>
      <c r="Q1032" s="7">
        <v>5.0720000000000001</v>
      </c>
      <c r="R1032" s="7">
        <v>5.27</v>
      </c>
      <c r="S1032" s="7">
        <f t="shared" si="16"/>
        <v>5.3265000000000002</v>
      </c>
    </row>
    <row r="1033" spans="1:19">
      <c r="A1033" s="5" t="str">
        <f>B1033&amp;"-"&amp;COUNTIF($B$2:B1033,B1033)</f>
        <v>GOIAS-150</v>
      </c>
      <c r="B1033" s="5" t="s">
        <v>771</v>
      </c>
      <c r="C1033" s="5" t="s">
        <v>643</v>
      </c>
      <c r="D1033" s="6">
        <v>-491063</v>
      </c>
      <c r="E1033" s="6">
        <v>-177338</v>
      </c>
      <c r="F1033" s="7">
        <v>5.2889999999999997</v>
      </c>
      <c r="G1033" s="7">
        <v>5.6230000000000002</v>
      </c>
      <c r="H1033" s="7">
        <v>5.7830000000000004</v>
      </c>
      <c r="I1033" s="7">
        <v>5.3010000000000002</v>
      </c>
      <c r="J1033" s="7">
        <v>5.1589999999999998</v>
      </c>
      <c r="K1033" s="7">
        <v>4.734</v>
      </c>
      <c r="L1033" s="7">
        <v>4.4139999999999997</v>
      </c>
      <c r="M1033" s="7">
        <v>4.6440000000000001</v>
      </c>
      <c r="N1033" s="7">
        <v>5.5410000000000004</v>
      </c>
      <c r="O1033" s="7">
        <v>5.423</v>
      </c>
      <c r="P1033" s="7">
        <v>5.5860000000000003</v>
      </c>
      <c r="Q1033" s="7">
        <v>5.5519999999999996</v>
      </c>
      <c r="R1033" s="7">
        <v>5.71</v>
      </c>
      <c r="S1033" s="7">
        <f t="shared" si="16"/>
        <v>5.2891666666666666</v>
      </c>
    </row>
    <row r="1034" spans="1:19">
      <c r="A1034" s="5" t="str">
        <f>B1034&amp;"-"&amp;COUNTIF($B$2:B1034,B1034)</f>
        <v>GOIAS-151</v>
      </c>
      <c r="B1034" s="5" t="s">
        <v>771</v>
      </c>
      <c r="C1034" s="5" t="s">
        <v>5527</v>
      </c>
      <c r="D1034" s="6">
        <v>-500557</v>
      </c>
      <c r="E1034" s="6">
        <v>-153189</v>
      </c>
      <c r="F1034" s="7">
        <v>5.1980000000000004</v>
      </c>
      <c r="G1034" s="7">
        <v>5.2469999999999999</v>
      </c>
      <c r="H1034" s="7">
        <v>5.4009999999999998</v>
      </c>
      <c r="I1034" s="7">
        <v>5.0810000000000004</v>
      </c>
      <c r="J1034" s="7">
        <v>5.0439999999999996</v>
      </c>
      <c r="K1034" s="7">
        <v>4.9509999999999996</v>
      </c>
      <c r="L1034" s="7">
        <v>4.6719999999999997</v>
      </c>
      <c r="M1034" s="7">
        <v>4.8680000000000003</v>
      </c>
      <c r="N1034" s="7">
        <v>5.7110000000000003</v>
      </c>
      <c r="O1034" s="7">
        <v>5.4470000000000001</v>
      </c>
      <c r="P1034" s="7">
        <v>5.5010000000000003</v>
      </c>
      <c r="Q1034" s="7">
        <v>5.1870000000000003</v>
      </c>
      <c r="R1034" s="7">
        <v>5.2690000000000001</v>
      </c>
      <c r="S1034" s="7">
        <f t="shared" si="16"/>
        <v>5.1982499999999998</v>
      </c>
    </row>
    <row r="1035" spans="1:19">
      <c r="A1035" s="5" t="str">
        <f>B1035&amp;"-"&amp;COUNTIF($B$2:B1035,B1035)</f>
        <v>GOIAS-152</v>
      </c>
      <c r="B1035" s="5" t="s">
        <v>771</v>
      </c>
      <c r="C1035" s="5" t="s">
        <v>4929</v>
      </c>
      <c r="D1035" s="6">
        <v>-502071</v>
      </c>
      <c r="E1035" s="6">
        <v>-161244</v>
      </c>
      <c r="F1035" s="7">
        <v>5.2729999999999997</v>
      </c>
      <c r="G1035" s="7">
        <v>5.4349999999999996</v>
      </c>
      <c r="H1035" s="7">
        <v>5.5410000000000004</v>
      </c>
      <c r="I1035" s="7">
        <v>5.2279999999999998</v>
      </c>
      <c r="J1035" s="7">
        <v>5.2119999999999997</v>
      </c>
      <c r="K1035" s="7">
        <v>4.9080000000000004</v>
      </c>
      <c r="L1035" s="7">
        <v>4.5979999999999999</v>
      </c>
      <c r="M1035" s="7">
        <v>4.7729999999999997</v>
      </c>
      <c r="N1035" s="7">
        <v>5.681</v>
      </c>
      <c r="O1035" s="7">
        <v>5.4539999999999997</v>
      </c>
      <c r="P1035" s="7">
        <v>5.6219999999999999</v>
      </c>
      <c r="Q1035" s="7">
        <v>5.3890000000000002</v>
      </c>
      <c r="R1035" s="7">
        <v>5.431</v>
      </c>
      <c r="S1035" s="7">
        <f t="shared" si="16"/>
        <v>5.2726666666666668</v>
      </c>
    </row>
    <row r="1036" spans="1:19">
      <c r="A1036" s="5" t="str">
        <f>B1036&amp;"-"&amp;COUNTIF($B$2:B1036,B1036)</f>
        <v>GOIAS-153</v>
      </c>
      <c r="B1036" s="5" t="s">
        <v>771</v>
      </c>
      <c r="C1036" s="5" t="s">
        <v>4930</v>
      </c>
      <c r="D1036" s="6">
        <v>-505717</v>
      </c>
      <c r="E1036" s="6">
        <v>-147461</v>
      </c>
      <c r="F1036" s="7">
        <v>5.2839999999999998</v>
      </c>
      <c r="G1036" s="7">
        <v>5.41</v>
      </c>
      <c r="H1036" s="7">
        <v>5.6539999999999999</v>
      </c>
      <c r="I1036" s="7">
        <v>5.3159999999999998</v>
      </c>
      <c r="J1036" s="7">
        <v>5.2560000000000002</v>
      </c>
      <c r="K1036" s="7">
        <v>4.9139999999999997</v>
      </c>
      <c r="L1036" s="7">
        <v>4.641</v>
      </c>
      <c r="M1036" s="7">
        <v>4.8789999999999996</v>
      </c>
      <c r="N1036" s="7">
        <v>5.62</v>
      </c>
      <c r="O1036" s="7">
        <v>5.4820000000000002</v>
      </c>
      <c r="P1036" s="7">
        <v>5.5119999999999996</v>
      </c>
      <c r="Q1036" s="7">
        <v>5.335</v>
      </c>
      <c r="R1036" s="7">
        <v>5.3840000000000003</v>
      </c>
      <c r="S1036" s="7">
        <f t="shared" si="16"/>
        <v>5.2835833333333326</v>
      </c>
    </row>
    <row r="1037" spans="1:19">
      <c r="A1037" s="5" t="str">
        <f>B1037&amp;"-"&amp;COUNTIF($B$2:B1037,B1037)</f>
        <v>GOIAS-154</v>
      </c>
      <c r="B1037" s="5" t="s">
        <v>771</v>
      </c>
      <c r="C1037" s="5" t="s">
        <v>473</v>
      </c>
      <c r="D1037" s="6">
        <v>-502818</v>
      </c>
      <c r="E1037" s="6">
        <v>-137734</v>
      </c>
      <c r="F1037" s="7">
        <v>5.3070000000000004</v>
      </c>
      <c r="G1037" s="7">
        <v>5.3760000000000003</v>
      </c>
      <c r="H1037" s="7">
        <v>5.6459999999999999</v>
      </c>
      <c r="I1037" s="7">
        <v>5.2389999999999999</v>
      </c>
      <c r="J1037" s="7">
        <v>5.165</v>
      </c>
      <c r="K1037" s="7">
        <v>4.9340000000000002</v>
      </c>
      <c r="L1037" s="7">
        <v>4.726</v>
      </c>
      <c r="M1037" s="7">
        <v>5.1239999999999997</v>
      </c>
      <c r="N1037" s="7">
        <v>5.6619999999999999</v>
      </c>
      <c r="O1037" s="7">
        <v>5.6449999999999996</v>
      </c>
      <c r="P1037" s="7">
        <v>5.5339999999999998</v>
      </c>
      <c r="Q1037" s="7">
        <v>5.2169999999999996</v>
      </c>
      <c r="R1037" s="7">
        <v>5.4189999999999996</v>
      </c>
      <c r="S1037" s="7">
        <f t="shared" si="16"/>
        <v>5.3072499999999989</v>
      </c>
    </row>
    <row r="1038" spans="1:19">
      <c r="A1038" s="5" t="str">
        <f>B1038&amp;"-"&amp;COUNTIF($B$2:B1038,B1038)</f>
        <v>GOIAS-155</v>
      </c>
      <c r="B1038" s="5" t="s">
        <v>771</v>
      </c>
      <c r="C1038" s="5" t="s">
        <v>5083</v>
      </c>
      <c r="D1038" s="6">
        <v>-492749</v>
      </c>
      <c r="E1038" s="6">
        <v>-137308</v>
      </c>
      <c r="F1038" s="7">
        <v>5.3209999999999997</v>
      </c>
      <c r="G1038" s="7">
        <v>5.3760000000000003</v>
      </c>
      <c r="H1038" s="7">
        <v>5.5419999999999998</v>
      </c>
      <c r="I1038" s="7">
        <v>5.1459999999999999</v>
      </c>
      <c r="J1038" s="7">
        <v>5.2</v>
      </c>
      <c r="K1038" s="7">
        <v>5.0179999999999998</v>
      </c>
      <c r="L1038" s="7">
        <v>4.7859999999999996</v>
      </c>
      <c r="M1038" s="7">
        <v>5.1429999999999998</v>
      </c>
      <c r="N1038" s="7">
        <v>5.7969999999999997</v>
      </c>
      <c r="O1038" s="7">
        <v>5.7030000000000003</v>
      </c>
      <c r="P1038" s="7">
        <v>5.6420000000000003</v>
      </c>
      <c r="Q1038" s="7">
        <v>5.1760000000000002</v>
      </c>
      <c r="R1038" s="7">
        <v>5.3239999999999998</v>
      </c>
      <c r="S1038" s="7">
        <f t="shared" si="16"/>
        <v>5.3210833333333332</v>
      </c>
    </row>
    <row r="1039" spans="1:19">
      <c r="A1039" s="5" t="str">
        <f>B1039&amp;"-"&amp;COUNTIF($B$2:B1039,B1039)</f>
        <v>GOIAS-156</v>
      </c>
      <c r="B1039" s="5" t="s">
        <v>771</v>
      </c>
      <c r="C1039" s="5" t="s">
        <v>5528</v>
      </c>
      <c r="D1039" s="6">
        <v>-498821</v>
      </c>
      <c r="E1039" s="6">
        <v>-165812</v>
      </c>
      <c r="F1039" s="7">
        <v>5.2759999999999998</v>
      </c>
      <c r="G1039" s="7">
        <v>5.5129999999999999</v>
      </c>
      <c r="H1039" s="7">
        <v>5.6020000000000003</v>
      </c>
      <c r="I1039" s="7">
        <v>5.2160000000000002</v>
      </c>
      <c r="J1039" s="7">
        <v>5.1970000000000001</v>
      </c>
      <c r="K1039" s="7">
        <v>4.7930000000000001</v>
      </c>
      <c r="L1039" s="7">
        <v>4.585</v>
      </c>
      <c r="M1039" s="7">
        <v>4.7729999999999997</v>
      </c>
      <c r="N1039" s="7">
        <v>5.6929999999999996</v>
      </c>
      <c r="O1039" s="7">
        <v>5.4820000000000002</v>
      </c>
      <c r="P1039" s="7">
        <v>5.5659999999999998</v>
      </c>
      <c r="Q1039" s="7">
        <v>5.3490000000000002</v>
      </c>
      <c r="R1039" s="7">
        <v>5.5469999999999997</v>
      </c>
      <c r="S1039" s="7">
        <f t="shared" si="16"/>
        <v>5.2763333333333335</v>
      </c>
    </row>
    <row r="1040" spans="1:19">
      <c r="A1040" s="5" t="str">
        <f>B1040&amp;"-"&amp;COUNTIF($B$2:B1040,B1040)</f>
        <v>GOIAS-157</v>
      </c>
      <c r="B1040" s="5" t="s">
        <v>771</v>
      </c>
      <c r="C1040" s="5" t="s">
        <v>5084</v>
      </c>
      <c r="D1040" s="6">
        <v>-492231</v>
      </c>
      <c r="E1040" s="6">
        <v>-164052</v>
      </c>
      <c r="F1040" s="7">
        <v>5.258</v>
      </c>
      <c r="G1040" s="7">
        <v>5.5170000000000003</v>
      </c>
      <c r="H1040" s="7">
        <v>5.5229999999999997</v>
      </c>
      <c r="I1040" s="7">
        <v>5.1440000000000001</v>
      </c>
      <c r="J1040" s="7">
        <v>5.1150000000000002</v>
      </c>
      <c r="K1040" s="7">
        <v>4.8390000000000004</v>
      </c>
      <c r="L1040" s="7">
        <v>4.5979999999999999</v>
      </c>
      <c r="M1040" s="7">
        <v>4.843</v>
      </c>
      <c r="N1040" s="7">
        <v>5.7480000000000002</v>
      </c>
      <c r="O1040" s="7">
        <v>5.5350000000000001</v>
      </c>
      <c r="P1040" s="7">
        <v>5.5410000000000004</v>
      </c>
      <c r="Q1040" s="7">
        <v>5.2619999999999996</v>
      </c>
      <c r="R1040" s="7">
        <v>5.4290000000000003</v>
      </c>
      <c r="S1040" s="7">
        <f t="shared" si="16"/>
        <v>5.2578333333333331</v>
      </c>
    </row>
    <row r="1041" spans="1:19">
      <c r="A1041" s="5" t="str">
        <f>B1041&amp;"-"&amp;COUNTIF($B$2:B1041,B1041)</f>
        <v>GOIAS-158</v>
      </c>
      <c r="B1041" s="5" t="s">
        <v>771</v>
      </c>
      <c r="C1041" s="5" t="s">
        <v>4931</v>
      </c>
      <c r="D1041" s="6">
        <v>-484603</v>
      </c>
      <c r="E1041" s="6">
        <v>-144666</v>
      </c>
      <c r="F1041" s="7">
        <v>5.3369999999999997</v>
      </c>
      <c r="G1041" s="7">
        <v>5.4219999999999997</v>
      </c>
      <c r="H1041" s="7">
        <v>5.5949999999999998</v>
      </c>
      <c r="I1041" s="7">
        <v>5.1520000000000001</v>
      </c>
      <c r="J1041" s="7">
        <v>5.2539999999999996</v>
      </c>
      <c r="K1041" s="7">
        <v>5.0179999999999998</v>
      </c>
      <c r="L1041" s="7">
        <v>4.718</v>
      </c>
      <c r="M1041" s="7">
        <v>5.1100000000000003</v>
      </c>
      <c r="N1041" s="7">
        <v>5.9429999999999996</v>
      </c>
      <c r="O1041" s="7">
        <v>5.6959999999999997</v>
      </c>
      <c r="P1041" s="7">
        <v>5.6539999999999999</v>
      </c>
      <c r="Q1041" s="7">
        <v>5.101</v>
      </c>
      <c r="R1041" s="7">
        <v>5.3860000000000001</v>
      </c>
      <c r="S1041" s="7">
        <f t="shared" si="16"/>
        <v>5.337416666666666</v>
      </c>
    </row>
    <row r="1042" spans="1:19">
      <c r="A1042" s="5" t="str">
        <f>B1042&amp;"-"&amp;COUNTIF($B$2:B1042,B1042)</f>
        <v>GOIAS-159</v>
      </c>
      <c r="B1042" s="5" t="s">
        <v>771</v>
      </c>
      <c r="C1042" s="5" t="s">
        <v>4306</v>
      </c>
      <c r="D1042" s="6">
        <v>-498957</v>
      </c>
      <c r="E1042" s="6">
        <v>-15021</v>
      </c>
      <c r="F1042" s="7">
        <v>5.1950000000000003</v>
      </c>
      <c r="G1042" s="7">
        <v>5.1539999999999999</v>
      </c>
      <c r="H1042" s="7">
        <v>5.3940000000000001</v>
      </c>
      <c r="I1042" s="7">
        <v>5.01</v>
      </c>
      <c r="J1042" s="7">
        <v>5.0330000000000004</v>
      </c>
      <c r="K1042" s="7">
        <v>4.9189999999999996</v>
      </c>
      <c r="L1042" s="7">
        <v>4.6970000000000001</v>
      </c>
      <c r="M1042" s="7">
        <v>4.907</v>
      </c>
      <c r="N1042" s="7">
        <v>5.7720000000000002</v>
      </c>
      <c r="O1042" s="7">
        <v>5.5010000000000003</v>
      </c>
      <c r="P1042" s="7">
        <v>5.5129999999999999</v>
      </c>
      <c r="Q1042" s="7">
        <v>5.1840000000000002</v>
      </c>
      <c r="R1042" s="7">
        <v>5.2510000000000003</v>
      </c>
      <c r="S1042" s="7">
        <f t="shared" si="16"/>
        <v>5.1945833333333331</v>
      </c>
    </row>
    <row r="1043" spans="1:19">
      <c r="A1043" s="5" t="str">
        <f>B1043&amp;"-"&amp;COUNTIF($B$2:B1043,B1043)</f>
        <v>GOIAS-160</v>
      </c>
      <c r="B1043" s="5" t="s">
        <v>771</v>
      </c>
      <c r="C1043" s="5" t="s">
        <v>840</v>
      </c>
      <c r="D1043" s="6">
        <v>-482556</v>
      </c>
      <c r="E1043" s="6">
        <v>-180601</v>
      </c>
      <c r="F1043" s="7">
        <v>5.32</v>
      </c>
      <c r="G1043" s="7">
        <v>5.6349999999999998</v>
      </c>
      <c r="H1043" s="7">
        <v>5.8789999999999996</v>
      </c>
      <c r="I1043" s="7">
        <v>5.22</v>
      </c>
      <c r="J1043" s="7">
        <v>5.1749999999999998</v>
      </c>
      <c r="K1043" s="7">
        <v>4.7279999999999998</v>
      </c>
      <c r="L1043" s="7">
        <v>4.4560000000000004</v>
      </c>
      <c r="M1043" s="7">
        <v>4.6909999999999998</v>
      </c>
      <c r="N1043" s="7">
        <v>5.6130000000000004</v>
      </c>
      <c r="O1043" s="7">
        <v>5.5030000000000001</v>
      </c>
      <c r="P1043" s="7">
        <v>5.6470000000000002</v>
      </c>
      <c r="Q1043" s="7">
        <v>5.5510000000000002</v>
      </c>
      <c r="R1043" s="7">
        <v>5.742</v>
      </c>
      <c r="S1043" s="7">
        <f t="shared" si="16"/>
        <v>5.3199999999999994</v>
      </c>
    </row>
    <row r="1044" spans="1:19">
      <c r="A1044" s="5" t="str">
        <f>B1044&amp;"-"&amp;COUNTIF($B$2:B1044,B1044)</f>
        <v>GOIAS-161</v>
      </c>
      <c r="B1044" s="5" t="s">
        <v>771</v>
      </c>
      <c r="C1044" s="5" t="s">
        <v>5529</v>
      </c>
      <c r="D1044" s="6">
        <v>-50335</v>
      </c>
      <c r="E1044" s="6">
        <v>-140991</v>
      </c>
      <c r="F1044" s="7">
        <v>5.26</v>
      </c>
      <c r="G1044" s="7">
        <v>5.415</v>
      </c>
      <c r="H1044" s="7">
        <v>5.6219999999999999</v>
      </c>
      <c r="I1044" s="7">
        <v>5.1980000000000004</v>
      </c>
      <c r="J1044" s="7">
        <v>5.1630000000000003</v>
      </c>
      <c r="K1044" s="7">
        <v>4.9000000000000004</v>
      </c>
      <c r="L1044" s="7">
        <v>4.6260000000000003</v>
      </c>
      <c r="M1044" s="7">
        <v>4.9850000000000003</v>
      </c>
      <c r="N1044" s="7">
        <v>5.6509999999999998</v>
      </c>
      <c r="O1044" s="7">
        <v>5.5190000000000001</v>
      </c>
      <c r="P1044" s="7">
        <v>5.48</v>
      </c>
      <c r="Q1044" s="7">
        <v>5.1749999999999998</v>
      </c>
      <c r="R1044" s="7">
        <v>5.3879999999999999</v>
      </c>
      <c r="S1044" s="7">
        <f t="shared" si="16"/>
        <v>5.2601666666666658</v>
      </c>
    </row>
    <row r="1045" spans="1:19">
      <c r="A1045" s="5" t="str">
        <f>B1045&amp;"-"&amp;COUNTIF($B$2:B1045,B1045)</f>
        <v>GOIAS-162</v>
      </c>
      <c r="B1045" s="5" t="s">
        <v>771</v>
      </c>
      <c r="C1045" s="5" t="s">
        <v>5085</v>
      </c>
      <c r="D1045" s="6">
        <v>-495745</v>
      </c>
      <c r="E1045" s="6">
        <v>-151458</v>
      </c>
      <c r="F1045" s="7">
        <v>5.2519999999999998</v>
      </c>
      <c r="G1045" s="7">
        <v>5.3070000000000004</v>
      </c>
      <c r="H1045" s="7">
        <v>5.5819999999999999</v>
      </c>
      <c r="I1045" s="7">
        <v>5.2229999999999999</v>
      </c>
      <c r="J1045" s="7">
        <v>5.1559999999999997</v>
      </c>
      <c r="K1045" s="7">
        <v>4.8959999999999999</v>
      </c>
      <c r="L1045" s="7">
        <v>4.6150000000000002</v>
      </c>
      <c r="M1045" s="7">
        <v>4.8220000000000001</v>
      </c>
      <c r="N1045" s="7">
        <v>5.6879999999999997</v>
      </c>
      <c r="O1045" s="7">
        <v>5.5910000000000002</v>
      </c>
      <c r="P1045" s="7">
        <v>5.5830000000000002</v>
      </c>
      <c r="Q1045" s="7">
        <v>5.2130000000000001</v>
      </c>
      <c r="R1045" s="7">
        <v>5.3529999999999998</v>
      </c>
      <c r="S1045" s="7">
        <f t="shared" si="16"/>
        <v>5.252416666666667</v>
      </c>
    </row>
    <row r="1046" spans="1:19">
      <c r="A1046" s="5" t="str">
        <f>B1046&amp;"-"&amp;COUNTIF($B$2:B1046,B1046)</f>
        <v>GOIAS-163</v>
      </c>
      <c r="B1046" s="5" t="s">
        <v>771</v>
      </c>
      <c r="C1046" s="5" t="s">
        <v>5530</v>
      </c>
      <c r="D1046" s="6">
        <v>-493876</v>
      </c>
      <c r="E1046" s="6">
        <v>-142873</v>
      </c>
      <c r="F1046" s="7">
        <v>5.36</v>
      </c>
      <c r="G1046" s="7">
        <v>5.4930000000000003</v>
      </c>
      <c r="H1046" s="7">
        <v>5.6550000000000002</v>
      </c>
      <c r="I1046" s="7">
        <v>5.335</v>
      </c>
      <c r="J1046" s="7">
        <v>5.2</v>
      </c>
      <c r="K1046" s="7">
        <v>4.9880000000000004</v>
      </c>
      <c r="L1046" s="7">
        <v>4.702</v>
      </c>
      <c r="M1046" s="7">
        <v>5.0869999999999997</v>
      </c>
      <c r="N1046" s="7">
        <v>5.766</v>
      </c>
      <c r="O1046" s="7">
        <v>5.6470000000000002</v>
      </c>
      <c r="P1046" s="7">
        <v>5.7030000000000003</v>
      </c>
      <c r="Q1046" s="7">
        <v>5.2889999999999997</v>
      </c>
      <c r="R1046" s="7">
        <v>5.4489999999999998</v>
      </c>
      <c r="S1046" s="7">
        <f t="shared" si="16"/>
        <v>5.3594999999999997</v>
      </c>
    </row>
    <row r="1047" spans="1:19">
      <c r="A1047" s="5" t="str">
        <f>B1047&amp;"-"&amp;COUNTIF($B$2:B1047,B1047)</f>
        <v>GOIAS-164</v>
      </c>
      <c r="B1047" s="5" t="s">
        <v>771</v>
      </c>
      <c r="C1047" s="5" t="s">
        <v>841</v>
      </c>
      <c r="D1047" s="6">
        <v>-468859</v>
      </c>
      <c r="E1047" s="6">
        <v>-137409</v>
      </c>
      <c r="F1047" s="7">
        <v>5.6139999999999999</v>
      </c>
      <c r="G1047" s="7">
        <v>5.9649999999999999</v>
      </c>
      <c r="H1047" s="7">
        <v>5.9169999999999998</v>
      </c>
      <c r="I1047" s="7">
        <v>5.4770000000000003</v>
      </c>
      <c r="J1047" s="7">
        <v>5.4180000000000001</v>
      </c>
      <c r="K1047" s="7">
        <v>5.133</v>
      </c>
      <c r="L1047" s="7">
        <v>5.0650000000000004</v>
      </c>
      <c r="M1047" s="7">
        <v>5.3979999999999997</v>
      </c>
      <c r="N1047" s="7">
        <v>5.9589999999999996</v>
      </c>
      <c r="O1047" s="7">
        <v>6.0060000000000002</v>
      </c>
      <c r="P1047" s="7">
        <v>5.8239999999999998</v>
      </c>
      <c r="Q1047" s="7">
        <v>5.3440000000000003</v>
      </c>
      <c r="R1047" s="7">
        <v>5.8579999999999997</v>
      </c>
      <c r="S1047" s="7">
        <f t="shared" si="16"/>
        <v>5.613666666666667</v>
      </c>
    </row>
    <row r="1048" spans="1:19">
      <c r="A1048" s="5" t="str">
        <f>B1048&amp;"-"&amp;COUNTIF($B$2:B1048,B1048)</f>
        <v>GOIAS-165</v>
      </c>
      <c r="B1048" s="5" t="s">
        <v>771</v>
      </c>
      <c r="C1048" s="5" t="s">
        <v>842</v>
      </c>
      <c r="D1048" s="6">
        <v>-493196</v>
      </c>
      <c r="E1048" s="6">
        <v>-163718</v>
      </c>
      <c r="F1048" s="7">
        <v>5.2690000000000001</v>
      </c>
      <c r="G1048" s="7">
        <v>5.47</v>
      </c>
      <c r="H1048" s="7">
        <v>5.56</v>
      </c>
      <c r="I1048" s="7">
        <v>5.1849999999999996</v>
      </c>
      <c r="J1048" s="7">
        <v>5.1180000000000003</v>
      </c>
      <c r="K1048" s="7">
        <v>4.8719999999999999</v>
      </c>
      <c r="L1048" s="7">
        <v>4.5839999999999996</v>
      </c>
      <c r="M1048" s="7">
        <v>4.8230000000000004</v>
      </c>
      <c r="N1048" s="7">
        <v>5.7670000000000003</v>
      </c>
      <c r="O1048" s="7">
        <v>5.532</v>
      </c>
      <c r="P1048" s="7">
        <v>5.55</v>
      </c>
      <c r="Q1048" s="7">
        <v>5.2969999999999997</v>
      </c>
      <c r="R1048" s="7">
        <v>5.4710000000000001</v>
      </c>
      <c r="S1048" s="7">
        <f t="shared" si="16"/>
        <v>5.2690833333333336</v>
      </c>
    </row>
    <row r="1049" spans="1:19">
      <c r="A1049" s="5" t="str">
        <f>B1049&amp;"-"&amp;COUNTIF($B$2:B1049,B1049)</f>
        <v>GOIAS-166</v>
      </c>
      <c r="B1049" s="5" t="s">
        <v>771</v>
      </c>
      <c r="C1049" s="5" t="s">
        <v>843</v>
      </c>
      <c r="D1049" s="6">
        <v>-507117</v>
      </c>
      <c r="E1049" s="6">
        <v>-160318</v>
      </c>
      <c r="F1049" s="7">
        <v>5.3109999999999999</v>
      </c>
      <c r="G1049" s="7">
        <v>5.5339999999999998</v>
      </c>
      <c r="H1049" s="7">
        <v>5.7140000000000004</v>
      </c>
      <c r="I1049" s="7">
        <v>5.375</v>
      </c>
      <c r="J1049" s="7">
        <v>5.3570000000000002</v>
      </c>
      <c r="K1049" s="7">
        <v>4.9400000000000004</v>
      </c>
      <c r="L1049" s="7">
        <v>4.5919999999999996</v>
      </c>
      <c r="M1049" s="7">
        <v>4.7210000000000001</v>
      </c>
      <c r="N1049" s="7">
        <v>5.3920000000000003</v>
      </c>
      <c r="O1049" s="7">
        <v>5.4349999999999996</v>
      </c>
      <c r="P1049" s="7">
        <v>5.6559999999999997</v>
      </c>
      <c r="Q1049" s="7">
        <v>5.4980000000000002</v>
      </c>
      <c r="R1049" s="7">
        <v>5.5129999999999999</v>
      </c>
      <c r="S1049" s="7">
        <f t="shared" si="16"/>
        <v>5.3105833333333337</v>
      </c>
    </row>
    <row r="1050" spans="1:19">
      <c r="A1050" s="5" t="str">
        <f>B1050&amp;"-"&amp;COUNTIF($B$2:B1050,B1050)</f>
        <v>GOIAS-167</v>
      </c>
      <c r="B1050" s="5" t="s">
        <v>771</v>
      </c>
      <c r="C1050" s="5" t="s">
        <v>844</v>
      </c>
      <c r="D1050" s="6">
        <v>-480319</v>
      </c>
      <c r="E1050" s="6">
        <v>-160533</v>
      </c>
      <c r="F1050" s="7">
        <v>5.2919999999999998</v>
      </c>
      <c r="G1050" s="7">
        <v>5.4989999999999997</v>
      </c>
      <c r="H1050" s="7">
        <v>5.6970000000000001</v>
      </c>
      <c r="I1050" s="7">
        <v>5.1159999999999997</v>
      </c>
      <c r="J1050" s="7">
        <v>5.0819999999999999</v>
      </c>
      <c r="K1050" s="7">
        <v>4.8339999999999996</v>
      </c>
      <c r="L1050" s="7">
        <v>4.742</v>
      </c>
      <c r="M1050" s="7">
        <v>4.9660000000000002</v>
      </c>
      <c r="N1050" s="7">
        <v>5.83</v>
      </c>
      <c r="O1050" s="7">
        <v>5.6189999999999998</v>
      </c>
      <c r="P1050" s="7">
        <v>5.5430000000000001</v>
      </c>
      <c r="Q1050" s="7">
        <v>5.1559999999999997</v>
      </c>
      <c r="R1050" s="7">
        <v>5.4240000000000004</v>
      </c>
      <c r="S1050" s="7">
        <f t="shared" si="16"/>
        <v>5.2923333333333327</v>
      </c>
    </row>
    <row r="1051" spans="1:19">
      <c r="A1051" s="5" t="str">
        <f>B1051&amp;"-"&amp;COUNTIF($B$2:B1051,B1051)</f>
        <v>GOIAS-168</v>
      </c>
      <c r="B1051" s="5" t="s">
        <v>771</v>
      </c>
      <c r="C1051" s="5" t="s">
        <v>845</v>
      </c>
      <c r="D1051" s="6">
        <v>-495064</v>
      </c>
      <c r="E1051" s="6">
        <v>-132428</v>
      </c>
      <c r="F1051" s="7">
        <v>5.3179999999999996</v>
      </c>
      <c r="G1051" s="7">
        <v>5.3419999999999996</v>
      </c>
      <c r="H1051" s="7">
        <v>5.4409999999999998</v>
      </c>
      <c r="I1051" s="7">
        <v>5.117</v>
      </c>
      <c r="J1051" s="7">
        <v>5.1710000000000003</v>
      </c>
      <c r="K1051" s="7">
        <v>4.9930000000000003</v>
      </c>
      <c r="L1051" s="7">
        <v>4.8360000000000003</v>
      </c>
      <c r="M1051" s="7">
        <v>5.1719999999999997</v>
      </c>
      <c r="N1051" s="7">
        <v>5.8650000000000002</v>
      </c>
      <c r="O1051" s="7">
        <v>5.6929999999999996</v>
      </c>
      <c r="P1051" s="7">
        <v>5.5709999999999997</v>
      </c>
      <c r="Q1051" s="7">
        <v>5.1950000000000003</v>
      </c>
      <c r="R1051" s="7">
        <v>5.4210000000000003</v>
      </c>
      <c r="S1051" s="7">
        <f t="shared" si="16"/>
        <v>5.3180833333333331</v>
      </c>
    </row>
    <row r="1052" spans="1:19">
      <c r="A1052" s="5" t="str">
        <f>B1052&amp;"-"&amp;COUNTIF($B$2:B1052,B1052)</f>
        <v>GOIAS-169</v>
      </c>
      <c r="B1052" s="5" t="s">
        <v>771</v>
      </c>
      <c r="C1052" s="5" t="s">
        <v>846</v>
      </c>
      <c r="D1052" s="6">
        <v>-48302</v>
      </c>
      <c r="E1052" s="6">
        <v>-170341</v>
      </c>
      <c r="F1052" s="7">
        <v>5.3090000000000002</v>
      </c>
      <c r="G1052" s="7">
        <v>5.65</v>
      </c>
      <c r="H1052" s="7">
        <v>5.8150000000000004</v>
      </c>
      <c r="I1052" s="7">
        <v>5.1210000000000004</v>
      </c>
      <c r="J1052" s="7">
        <v>5.0650000000000004</v>
      </c>
      <c r="K1052" s="7">
        <v>4.7640000000000002</v>
      </c>
      <c r="L1052" s="7">
        <v>4.5780000000000003</v>
      </c>
      <c r="M1052" s="7">
        <v>4.8170000000000002</v>
      </c>
      <c r="N1052" s="7">
        <v>5.6689999999999996</v>
      </c>
      <c r="O1052" s="7">
        <v>5.6070000000000002</v>
      </c>
      <c r="P1052" s="7">
        <v>5.6529999999999996</v>
      </c>
      <c r="Q1052" s="7">
        <v>5.2930000000000001</v>
      </c>
      <c r="R1052" s="7">
        <v>5.6710000000000003</v>
      </c>
      <c r="S1052" s="7">
        <f t="shared" si="16"/>
        <v>5.308583333333333</v>
      </c>
    </row>
    <row r="1053" spans="1:19">
      <c r="A1053" s="5" t="str">
        <f>B1053&amp;"-"&amp;COUNTIF($B$2:B1053,B1053)</f>
        <v>GOIAS-170</v>
      </c>
      <c r="B1053" s="5" t="s">
        <v>771</v>
      </c>
      <c r="C1053" s="5" t="s">
        <v>5531</v>
      </c>
      <c r="D1053" s="6">
        <v>-491966</v>
      </c>
      <c r="E1053" s="6">
        <v>-162183</v>
      </c>
      <c r="F1053" s="7">
        <v>5.2389999999999999</v>
      </c>
      <c r="G1053" s="7">
        <v>5.3789999999999996</v>
      </c>
      <c r="H1053" s="7">
        <v>5.524</v>
      </c>
      <c r="I1053" s="7">
        <v>5.1130000000000004</v>
      </c>
      <c r="J1053" s="7">
        <v>5.0869999999999997</v>
      </c>
      <c r="K1053" s="7">
        <v>4.8339999999999996</v>
      </c>
      <c r="L1053" s="7">
        <v>4.6349999999999998</v>
      </c>
      <c r="M1053" s="7">
        <v>4.8390000000000004</v>
      </c>
      <c r="N1053" s="7">
        <v>5.7850000000000001</v>
      </c>
      <c r="O1053" s="7">
        <v>5.5220000000000002</v>
      </c>
      <c r="P1053" s="7">
        <v>5.52</v>
      </c>
      <c r="Q1053" s="7">
        <v>5.2140000000000004</v>
      </c>
      <c r="R1053" s="7">
        <v>5.4189999999999996</v>
      </c>
      <c r="S1053" s="7">
        <f t="shared" si="16"/>
        <v>5.2392499999999993</v>
      </c>
    </row>
    <row r="1054" spans="1:19">
      <c r="A1054" s="5" t="str">
        <f>B1054&amp;"-"&amp;COUNTIF($B$2:B1054,B1054)</f>
        <v>GOIAS-171</v>
      </c>
      <c r="B1054" s="5" t="s">
        <v>771</v>
      </c>
      <c r="C1054" s="5" t="s">
        <v>847</v>
      </c>
      <c r="D1054" s="6">
        <v>-478342</v>
      </c>
      <c r="E1054" s="6">
        <v>-182336</v>
      </c>
      <c r="F1054" s="7">
        <v>5.3079999999999998</v>
      </c>
      <c r="G1054" s="7">
        <v>5.6440000000000001</v>
      </c>
      <c r="H1054" s="7">
        <v>5.8979999999999997</v>
      </c>
      <c r="I1054" s="7">
        <v>5.1580000000000004</v>
      </c>
      <c r="J1054" s="7">
        <v>5.1180000000000003</v>
      </c>
      <c r="K1054" s="7">
        <v>4.6829999999999998</v>
      </c>
      <c r="L1054" s="7">
        <v>4.45</v>
      </c>
      <c r="M1054" s="7">
        <v>4.7229999999999999</v>
      </c>
      <c r="N1054" s="7">
        <v>5.64</v>
      </c>
      <c r="O1054" s="7">
        <v>5.5309999999999997</v>
      </c>
      <c r="P1054" s="7">
        <v>5.6449999999999996</v>
      </c>
      <c r="Q1054" s="7">
        <v>5.51</v>
      </c>
      <c r="R1054" s="7">
        <v>5.69</v>
      </c>
      <c r="S1054" s="7">
        <f t="shared" si="16"/>
        <v>5.3074999999999992</v>
      </c>
    </row>
    <row r="1055" spans="1:19">
      <c r="A1055" s="5" t="str">
        <f>B1055&amp;"-"&amp;COUNTIF($B$2:B1055,B1055)</f>
        <v>GOIAS-172</v>
      </c>
      <c r="B1055" s="5" t="s">
        <v>771</v>
      </c>
      <c r="C1055" s="5" t="s">
        <v>848</v>
      </c>
      <c r="D1055" s="6">
        <v>-482865</v>
      </c>
      <c r="E1055" s="6">
        <v>-151642</v>
      </c>
      <c r="F1055" s="7">
        <v>5.4370000000000003</v>
      </c>
      <c r="G1055" s="7">
        <v>5.6769999999999996</v>
      </c>
      <c r="H1055" s="7">
        <v>5.8650000000000002</v>
      </c>
      <c r="I1055" s="7">
        <v>5.4089999999999998</v>
      </c>
      <c r="J1055" s="7">
        <v>5.26</v>
      </c>
      <c r="K1055" s="7">
        <v>5.0049999999999999</v>
      </c>
      <c r="L1055" s="7">
        <v>4.766</v>
      </c>
      <c r="M1055" s="7">
        <v>4.9210000000000003</v>
      </c>
      <c r="N1055" s="7">
        <v>5.8470000000000004</v>
      </c>
      <c r="O1055" s="7">
        <v>5.7350000000000003</v>
      </c>
      <c r="P1055" s="7">
        <v>5.7679999999999998</v>
      </c>
      <c r="Q1055" s="7">
        <v>5.3639999999999999</v>
      </c>
      <c r="R1055" s="7">
        <v>5.6269999999999998</v>
      </c>
      <c r="S1055" s="7">
        <f t="shared" si="16"/>
        <v>5.4370000000000003</v>
      </c>
    </row>
    <row r="1056" spans="1:19">
      <c r="A1056" s="5" t="str">
        <f>B1056&amp;"-"&amp;COUNTIF($B$2:B1056,B1056)</f>
        <v>GOIAS-173</v>
      </c>
      <c r="B1056" s="5" t="s">
        <v>771</v>
      </c>
      <c r="C1056" s="5" t="s">
        <v>5532</v>
      </c>
      <c r="D1056" s="6">
        <v>-515278</v>
      </c>
      <c r="E1056" s="6">
        <v>-167446</v>
      </c>
      <c r="F1056" s="7">
        <v>5.2370000000000001</v>
      </c>
      <c r="G1056" s="7">
        <v>5.5149999999999997</v>
      </c>
      <c r="H1056" s="7">
        <v>5.6210000000000004</v>
      </c>
      <c r="I1056" s="7">
        <v>5.242</v>
      </c>
      <c r="J1056" s="7">
        <v>5.2080000000000002</v>
      </c>
      <c r="K1056" s="7">
        <v>4.8010000000000002</v>
      </c>
      <c r="L1056" s="7">
        <v>4.4870000000000001</v>
      </c>
      <c r="M1056" s="7">
        <v>4.6219999999999999</v>
      </c>
      <c r="N1056" s="7">
        <v>5.423</v>
      </c>
      <c r="O1056" s="7">
        <v>5.3559999999999999</v>
      </c>
      <c r="P1056" s="7">
        <v>5.5170000000000003</v>
      </c>
      <c r="Q1056" s="7">
        <v>5.4939999999999998</v>
      </c>
      <c r="R1056" s="7">
        <v>5.5570000000000004</v>
      </c>
      <c r="S1056" s="7">
        <f t="shared" si="16"/>
        <v>5.2369166666666676</v>
      </c>
    </row>
    <row r="1057" spans="1:19">
      <c r="A1057" s="5" t="str">
        <f>B1057&amp;"-"&amp;COUNTIF($B$2:B1057,B1057)</f>
        <v>GOIAS-174</v>
      </c>
      <c r="B1057" s="5" t="s">
        <v>771</v>
      </c>
      <c r="C1057" s="5" t="s">
        <v>5533</v>
      </c>
      <c r="D1057" s="6">
        <v>-499244</v>
      </c>
      <c r="E1057" s="6">
        <v>-168049</v>
      </c>
      <c r="F1057" s="7">
        <v>5.28</v>
      </c>
      <c r="G1057" s="7">
        <v>5.5839999999999996</v>
      </c>
      <c r="H1057" s="7">
        <v>5.7359999999999998</v>
      </c>
      <c r="I1057" s="7">
        <v>5.2759999999999998</v>
      </c>
      <c r="J1057" s="7">
        <v>5.1959999999999997</v>
      </c>
      <c r="K1057" s="7">
        <v>4.7869999999999999</v>
      </c>
      <c r="L1057" s="7">
        <v>4.5030000000000001</v>
      </c>
      <c r="M1057" s="7">
        <v>4.7140000000000004</v>
      </c>
      <c r="N1057" s="7">
        <v>5.5890000000000004</v>
      </c>
      <c r="O1057" s="7">
        <v>5.46</v>
      </c>
      <c r="P1057" s="7">
        <v>5.5579999999999998</v>
      </c>
      <c r="Q1057" s="7">
        <v>5.3929999999999998</v>
      </c>
      <c r="R1057" s="7">
        <v>5.5629999999999997</v>
      </c>
      <c r="S1057" s="7">
        <f t="shared" si="16"/>
        <v>5.2799166666666668</v>
      </c>
    </row>
    <row r="1058" spans="1:19">
      <c r="A1058" s="5" t="str">
        <f>B1058&amp;"-"&amp;COUNTIF($B$2:B1058,B1058)</f>
        <v>GOIAS-175</v>
      </c>
      <c r="B1058" s="5" t="s">
        <v>771</v>
      </c>
      <c r="C1058" s="5" t="s">
        <v>849</v>
      </c>
      <c r="D1058" s="6">
        <v>-484264</v>
      </c>
      <c r="E1058" s="6">
        <v>-173263</v>
      </c>
      <c r="F1058" s="7">
        <v>5.319</v>
      </c>
      <c r="G1058" s="7">
        <v>5.6669999999999998</v>
      </c>
      <c r="H1058" s="7">
        <v>5.7750000000000004</v>
      </c>
      <c r="I1058" s="7">
        <v>5.2530000000000001</v>
      </c>
      <c r="J1058" s="7">
        <v>5.2039999999999997</v>
      </c>
      <c r="K1058" s="7">
        <v>4.76</v>
      </c>
      <c r="L1058" s="7">
        <v>4.5460000000000003</v>
      </c>
      <c r="M1058" s="7">
        <v>4.7919999999999998</v>
      </c>
      <c r="N1058" s="7">
        <v>5.6609999999999996</v>
      </c>
      <c r="O1058" s="7">
        <v>5.4109999999999996</v>
      </c>
      <c r="P1058" s="7">
        <v>5.6970000000000001</v>
      </c>
      <c r="Q1058" s="7">
        <v>5.3970000000000002</v>
      </c>
      <c r="R1058" s="7">
        <v>5.6669999999999998</v>
      </c>
      <c r="S1058" s="7">
        <f t="shared" si="16"/>
        <v>5.3191666666666668</v>
      </c>
    </row>
    <row r="1059" spans="1:19">
      <c r="A1059" s="5" t="str">
        <f>B1059&amp;"-"&amp;COUNTIF($B$2:B1059,B1059)</f>
        <v>GOIAS-176</v>
      </c>
      <c r="B1059" s="5" t="s">
        <v>771</v>
      </c>
      <c r="C1059" s="5" t="s">
        <v>5086</v>
      </c>
      <c r="D1059" s="6">
        <v>-501656</v>
      </c>
      <c r="E1059" s="6">
        <v>-167929</v>
      </c>
      <c r="F1059" s="7">
        <v>5.282</v>
      </c>
      <c r="G1059" s="7">
        <v>5.6139999999999999</v>
      </c>
      <c r="H1059" s="7">
        <v>5.7350000000000003</v>
      </c>
      <c r="I1059" s="7">
        <v>5.2640000000000002</v>
      </c>
      <c r="J1059" s="7">
        <v>5.1360000000000001</v>
      </c>
      <c r="K1059" s="7">
        <v>4.78</v>
      </c>
      <c r="L1059" s="7">
        <v>4.4980000000000002</v>
      </c>
      <c r="M1059" s="7">
        <v>4.7119999999999997</v>
      </c>
      <c r="N1059" s="7">
        <v>5.516</v>
      </c>
      <c r="O1059" s="7">
        <v>5.4720000000000004</v>
      </c>
      <c r="P1059" s="7">
        <v>5.5579999999999998</v>
      </c>
      <c r="Q1059" s="7">
        <v>5.5339999999999998</v>
      </c>
      <c r="R1059" s="7">
        <v>5.569</v>
      </c>
      <c r="S1059" s="7">
        <f t="shared" si="16"/>
        <v>5.2823333333333338</v>
      </c>
    </row>
    <row r="1060" spans="1:19">
      <c r="A1060" s="5" t="str">
        <f>B1060&amp;"-"&amp;COUNTIF($B$2:B1060,B1060)</f>
        <v>GOIAS-177</v>
      </c>
      <c r="B1060" s="5" t="s">
        <v>771</v>
      </c>
      <c r="C1060" s="5" t="s">
        <v>5534</v>
      </c>
      <c r="D1060" s="6">
        <v>-493539</v>
      </c>
      <c r="E1060" s="6">
        <v>-18177</v>
      </c>
      <c r="F1060" s="7">
        <v>5.2050000000000001</v>
      </c>
      <c r="G1060" s="7">
        <v>5.5469999999999997</v>
      </c>
      <c r="H1060" s="7">
        <v>5.6870000000000003</v>
      </c>
      <c r="I1060" s="7">
        <v>5.0970000000000004</v>
      </c>
      <c r="J1060" s="7">
        <v>5.0620000000000003</v>
      </c>
      <c r="K1060" s="7">
        <v>4.6260000000000003</v>
      </c>
      <c r="L1060" s="7">
        <v>4.3550000000000004</v>
      </c>
      <c r="M1060" s="7">
        <v>4.577</v>
      </c>
      <c r="N1060" s="7">
        <v>5.4370000000000003</v>
      </c>
      <c r="O1060" s="7">
        <v>5.2770000000000001</v>
      </c>
      <c r="P1060" s="7">
        <v>5.5419999999999998</v>
      </c>
      <c r="Q1060" s="7">
        <v>5.5359999999999996</v>
      </c>
      <c r="R1060" s="7">
        <v>5.7210000000000001</v>
      </c>
      <c r="S1060" s="7">
        <f t="shared" si="16"/>
        <v>5.2053333333333329</v>
      </c>
    </row>
    <row r="1061" spans="1:19">
      <c r="A1061" s="5" t="str">
        <f>B1061&amp;"-"&amp;COUNTIF($B$2:B1061,B1061)</f>
        <v>GOIAS-178</v>
      </c>
      <c r="B1061" s="5" t="s">
        <v>771</v>
      </c>
      <c r="C1061" s="5" t="s">
        <v>4829</v>
      </c>
      <c r="D1061" s="6">
        <v>-504488</v>
      </c>
      <c r="E1061" s="6">
        <v>-169467</v>
      </c>
      <c r="F1061" s="7">
        <v>5.2539999999999996</v>
      </c>
      <c r="G1061" s="7">
        <v>5.5140000000000002</v>
      </c>
      <c r="H1061" s="7">
        <v>5.6040000000000001</v>
      </c>
      <c r="I1061" s="7">
        <v>5.2389999999999999</v>
      </c>
      <c r="J1061" s="7">
        <v>5.1740000000000004</v>
      </c>
      <c r="K1061" s="7">
        <v>4.774</v>
      </c>
      <c r="L1061" s="7">
        <v>4.5069999999999997</v>
      </c>
      <c r="M1061" s="7">
        <v>4.7350000000000003</v>
      </c>
      <c r="N1061" s="7">
        <v>5.47</v>
      </c>
      <c r="O1061" s="7">
        <v>5.3959999999999999</v>
      </c>
      <c r="P1061" s="7">
        <v>5.5430000000000001</v>
      </c>
      <c r="Q1061" s="7">
        <v>5.4930000000000003</v>
      </c>
      <c r="R1061" s="7">
        <v>5.5979999999999999</v>
      </c>
      <c r="S1061" s="7">
        <f t="shared" si="16"/>
        <v>5.2539166666666661</v>
      </c>
    </row>
    <row r="1062" spans="1:19">
      <c r="A1062" s="5" t="str">
        <f>B1062&amp;"-"&amp;COUNTIF($B$2:B1062,B1062)</f>
        <v>GOIAS-179</v>
      </c>
      <c r="B1062" s="5" t="s">
        <v>771</v>
      </c>
      <c r="C1062" s="5" t="s">
        <v>850</v>
      </c>
      <c r="D1062" s="6">
        <v>-506543</v>
      </c>
      <c r="E1062" s="6">
        <v>-189145</v>
      </c>
      <c r="F1062" s="7">
        <v>5.2249999999999996</v>
      </c>
      <c r="G1062" s="7">
        <v>5.6749999999999998</v>
      </c>
      <c r="H1062" s="7">
        <v>5.7469999999999999</v>
      </c>
      <c r="I1062" s="7">
        <v>5.3209999999999997</v>
      </c>
      <c r="J1062" s="7">
        <v>5.0609999999999999</v>
      </c>
      <c r="K1062" s="7">
        <v>4.5</v>
      </c>
      <c r="L1062" s="7">
        <v>4.1849999999999996</v>
      </c>
      <c r="M1062" s="7">
        <v>4.4550000000000001</v>
      </c>
      <c r="N1062" s="7">
        <v>5.3129999999999997</v>
      </c>
      <c r="O1062" s="7">
        <v>5.2060000000000004</v>
      </c>
      <c r="P1062" s="7">
        <v>5.55</v>
      </c>
      <c r="Q1062" s="7">
        <v>5.7270000000000003</v>
      </c>
      <c r="R1062" s="7">
        <v>5.9580000000000002</v>
      </c>
      <c r="S1062" s="7">
        <f t="shared" si="16"/>
        <v>5.2248333333333337</v>
      </c>
    </row>
    <row r="1063" spans="1:19">
      <c r="A1063" s="5" t="str">
        <f>B1063&amp;"-"&amp;COUNTIF($B$2:B1063,B1063)</f>
        <v>GOIAS-180</v>
      </c>
      <c r="B1063" s="5" t="s">
        <v>771</v>
      </c>
      <c r="C1063" s="5" t="s">
        <v>4932</v>
      </c>
      <c r="D1063" s="6">
        <v>-520654</v>
      </c>
      <c r="E1063" s="6">
        <v>-175263</v>
      </c>
      <c r="F1063" s="7">
        <v>5.1619999999999999</v>
      </c>
      <c r="G1063" s="7">
        <v>5.5069999999999997</v>
      </c>
      <c r="H1063" s="7">
        <v>5.5419999999999998</v>
      </c>
      <c r="I1063" s="7">
        <v>5.1379999999999999</v>
      </c>
      <c r="J1063" s="7">
        <v>5.0529999999999999</v>
      </c>
      <c r="K1063" s="7">
        <v>4.6669999999999998</v>
      </c>
      <c r="L1063" s="7">
        <v>4.391</v>
      </c>
      <c r="M1063" s="7">
        <v>4.4939999999999998</v>
      </c>
      <c r="N1063" s="7">
        <v>5.4349999999999996</v>
      </c>
      <c r="O1063" s="7">
        <v>5.2649999999999997</v>
      </c>
      <c r="P1063" s="7">
        <v>5.2919999999999998</v>
      </c>
      <c r="Q1063" s="7">
        <v>5.5339999999999998</v>
      </c>
      <c r="R1063" s="7">
        <v>5.6280000000000001</v>
      </c>
      <c r="S1063" s="7">
        <f t="shared" si="16"/>
        <v>5.1621666666666668</v>
      </c>
    </row>
    <row r="1064" spans="1:19">
      <c r="A1064" s="5" t="str">
        <f>B1064&amp;"-"&amp;COUNTIF($B$2:B1064,B1064)</f>
        <v>GOIAS-181</v>
      </c>
      <c r="B1064" s="5" t="s">
        <v>771</v>
      </c>
      <c r="C1064" s="5" t="s">
        <v>5535</v>
      </c>
      <c r="D1064" s="6">
        <v>-493368</v>
      </c>
      <c r="E1064" s="6">
        <v>-160973</v>
      </c>
      <c r="F1064" s="7">
        <v>5.3120000000000003</v>
      </c>
      <c r="G1064" s="7">
        <v>5.4790000000000001</v>
      </c>
      <c r="H1064" s="7">
        <v>5.6630000000000003</v>
      </c>
      <c r="I1064" s="7">
        <v>5.242</v>
      </c>
      <c r="J1064" s="7">
        <v>5.2290000000000001</v>
      </c>
      <c r="K1064" s="7">
        <v>4.8979999999999997</v>
      </c>
      <c r="L1064" s="7">
        <v>4.6710000000000003</v>
      </c>
      <c r="M1064" s="7">
        <v>4.8440000000000003</v>
      </c>
      <c r="N1064" s="7">
        <v>5.76</v>
      </c>
      <c r="O1064" s="7">
        <v>5.569</v>
      </c>
      <c r="P1064" s="7">
        <v>5.5910000000000002</v>
      </c>
      <c r="Q1064" s="7">
        <v>5.3079999999999998</v>
      </c>
      <c r="R1064" s="7">
        <v>5.4829999999999997</v>
      </c>
      <c r="S1064" s="7">
        <f t="shared" si="16"/>
        <v>5.3114166666666662</v>
      </c>
    </row>
    <row r="1065" spans="1:19">
      <c r="A1065" s="5" t="str">
        <f>B1065&amp;"-"&amp;COUNTIF($B$2:B1065,B1065)</f>
        <v>GOIAS-182</v>
      </c>
      <c r="B1065" s="5" t="s">
        <v>771</v>
      </c>
      <c r="C1065" s="5" t="s">
        <v>5536</v>
      </c>
      <c r="D1065" s="6">
        <v>-495805</v>
      </c>
      <c r="E1065" s="6">
        <v>-147633</v>
      </c>
      <c r="F1065" s="7">
        <v>5.2380000000000004</v>
      </c>
      <c r="G1065" s="7">
        <v>5.3140000000000001</v>
      </c>
      <c r="H1065" s="7">
        <v>5.452</v>
      </c>
      <c r="I1065" s="7">
        <v>5.0529999999999999</v>
      </c>
      <c r="J1065" s="7">
        <v>5.0350000000000001</v>
      </c>
      <c r="K1065" s="7">
        <v>4.9260000000000002</v>
      </c>
      <c r="L1065" s="7">
        <v>4.6929999999999996</v>
      </c>
      <c r="M1065" s="7">
        <v>4.9359999999999999</v>
      </c>
      <c r="N1065" s="7">
        <v>5.9390000000000001</v>
      </c>
      <c r="O1065" s="7">
        <v>5.5629999999999997</v>
      </c>
      <c r="P1065" s="7">
        <v>5.47</v>
      </c>
      <c r="Q1065" s="7">
        <v>5.1429999999999998</v>
      </c>
      <c r="R1065" s="7">
        <v>5.3369999999999997</v>
      </c>
      <c r="S1065" s="7">
        <f t="shared" si="16"/>
        <v>5.2384166666666667</v>
      </c>
    </row>
    <row r="1066" spans="1:19">
      <c r="A1066" s="5" t="str">
        <f>B1066&amp;"-"&amp;COUNTIF($B$2:B1066,B1066)</f>
        <v>GOIAS-183</v>
      </c>
      <c r="B1066" s="5" t="s">
        <v>771</v>
      </c>
      <c r="C1066" s="5" t="s">
        <v>851</v>
      </c>
      <c r="D1066" s="6">
        <v>-49026</v>
      </c>
      <c r="E1066" s="6">
        <v>-173019</v>
      </c>
      <c r="F1066" s="7">
        <v>5.2880000000000003</v>
      </c>
      <c r="G1066" s="7">
        <v>5.6230000000000002</v>
      </c>
      <c r="H1066" s="7">
        <v>5.7309999999999999</v>
      </c>
      <c r="I1066" s="7">
        <v>5.26</v>
      </c>
      <c r="J1066" s="7">
        <v>5.1470000000000002</v>
      </c>
      <c r="K1066" s="7">
        <v>4.7709999999999999</v>
      </c>
      <c r="L1066" s="7">
        <v>4.4829999999999997</v>
      </c>
      <c r="M1066" s="7">
        <v>4.6630000000000003</v>
      </c>
      <c r="N1066" s="7">
        <v>5.5490000000000004</v>
      </c>
      <c r="O1066" s="7">
        <v>5.4409999999999998</v>
      </c>
      <c r="P1066" s="7">
        <v>5.6319999999999997</v>
      </c>
      <c r="Q1066" s="7">
        <v>5.4740000000000002</v>
      </c>
      <c r="R1066" s="7">
        <v>5.68</v>
      </c>
      <c r="S1066" s="7">
        <f t="shared" si="16"/>
        <v>5.2878333333333334</v>
      </c>
    </row>
    <row r="1067" spans="1:19">
      <c r="A1067" s="5" t="str">
        <f>B1067&amp;"-"&amp;COUNTIF($B$2:B1067,B1067)</f>
        <v>GOIAS-184</v>
      </c>
      <c r="B1067" s="5" t="s">
        <v>771</v>
      </c>
      <c r="C1067" s="5" t="s">
        <v>176</v>
      </c>
      <c r="D1067" s="6">
        <v>-518197</v>
      </c>
      <c r="E1067" s="6">
        <v>-164272</v>
      </c>
      <c r="F1067" s="7">
        <v>5.2759999999999998</v>
      </c>
      <c r="G1067" s="7">
        <v>5.5330000000000004</v>
      </c>
      <c r="H1067" s="7">
        <v>5.734</v>
      </c>
      <c r="I1067" s="7">
        <v>5.2729999999999997</v>
      </c>
      <c r="J1067" s="7">
        <v>5.33</v>
      </c>
      <c r="K1067" s="7">
        <v>4.8789999999999996</v>
      </c>
      <c r="L1067" s="7">
        <v>4.5330000000000004</v>
      </c>
      <c r="M1067" s="7">
        <v>4.6040000000000001</v>
      </c>
      <c r="N1067" s="7">
        <v>5.3890000000000002</v>
      </c>
      <c r="O1067" s="7">
        <v>5.3609999999999998</v>
      </c>
      <c r="P1067" s="7">
        <v>5.5549999999999997</v>
      </c>
      <c r="Q1067" s="7">
        <v>5.524</v>
      </c>
      <c r="R1067" s="7">
        <v>5.5960000000000001</v>
      </c>
      <c r="S1067" s="7">
        <f t="shared" si="16"/>
        <v>5.2759166666666664</v>
      </c>
    </row>
    <row r="1068" spans="1:19">
      <c r="A1068" s="5" t="str">
        <f>B1068&amp;"-"&amp;COUNTIF($B$2:B1068,B1068)</f>
        <v>GOIAS-185</v>
      </c>
      <c r="B1068" s="5" t="s">
        <v>771</v>
      </c>
      <c r="C1068" s="5" t="s">
        <v>5087</v>
      </c>
      <c r="D1068" s="6">
        <v>-489487</v>
      </c>
      <c r="E1068" s="6">
        <v>-158549</v>
      </c>
      <c r="F1068" s="7">
        <v>5.2119999999999997</v>
      </c>
      <c r="G1068" s="7">
        <v>5.37</v>
      </c>
      <c r="H1068" s="7">
        <v>5.4480000000000004</v>
      </c>
      <c r="I1068" s="7">
        <v>5.1059999999999999</v>
      </c>
      <c r="J1068" s="7">
        <v>5.0940000000000003</v>
      </c>
      <c r="K1068" s="7">
        <v>4.8890000000000002</v>
      </c>
      <c r="L1068" s="7">
        <v>4.6120000000000001</v>
      </c>
      <c r="M1068" s="7">
        <v>4.8890000000000002</v>
      </c>
      <c r="N1068" s="7">
        <v>5.7190000000000003</v>
      </c>
      <c r="O1068" s="7">
        <v>5.5190000000000001</v>
      </c>
      <c r="P1068" s="7">
        <v>5.5</v>
      </c>
      <c r="Q1068" s="7">
        <v>5.1349999999999998</v>
      </c>
      <c r="R1068" s="7">
        <v>5.266</v>
      </c>
      <c r="S1068" s="7">
        <f t="shared" si="16"/>
        <v>5.21225</v>
      </c>
    </row>
    <row r="1069" spans="1:19">
      <c r="A1069" s="5" t="str">
        <f>B1069&amp;"-"&amp;COUNTIF($B$2:B1069,B1069)</f>
        <v>GOIAS-186</v>
      </c>
      <c r="B1069" s="5" t="s">
        <v>771</v>
      </c>
      <c r="C1069" s="5" t="s">
        <v>852</v>
      </c>
      <c r="D1069" s="6">
        <v>-482771</v>
      </c>
      <c r="E1069" s="6">
        <v>-173024</v>
      </c>
      <c r="F1069" s="7">
        <v>5.3470000000000004</v>
      </c>
      <c r="G1069" s="7">
        <v>5.6970000000000001</v>
      </c>
      <c r="H1069" s="7">
        <v>5.89</v>
      </c>
      <c r="I1069" s="7">
        <v>5.2789999999999999</v>
      </c>
      <c r="J1069" s="7">
        <v>5.274</v>
      </c>
      <c r="K1069" s="7">
        <v>4.7709999999999999</v>
      </c>
      <c r="L1069" s="7">
        <v>4.5430000000000001</v>
      </c>
      <c r="M1069" s="7">
        <v>4.7569999999999997</v>
      </c>
      <c r="N1069" s="7">
        <v>5.6740000000000004</v>
      </c>
      <c r="O1069" s="7">
        <v>5.4269999999999996</v>
      </c>
      <c r="P1069" s="7">
        <v>5.6970000000000001</v>
      </c>
      <c r="Q1069" s="7">
        <v>5.452</v>
      </c>
      <c r="R1069" s="7">
        <v>5.7089999999999996</v>
      </c>
      <c r="S1069" s="7">
        <f t="shared" si="16"/>
        <v>5.3475000000000001</v>
      </c>
    </row>
    <row r="1070" spans="1:19">
      <c r="A1070" s="5" t="str">
        <f>B1070&amp;"-"&amp;COUNTIF($B$2:B1070,B1070)</f>
        <v>GOIAS-187</v>
      </c>
      <c r="B1070" s="5" t="s">
        <v>771</v>
      </c>
      <c r="C1070" s="5" t="s">
        <v>853</v>
      </c>
      <c r="D1070" s="6">
        <v>-476093</v>
      </c>
      <c r="E1070" s="6">
        <v>-154525</v>
      </c>
      <c r="F1070" s="7">
        <v>5.407</v>
      </c>
      <c r="G1070" s="7">
        <v>5.5179999999999998</v>
      </c>
      <c r="H1070" s="7">
        <v>5.8559999999999999</v>
      </c>
      <c r="I1070" s="7">
        <v>5.2229999999999999</v>
      </c>
      <c r="J1070" s="7">
        <v>5.1550000000000002</v>
      </c>
      <c r="K1070" s="7">
        <v>4.9189999999999996</v>
      </c>
      <c r="L1070" s="7">
        <v>4.8280000000000003</v>
      </c>
      <c r="M1070" s="7">
        <v>5.1180000000000003</v>
      </c>
      <c r="N1070" s="7">
        <v>6.0259999999999998</v>
      </c>
      <c r="O1070" s="7">
        <v>5.9219999999999997</v>
      </c>
      <c r="P1070" s="7">
        <v>5.6639999999999997</v>
      </c>
      <c r="Q1070" s="7">
        <v>5.1260000000000003</v>
      </c>
      <c r="R1070" s="7">
        <v>5.524</v>
      </c>
      <c r="S1070" s="7">
        <f t="shared" si="16"/>
        <v>5.4065833333333329</v>
      </c>
    </row>
    <row r="1071" spans="1:19">
      <c r="A1071" s="5" t="str">
        <f>B1071&amp;"-"&amp;COUNTIF($B$2:B1071,B1071)</f>
        <v>GOIAS-188</v>
      </c>
      <c r="B1071" s="5" t="s">
        <v>771</v>
      </c>
      <c r="C1071" s="5" t="s">
        <v>854</v>
      </c>
      <c r="D1071" s="6">
        <v>-494491</v>
      </c>
      <c r="E1071" s="6">
        <v>-175166</v>
      </c>
      <c r="F1071" s="7">
        <v>5.2640000000000002</v>
      </c>
      <c r="G1071" s="7">
        <v>5.5960000000000001</v>
      </c>
      <c r="H1071" s="7">
        <v>5.7030000000000003</v>
      </c>
      <c r="I1071" s="7">
        <v>5.3529999999999998</v>
      </c>
      <c r="J1071" s="7">
        <v>5.1520000000000001</v>
      </c>
      <c r="K1071" s="7">
        <v>4.7320000000000002</v>
      </c>
      <c r="L1071" s="7">
        <v>4.3490000000000002</v>
      </c>
      <c r="M1071" s="7">
        <v>4.5949999999999998</v>
      </c>
      <c r="N1071" s="7">
        <v>5.4989999999999997</v>
      </c>
      <c r="O1071" s="7">
        <v>5.3730000000000002</v>
      </c>
      <c r="P1071" s="7">
        <v>5.6109999999999998</v>
      </c>
      <c r="Q1071" s="7">
        <v>5.5250000000000004</v>
      </c>
      <c r="R1071" s="7">
        <v>5.6790000000000003</v>
      </c>
      <c r="S1071" s="7">
        <f t="shared" si="16"/>
        <v>5.2639166666666668</v>
      </c>
    </row>
    <row r="1072" spans="1:19">
      <c r="A1072" s="5" t="str">
        <f>B1072&amp;"-"&amp;COUNTIF($B$2:B1072,B1072)</f>
        <v>GOIAS-189</v>
      </c>
      <c r="B1072" s="5" t="s">
        <v>771</v>
      </c>
      <c r="C1072" s="5" t="s">
        <v>855</v>
      </c>
      <c r="D1072" s="6">
        <v>-491499</v>
      </c>
      <c r="E1072" s="6">
        <v>-134387</v>
      </c>
      <c r="F1072" s="7">
        <v>5.3449999999999998</v>
      </c>
      <c r="G1072" s="7">
        <v>5.399</v>
      </c>
      <c r="H1072" s="7">
        <v>5.5549999999999997</v>
      </c>
      <c r="I1072" s="7">
        <v>5.1550000000000002</v>
      </c>
      <c r="J1072" s="7">
        <v>5.2439999999999998</v>
      </c>
      <c r="K1072" s="7">
        <v>5.0119999999999996</v>
      </c>
      <c r="L1072" s="7">
        <v>4.83</v>
      </c>
      <c r="M1072" s="7">
        <v>5.1559999999999997</v>
      </c>
      <c r="N1072" s="7">
        <v>5.859</v>
      </c>
      <c r="O1072" s="7">
        <v>5.7539999999999996</v>
      </c>
      <c r="P1072" s="7">
        <v>5.6150000000000002</v>
      </c>
      <c r="Q1072" s="7">
        <v>5.1779999999999999</v>
      </c>
      <c r="R1072" s="7">
        <v>5.3840000000000003</v>
      </c>
      <c r="S1072" s="7">
        <f t="shared" si="16"/>
        <v>5.3450833333333323</v>
      </c>
    </row>
    <row r="1073" spans="1:19">
      <c r="A1073" s="5" t="str">
        <f>B1073&amp;"-"&amp;COUNTIF($B$2:B1073,B1073)</f>
        <v>GOIAS-190</v>
      </c>
      <c r="B1073" s="5" t="s">
        <v>771</v>
      </c>
      <c r="C1073" s="5" t="s">
        <v>3929</v>
      </c>
      <c r="D1073" s="6">
        <v>-501658</v>
      </c>
      <c r="E1073" s="6">
        <v>-178105</v>
      </c>
      <c r="F1073" s="7">
        <v>5.2990000000000004</v>
      </c>
      <c r="G1073" s="7">
        <v>5.734</v>
      </c>
      <c r="H1073" s="7">
        <v>5.7949999999999999</v>
      </c>
      <c r="I1073" s="7">
        <v>5.3209999999999997</v>
      </c>
      <c r="J1073" s="7">
        <v>5.1210000000000004</v>
      </c>
      <c r="K1073" s="7">
        <v>4.7309999999999999</v>
      </c>
      <c r="L1073" s="7">
        <v>4.4119999999999999</v>
      </c>
      <c r="M1073" s="7">
        <v>4.6239999999999997</v>
      </c>
      <c r="N1073" s="7">
        <v>5.5670000000000002</v>
      </c>
      <c r="O1073" s="7">
        <v>5.327</v>
      </c>
      <c r="P1073" s="7">
        <v>5.5880000000000001</v>
      </c>
      <c r="Q1073" s="7">
        <v>5.6189999999999998</v>
      </c>
      <c r="R1073" s="7">
        <v>5.7469999999999999</v>
      </c>
      <c r="S1073" s="7">
        <f t="shared" si="16"/>
        <v>5.2988333333333335</v>
      </c>
    </row>
    <row r="1074" spans="1:19">
      <c r="A1074" s="5" t="str">
        <f>B1074&amp;"-"&amp;COUNTIF($B$2:B1074,B1074)</f>
        <v>GOIAS-191</v>
      </c>
      <c r="B1074" s="5" t="s">
        <v>771</v>
      </c>
      <c r="C1074" s="5" t="s">
        <v>4933</v>
      </c>
      <c r="D1074" s="6">
        <v>-526804</v>
      </c>
      <c r="E1074" s="6">
        <v>-173558</v>
      </c>
      <c r="F1074" s="7">
        <v>5.1660000000000004</v>
      </c>
      <c r="G1074" s="7">
        <v>5.5350000000000001</v>
      </c>
      <c r="H1074" s="7">
        <v>5.5570000000000004</v>
      </c>
      <c r="I1074" s="7">
        <v>5.1660000000000004</v>
      </c>
      <c r="J1074" s="7">
        <v>5.0590000000000002</v>
      </c>
      <c r="K1074" s="7">
        <v>4.67</v>
      </c>
      <c r="L1074" s="7">
        <v>4.3609999999999998</v>
      </c>
      <c r="M1074" s="7">
        <v>4.4930000000000003</v>
      </c>
      <c r="N1074" s="7">
        <v>5.2889999999999997</v>
      </c>
      <c r="O1074" s="7">
        <v>5.3019999999999996</v>
      </c>
      <c r="P1074" s="7">
        <v>5.2869999999999999</v>
      </c>
      <c r="Q1074" s="7">
        <v>5.56</v>
      </c>
      <c r="R1074" s="7">
        <v>5.7119999999999997</v>
      </c>
      <c r="S1074" s="7">
        <f t="shared" si="16"/>
        <v>5.1659166666666669</v>
      </c>
    </row>
    <row r="1075" spans="1:19">
      <c r="A1075" s="5" t="str">
        <f>B1075&amp;"-"&amp;COUNTIF($B$2:B1075,B1075)</f>
        <v>GOIAS-192</v>
      </c>
      <c r="B1075" s="5" t="s">
        <v>771</v>
      </c>
      <c r="C1075" s="5" t="s">
        <v>856</v>
      </c>
      <c r="D1075" s="6">
        <v>-463632</v>
      </c>
      <c r="E1075" s="6">
        <v>-140893</v>
      </c>
      <c r="F1075" s="7">
        <v>5.4790000000000001</v>
      </c>
      <c r="G1075" s="7">
        <v>5.7969999999999997</v>
      </c>
      <c r="H1075" s="7">
        <v>5.7809999999999997</v>
      </c>
      <c r="I1075" s="7">
        <v>5.2939999999999996</v>
      </c>
      <c r="J1075" s="7">
        <v>5.1660000000000004</v>
      </c>
      <c r="K1075" s="7">
        <v>4.97</v>
      </c>
      <c r="L1075" s="7">
        <v>4.9130000000000003</v>
      </c>
      <c r="M1075" s="7">
        <v>5.32</v>
      </c>
      <c r="N1075" s="7">
        <v>6.01</v>
      </c>
      <c r="O1075" s="7">
        <v>5.9429999999999996</v>
      </c>
      <c r="P1075" s="7">
        <v>5.7220000000000004</v>
      </c>
      <c r="Q1075" s="7">
        <v>5.1280000000000001</v>
      </c>
      <c r="R1075" s="7">
        <v>5.7039999999999997</v>
      </c>
      <c r="S1075" s="7">
        <f t="shared" si="16"/>
        <v>5.4789999999999992</v>
      </c>
    </row>
    <row r="1076" spans="1:19">
      <c r="A1076" s="5" t="str">
        <f>B1076&amp;"-"&amp;COUNTIF($B$2:B1076,B1076)</f>
        <v>GOIAS-193</v>
      </c>
      <c r="B1076" s="5" t="s">
        <v>771</v>
      </c>
      <c r="C1076" s="5" t="s">
        <v>857</v>
      </c>
      <c r="D1076" s="6">
        <v>-492452</v>
      </c>
      <c r="E1076" s="6">
        <v>-172549</v>
      </c>
      <c r="F1076" s="7">
        <v>5.2750000000000004</v>
      </c>
      <c r="G1076" s="7">
        <v>5.6050000000000004</v>
      </c>
      <c r="H1076" s="7">
        <v>5.7130000000000001</v>
      </c>
      <c r="I1076" s="7">
        <v>5.2809999999999997</v>
      </c>
      <c r="J1076" s="7">
        <v>5.1509999999999998</v>
      </c>
      <c r="K1076" s="7">
        <v>4.7750000000000004</v>
      </c>
      <c r="L1076" s="7">
        <v>4.4279999999999999</v>
      </c>
      <c r="M1076" s="7">
        <v>4.681</v>
      </c>
      <c r="N1076" s="7">
        <v>5.5460000000000003</v>
      </c>
      <c r="O1076" s="7">
        <v>5.4249999999999998</v>
      </c>
      <c r="P1076" s="7">
        <v>5.5869999999999997</v>
      </c>
      <c r="Q1076" s="7">
        <v>5.4649999999999999</v>
      </c>
      <c r="R1076" s="7">
        <v>5.6459999999999999</v>
      </c>
      <c r="S1076" s="7">
        <f t="shared" si="16"/>
        <v>5.2752499999999998</v>
      </c>
    </row>
    <row r="1077" spans="1:19">
      <c r="A1077" s="5" t="str">
        <f>B1077&amp;"-"&amp;COUNTIF($B$2:B1077,B1077)</f>
        <v>GOIAS-194</v>
      </c>
      <c r="B1077" s="5" t="s">
        <v>771</v>
      </c>
      <c r="C1077" s="5" t="s">
        <v>5088</v>
      </c>
      <c r="D1077" s="6">
        <v>-504551</v>
      </c>
      <c r="E1077" s="6">
        <v>-184476</v>
      </c>
      <c r="F1077" s="7">
        <v>5.2279999999999998</v>
      </c>
      <c r="G1077" s="7">
        <v>5.6139999999999999</v>
      </c>
      <c r="H1077" s="7">
        <v>5.6669999999999998</v>
      </c>
      <c r="I1077" s="7">
        <v>5.2480000000000002</v>
      </c>
      <c r="J1077" s="7">
        <v>5.0720000000000001</v>
      </c>
      <c r="K1077" s="7">
        <v>4.5620000000000003</v>
      </c>
      <c r="L1077" s="7">
        <v>4.3129999999999997</v>
      </c>
      <c r="M1077" s="7">
        <v>4.4779999999999998</v>
      </c>
      <c r="N1077" s="7">
        <v>5.4420000000000002</v>
      </c>
      <c r="O1077" s="7">
        <v>5.2889999999999997</v>
      </c>
      <c r="P1077" s="7">
        <v>5.56</v>
      </c>
      <c r="Q1077" s="7">
        <v>5.6890000000000001</v>
      </c>
      <c r="R1077" s="7">
        <v>5.798</v>
      </c>
      <c r="S1077" s="7">
        <f t="shared" si="16"/>
        <v>5.2276666666666669</v>
      </c>
    </row>
    <row r="1078" spans="1:19">
      <c r="A1078" s="5" t="str">
        <f>B1078&amp;"-"&amp;COUNTIF($B$2:B1078,B1078)</f>
        <v>GOIAS-195</v>
      </c>
      <c r="B1078" s="5" t="s">
        <v>771</v>
      </c>
      <c r="C1078" s="5" t="s">
        <v>858</v>
      </c>
      <c r="D1078" s="6">
        <v>-495818</v>
      </c>
      <c r="E1078" s="6">
        <v>-153149</v>
      </c>
      <c r="F1078" s="7">
        <v>5.2720000000000002</v>
      </c>
      <c r="G1078" s="7">
        <v>5.359</v>
      </c>
      <c r="H1078" s="7">
        <v>5.6360000000000001</v>
      </c>
      <c r="I1078" s="7">
        <v>5.21</v>
      </c>
      <c r="J1078" s="7">
        <v>5.1959999999999997</v>
      </c>
      <c r="K1078" s="7">
        <v>4.9290000000000003</v>
      </c>
      <c r="L1078" s="7">
        <v>4.6369999999999996</v>
      </c>
      <c r="M1078" s="7">
        <v>4.82</v>
      </c>
      <c r="N1078" s="7">
        <v>5.7690000000000001</v>
      </c>
      <c r="O1078" s="7">
        <v>5.5469999999999997</v>
      </c>
      <c r="P1078" s="7">
        <v>5.5650000000000004</v>
      </c>
      <c r="Q1078" s="7">
        <v>5.2190000000000003</v>
      </c>
      <c r="R1078" s="7">
        <v>5.3730000000000002</v>
      </c>
      <c r="S1078" s="7">
        <f t="shared" si="16"/>
        <v>5.2716666666666665</v>
      </c>
    </row>
    <row r="1079" spans="1:19">
      <c r="A1079" s="5" t="str">
        <f>B1079&amp;"-"&amp;COUNTIF($B$2:B1079,B1079)</f>
        <v>GOIAS-196</v>
      </c>
      <c r="B1079" s="5" t="s">
        <v>771</v>
      </c>
      <c r="C1079" s="5" t="s">
        <v>5537</v>
      </c>
      <c r="D1079" s="6">
        <v>-495087</v>
      </c>
      <c r="E1079" s="6">
        <v>-154491</v>
      </c>
      <c r="F1079" s="7">
        <v>5.2679999999999998</v>
      </c>
      <c r="G1079" s="7">
        <v>5.3860000000000001</v>
      </c>
      <c r="H1079" s="7">
        <v>5.6390000000000002</v>
      </c>
      <c r="I1079" s="7">
        <v>5.23</v>
      </c>
      <c r="J1079" s="7">
        <v>5.125</v>
      </c>
      <c r="K1079" s="7">
        <v>4.9219999999999997</v>
      </c>
      <c r="L1079" s="7">
        <v>4.6639999999999997</v>
      </c>
      <c r="M1079" s="7">
        <v>4.7869999999999999</v>
      </c>
      <c r="N1079" s="7">
        <v>5.7649999999999997</v>
      </c>
      <c r="O1079" s="7">
        <v>5.5149999999999997</v>
      </c>
      <c r="P1079" s="7">
        <v>5.5579999999999998</v>
      </c>
      <c r="Q1079" s="7">
        <v>5.25</v>
      </c>
      <c r="R1079" s="7">
        <v>5.3810000000000002</v>
      </c>
      <c r="S1079" s="7">
        <f t="shared" si="16"/>
        <v>5.2685000000000004</v>
      </c>
    </row>
    <row r="1080" spans="1:19">
      <c r="A1080" s="5" t="str">
        <f>B1080&amp;"-"&amp;COUNTIF($B$2:B1080,B1080)</f>
        <v>GOIAS-197</v>
      </c>
      <c r="B1080" s="5" t="s">
        <v>771</v>
      </c>
      <c r="C1080" s="5" t="s">
        <v>859</v>
      </c>
      <c r="D1080" s="6">
        <v>-487567</v>
      </c>
      <c r="E1080" s="6">
        <v>-177702</v>
      </c>
      <c r="F1080" s="7">
        <v>5.3129999999999997</v>
      </c>
      <c r="G1080" s="7">
        <v>5.5979999999999999</v>
      </c>
      <c r="H1080" s="7">
        <v>5.8120000000000003</v>
      </c>
      <c r="I1080" s="7">
        <v>5.2690000000000001</v>
      </c>
      <c r="J1080" s="7">
        <v>5.1479999999999997</v>
      </c>
      <c r="K1080" s="7">
        <v>4.7560000000000002</v>
      </c>
      <c r="L1080" s="7">
        <v>4.4779999999999998</v>
      </c>
      <c r="M1080" s="7">
        <v>4.7110000000000003</v>
      </c>
      <c r="N1080" s="7">
        <v>5.59</v>
      </c>
      <c r="O1080" s="7">
        <v>5.468</v>
      </c>
      <c r="P1080" s="7">
        <v>5.6360000000000001</v>
      </c>
      <c r="Q1080" s="7">
        <v>5.5949999999999998</v>
      </c>
      <c r="R1080" s="7">
        <v>5.6909999999999998</v>
      </c>
      <c r="S1080" s="7">
        <f t="shared" si="16"/>
        <v>5.3126666666666669</v>
      </c>
    </row>
    <row r="1081" spans="1:19">
      <c r="A1081" s="5" t="str">
        <f>B1081&amp;"-"&amp;COUNTIF($B$2:B1081,B1081)</f>
        <v>GOIAS-198</v>
      </c>
      <c r="B1081" s="5" t="s">
        <v>771</v>
      </c>
      <c r="C1081" s="5" t="s">
        <v>860</v>
      </c>
      <c r="D1081" s="6">
        <v>-509196</v>
      </c>
      <c r="E1081" s="6">
        <v>-177927</v>
      </c>
      <c r="F1081" s="7">
        <v>5.1890000000000001</v>
      </c>
      <c r="G1081" s="7">
        <v>5.6050000000000004</v>
      </c>
      <c r="H1081" s="7">
        <v>5.58</v>
      </c>
      <c r="I1081" s="7">
        <v>5.1449999999999996</v>
      </c>
      <c r="J1081" s="7">
        <v>5.0410000000000004</v>
      </c>
      <c r="K1081" s="7">
        <v>4.6470000000000002</v>
      </c>
      <c r="L1081" s="7">
        <v>4.3849999999999998</v>
      </c>
      <c r="M1081" s="7">
        <v>4.5380000000000003</v>
      </c>
      <c r="N1081" s="7">
        <v>5.5279999999999996</v>
      </c>
      <c r="O1081" s="7">
        <v>5.3079999999999998</v>
      </c>
      <c r="P1081" s="7">
        <v>5.42</v>
      </c>
      <c r="Q1081" s="7">
        <v>5.3680000000000003</v>
      </c>
      <c r="R1081" s="7">
        <v>5.7009999999999996</v>
      </c>
      <c r="S1081" s="7">
        <f t="shared" si="16"/>
        <v>5.1888333333333341</v>
      </c>
    </row>
    <row r="1082" spans="1:19">
      <c r="A1082" s="5" t="str">
        <f>B1082&amp;"-"&amp;COUNTIF($B$2:B1082,B1082)</f>
        <v>GOIAS-199</v>
      </c>
      <c r="B1082" s="5" t="s">
        <v>771</v>
      </c>
      <c r="C1082" s="5" t="s">
        <v>861</v>
      </c>
      <c r="D1082" s="6">
        <v>-498014</v>
      </c>
      <c r="E1082" s="6">
        <v>-151637</v>
      </c>
      <c r="F1082" s="7">
        <v>5.2270000000000003</v>
      </c>
      <c r="G1082" s="7">
        <v>5.258</v>
      </c>
      <c r="H1082" s="7">
        <v>5.45</v>
      </c>
      <c r="I1082" s="7">
        <v>5.1210000000000004</v>
      </c>
      <c r="J1082" s="7">
        <v>5.0970000000000004</v>
      </c>
      <c r="K1082" s="7">
        <v>4.9580000000000002</v>
      </c>
      <c r="L1082" s="7">
        <v>4.6820000000000004</v>
      </c>
      <c r="M1082" s="7">
        <v>4.8499999999999996</v>
      </c>
      <c r="N1082" s="7">
        <v>5.758</v>
      </c>
      <c r="O1082" s="7">
        <v>5.5419999999999998</v>
      </c>
      <c r="P1082" s="7">
        <v>5.5140000000000002</v>
      </c>
      <c r="Q1082" s="7">
        <v>5.1950000000000003</v>
      </c>
      <c r="R1082" s="7">
        <v>5.2990000000000004</v>
      </c>
      <c r="S1082" s="7">
        <f t="shared" si="16"/>
        <v>5.2270000000000012</v>
      </c>
    </row>
    <row r="1083" spans="1:19">
      <c r="A1083" s="5" t="str">
        <f>B1083&amp;"-"&amp;COUNTIF($B$2:B1083,B1083)</f>
        <v>GOIAS-200</v>
      </c>
      <c r="B1083" s="5" t="s">
        <v>771</v>
      </c>
      <c r="C1083" s="5" t="s">
        <v>3917</v>
      </c>
      <c r="D1083" s="6">
        <v>-463114</v>
      </c>
      <c r="E1083" s="6">
        <v>-134032</v>
      </c>
      <c r="F1083" s="7">
        <v>5.55</v>
      </c>
      <c r="G1083" s="7">
        <v>5.9189999999999996</v>
      </c>
      <c r="H1083" s="7">
        <v>5.7629999999999999</v>
      </c>
      <c r="I1083" s="7">
        <v>5.3280000000000003</v>
      </c>
      <c r="J1083" s="7">
        <v>5.2869999999999999</v>
      </c>
      <c r="K1083" s="7">
        <v>5.15</v>
      </c>
      <c r="L1083" s="7">
        <v>5.0789999999999997</v>
      </c>
      <c r="M1083" s="7">
        <v>5.3979999999999997</v>
      </c>
      <c r="N1083" s="7">
        <v>5.9989999999999997</v>
      </c>
      <c r="O1083" s="7">
        <v>6.0220000000000002</v>
      </c>
      <c r="P1083" s="7">
        <v>5.7530000000000001</v>
      </c>
      <c r="Q1083" s="7">
        <v>5.1840000000000002</v>
      </c>
      <c r="R1083" s="7">
        <v>5.7160000000000002</v>
      </c>
      <c r="S1083" s="7">
        <f t="shared" si="16"/>
        <v>5.5498333333333321</v>
      </c>
    </row>
    <row r="1084" spans="1:19">
      <c r="A1084" s="5" t="str">
        <f>B1084&amp;"-"&amp;COUNTIF($B$2:B1084,B1084)</f>
        <v>GOIAS-201</v>
      </c>
      <c r="B1084" s="5" t="s">
        <v>771</v>
      </c>
      <c r="C1084" s="5" t="s">
        <v>5538</v>
      </c>
      <c r="D1084" s="6">
        <v>-492603</v>
      </c>
      <c r="E1084" s="6">
        <v>-15932</v>
      </c>
      <c r="F1084" s="7">
        <v>5.3079999999999998</v>
      </c>
      <c r="G1084" s="7">
        <v>5.5419999999999998</v>
      </c>
      <c r="H1084" s="7">
        <v>5.6630000000000003</v>
      </c>
      <c r="I1084" s="7">
        <v>5.2350000000000003</v>
      </c>
      <c r="J1084" s="7">
        <v>5.17</v>
      </c>
      <c r="K1084" s="7">
        <v>4.9279999999999999</v>
      </c>
      <c r="L1084" s="7">
        <v>4.6479999999999997</v>
      </c>
      <c r="M1084" s="7">
        <v>4.8490000000000002</v>
      </c>
      <c r="N1084" s="7">
        <v>5.7169999999999996</v>
      </c>
      <c r="O1084" s="7">
        <v>5.53</v>
      </c>
      <c r="P1084" s="7">
        <v>5.6139999999999999</v>
      </c>
      <c r="Q1084" s="7">
        <v>5.35</v>
      </c>
      <c r="R1084" s="7">
        <v>5.4429999999999996</v>
      </c>
      <c r="S1084" s="7">
        <f t="shared" si="16"/>
        <v>5.3074166666666658</v>
      </c>
    </row>
    <row r="1085" spans="1:19">
      <c r="A1085" s="5" t="str">
        <f>B1085&amp;"-"&amp;COUNTIF($B$2:B1085,B1085)</f>
        <v>GOIAS-202</v>
      </c>
      <c r="B1085" s="5" t="s">
        <v>771</v>
      </c>
      <c r="C1085" s="5" t="s">
        <v>4830</v>
      </c>
      <c r="D1085" s="6">
        <v>-504074</v>
      </c>
      <c r="E1085" s="6">
        <v>-16816</v>
      </c>
      <c r="F1085" s="7">
        <v>5.3040000000000003</v>
      </c>
      <c r="G1085" s="7">
        <v>5.5839999999999996</v>
      </c>
      <c r="H1085" s="7">
        <v>5.6909999999999998</v>
      </c>
      <c r="I1085" s="7">
        <v>5.319</v>
      </c>
      <c r="J1085" s="7">
        <v>5.21</v>
      </c>
      <c r="K1085" s="7">
        <v>4.8159999999999998</v>
      </c>
      <c r="L1085" s="7">
        <v>4.5410000000000004</v>
      </c>
      <c r="M1085" s="7">
        <v>4.7140000000000004</v>
      </c>
      <c r="N1085" s="7">
        <v>5.5659999999999998</v>
      </c>
      <c r="O1085" s="7">
        <v>5.4370000000000003</v>
      </c>
      <c r="P1085" s="7">
        <v>5.5970000000000004</v>
      </c>
      <c r="Q1085" s="7">
        <v>5.5640000000000001</v>
      </c>
      <c r="R1085" s="7">
        <v>5.6130000000000004</v>
      </c>
      <c r="S1085" s="7">
        <f t="shared" si="16"/>
        <v>5.3043333333333331</v>
      </c>
    </row>
    <row r="1086" spans="1:19">
      <c r="A1086" s="5" t="str">
        <f>B1086&amp;"-"&amp;COUNTIF($B$2:B1086,B1086)</f>
        <v>GOIAS-203</v>
      </c>
      <c r="B1086" s="5" t="s">
        <v>771</v>
      </c>
      <c r="C1086" s="5" t="s">
        <v>4635</v>
      </c>
      <c r="D1086" s="6">
        <v>-475232</v>
      </c>
      <c r="E1086" s="6">
        <v>-147053</v>
      </c>
      <c r="F1086" s="7">
        <v>5.4189999999999996</v>
      </c>
      <c r="G1086" s="7">
        <v>5.5979999999999999</v>
      </c>
      <c r="H1086" s="7">
        <v>5.7960000000000003</v>
      </c>
      <c r="I1086" s="7">
        <v>5.2709999999999999</v>
      </c>
      <c r="J1086" s="7">
        <v>5.1520000000000001</v>
      </c>
      <c r="K1086" s="7">
        <v>4.9930000000000003</v>
      </c>
      <c r="L1086" s="7">
        <v>4.9260000000000002</v>
      </c>
      <c r="M1086" s="7">
        <v>5.1609999999999996</v>
      </c>
      <c r="N1086" s="7">
        <v>6.0469999999999997</v>
      </c>
      <c r="O1086" s="7">
        <v>5.93</v>
      </c>
      <c r="P1086" s="7">
        <v>5.6429999999999998</v>
      </c>
      <c r="Q1086" s="7">
        <v>5.0060000000000002</v>
      </c>
      <c r="R1086" s="7">
        <v>5.5019999999999998</v>
      </c>
      <c r="S1086" s="7">
        <f t="shared" si="16"/>
        <v>5.4187500000000002</v>
      </c>
    </row>
    <row r="1087" spans="1:19">
      <c r="A1087" s="5" t="str">
        <f>B1087&amp;"-"&amp;COUNTIF($B$2:B1087,B1087)</f>
        <v>GOIAS-204</v>
      </c>
      <c r="B1087" s="5" t="s">
        <v>771</v>
      </c>
      <c r="C1087" s="5" t="s">
        <v>3930</v>
      </c>
      <c r="D1087" s="6">
        <v>-50373</v>
      </c>
      <c r="E1087" s="6">
        <v>-165215</v>
      </c>
      <c r="F1087" s="7">
        <v>5.3019999999999996</v>
      </c>
      <c r="G1087" s="7">
        <v>5.6189999999999998</v>
      </c>
      <c r="H1087" s="7">
        <v>5.6369999999999996</v>
      </c>
      <c r="I1087" s="7">
        <v>5.2759999999999998</v>
      </c>
      <c r="J1087" s="7">
        <v>5.2060000000000004</v>
      </c>
      <c r="K1087" s="7">
        <v>4.8559999999999999</v>
      </c>
      <c r="L1087" s="7">
        <v>4.5380000000000003</v>
      </c>
      <c r="M1087" s="7">
        <v>4.76</v>
      </c>
      <c r="N1087" s="7">
        <v>5.556</v>
      </c>
      <c r="O1087" s="7">
        <v>5.4459999999999997</v>
      </c>
      <c r="P1087" s="7">
        <v>5.5759999999999996</v>
      </c>
      <c r="Q1087" s="7">
        <v>5.5960000000000001</v>
      </c>
      <c r="R1087" s="7">
        <v>5.5620000000000003</v>
      </c>
      <c r="S1087" s="7">
        <f t="shared" si="16"/>
        <v>5.3023333333333333</v>
      </c>
    </row>
    <row r="1088" spans="1:19">
      <c r="A1088" s="5" t="str">
        <f>B1088&amp;"-"&amp;COUNTIF($B$2:B1088,B1088)</f>
        <v>GOIAS-205</v>
      </c>
      <c r="B1088" s="5" t="s">
        <v>771</v>
      </c>
      <c r="C1088" s="5" t="s">
        <v>3931</v>
      </c>
      <c r="D1088" s="6">
        <v>-493305</v>
      </c>
      <c r="E1088" s="6">
        <v>-14863</v>
      </c>
      <c r="F1088" s="7">
        <v>5.274</v>
      </c>
      <c r="G1088" s="7">
        <v>5.375</v>
      </c>
      <c r="H1088" s="7">
        <v>5.6639999999999997</v>
      </c>
      <c r="I1088" s="7">
        <v>5.2530000000000001</v>
      </c>
      <c r="J1088" s="7">
        <v>5.1580000000000004</v>
      </c>
      <c r="K1088" s="7">
        <v>4.9349999999999996</v>
      </c>
      <c r="L1088" s="7">
        <v>4.6070000000000002</v>
      </c>
      <c r="M1088" s="7">
        <v>4.8319999999999999</v>
      </c>
      <c r="N1088" s="7">
        <v>5.6879999999999997</v>
      </c>
      <c r="O1088" s="7">
        <v>5.577</v>
      </c>
      <c r="P1088" s="7">
        <v>5.5670000000000002</v>
      </c>
      <c r="Q1088" s="7">
        <v>5.242</v>
      </c>
      <c r="R1088" s="7">
        <v>5.3929999999999998</v>
      </c>
      <c r="S1088" s="7">
        <f t="shared" si="16"/>
        <v>5.2742499999999994</v>
      </c>
    </row>
    <row r="1089" spans="1:19">
      <c r="A1089" s="5" t="str">
        <f>B1089&amp;"-"&amp;COUNTIF($B$2:B1089,B1089)</f>
        <v>GOIAS-206</v>
      </c>
      <c r="B1089" s="5" t="s">
        <v>771</v>
      </c>
      <c r="C1089" s="5" t="s">
        <v>3932</v>
      </c>
      <c r="D1089" s="6">
        <v>-501638</v>
      </c>
      <c r="E1089" s="6">
        <v>-132735</v>
      </c>
      <c r="F1089" s="7">
        <v>5.2569999999999997</v>
      </c>
      <c r="G1089" s="7">
        <v>5.33</v>
      </c>
      <c r="H1089" s="7">
        <v>5.4029999999999996</v>
      </c>
      <c r="I1089" s="7">
        <v>5.12</v>
      </c>
      <c r="J1089" s="7">
        <v>5.0590000000000002</v>
      </c>
      <c r="K1089" s="7">
        <v>4.9470000000000001</v>
      </c>
      <c r="L1089" s="7">
        <v>4.8150000000000004</v>
      </c>
      <c r="M1089" s="7">
        <v>5.1340000000000003</v>
      </c>
      <c r="N1089" s="7">
        <v>5.6689999999999996</v>
      </c>
      <c r="O1089" s="7">
        <v>5.6420000000000003</v>
      </c>
      <c r="P1089" s="7">
        <v>5.44</v>
      </c>
      <c r="Q1089" s="7">
        <v>5.1630000000000003</v>
      </c>
      <c r="R1089" s="7">
        <v>5.3639999999999999</v>
      </c>
      <c r="S1089" s="7">
        <f t="shared" si="16"/>
        <v>5.2571666666666674</v>
      </c>
    </row>
    <row r="1090" spans="1:19">
      <c r="A1090" s="5" t="str">
        <f>B1090&amp;"-"&amp;COUNTIF($B$2:B1090,B1090)</f>
        <v>GOIAS-207</v>
      </c>
      <c r="B1090" s="5" t="s">
        <v>771</v>
      </c>
      <c r="C1090" s="5" t="s">
        <v>3933</v>
      </c>
      <c r="D1090" s="6">
        <v>-486634</v>
      </c>
      <c r="E1090" s="6">
        <v>-170564</v>
      </c>
      <c r="F1090" s="7">
        <v>5.3</v>
      </c>
      <c r="G1090" s="7">
        <v>5.6189999999999998</v>
      </c>
      <c r="H1090" s="7">
        <v>5.7709999999999999</v>
      </c>
      <c r="I1090" s="7">
        <v>5.1769999999999996</v>
      </c>
      <c r="J1090" s="7">
        <v>5.1390000000000002</v>
      </c>
      <c r="K1090" s="7">
        <v>4.79</v>
      </c>
      <c r="L1090" s="7">
        <v>4.5629999999999997</v>
      </c>
      <c r="M1090" s="7">
        <v>4.7919999999999998</v>
      </c>
      <c r="N1090" s="7">
        <v>5.6820000000000004</v>
      </c>
      <c r="O1090" s="7">
        <v>5.5309999999999997</v>
      </c>
      <c r="P1090" s="7">
        <v>5.641</v>
      </c>
      <c r="Q1090" s="7">
        <v>5.29</v>
      </c>
      <c r="R1090" s="7">
        <v>5.6059999999999999</v>
      </c>
      <c r="S1090" s="7">
        <f t="shared" si="16"/>
        <v>5.3000833333333333</v>
      </c>
    </row>
    <row r="1091" spans="1:19">
      <c r="A1091" s="5" t="str">
        <f>B1091&amp;"-"&amp;COUNTIF($B$2:B1091,B1091)</f>
        <v>GOIAS-208</v>
      </c>
      <c r="B1091" s="5" t="s">
        <v>771</v>
      </c>
      <c r="C1091" s="5" t="s">
        <v>3934</v>
      </c>
      <c r="D1091" s="6">
        <v>-498184</v>
      </c>
      <c r="E1091" s="6">
        <v>-153504</v>
      </c>
      <c r="F1091" s="7">
        <v>5.1909999999999998</v>
      </c>
      <c r="G1091" s="7">
        <v>5.2460000000000004</v>
      </c>
      <c r="H1091" s="7">
        <v>5.4480000000000004</v>
      </c>
      <c r="I1091" s="7">
        <v>5.0830000000000002</v>
      </c>
      <c r="J1091" s="7">
        <v>5.0679999999999996</v>
      </c>
      <c r="K1091" s="7">
        <v>4.9379999999999997</v>
      </c>
      <c r="L1091" s="7">
        <v>4.633</v>
      </c>
      <c r="M1091" s="7">
        <v>4.7880000000000003</v>
      </c>
      <c r="N1091" s="7">
        <v>5.734</v>
      </c>
      <c r="O1091" s="7">
        <v>5.4619999999999997</v>
      </c>
      <c r="P1091" s="7">
        <v>5.4749999999999996</v>
      </c>
      <c r="Q1091" s="7">
        <v>5.1609999999999996</v>
      </c>
      <c r="R1091" s="7">
        <v>5.2560000000000002</v>
      </c>
      <c r="S1091" s="7">
        <f t="shared" ref="S1091:S1154" si="17">(G1091+H1091+I1091+J1091+K1091+L1091+M1091+N1091+O1091+P1091+Q1091+R1091)/12</f>
        <v>5.1909999999999998</v>
      </c>
    </row>
    <row r="1092" spans="1:19">
      <c r="A1092" s="5" t="str">
        <f>B1092&amp;"-"&amp;COUNTIF($B$2:B1092,B1092)</f>
        <v>GOIAS-209</v>
      </c>
      <c r="B1092" s="5" t="s">
        <v>771</v>
      </c>
      <c r="C1092" s="5" t="s">
        <v>3935</v>
      </c>
      <c r="D1092" s="6">
        <v>-505474</v>
      </c>
      <c r="E1092" s="6">
        <v>-189965</v>
      </c>
      <c r="F1092" s="7">
        <v>5.2450000000000001</v>
      </c>
      <c r="G1092" s="7">
        <v>5.742</v>
      </c>
      <c r="H1092" s="7">
        <v>5.9169999999999998</v>
      </c>
      <c r="I1092" s="7">
        <v>5.3860000000000001</v>
      </c>
      <c r="J1092" s="7">
        <v>5.0510000000000002</v>
      </c>
      <c r="K1092" s="7">
        <v>4.4649999999999999</v>
      </c>
      <c r="L1092" s="7">
        <v>4.1680000000000001</v>
      </c>
      <c r="M1092" s="7">
        <v>4.367</v>
      </c>
      <c r="N1092" s="7">
        <v>5.2060000000000004</v>
      </c>
      <c r="O1092" s="7">
        <v>5.1470000000000002</v>
      </c>
      <c r="P1092" s="7">
        <v>5.585</v>
      </c>
      <c r="Q1092" s="7">
        <v>5.8419999999999996</v>
      </c>
      <c r="R1092" s="7">
        <v>6.0579999999999998</v>
      </c>
      <c r="S1092" s="7">
        <f t="shared" si="17"/>
        <v>5.2444999999999995</v>
      </c>
    </row>
    <row r="1093" spans="1:19">
      <c r="A1093" s="5" t="str">
        <f>B1093&amp;"-"&amp;COUNTIF($B$2:B1093,B1093)</f>
        <v>GOIAS-210</v>
      </c>
      <c r="B1093" s="5" t="s">
        <v>771</v>
      </c>
      <c r="C1093" s="5" t="s">
        <v>4934</v>
      </c>
      <c r="D1093" s="6">
        <v>-503037</v>
      </c>
      <c r="E1093" s="6">
        <v>-162115</v>
      </c>
      <c r="F1093" s="7">
        <v>5.3079999999999998</v>
      </c>
      <c r="G1093" s="7">
        <v>5.5369999999999999</v>
      </c>
      <c r="H1093" s="7">
        <v>5.6109999999999998</v>
      </c>
      <c r="I1093" s="7">
        <v>5.3150000000000004</v>
      </c>
      <c r="J1093" s="7">
        <v>5.2469999999999999</v>
      </c>
      <c r="K1093" s="7">
        <v>4.8659999999999997</v>
      </c>
      <c r="L1093" s="7">
        <v>4.6529999999999996</v>
      </c>
      <c r="M1093" s="7">
        <v>4.7569999999999997</v>
      </c>
      <c r="N1093" s="7">
        <v>5.6319999999999997</v>
      </c>
      <c r="O1093" s="7">
        <v>5.4210000000000003</v>
      </c>
      <c r="P1093" s="7">
        <v>5.5979999999999999</v>
      </c>
      <c r="Q1093" s="7">
        <v>5.5140000000000002</v>
      </c>
      <c r="R1093" s="7">
        <v>5.5469999999999997</v>
      </c>
      <c r="S1093" s="7">
        <f t="shared" si="17"/>
        <v>5.3081666666666658</v>
      </c>
    </row>
    <row r="1094" spans="1:19">
      <c r="A1094" s="5" t="str">
        <f>B1094&amp;"-"&amp;COUNTIF($B$2:B1094,B1094)</f>
        <v>GOIAS-211</v>
      </c>
      <c r="B1094" s="5" t="s">
        <v>771</v>
      </c>
      <c r="C1094" s="5" t="s">
        <v>5539</v>
      </c>
      <c r="D1094" s="6">
        <v>-497015</v>
      </c>
      <c r="E1094" s="6">
        <v>-165789</v>
      </c>
      <c r="F1094" s="7">
        <v>5.2640000000000002</v>
      </c>
      <c r="G1094" s="7">
        <v>5.4889999999999999</v>
      </c>
      <c r="H1094" s="7">
        <v>5.577</v>
      </c>
      <c r="I1094" s="7">
        <v>5.2279999999999998</v>
      </c>
      <c r="J1094" s="7">
        <v>5.2060000000000004</v>
      </c>
      <c r="K1094" s="7">
        <v>4.8079999999999998</v>
      </c>
      <c r="L1094" s="7">
        <v>4.5650000000000004</v>
      </c>
      <c r="M1094" s="7">
        <v>4.7690000000000001</v>
      </c>
      <c r="N1094" s="7">
        <v>5.6719999999999997</v>
      </c>
      <c r="O1094" s="7">
        <v>5.4550000000000001</v>
      </c>
      <c r="P1094" s="7">
        <v>5.5350000000000001</v>
      </c>
      <c r="Q1094" s="7">
        <v>5.343</v>
      </c>
      <c r="R1094" s="7">
        <v>5.5220000000000002</v>
      </c>
      <c r="S1094" s="7">
        <f t="shared" si="17"/>
        <v>5.2640833333333328</v>
      </c>
    </row>
    <row r="1095" spans="1:19">
      <c r="A1095" s="5" t="str">
        <f>B1095&amp;"-"&amp;COUNTIF($B$2:B1095,B1095)</f>
        <v>GOIAS-212</v>
      </c>
      <c r="B1095" s="5" t="s">
        <v>771</v>
      </c>
      <c r="C1095" s="5" t="s">
        <v>5540</v>
      </c>
      <c r="D1095" s="6">
        <v>-484813</v>
      </c>
      <c r="E1095" s="6">
        <v>-17316</v>
      </c>
      <c r="F1095" s="7">
        <v>5.319</v>
      </c>
      <c r="G1095" s="7">
        <v>5.6669999999999998</v>
      </c>
      <c r="H1095" s="7">
        <v>5.7750000000000004</v>
      </c>
      <c r="I1095" s="7">
        <v>5.2530000000000001</v>
      </c>
      <c r="J1095" s="7">
        <v>5.2039999999999997</v>
      </c>
      <c r="K1095" s="7">
        <v>4.76</v>
      </c>
      <c r="L1095" s="7">
        <v>4.5460000000000003</v>
      </c>
      <c r="M1095" s="7">
        <v>4.7919999999999998</v>
      </c>
      <c r="N1095" s="7">
        <v>5.6609999999999996</v>
      </c>
      <c r="O1095" s="7">
        <v>5.4109999999999996</v>
      </c>
      <c r="P1095" s="7">
        <v>5.6970000000000001</v>
      </c>
      <c r="Q1095" s="7">
        <v>5.3970000000000002</v>
      </c>
      <c r="R1095" s="7">
        <v>5.6669999999999998</v>
      </c>
      <c r="S1095" s="7">
        <f t="shared" si="17"/>
        <v>5.3191666666666668</v>
      </c>
    </row>
    <row r="1096" spans="1:19">
      <c r="A1096" s="5" t="str">
        <f>B1096&amp;"-"&amp;COUNTIF($B$2:B1096,B1096)</f>
        <v>GOIAS-213</v>
      </c>
      <c r="B1096" s="5" t="s">
        <v>771</v>
      </c>
      <c r="C1096" s="5" t="s">
        <v>5541</v>
      </c>
      <c r="D1096" s="6">
        <v>-511041</v>
      </c>
      <c r="E1096" s="6">
        <v>-157669</v>
      </c>
      <c r="F1096" s="7">
        <v>5.2610000000000001</v>
      </c>
      <c r="G1096" s="7">
        <v>5.5149999999999997</v>
      </c>
      <c r="H1096" s="7">
        <v>5.6369999999999996</v>
      </c>
      <c r="I1096" s="7">
        <v>5.28</v>
      </c>
      <c r="J1096" s="7">
        <v>5.2759999999999998</v>
      </c>
      <c r="K1096" s="7">
        <v>4.8949999999999996</v>
      </c>
      <c r="L1096" s="7">
        <v>4.5810000000000004</v>
      </c>
      <c r="M1096" s="7">
        <v>4.7350000000000003</v>
      </c>
      <c r="N1096" s="7">
        <v>5.4290000000000003</v>
      </c>
      <c r="O1096" s="7">
        <v>5.4059999999999997</v>
      </c>
      <c r="P1096" s="7">
        <v>5.5010000000000003</v>
      </c>
      <c r="Q1096" s="7">
        <v>5.3479999999999999</v>
      </c>
      <c r="R1096" s="7">
        <v>5.5270000000000001</v>
      </c>
      <c r="S1096" s="7">
        <f t="shared" si="17"/>
        <v>5.2608333333333333</v>
      </c>
    </row>
    <row r="1097" spans="1:19">
      <c r="A1097" s="5" t="str">
        <f>B1097&amp;"-"&amp;COUNTIF($B$2:B1097,B1097)</f>
        <v>GOIAS-214</v>
      </c>
      <c r="B1097" s="5" t="s">
        <v>771</v>
      </c>
      <c r="C1097" s="5" t="s">
        <v>5542</v>
      </c>
      <c r="D1097" s="6">
        <v>-505981</v>
      </c>
      <c r="E1097" s="6">
        <v>-17812</v>
      </c>
      <c r="F1097" s="7">
        <v>5.26</v>
      </c>
      <c r="G1097" s="7">
        <v>5.649</v>
      </c>
      <c r="H1097" s="7">
        <v>5.7510000000000003</v>
      </c>
      <c r="I1097" s="7">
        <v>5.2779999999999996</v>
      </c>
      <c r="J1097" s="7">
        <v>5.077</v>
      </c>
      <c r="K1097" s="7">
        <v>4.6970000000000001</v>
      </c>
      <c r="L1097" s="7">
        <v>4.3710000000000004</v>
      </c>
      <c r="M1097" s="7">
        <v>4.585</v>
      </c>
      <c r="N1097" s="7">
        <v>5.55</v>
      </c>
      <c r="O1097" s="7">
        <v>5.3070000000000004</v>
      </c>
      <c r="P1097" s="7">
        <v>5.5190000000000001</v>
      </c>
      <c r="Q1097" s="7">
        <v>5.5519999999999996</v>
      </c>
      <c r="R1097" s="7">
        <v>5.7830000000000004</v>
      </c>
      <c r="S1097" s="7">
        <f t="shared" si="17"/>
        <v>5.2599166666666664</v>
      </c>
    </row>
    <row r="1098" spans="1:19">
      <c r="A1098" s="5" t="str">
        <f>B1098&amp;"-"&amp;COUNTIF($B$2:B1098,B1098)</f>
        <v>GOIAS-215</v>
      </c>
      <c r="B1098" s="5" t="s">
        <v>771</v>
      </c>
      <c r="C1098" s="5" t="s">
        <v>862</v>
      </c>
      <c r="D1098" s="6">
        <v>-49425</v>
      </c>
      <c r="E1098" s="6">
        <v>-152978</v>
      </c>
      <c r="F1098" s="7">
        <v>5.2670000000000003</v>
      </c>
      <c r="G1098" s="7">
        <v>5.3609999999999998</v>
      </c>
      <c r="H1098" s="7">
        <v>5.6529999999999996</v>
      </c>
      <c r="I1098" s="7">
        <v>5.2119999999999997</v>
      </c>
      <c r="J1098" s="7">
        <v>5.1479999999999997</v>
      </c>
      <c r="K1098" s="7">
        <v>4.9210000000000003</v>
      </c>
      <c r="L1098" s="7">
        <v>4.63</v>
      </c>
      <c r="M1098" s="7">
        <v>4.8220000000000001</v>
      </c>
      <c r="N1098" s="7">
        <v>5.78</v>
      </c>
      <c r="O1098" s="7">
        <v>5.5570000000000004</v>
      </c>
      <c r="P1098" s="7">
        <v>5.5220000000000002</v>
      </c>
      <c r="Q1098" s="7">
        <v>5.2080000000000002</v>
      </c>
      <c r="R1098" s="7">
        <v>5.3929999999999998</v>
      </c>
      <c r="S1098" s="7">
        <f t="shared" si="17"/>
        <v>5.2672499999999998</v>
      </c>
    </row>
    <row r="1099" spans="1:19">
      <c r="A1099" s="5" t="str">
        <f>B1099&amp;"-"&amp;COUNTIF($B$2:B1099,B1099)</f>
        <v>GOIAS-216</v>
      </c>
      <c r="B1099" s="5" t="s">
        <v>771</v>
      </c>
      <c r="C1099" s="5" t="s">
        <v>863</v>
      </c>
      <c r="D1099" s="6">
        <v>-532017</v>
      </c>
      <c r="E1099" s="6">
        <v>-173274</v>
      </c>
      <c r="F1099" s="7">
        <v>5.1539999999999999</v>
      </c>
      <c r="G1099" s="7">
        <v>5.4720000000000004</v>
      </c>
      <c r="H1099" s="7">
        <v>5.5709999999999997</v>
      </c>
      <c r="I1099" s="7">
        <v>5.141</v>
      </c>
      <c r="J1099" s="7">
        <v>5.0949999999999998</v>
      </c>
      <c r="K1099" s="7">
        <v>4.633</v>
      </c>
      <c r="L1099" s="7">
        <v>4.4029999999999996</v>
      </c>
      <c r="M1099" s="7">
        <v>4.5469999999999997</v>
      </c>
      <c r="N1099" s="7">
        <v>5.4139999999999997</v>
      </c>
      <c r="O1099" s="7">
        <v>5.3140000000000001</v>
      </c>
      <c r="P1099" s="7">
        <v>5.2489999999999997</v>
      </c>
      <c r="Q1099" s="7">
        <v>5.4169999999999998</v>
      </c>
      <c r="R1099" s="7">
        <v>5.5979999999999999</v>
      </c>
      <c r="S1099" s="7">
        <f t="shared" si="17"/>
        <v>5.1544999999999996</v>
      </c>
    </row>
    <row r="1100" spans="1:19">
      <c r="A1100" s="5" t="str">
        <f>B1100&amp;"-"&amp;COUNTIF($B$2:B1100,B1100)</f>
        <v>GOIAS-217</v>
      </c>
      <c r="B1100" s="5" t="s">
        <v>771</v>
      </c>
      <c r="C1100" s="5" t="s">
        <v>864</v>
      </c>
      <c r="D1100" s="6">
        <v>-491189</v>
      </c>
      <c r="E1100" s="6">
        <v>-151352</v>
      </c>
      <c r="F1100" s="7">
        <v>5.306</v>
      </c>
      <c r="G1100" s="7">
        <v>5.3979999999999997</v>
      </c>
      <c r="H1100" s="7">
        <v>5.6550000000000002</v>
      </c>
      <c r="I1100" s="7">
        <v>5.2640000000000002</v>
      </c>
      <c r="J1100" s="7">
        <v>5.1779999999999999</v>
      </c>
      <c r="K1100" s="7">
        <v>4.9580000000000002</v>
      </c>
      <c r="L1100" s="7">
        <v>4.7119999999999997</v>
      </c>
      <c r="M1100" s="7">
        <v>4.88</v>
      </c>
      <c r="N1100" s="7">
        <v>5.6980000000000004</v>
      </c>
      <c r="O1100" s="7">
        <v>5.6840000000000002</v>
      </c>
      <c r="P1100" s="7">
        <v>5.61</v>
      </c>
      <c r="Q1100" s="7">
        <v>5.2549999999999999</v>
      </c>
      <c r="R1100" s="7">
        <v>5.3780000000000001</v>
      </c>
      <c r="S1100" s="7">
        <f t="shared" si="17"/>
        <v>5.3058333333333332</v>
      </c>
    </row>
    <row r="1101" spans="1:19">
      <c r="A1101" s="5" t="str">
        <f>B1101&amp;"-"&amp;COUNTIF($B$2:B1101,B1101)</f>
        <v>GOIAS-218</v>
      </c>
      <c r="B1101" s="5" t="s">
        <v>771</v>
      </c>
      <c r="C1101" s="5" t="s">
        <v>5543</v>
      </c>
      <c r="D1101" s="6">
        <v>-494932</v>
      </c>
      <c r="E1101" s="6">
        <v>-160843</v>
      </c>
      <c r="F1101" s="7">
        <v>5.2759999999999998</v>
      </c>
      <c r="G1101" s="7">
        <v>5.4320000000000004</v>
      </c>
      <c r="H1101" s="7">
        <v>5.633</v>
      </c>
      <c r="I1101" s="7">
        <v>5.2069999999999999</v>
      </c>
      <c r="J1101" s="7">
        <v>5.18</v>
      </c>
      <c r="K1101" s="7">
        <v>4.8879999999999999</v>
      </c>
      <c r="L1101" s="7">
        <v>4.6580000000000004</v>
      </c>
      <c r="M1101" s="7">
        <v>4.8289999999999997</v>
      </c>
      <c r="N1101" s="7">
        <v>5.7279999999999998</v>
      </c>
      <c r="O1101" s="7">
        <v>5.5129999999999999</v>
      </c>
      <c r="P1101" s="7">
        <v>5.5519999999999996</v>
      </c>
      <c r="Q1101" s="7">
        <v>5.2510000000000003</v>
      </c>
      <c r="R1101" s="7">
        <v>5.4359999999999999</v>
      </c>
      <c r="S1101" s="7">
        <f t="shared" si="17"/>
        <v>5.2755833333333335</v>
      </c>
    </row>
    <row r="1102" spans="1:19">
      <c r="A1102" s="5" t="str">
        <f>B1102&amp;"-"&amp;COUNTIF($B$2:B1102,B1102)</f>
        <v>GOIAS-219</v>
      </c>
      <c r="B1102" s="5" t="s">
        <v>771</v>
      </c>
      <c r="C1102" s="5" t="s">
        <v>5544</v>
      </c>
      <c r="D1102" s="6">
        <v>-490148</v>
      </c>
      <c r="E1102" s="6">
        <v>-137143</v>
      </c>
      <c r="F1102" s="7">
        <v>5.3319999999999999</v>
      </c>
      <c r="G1102" s="7">
        <v>5.3819999999999997</v>
      </c>
      <c r="H1102" s="7">
        <v>5.5739999999999998</v>
      </c>
      <c r="I1102" s="7">
        <v>5.19</v>
      </c>
      <c r="J1102" s="7">
        <v>5.2069999999999999</v>
      </c>
      <c r="K1102" s="7">
        <v>5.0179999999999998</v>
      </c>
      <c r="L1102" s="7">
        <v>4.8179999999999996</v>
      </c>
      <c r="M1102" s="7">
        <v>5.1509999999999998</v>
      </c>
      <c r="N1102" s="7">
        <v>5.8570000000000002</v>
      </c>
      <c r="O1102" s="7">
        <v>5.6879999999999997</v>
      </c>
      <c r="P1102" s="7">
        <v>5.6029999999999998</v>
      </c>
      <c r="Q1102" s="7">
        <v>5.173</v>
      </c>
      <c r="R1102" s="7">
        <v>5.327</v>
      </c>
      <c r="S1102" s="7">
        <f t="shared" si="17"/>
        <v>5.3323333333333336</v>
      </c>
    </row>
    <row r="1103" spans="1:19">
      <c r="A1103" s="5" t="str">
        <f>B1103&amp;"-"&amp;COUNTIF($B$2:B1103,B1103)</f>
        <v>GOIAS-220</v>
      </c>
      <c r="B1103" s="5" t="s">
        <v>771</v>
      </c>
      <c r="C1103" s="5" t="s">
        <v>5545</v>
      </c>
      <c r="D1103" s="6">
        <v>-497095</v>
      </c>
      <c r="E1103" s="6">
        <v>-144331</v>
      </c>
      <c r="F1103" s="7">
        <v>5.3339999999999996</v>
      </c>
      <c r="G1103" s="7">
        <v>5.4109999999999996</v>
      </c>
      <c r="H1103" s="7">
        <v>5.601</v>
      </c>
      <c r="I1103" s="7">
        <v>5.2880000000000003</v>
      </c>
      <c r="J1103" s="7">
        <v>5.282</v>
      </c>
      <c r="K1103" s="7">
        <v>4.9749999999999996</v>
      </c>
      <c r="L1103" s="7">
        <v>4.7160000000000002</v>
      </c>
      <c r="M1103" s="7">
        <v>5.0140000000000002</v>
      </c>
      <c r="N1103" s="7">
        <v>5.7370000000000001</v>
      </c>
      <c r="O1103" s="7">
        <v>5.6020000000000003</v>
      </c>
      <c r="P1103" s="7">
        <v>5.6349999999999998</v>
      </c>
      <c r="Q1103" s="7">
        <v>5.2939999999999996</v>
      </c>
      <c r="R1103" s="7">
        <v>5.4569999999999999</v>
      </c>
      <c r="S1103" s="7">
        <f t="shared" si="17"/>
        <v>5.3343333333333334</v>
      </c>
    </row>
    <row r="1104" spans="1:19">
      <c r="A1104" s="5" t="str">
        <f>B1104&amp;"-"&amp;COUNTIF($B$2:B1104,B1104)</f>
        <v>GOIAS-221</v>
      </c>
      <c r="B1104" s="5" t="s">
        <v>771</v>
      </c>
      <c r="C1104" s="5" t="s">
        <v>4543</v>
      </c>
      <c r="D1104" s="6">
        <v>-50635</v>
      </c>
      <c r="E1104" s="6">
        <v>-175589</v>
      </c>
      <c r="F1104" s="7">
        <v>5.2510000000000003</v>
      </c>
      <c r="G1104" s="7">
        <v>5.5979999999999999</v>
      </c>
      <c r="H1104" s="7">
        <v>5.7130000000000001</v>
      </c>
      <c r="I1104" s="7">
        <v>5.2409999999999997</v>
      </c>
      <c r="J1104" s="7">
        <v>5.1109999999999998</v>
      </c>
      <c r="K1104" s="7">
        <v>4.7130000000000001</v>
      </c>
      <c r="L1104" s="7">
        <v>4.4180000000000001</v>
      </c>
      <c r="M1104" s="7">
        <v>4.62</v>
      </c>
      <c r="N1104" s="7">
        <v>5.5460000000000003</v>
      </c>
      <c r="O1104" s="7">
        <v>5.3129999999999997</v>
      </c>
      <c r="P1104" s="7">
        <v>5.484</v>
      </c>
      <c r="Q1104" s="7">
        <v>5.5419999999999998</v>
      </c>
      <c r="R1104" s="7">
        <v>5.7149999999999999</v>
      </c>
      <c r="S1104" s="7">
        <f t="shared" si="17"/>
        <v>5.2511666666666672</v>
      </c>
    </row>
    <row r="1105" spans="1:19">
      <c r="A1105" s="5" t="str">
        <f>B1105&amp;"-"&amp;COUNTIF($B$2:B1105,B1105)</f>
        <v>GOIAS-222</v>
      </c>
      <c r="B1105" s="5" t="s">
        <v>771</v>
      </c>
      <c r="C1105" s="5" t="s">
        <v>5546</v>
      </c>
      <c r="D1105" s="6">
        <v>-493094</v>
      </c>
      <c r="E1105" s="6">
        <v>-164865</v>
      </c>
      <c r="F1105" s="7">
        <v>5.2670000000000003</v>
      </c>
      <c r="G1105" s="7">
        <v>5.5030000000000001</v>
      </c>
      <c r="H1105" s="7">
        <v>5.5810000000000004</v>
      </c>
      <c r="I1105" s="7">
        <v>5.1779999999999999</v>
      </c>
      <c r="J1105" s="7">
        <v>5.1029999999999998</v>
      </c>
      <c r="K1105" s="7">
        <v>4.8529999999999998</v>
      </c>
      <c r="L1105" s="7">
        <v>4.6040000000000001</v>
      </c>
      <c r="M1105" s="7">
        <v>4.8250000000000002</v>
      </c>
      <c r="N1105" s="7">
        <v>5.7220000000000004</v>
      </c>
      <c r="O1105" s="7">
        <v>5.5220000000000002</v>
      </c>
      <c r="P1105" s="7">
        <v>5.5659999999999998</v>
      </c>
      <c r="Q1105" s="7">
        <v>5.2969999999999997</v>
      </c>
      <c r="R1105" s="7">
        <v>5.444</v>
      </c>
      <c r="S1105" s="7">
        <f t="shared" si="17"/>
        <v>5.2665000000000006</v>
      </c>
    </row>
    <row r="1106" spans="1:19">
      <c r="A1106" s="5" t="str">
        <f>B1106&amp;"-"&amp;COUNTIF($B$2:B1106,B1106)</f>
        <v>GOIAS-223</v>
      </c>
      <c r="B1106" s="5" t="s">
        <v>771</v>
      </c>
      <c r="C1106" s="5" t="s">
        <v>4544</v>
      </c>
      <c r="D1106" s="6">
        <v>-48265</v>
      </c>
      <c r="E1106" s="6">
        <v>-159478</v>
      </c>
      <c r="F1106" s="7">
        <v>5.2880000000000003</v>
      </c>
      <c r="G1106" s="7">
        <v>5.391</v>
      </c>
      <c r="H1106" s="7">
        <v>5.625</v>
      </c>
      <c r="I1106" s="7">
        <v>5.0670000000000002</v>
      </c>
      <c r="J1106" s="7">
        <v>4.9880000000000004</v>
      </c>
      <c r="K1106" s="7">
        <v>4.9039999999999999</v>
      </c>
      <c r="L1106" s="7">
        <v>4.82</v>
      </c>
      <c r="M1106" s="7">
        <v>5.03</v>
      </c>
      <c r="N1106" s="7">
        <v>5.9260000000000002</v>
      </c>
      <c r="O1106" s="7">
        <v>5.6210000000000004</v>
      </c>
      <c r="P1106" s="7">
        <v>5.5209999999999999</v>
      </c>
      <c r="Q1106" s="7">
        <v>5.1239999999999997</v>
      </c>
      <c r="R1106" s="7">
        <v>5.4370000000000003</v>
      </c>
      <c r="S1106" s="7">
        <f t="shared" si="17"/>
        <v>5.2878333333333334</v>
      </c>
    </row>
    <row r="1107" spans="1:19">
      <c r="A1107" s="5" t="str">
        <f>B1107&amp;"-"&amp;COUNTIF($B$2:B1107,B1107)</f>
        <v>GOIAS-224</v>
      </c>
      <c r="B1107" s="5" t="s">
        <v>771</v>
      </c>
      <c r="C1107" s="5" t="s">
        <v>865</v>
      </c>
      <c r="D1107" s="6">
        <v>-462538</v>
      </c>
      <c r="E1107" s="6">
        <v>-148049</v>
      </c>
      <c r="F1107" s="7">
        <v>5.5460000000000003</v>
      </c>
      <c r="G1107" s="7">
        <v>5.9349999999999996</v>
      </c>
      <c r="H1107" s="7">
        <v>5.9909999999999997</v>
      </c>
      <c r="I1107" s="7">
        <v>5.4169999999999998</v>
      </c>
      <c r="J1107" s="7">
        <v>5.34</v>
      </c>
      <c r="K1107" s="7">
        <v>4.9279999999999999</v>
      </c>
      <c r="L1107" s="7">
        <v>4.8120000000000003</v>
      </c>
      <c r="M1107" s="7">
        <v>5.2510000000000003</v>
      </c>
      <c r="N1107" s="7">
        <v>5.899</v>
      </c>
      <c r="O1107" s="7">
        <v>6.0220000000000002</v>
      </c>
      <c r="P1107" s="7">
        <v>5.8310000000000004</v>
      </c>
      <c r="Q1107" s="7">
        <v>5.2930000000000001</v>
      </c>
      <c r="R1107" s="7">
        <v>5.8369999999999997</v>
      </c>
      <c r="S1107" s="7">
        <f t="shared" si="17"/>
        <v>5.5463333333333331</v>
      </c>
    </row>
    <row r="1108" spans="1:19">
      <c r="A1108" s="5" t="str">
        <f>B1108&amp;"-"&amp;COUNTIF($B$2:B1108,B1108)</f>
        <v>GOIAS-225</v>
      </c>
      <c r="B1108" s="5" t="s">
        <v>771</v>
      </c>
      <c r="C1108" s="5" t="s">
        <v>866</v>
      </c>
      <c r="D1108" s="6">
        <v>-490918</v>
      </c>
      <c r="E1108" s="6">
        <v>-167089</v>
      </c>
      <c r="F1108" s="7">
        <v>5.2830000000000004</v>
      </c>
      <c r="G1108" s="7">
        <v>5.5039999999999996</v>
      </c>
      <c r="H1108" s="7">
        <v>5.66</v>
      </c>
      <c r="I1108" s="7">
        <v>5.1890000000000001</v>
      </c>
      <c r="J1108" s="7">
        <v>5.1230000000000002</v>
      </c>
      <c r="K1108" s="7">
        <v>4.8369999999999997</v>
      </c>
      <c r="L1108" s="7">
        <v>4.6050000000000004</v>
      </c>
      <c r="M1108" s="7">
        <v>4.7850000000000001</v>
      </c>
      <c r="N1108" s="7">
        <v>5.665</v>
      </c>
      <c r="O1108" s="7">
        <v>5.5609999999999999</v>
      </c>
      <c r="P1108" s="7">
        <v>5.6159999999999997</v>
      </c>
      <c r="Q1108" s="7">
        <v>5.3689999999999998</v>
      </c>
      <c r="R1108" s="7">
        <v>5.49</v>
      </c>
      <c r="S1108" s="7">
        <f t="shared" si="17"/>
        <v>5.283666666666667</v>
      </c>
    </row>
    <row r="1109" spans="1:19">
      <c r="A1109" s="5" t="str">
        <f>B1109&amp;"-"&amp;COUNTIF($B$2:B1109,B1109)</f>
        <v>GOIAS-226</v>
      </c>
      <c r="B1109" s="5" t="s">
        <v>771</v>
      </c>
      <c r="C1109" s="5" t="s">
        <v>5089</v>
      </c>
      <c r="D1109" s="6">
        <v>-519591</v>
      </c>
      <c r="E1109" s="6">
        <v>-183072</v>
      </c>
      <c r="F1109" s="7">
        <v>5.1529999999999996</v>
      </c>
      <c r="G1109" s="7">
        <v>5.56</v>
      </c>
      <c r="H1109" s="7">
        <v>5.5650000000000004</v>
      </c>
      <c r="I1109" s="7">
        <v>5.2320000000000002</v>
      </c>
      <c r="J1109" s="7">
        <v>5.0350000000000001</v>
      </c>
      <c r="K1109" s="7">
        <v>4.5110000000000001</v>
      </c>
      <c r="L1109" s="7">
        <v>4.2370000000000001</v>
      </c>
      <c r="M1109" s="7">
        <v>4.4390000000000001</v>
      </c>
      <c r="N1109" s="7">
        <v>5.28</v>
      </c>
      <c r="O1109" s="7">
        <v>5.2</v>
      </c>
      <c r="P1109" s="7">
        <v>5.3470000000000004</v>
      </c>
      <c r="Q1109" s="7">
        <v>5.5789999999999997</v>
      </c>
      <c r="R1109" s="7">
        <v>5.8490000000000002</v>
      </c>
      <c r="S1109" s="7">
        <f t="shared" si="17"/>
        <v>5.1528333333333336</v>
      </c>
    </row>
    <row r="1110" spans="1:19">
      <c r="A1110" s="5" t="str">
        <f>B1110&amp;"-"&amp;COUNTIF($B$2:B1110,B1110)</f>
        <v>GOIAS-227</v>
      </c>
      <c r="B1110" s="5" t="s">
        <v>771</v>
      </c>
      <c r="C1110" s="5" t="s">
        <v>4935</v>
      </c>
      <c r="D1110" s="6">
        <v>-486087</v>
      </c>
      <c r="E1110" s="6">
        <v>-166604</v>
      </c>
      <c r="F1110" s="7">
        <v>5.26</v>
      </c>
      <c r="G1110" s="7">
        <v>5.5049999999999999</v>
      </c>
      <c r="H1110" s="7">
        <v>5.7469999999999999</v>
      </c>
      <c r="I1110" s="7">
        <v>5.1040000000000001</v>
      </c>
      <c r="J1110" s="7">
        <v>5.0739999999999998</v>
      </c>
      <c r="K1110" s="7">
        <v>4.7770000000000001</v>
      </c>
      <c r="L1110" s="7">
        <v>4.5659999999999998</v>
      </c>
      <c r="M1110" s="7">
        <v>4.7960000000000003</v>
      </c>
      <c r="N1110" s="7">
        <v>5.7210000000000001</v>
      </c>
      <c r="O1110" s="7">
        <v>5.516</v>
      </c>
      <c r="P1110" s="7">
        <v>5.6020000000000003</v>
      </c>
      <c r="Q1110" s="7">
        <v>5.2050000000000001</v>
      </c>
      <c r="R1110" s="7">
        <v>5.5090000000000003</v>
      </c>
      <c r="S1110" s="7">
        <f t="shared" si="17"/>
        <v>5.2601666666666667</v>
      </c>
    </row>
    <row r="1111" spans="1:19">
      <c r="A1111" s="5" t="str">
        <f>B1111&amp;"-"&amp;COUNTIF($B$2:B1111,B1111)</f>
        <v>GOIAS-228</v>
      </c>
      <c r="B1111" s="5" t="s">
        <v>771</v>
      </c>
      <c r="C1111" s="5" t="s">
        <v>4936</v>
      </c>
      <c r="D1111" s="6">
        <v>-464862</v>
      </c>
      <c r="E1111" s="6">
        <v>-144614</v>
      </c>
      <c r="F1111" s="7">
        <v>5.6210000000000004</v>
      </c>
      <c r="G1111" s="7">
        <v>6.0819999999999999</v>
      </c>
      <c r="H1111" s="7">
        <v>6.1269999999999998</v>
      </c>
      <c r="I1111" s="7">
        <v>5.5679999999999996</v>
      </c>
      <c r="J1111" s="7">
        <v>5.492</v>
      </c>
      <c r="K1111" s="7">
        <v>5.0449999999999999</v>
      </c>
      <c r="L1111" s="7">
        <v>4.867</v>
      </c>
      <c r="M1111" s="7">
        <v>5.2140000000000004</v>
      </c>
      <c r="N1111" s="7">
        <v>5.8710000000000004</v>
      </c>
      <c r="O1111" s="7">
        <v>5.9619999999999997</v>
      </c>
      <c r="P1111" s="7">
        <v>5.8760000000000003</v>
      </c>
      <c r="Q1111" s="7">
        <v>5.4009999999999998</v>
      </c>
      <c r="R1111" s="7">
        <v>5.9530000000000003</v>
      </c>
      <c r="S1111" s="7">
        <f t="shared" si="17"/>
        <v>5.6215000000000002</v>
      </c>
    </row>
    <row r="1112" spans="1:19">
      <c r="A1112" s="5" t="str">
        <f>B1112&amp;"-"&amp;COUNTIF($B$2:B1112,B1112)</f>
        <v>GOIAS-229</v>
      </c>
      <c r="B1112" s="5" t="s">
        <v>771</v>
      </c>
      <c r="C1112" s="5" t="s">
        <v>5547</v>
      </c>
      <c r="D1112" s="6">
        <v>-496025</v>
      </c>
      <c r="E1112" s="6">
        <v>-16055</v>
      </c>
      <c r="F1112" s="7">
        <v>5.26</v>
      </c>
      <c r="G1112" s="7">
        <v>5.4509999999999996</v>
      </c>
      <c r="H1112" s="7">
        <v>5.65</v>
      </c>
      <c r="I1112" s="7">
        <v>5.1840000000000002</v>
      </c>
      <c r="J1112" s="7">
        <v>5.1539999999999999</v>
      </c>
      <c r="K1112" s="7">
        <v>4.8819999999999997</v>
      </c>
      <c r="L1112" s="7">
        <v>4.6289999999999996</v>
      </c>
      <c r="M1112" s="7">
        <v>4.7530000000000001</v>
      </c>
      <c r="N1112" s="7">
        <v>5.6459999999999999</v>
      </c>
      <c r="O1112" s="7">
        <v>5.4939999999999998</v>
      </c>
      <c r="P1112" s="7">
        <v>5.5659999999999998</v>
      </c>
      <c r="Q1112" s="7">
        <v>5.282</v>
      </c>
      <c r="R1112" s="7">
        <v>5.4279999999999999</v>
      </c>
      <c r="S1112" s="7">
        <f t="shared" si="17"/>
        <v>5.2599166666666664</v>
      </c>
    </row>
    <row r="1113" spans="1:19">
      <c r="A1113" s="5" t="str">
        <f>B1113&amp;"-"&amp;COUNTIF($B$2:B1113,B1113)</f>
        <v>GOIAS-230</v>
      </c>
      <c r="B1113" s="5" t="s">
        <v>771</v>
      </c>
      <c r="C1113" s="5" t="s">
        <v>5548</v>
      </c>
      <c r="D1113" s="6">
        <v>-472663</v>
      </c>
      <c r="E1113" s="6">
        <v>-137805</v>
      </c>
      <c r="F1113" s="7">
        <v>5.4390000000000001</v>
      </c>
      <c r="G1113" s="7">
        <v>5.58</v>
      </c>
      <c r="H1113" s="7">
        <v>5.633</v>
      </c>
      <c r="I1113" s="7">
        <v>5.1989999999999998</v>
      </c>
      <c r="J1113" s="7">
        <v>5.125</v>
      </c>
      <c r="K1113" s="7">
        <v>5.05</v>
      </c>
      <c r="L1113" s="7">
        <v>4.9870000000000001</v>
      </c>
      <c r="M1113" s="7">
        <v>5.4139999999999997</v>
      </c>
      <c r="N1113" s="7">
        <v>6.016</v>
      </c>
      <c r="O1113" s="7">
        <v>6.0110000000000001</v>
      </c>
      <c r="P1113" s="7">
        <v>5.6929999999999996</v>
      </c>
      <c r="Q1113" s="7">
        <v>5.0830000000000002</v>
      </c>
      <c r="R1113" s="7">
        <v>5.4779999999999998</v>
      </c>
      <c r="S1113" s="7">
        <f t="shared" si="17"/>
        <v>5.4390833333333326</v>
      </c>
    </row>
    <row r="1114" spans="1:19">
      <c r="A1114" s="5" t="str">
        <f>B1114&amp;"-"&amp;COUNTIF($B$2:B1114,B1114)</f>
        <v>GOIAS-231</v>
      </c>
      <c r="B1114" s="5" t="s">
        <v>771</v>
      </c>
      <c r="C1114" s="5" t="s">
        <v>5549</v>
      </c>
      <c r="D1114" s="6">
        <v>-490801</v>
      </c>
      <c r="E1114" s="6">
        <v>-16395</v>
      </c>
      <c r="F1114" s="7">
        <v>5.2329999999999997</v>
      </c>
      <c r="G1114" s="7">
        <v>5.3979999999999997</v>
      </c>
      <c r="H1114" s="7">
        <v>5.5549999999999997</v>
      </c>
      <c r="I1114" s="7">
        <v>5.0960000000000001</v>
      </c>
      <c r="J1114" s="7">
        <v>5.0919999999999996</v>
      </c>
      <c r="K1114" s="7">
        <v>4.8319999999999999</v>
      </c>
      <c r="L1114" s="7">
        <v>4.6219999999999999</v>
      </c>
      <c r="M1114" s="7">
        <v>4.8220000000000001</v>
      </c>
      <c r="N1114" s="7">
        <v>5.7290000000000001</v>
      </c>
      <c r="O1114" s="7">
        <v>5.5350000000000001</v>
      </c>
      <c r="P1114" s="7">
        <v>5.5519999999999996</v>
      </c>
      <c r="Q1114" s="7">
        <v>5.2130000000000001</v>
      </c>
      <c r="R1114" s="7">
        <v>5.3579999999999997</v>
      </c>
      <c r="S1114" s="7">
        <f t="shared" si="17"/>
        <v>5.2336666666666662</v>
      </c>
    </row>
    <row r="1115" spans="1:19">
      <c r="A1115" s="5" t="str">
        <f>B1115&amp;"-"&amp;COUNTIF($B$2:B1115,B1115)</f>
        <v>GOIAS-232</v>
      </c>
      <c r="B1115" s="5" t="s">
        <v>771</v>
      </c>
      <c r="C1115" s="5" t="s">
        <v>5286</v>
      </c>
      <c r="D1115" s="6">
        <v>-477779</v>
      </c>
      <c r="E1115" s="6">
        <v>-18358</v>
      </c>
      <c r="F1115" s="7">
        <v>5.3479999999999999</v>
      </c>
      <c r="G1115" s="7">
        <v>5.6870000000000003</v>
      </c>
      <c r="H1115" s="7">
        <v>6.0259999999999998</v>
      </c>
      <c r="I1115" s="7">
        <v>5.3040000000000003</v>
      </c>
      <c r="J1115" s="7">
        <v>5.2190000000000003</v>
      </c>
      <c r="K1115" s="7">
        <v>4.726</v>
      </c>
      <c r="L1115" s="7">
        <v>4.4409999999999998</v>
      </c>
      <c r="M1115" s="7">
        <v>4.6210000000000004</v>
      </c>
      <c r="N1115" s="7">
        <v>5.5510000000000002</v>
      </c>
      <c r="O1115" s="7">
        <v>5.52</v>
      </c>
      <c r="P1115" s="7">
        <v>5.6820000000000004</v>
      </c>
      <c r="Q1115" s="7">
        <v>5.585</v>
      </c>
      <c r="R1115" s="7">
        <v>5.8140000000000001</v>
      </c>
      <c r="S1115" s="7">
        <f t="shared" si="17"/>
        <v>5.3479999999999999</v>
      </c>
    </row>
    <row r="1116" spans="1:19">
      <c r="A1116" s="5" t="str">
        <f>B1116&amp;"-"&amp;COUNTIF($B$2:B1116,B1116)</f>
        <v>GOIAS-233</v>
      </c>
      <c r="B1116" s="5" t="s">
        <v>771</v>
      </c>
      <c r="C1116" s="5" t="s">
        <v>867</v>
      </c>
      <c r="D1116" s="6">
        <v>-494931</v>
      </c>
      <c r="E1116" s="6">
        <v>-166522</v>
      </c>
      <c r="F1116" s="7">
        <v>5.2640000000000002</v>
      </c>
      <c r="G1116" s="7">
        <v>5.508</v>
      </c>
      <c r="H1116" s="7">
        <v>5.58</v>
      </c>
      <c r="I1116" s="7">
        <v>5.2149999999999999</v>
      </c>
      <c r="J1116" s="7">
        <v>5.1020000000000003</v>
      </c>
      <c r="K1116" s="7">
        <v>4.8129999999999997</v>
      </c>
      <c r="L1116" s="7">
        <v>4.5789999999999997</v>
      </c>
      <c r="M1116" s="7">
        <v>4.7409999999999997</v>
      </c>
      <c r="N1116" s="7">
        <v>5.6310000000000002</v>
      </c>
      <c r="O1116" s="7">
        <v>5.5229999999999997</v>
      </c>
      <c r="P1116" s="7">
        <v>5.556</v>
      </c>
      <c r="Q1116" s="7">
        <v>5.3970000000000002</v>
      </c>
      <c r="R1116" s="7">
        <v>5.5179999999999998</v>
      </c>
      <c r="S1116" s="7">
        <f t="shared" si="17"/>
        <v>5.2635833333333322</v>
      </c>
    </row>
    <row r="1117" spans="1:19">
      <c r="A1117" s="5" t="str">
        <f>B1117&amp;"-"&amp;COUNTIF($B$2:B1117,B1117)</f>
        <v>GOIAS-234</v>
      </c>
      <c r="B1117" s="5" t="s">
        <v>771</v>
      </c>
      <c r="C1117" s="5" t="s">
        <v>868</v>
      </c>
      <c r="D1117" s="6">
        <v>-487421</v>
      </c>
      <c r="E1117" s="6">
        <v>-135083</v>
      </c>
      <c r="F1117" s="7">
        <v>5.3650000000000002</v>
      </c>
      <c r="G1117" s="7">
        <v>5.3739999999999997</v>
      </c>
      <c r="H1117" s="7">
        <v>5.5549999999999997</v>
      </c>
      <c r="I1117" s="7">
        <v>5.1539999999999999</v>
      </c>
      <c r="J1117" s="7">
        <v>5.1890000000000001</v>
      </c>
      <c r="K1117" s="7">
        <v>5.0869999999999997</v>
      </c>
      <c r="L1117" s="7">
        <v>4.883</v>
      </c>
      <c r="M1117" s="7">
        <v>5.2560000000000002</v>
      </c>
      <c r="N1117" s="7">
        <v>5.9640000000000004</v>
      </c>
      <c r="O1117" s="7">
        <v>5.7839999999999998</v>
      </c>
      <c r="P1117" s="7">
        <v>5.6159999999999997</v>
      </c>
      <c r="Q1117" s="7">
        <v>5.157</v>
      </c>
      <c r="R1117" s="7">
        <v>5.3579999999999997</v>
      </c>
      <c r="S1117" s="7">
        <f t="shared" si="17"/>
        <v>5.3647499999999999</v>
      </c>
    </row>
    <row r="1118" spans="1:19">
      <c r="A1118" s="5" t="str">
        <f>B1118&amp;"-"&amp;COUNTIF($B$2:B1118,B1118)</f>
        <v>GOIAS-235</v>
      </c>
      <c r="B1118" s="5" t="s">
        <v>771</v>
      </c>
      <c r="C1118" s="5" t="s">
        <v>4937</v>
      </c>
      <c r="D1118" s="6">
        <v>-501364</v>
      </c>
      <c r="E1118" s="6">
        <v>-166095</v>
      </c>
      <c r="F1118" s="7">
        <v>5.2939999999999996</v>
      </c>
      <c r="G1118" s="7">
        <v>5.5570000000000004</v>
      </c>
      <c r="H1118" s="7">
        <v>5.6550000000000002</v>
      </c>
      <c r="I1118" s="7">
        <v>5.2759999999999998</v>
      </c>
      <c r="J1118" s="7">
        <v>5.1689999999999996</v>
      </c>
      <c r="K1118" s="7">
        <v>4.7930000000000001</v>
      </c>
      <c r="L1118" s="7">
        <v>4.5460000000000003</v>
      </c>
      <c r="M1118" s="7">
        <v>4.7830000000000004</v>
      </c>
      <c r="N1118" s="7">
        <v>5.65</v>
      </c>
      <c r="O1118" s="7">
        <v>5.46</v>
      </c>
      <c r="P1118" s="7">
        <v>5.5789999999999997</v>
      </c>
      <c r="Q1118" s="7">
        <v>5.4850000000000003</v>
      </c>
      <c r="R1118" s="7">
        <v>5.577</v>
      </c>
      <c r="S1118" s="7">
        <f t="shared" si="17"/>
        <v>5.2941666666666665</v>
      </c>
    </row>
    <row r="1119" spans="1:19">
      <c r="A1119" s="5" t="str">
        <f>B1119&amp;"-"&amp;COUNTIF($B$2:B1119,B1119)</f>
        <v>GOIAS-236</v>
      </c>
      <c r="B1119" s="5" t="s">
        <v>771</v>
      </c>
      <c r="C1119" s="5" t="s">
        <v>4938</v>
      </c>
      <c r="D1119" s="6">
        <v>-503028</v>
      </c>
      <c r="E1119" s="6">
        <v>-178507</v>
      </c>
      <c r="F1119" s="7">
        <v>5.2969999999999997</v>
      </c>
      <c r="G1119" s="7">
        <v>5.7430000000000003</v>
      </c>
      <c r="H1119" s="7">
        <v>5.7949999999999999</v>
      </c>
      <c r="I1119" s="7">
        <v>5.28</v>
      </c>
      <c r="J1119" s="7">
        <v>5.1520000000000001</v>
      </c>
      <c r="K1119" s="7">
        <v>4.7119999999999997</v>
      </c>
      <c r="L1119" s="7">
        <v>4.4000000000000004</v>
      </c>
      <c r="M1119" s="7">
        <v>4.6349999999999998</v>
      </c>
      <c r="N1119" s="7">
        <v>5.5529999999999999</v>
      </c>
      <c r="O1119" s="7">
        <v>5.3490000000000002</v>
      </c>
      <c r="P1119" s="7">
        <v>5.5519999999999996</v>
      </c>
      <c r="Q1119" s="7">
        <v>5.601</v>
      </c>
      <c r="R1119" s="7">
        <v>5.7910000000000004</v>
      </c>
      <c r="S1119" s="7">
        <f t="shared" si="17"/>
        <v>5.2969166666666672</v>
      </c>
    </row>
    <row r="1120" spans="1:19">
      <c r="A1120" s="5" t="str">
        <f>B1120&amp;"-"&amp;COUNTIF($B$2:B1120,B1120)</f>
        <v>GOIAS-237</v>
      </c>
      <c r="B1120" s="5" t="s">
        <v>771</v>
      </c>
      <c r="C1120" s="5" t="s">
        <v>869</v>
      </c>
      <c r="D1120" s="6">
        <v>-499205</v>
      </c>
      <c r="E1120" s="6">
        <v>-14284</v>
      </c>
      <c r="F1120" s="7">
        <v>5.3120000000000003</v>
      </c>
      <c r="G1120" s="7">
        <v>5.4</v>
      </c>
      <c r="H1120" s="7">
        <v>5.5730000000000004</v>
      </c>
      <c r="I1120" s="7">
        <v>5.2249999999999996</v>
      </c>
      <c r="J1120" s="7">
        <v>5.26</v>
      </c>
      <c r="K1120" s="7">
        <v>4.9109999999999996</v>
      </c>
      <c r="L1120" s="7">
        <v>4.718</v>
      </c>
      <c r="M1120" s="7">
        <v>5.0039999999999996</v>
      </c>
      <c r="N1120" s="7">
        <v>5.7489999999999997</v>
      </c>
      <c r="O1120" s="7">
        <v>5.6020000000000003</v>
      </c>
      <c r="P1120" s="7">
        <v>5.5960000000000001</v>
      </c>
      <c r="Q1120" s="7">
        <v>5.2839999999999998</v>
      </c>
      <c r="R1120" s="7">
        <v>5.4219999999999997</v>
      </c>
      <c r="S1120" s="7">
        <f t="shared" si="17"/>
        <v>5.3120000000000003</v>
      </c>
    </row>
    <row r="1121" spans="1:19">
      <c r="A1121" s="5" t="str">
        <f>B1121&amp;"-"&amp;COUNTIF($B$2:B1121,B1121)</f>
        <v>GOIAS-238</v>
      </c>
      <c r="B1121" s="5" t="s">
        <v>771</v>
      </c>
      <c r="C1121" s="5" t="s">
        <v>4636</v>
      </c>
      <c r="D1121" s="5" t="s">
        <v>870</v>
      </c>
      <c r="E1121" s="6">
        <v>-145243</v>
      </c>
      <c r="F1121" s="7">
        <v>5.3070000000000004</v>
      </c>
      <c r="G1121" s="7">
        <v>5.3819999999999997</v>
      </c>
      <c r="H1121" s="7">
        <v>5.6829999999999998</v>
      </c>
      <c r="I1121" s="7">
        <v>5.2759999999999998</v>
      </c>
      <c r="J1121" s="7">
        <v>5.1689999999999996</v>
      </c>
      <c r="K1121" s="7">
        <v>4.9870000000000001</v>
      </c>
      <c r="L1121" s="7">
        <v>4.6669999999999998</v>
      </c>
      <c r="M1121" s="7">
        <v>4.93</v>
      </c>
      <c r="N1121" s="7">
        <v>5.7350000000000003</v>
      </c>
      <c r="O1121" s="7">
        <v>5.63</v>
      </c>
      <c r="P1121" s="7">
        <v>5.6</v>
      </c>
      <c r="Q1121" s="7">
        <v>5.1769999999999996</v>
      </c>
      <c r="R1121" s="7">
        <v>5.4470000000000001</v>
      </c>
      <c r="S1121" s="7">
        <f t="shared" si="17"/>
        <v>5.3069166666666669</v>
      </c>
    </row>
    <row r="1122" spans="1:19">
      <c r="A1122" s="5" t="str">
        <f>B1122&amp;"-"&amp;COUNTIF($B$2:B1122,B1122)</f>
        <v>GOIAS-239</v>
      </c>
      <c r="B1122" s="5" t="s">
        <v>771</v>
      </c>
      <c r="C1122" s="5" t="s">
        <v>871</v>
      </c>
      <c r="D1122" s="6">
        <v>-496793</v>
      </c>
      <c r="E1122" s="6">
        <v>-15505</v>
      </c>
      <c r="F1122" s="7">
        <v>5.2869999999999999</v>
      </c>
      <c r="G1122" s="7">
        <v>5.4139999999999997</v>
      </c>
      <c r="H1122" s="7">
        <v>5.6920000000000002</v>
      </c>
      <c r="I1122" s="7">
        <v>5.2779999999999996</v>
      </c>
      <c r="J1122" s="7">
        <v>5.2190000000000003</v>
      </c>
      <c r="K1122" s="7">
        <v>4.9690000000000003</v>
      </c>
      <c r="L1122" s="7">
        <v>4.6500000000000004</v>
      </c>
      <c r="M1122" s="7">
        <v>4.7130000000000001</v>
      </c>
      <c r="N1122" s="7">
        <v>5.6689999999999996</v>
      </c>
      <c r="O1122" s="7">
        <v>5.5289999999999999</v>
      </c>
      <c r="P1122" s="7">
        <v>5.6319999999999997</v>
      </c>
      <c r="Q1122" s="7">
        <v>5.2830000000000004</v>
      </c>
      <c r="R1122" s="7">
        <v>5.3920000000000003</v>
      </c>
      <c r="S1122" s="7">
        <f t="shared" si="17"/>
        <v>5.2866666666666662</v>
      </c>
    </row>
    <row r="1123" spans="1:19">
      <c r="A1123" s="5" t="str">
        <f>B1123&amp;"-"&amp;COUNTIF($B$2:B1123,B1123)</f>
        <v>GOIAS-240</v>
      </c>
      <c r="B1123" s="5" t="s">
        <v>771</v>
      </c>
      <c r="C1123" s="5" t="s">
        <v>872</v>
      </c>
      <c r="D1123" s="6">
        <v>-482019</v>
      </c>
      <c r="E1123" s="6">
        <v>-174656</v>
      </c>
      <c r="F1123" s="7">
        <v>5.35</v>
      </c>
      <c r="G1123" s="7">
        <v>5.7229999999999999</v>
      </c>
      <c r="H1123" s="7">
        <v>5.867</v>
      </c>
      <c r="I1123" s="7">
        <v>5.2960000000000003</v>
      </c>
      <c r="J1123" s="7">
        <v>5.2469999999999999</v>
      </c>
      <c r="K1123" s="7">
        <v>4.7930000000000001</v>
      </c>
      <c r="L1123" s="7">
        <v>4.508</v>
      </c>
      <c r="M1123" s="7">
        <v>4.7530000000000001</v>
      </c>
      <c r="N1123" s="7">
        <v>5.6219999999999999</v>
      </c>
      <c r="O1123" s="7">
        <v>5.4290000000000003</v>
      </c>
      <c r="P1123" s="7">
        <v>5.6909999999999998</v>
      </c>
      <c r="Q1123" s="7">
        <v>5.5090000000000003</v>
      </c>
      <c r="R1123" s="7">
        <v>5.7619999999999996</v>
      </c>
      <c r="S1123" s="7">
        <f t="shared" si="17"/>
        <v>5.3500000000000005</v>
      </c>
    </row>
    <row r="1124" spans="1:19">
      <c r="A1124" s="5" t="str">
        <f>B1124&amp;"-"&amp;COUNTIF($B$2:B1124,B1124)</f>
        <v>GOIAS-241</v>
      </c>
      <c r="B1124" s="5" t="s">
        <v>771</v>
      </c>
      <c r="C1124" s="5" t="s">
        <v>5550</v>
      </c>
      <c r="D1124" s="6">
        <v>-479761</v>
      </c>
      <c r="E1124" s="6">
        <v>-160655</v>
      </c>
      <c r="F1124" s="7">
        <v>5.282</v>
      </c>
      <c r="G1124" s="7">
        <v>5.4630000000000001</v>
      </c>
      <c r="H1124" s="7">
        <v>5.7249999999999996</v>
      </c>
      <c r="I1124" s="7">
        <v>5.0830000000000002</v>
      </c>
      <c r="J1124" s="7">
        <v>5.08</v>
      </c>
      <c r="K1124" s="7">
        <v>4.8230000000000004</v>
      </c>
      <c r="L1124" s="7">
        <v>4.718</v>
      </c>
      <c r="M1124" s="7">
        <v>4.984</v>
      </c>
      <c r="N1124" s="7">
        <v>5.8209999999999997</v>
      </c>
      <c r="O1124" s="7">
        <v>5.6639999999999997</v>
      </c>
      <c r="P1124" s="7">
        <v>5.5110000000000001</v>
      </c>
      <c r="Q1124" s="7">
        <v>5.0910000000000002</v>
      </c>
      <c r="R1124" s="7">
        <v>5.415</v>
      </c>
      <c r="S1124" s="7">
        <f t="shared" si="17"/>
        <v>5.2815000000000003</v>
      </c>
    </row>
    <row r="1125" spans="1:19">
      <c r="A1125" s="5" t="str">
        <f>B1125&amp;"-"&amp;COUNTIF($B$2:B1125,B1125)</f>
        <v>GOIAS-242</v>
      </c>
      <c r="B1125" s="5" t="s">
        <v>771</v>
      </c>
      <c r="C1125" s="5" t="s">
        <v>3936</v>
      </c>
      <c r="D1125" s="6">
        <v>-496324</v>
      </c>
      <c r="E1125" s="6">
        <v>-17044</v>
      </c>
      <c r="F1125" s="7">
        <v>5.28</v>
      </c>
      <c r="G1125" s="7">
        <v>5.55</v>
      </c>
      <c r="H1125" s="7">
        <v>5.6539999999999999</v>
      </c>
      <c r="I1125" s="7">
        <v>5.3250000000000002</v>
      </c>
      <c r="J1125" s="7">
        <v>5.181</v>
      </c>
      <c r="K1125" s="7">
        <v>4.7809999999999997</v>
      </c>
      <c r="L1125" s="7">
        <v>4.5060000000000002</v>
      </c>
      <c r="M1125" s="7">
        <v>4.7229999999999999</v>
      </c>
      <c r="N1125" s="7">
        <v>5.6050000000000004</v>
      </c>
      <c r="O1125" s="7">
        <v>5.4320000000000004</v>
      </c>
      <c r="P1125" s="7">
        <v>5.55</v>
      </c>
      <c r="Q1125" s="7">
        <v>5.46</v>
      </c>
      <c r="R1125" s="7">
        <v>5.5919999999999996</v>
      </c>
      <c r="S1125" s="7">
        <f t="shared" si="17"/>
        <v>5.2799166666666668</v>
      </c>
    </row>
    <row r="1126" spans="1:19">
      <c r="A1126" s="5" t="str">
        <f>B1126&amp;"-"&amp;COUNTIF($B$2:B1126,B1126)</f>
        <v>GOIAS-243</v>
      </c>
      <c r="B1126" s="5" t="s">
        <v>771</v>
      </c>
      <c r="C1126" s="5" t="s">
        <v>5090</v>
      </c>
      <c r="D1126" s="6">
        <v>-485066</v>
      </c>
      <c r="E1126" s="6">
        <v>-167457</v>
      </c>
      <c r="F1126" s="7">
        <v>5.306</v>
      </c>
      <c r="G1126" s="7">
        <v>5.5369999999999999</v>
      </c>
      <c r="H1126" s="7">
        <v>5.782</v>
      </c>
      <c r="I1126" s="7">
        <v>5.1660000000000004</v>
      </c>
      <c r="J1126" s="7">
        <v>5.12</v>
      </c>
      <c r="K1126" s="7">
        <v>4.7880000000000003</v>
      </c>
      <c r="L1126" s="7">
        <v>4.5999999999999996</v>
      </c>
      <c r="M1126" s="7">
        <v>4.843</v>
      </c>
      <c r="N1126" s="7">
        <v>5.7329999999999997</v>
      </c>
      <c r="O1126" s="7">
        <v>5.5830000000000002</v>
      </c>
      <c r="P1126" s="7">
        <v>5.6769999999999996</v>
      </c>
      <c r="Q1126" s="7">
        <v>5.29</v>
      </c>
      <c r="R1126" s="7">
        <v>5.556</v>
      </c>
      <c r="S1126" s="7">
        <f t="shared" si="17"/>
        <v>5.3062499999999995</v>
      </c>
    </row>
    <row r="1127" spans="1:19">
      <c r="A1127" s="5" t="str">
        <f>B1127&amp;"-"&amp;COUNTIF($B$2:B1127,B1127)</f>
        <v>GOIAS-244</v>
      </c>
      <c r="B1127" s="5" t="s">
        <v>771</v>
      </c>
      <c r="C1127" s="5" t="s">
        <v>5091</v>
      </c>
      <c r="D1127" s="6">
        <v>-498052</v>
      </c>
      <c r="E1127" s="6">
        <v>-177327</v>
      </c>
      <c r="F1127" s="7">
        <v>5.2990000000000004</v>
      </c>
      <c r="G1127" s="7">
        <v>5.71</v>
      </c>
      <c r="H1127" s="7">
        <v>5.8680000000000003</v>
      </c>
      <c r="I1127" s="7">
        <v>5.3019999999999996</v>
      </c>
      <c r="J1127" s="7">
        <v>5.1210000000000004</v>
      </c>
      <c r="K1127" s="7">
        <v>4.7329999999999997</v>
      </c>
      <c r="L1127" s="7">
        <v>4.3600000000000003</v>
      </c>
      <c r="M1127" s="7">
        <v>4.6310000000000002</v>
      </c>
      <c r="N1127" s="7">
        <v>5.5620000000000003</v>
      </c>
      <c r="O1127" s="7">
        <v>5.3470000000000004</v>
      </c>
      <c r="P1127" s="7">
        <v>5.59</v>
      </c>
      <c r="Q1127" s="7">
        <v>5.6109999999999998</v>
      </c>
      <c r="R1127" s="7">
        <v>5.7539999999999996</v>
      </c>
      <c r="S1127" s="7">
        <f t="shared" si="17"/>
        <v>5.299083333333332</v>
      </c>
    </row>
    <row r="1128" spans="1:19">
      <c r="A1128" s="5" t="str">
        <f>B1128&amp;"-"&amp;COUNTIF($B$2:B1128,B1128)</f>
        <v>GOIAS-245</v>
      </c>
      <c r="B1128" s="5" t="s">
        <v>771</v>
      </c>
      <c r="C1128" s="5" t="s">
        <v>873</v>
      </c>
      <c r="D1128" s="6">
        <v>-470529</v>
      </c>
      <c r="E1128" s="6">
        <v>-150341</v>
      </c>
      <c r="F1128" s="7">
        <v>5.5819999999999999</v>
      </c>
      <c r="G1128" s="7">
        <v>5.9340000000000002</v>
      </c>
      <c r="H1128" s="7">
        <v>6.1029999999999998</v>
      </c>
      <c r="I1128" s="7">
        <v>5.4950000000000001</v>
      </c>
      <c r="J1128" s="7">
        <v>5.3579999999999997</v>
      </c>
      <c r="K1128" s="7">
        <v>4.9909999999999997</v>
      </c>
      <c r="L1128" s="7">
        <v>4.8760000000000003</v>
      </c>
      <c r="M1128" s="7">
        <v>5.2549999999999999</v>
      </c>
      <c r="N1128" s="7">
        <v>5.89</v>
      </c>
      <c r="O1128" s="7">
        <v>5.9589999999999996</v>
      </c>
      <c r="P1128" s="7">
        <v>5.8739999999999997</v>
      </c>
      <c r="Q1128" s="7">
        <v>5.42</v>
      </c>
      <c r="R1128" s="7">
        <v>5.8220000000000001</v>
      </c>
      <c r="S1128" s="7">
        <f t="shared" si="17"/>
        <v>5.5814166666666667</v>
      </c>
    </row>
    <row r="1129" spans="1:19">
      <c r="A1129" s="5" t="str">
        <f>B1129&amp;"-"&amp;COUNTIF($B$2:B1129,B1129)</f>
        <v>GOIAS-246</v>
      </c>
      <c r="B1129" s="5" t="s">
        <v>771</v>
      </c>
      <c r="C1129" s="5" t="s">
        <v>874</v>
      </c>
      <c r="D1129" s="6">
        <v>-488827</v>
      </c>
      <c r="E1129" s="6">
        <v>-15456</v>
      </c>
      <c r="F1129" s="7">
        <v>5.3319999999999999</v>
      </c>
      <c r="G1129" s="7">
        <v>5.5369999999999999</v>
      </c>
      <c r="H1129" s="7">
        <v>5.726</v>
      </c>
      <c r="I1129" s="7">
        <v>5.2380000000000004</v>
      </c>
      <c r="J1129" s="7">
        <v>5.2069999999999999</v>
      </c>
      <c r="K1129" s="7">
        <v>4.9320000000000004</v>
      </c>
      <c r="L1129" s="7">
        <v>4.6920000000000002</v>
      </c>
      <c r="M1129" s="7">
        <v>4.8289999999999997</v>
      </c>
      <c r="N1129" s="7">
        <v>5.8470000000000004</v>
      </c>
      <c r="O1129" s="7">
        <v>5.6349999999999998</v>
      </c>
      <c r="P1129" s="7">
        <v>5.6470000000000002</v>
      </c>
      <c r="Q1129" s="7">
        <v>5.2610000000000001</v>
      </c>
      <c r="R1129" s="7">
        <v>5.4390000000000001</v>
      </c>
      <c r="S1129" s="7">
        <f t="shared" si="17"/>
        <v>5.3325000000000005</v>
      </c>
    </row>
    <row r="1130" spans="1:19">
      <c r="A1130" s="5" t="str">
        <f>B1130&amp;"-"&amp;COUNTIF($B$2:B1130,B1130)</f>
        <v>MARANHÃO-1</v>
      </c>
      <c r="B1130" s="5" t="s">
        <v>875</v>
      </c>
      <c r="C1130" s="5" t="s">
        <v>3937</v>
      </c>
      <c r="D1130" s="6">
        <v>-421192</v>
      </c>
      <c r="E1130" s="6">
        <v>-28409</v>
      </c>
      <c r="F1130" s="7">
        <v>5.5970000000000004</v>
      </c>
      <c r="G1130" s="7">
        <v>5.5069999999999997</v>
      </c>
      <c r="H1130" s="7">
        <v>5.3449999999999998</v>
      </c>
      <c r="I1130" s="7">
        <v>5.2009999999999996</v>
      </c>
      <c r="J1130" s="7">
        <v>4.9530000000000003</v>
      </c>
      <c r="K1130" s="7">
        <v>5.0730000000000004</v>
      </c>
      <c r="L1130" s="7">
        <v>5.2320000000000002</v>
      </c>
      <c r="M1130" s="7">
        <v>5.4569999999999999</v>
      </c>
      <c r="N1130" s="7">
        <v>6.0289999999999999</v>
      </c>
      <c r="O1130" s="7">
        <v>6.15</v>
      </c>
      <c r="P1130" s="7">
        <v>5.9509999999999996</v>
      </c>
      <c r="Q1130" s="7">
        <v>6.28</v>
      </c>
      <c r="R1130" s="7">
        <v>5.9880000000000004</v>
      </c>
      <c r="S1130" s="7">
        <f t="shared" si="17"/>
        <v>5.5971666666666664</v>
      </c>
    </row>
    <row r="1131" spans="1:19">
      <c r="A1131" s="5" t="str">
        <f>B1131&amp;"-"&amp;COUNTIF($B$2:B1131,B1131)</f>
        <v>MARANHÃO-2</v>
      </c>
      <c r="B1131" s="5" t="s">
        <v>875</v>
      </c>
      <c r="C1131" s="5" t="s">
        <v>4939</v>
      </c>
      <c r="D1131" s="6">
        <v>-475008</v>
      </c>
      <c r="E1131" s="6">
        <v>-49475</v>
      </c>
      <c r="F1131" s="7">
        <v>4.8419999999999996</v>
      </c>
      <c r="G1131" s="7">
        <v>4.4370000000000003</v>
      </c>
      <c r="H1131" s="7">
        <v>4.6390000000000002</v>
      </c>
      <c r="I1131" s="7">
        <v>4.6689999999999996</v>
      </c>
      <c r="J1131" s="7">
        <v>4.7590000000000003</v>
      </c>
      <c r="K1131" s="7">
        <v>4.6639999999999997</v>
      </c>
      <c r="L1131" s="7">
        <v>4.9640000000000004</v>
      </c>
      <c r="M1131" s="7">
        <v>5.0170000000000003</v>
      </c>
      <c r="N1131" s="7">
        <v>5.3970000000000002</v>
      </c>
      <c r="O1131" s="7">
        <v>5.3209999999999997</v>
      </c>
      <c r="P1131" s="7">
        <v>4.9290000000000003</v>
      </c>
      <c r="Q1131" s="7">
        <v>4.7119999999999997</v>
      </c>
      <c r="R1131" s="7">
        <v>4.5949999999999998</v>
      </c>
      <c r="S1131" s="7">
        <f t="shared" si="17"/>
        <v>4.8419166666666662</v>
      </c>
    </row>
    <row r="1132" spans="1:19">
      <c r="A1132" s="5" t="str">
        <f>B1132&amp;"-"&amp;COUNTIF($B$2:B1132,B1132)</f>
        <v>MARANHÃO-3</v>
      </c>
      <c r="B1132" s="5" t="s">
        <v>875</v>
      </c>
      <c r="C1132" s="5" t="s">
        <v>876</v>
      </c>
      <c r="D1132" s="6">
        <v>-433252</v>
      </c>
      <c r="E1132" s="6">
        <v>-41319</v>
      </c>
      <c r="F1132" s="7">
        <v>5.5190000000000001</v>
      </c>
      <c r="G1132" s="7">
        <v>5.0640000000000001</v>
      </c>
      <c r="H1132" s="7">
        <v>5.2309999999999999</v>
      </c>
      <c r="I1132" s="7">
        <v>5.109</v>
      </c>
      <c r="J1132" s="7">
        <v>5.0860000000000003</v>
      </c>
      <c r="K1132" s="7">
        <v>5</v>
      </c>
      <c r="L1132" s="7">
        <v>5.22</v>
      </c>
      <c r="M1132" s="7">
        <v>5.4039999999999999</v>
      </c>
      <c r="N1132" s="7">
        <v>5.9930000000000003</v>
      </c>
      <c r="O1132" s="7">
        <v>6.3780000000000001</v>
      </c>
      <c r="P1132" s="7">
        <v>6.3</v>
      </c>
      <c r="Q1132" s="7">
        <v>5.95</v>
      </c>
      <c r="R1132" s="7">
        <v>5.4850000000000003</v>
      </c>
      <c r="S1132" s="7">
        <f t="shared" si="17"/>
        <v>5.5183333333333344</v>
      </c>
    </row>
    <row r="1133" spans="1:19">
      <c r="A1133" s="5" t="str">
        <f>B1133&amp;"-"&amp;COUNTIF($B$2:B1133,B1133)</f>
        <v>MARANHÃO-4</v>
      </c>
      <c r="B1133" s="5" t="s">
        <v>875</v>
      </c>
      <c r="C1133" s="5" t="s">
        <v>4940</v>
      </c>
      <c r="D1133" s="6">
        <v>-444185</v>
      </c>
      <c r="E1133" s="6">
        <v>-24067</v>
      </c>
      <c r="F1133" s="7">
        <v>5.2350000000000003</v>
      </c>
      <c r="G1133" s="7">
        <v>5.0170000000000003</v>
      </c>
      <c r="H1133" s="7">
        <v>4.96</v>
      </c>
      <c r="I1133" s="7">
        <v>4.8</v>
      </c>
      <c r="J1133" s="7">
        <v>4.694</v>
      </c>
      <c r="K1133" s="7">
        <v>4.8410000000000002</v>
      </c>
      <c r="L1133" s="7">
        <v>5.0380000000000003</v>
      </c>
      <c r="M1133" s="7">
        <v>5.1959999999999997</v>
      </c>
      <c r="N1133" s="7">
        <v>5.6449999999999996</v>
      </c>
      <c r="O1133" s="7">
        <v>5.9160000000000004</v>
      </c>
      <c r="P1133" s="7">
        <v>5.7249999999999996</v>
      </c>
      <c r="Q1133" s="7">
        <v>5.617</v>
      </c>
      <c r="R1133" s="7">
        <v>5.3639999999999999</v>
      </c>
      <c r="S1133" s="7">
        <f t="shared" si="17"/>
        <v>5.2344166666666663</v>
      </c>
    </row>
    <row r="1134" spans="1:19">
      <c r="A1134" s="5" t="str">
        <f>B1134&amp;"-"&amp;COUNTIF($B$2:B1134,B1134)</f>
        <v>MARANHÃO-5</v>
      </c>
      <c r="B1134" s="5" t="s">
        <v>875</v>
      </c>
      <c r="C1134" s="5" t="s">
        <v>877</v>
      </c>
      <c r="D1134" s="6">
        <v>-434693</v>
      </c>
      <c r="E1134" s="6">
        <v>-46266</v>
      </c>
      <c r="F1134" s="7">
        <v>5.4859999999999998</v>
      </c>
      <c r="G1134" s="7">
        <v>4.96</v>
      </c>
      <c r="H1134" s="7">
        <v>5.0739999999999998</v>
      </c>
      <c r="I1134" s="7">
        <v>5.1159999999999997</v>
      </c>
      <c r="J1134" s="7">
        <v>5.0510000000000002</v>
      </c>
      <c r="K1134" s="7">
        <v>5.0419999999999998</v>
      </c>
      <c r="L1134" s="7">
        <v>5.202</v>
      </c>
      <c r="M1134" s="7">
        <v>5.4569999999999999</v>
      </c>
      <c r="N1134" s="7">
        <v>6.1109999999999998</v>
      </c>
      <c r="O1134" s="7">
        <v>6.3979999999999997</v>
      </c>
      <c r="P1134" s="7">
        <v>6.157</v>
      </c>
      <c r="Q1134" s="7">
        <v>5.85</v>
      </c>
      <c r="R1134" s="7">
        <v>5.4160000000000004</v>
      </c>
      <c r="S1134" s="7">
        <f t="shared" si="17"/>
        <v>5.4861666666666666</v>
      </c>
    </row>
    <row r="1135" spans="1:19">
      <c r="A1135" s="5" t="str">
        <f>B1135&amp;"-"&amp;COUNTIF($B$2:B1135,B1135)</f>
        <v>MARANHÃO-6</v>
      </c>
      <c r="B1135" s="5" t="s">
        <v>875</v>
      </c>
      <c r="C1135" s="5" t="s">
        <v>3938</v>
      </c>
      <c r="D1135" s="6">
        <v>-45471</v>
      </c>
      <c r="E1135" s="6">
        <v>-41664</v>
      </c>
      <c r="F1135" s="7">
        <v>5.0140000000000002</v>
      </c>
      <c r="G1135" s="7">
        <v>4.5759999999999996</v>
      </c>
      <c r="H1135" s="7">
        <v>4.7709999999999999</v>
      </c>
      <c r="I1135" s="7">
        <v>4.8600000000000003</v>
      </c>
      <c r="J1135" s="7">
        <v>4.8949999999999996</v>
      </c>
      <c r="K1135" s="7">
        <v>4.7850000000000001</v>
      </c>
      <c r="L1135" s="7">
        <v>4.8410000000000002</v>
      </c>
      <c r="M1135" s="7">
        <v>5.0519999999999996</v>
      </c>
      <c r="N1135" s="7">
        <v>5.4820000000000002</v>
      </c>
      <c r="O1135" s="7">
        <v>5.7949999999999999</v>
      </c>
      <c r="P1135" s="7">
        <v>5.3680000000000003</v>
      </c>
      <c r="Q1135" s="7">
        <v>4.9729999999999999</v>
      </c>
      <c r="R1135" s="7">
        <v>4.7649999999999997</v>
      </c>
      <c r="S1135" s="7">
        <f t="shared" si="17"/>
        <v>5.0135833333333339</v>
      </c>
    </row>
    <row r="1136" spans="1:19">
      <c r="A1136" s="5" t="str">
        <f>B1136&amp;"-"&amp;COUNTIF($B$2:B1136,B1136)</f>
        <v>MARANHÃO-7</v>
      </c>
      <c r="B1136" s="5" t="s">
        <v>875</v>
      </c>
      <c r="C1136" s="5" t="s">
        <v>3939</v>
      </c>
      <c r="D1136" s="6">
        <v>-444464</v>
      </c>
      <c r="E1136" s="6">
        <v>-42134</v>
      </c>
      <c r="F1136" s="7">
        <v>5.29</v>
      </c>
      <c r="G1136" s="7">
        <v>4.742</v>
      </c>
      <c r="H1136" s="7">
        <v>4.8780000000000001</v>
      </c>
      <c r="I1136" s="7">
        <v>4.9530000000000003</v>
      </c>
      <c r="J1136" s="7">
        <v>4.8499999999999996</v>
      </c>
      <c r="K1136" s="7">
        <v>4.8449999999999998</v>
      </c>
      <c r="L1136" s="7">
        <v>5.0810000000000004</v>
      </c>
      <c r="M1136" s="7">
        <v>5.3529999999999998</v>
      </c>
      <c r="N1136" s="7">
        <v>5.9509999999999996</v>
      </c>
      <c r="O1136" s="7">
        <v>6.3029999999999999</v>
      </c>
      <c r="P1136" s="7">
        <v>5.923</v>
      </c>
      <c r="Q1136" s="7">
        <v>5.4829999999999997</v>
      </c>
      <c r="R1136" s="7">
        <v>5.1180000000000003</v>
      </c>
      <c r="S1136" s="7">
        <f t="shared" si="17"/>
        <v>5.29</v>
      </c>
    </row>
    <row r="1137" spans="1:19">
      <c r="A1137" s="5" t="str">
        <f>B1137&amp;"-"&amp;COUNTIF($B$2:B1137,B1137)</f>
        <v>MARANHÃO-8</v>
      </c>
      <c r="B1137" s="5" t="s">
        <v>875</v>
      </c>
      <c r="C1137" s="5" t="s">
        <v>4307</v>
      </c>
      <c r="D1137" s="6">
        <v>-458425</v>
      </c>
      <c r="E1137" s="6">
        <v>-36673</v>
      </c>
      <c r="F1137" s="7">
        <v>4.9260000000000002</v>
      </c>
      <c r="G1137" s="7">
        <v>4.5309999999999997</v>
      </c>
      <c r="H1137" s="7">
        <v>4.7779999999999996</v>
      </c>
      <c r="I1137" s="7">
        <v>4.8529999999999998</v>
      </c>
      <c r="J1137" s="7">
        <v>4.8470000000000004</v>
      </c>
      <c r="K1137" s="7">
        <v>4.649</v>
      </c>
      <c r="L1137" s="7">
        <v>4.8159999999999998</v>
      </c>
      <c r="M1137" s="7">
        <v>4.9160000000000004</v>
      </c>
      <c r="N1137" s="7">
        <v>5.3159999999999998</v>
      </c>
      <c r="O1137" s="7">
        <v>5.5750000000000002</v>
      </c>
      <c r="P1137" s="7">
        <v>5.1970000000000001</v>
      </c>
      <c r="Q1137" s="7">
        <v>4.8949999999999996</v>
      </c>
      <c r="R1137" s="7">
        <v>4.7389999999999999</v>
      </c>
      <c r="S1137" s="7">
        <f t="shared" si="17"/>
        <v>4.9260000000000002</v>
      </c>
    </row>
    <row r="1138" spans="1:19">
      <c r="A1138" s="5" t="str">
        <f>B1138&amp;"-"&amp;COUNTIF($B$2:B1138,B1138)</f>
        <v>MARANHÃO-9</v>
      </c>
      <c r="B1138" s="5" t="s">
        <v>875</v>
      </c>
      <c r="C1138" s="5" t="s">
        <v>878</v>
      </c>
      <c r="D1138" s="6">
        <v>-459336</v>
      </c>
      <c r="E1138" s="6">
        <v>-91103</v>
      </c>
      <c r="F1138" s="7">
        <v>5.508</v>
      </c>
      <c r="G1138" s="7">
        <v>5.3440000000000003</v>
      </c>
      <c r="H1138" s="7">
        <v>5.2460000000000004</v>
      </c>
      <c r="I1138" s="7">
        <v>5.1109999999999998</v>
      </c>
      <c r="J1138" s="7">
        <v>5.1719999999999997</v>
      </c>
      <c r="K1138" s="7">
        <v>5.2859999999999996</v>
      </c>
      <c r="L1138" s="7">
        <v>5.306</v>
      </c>
      <c r="M1138" s="7">
        <v>5.4589999999999996</v>
      </c>
      <c r="N1138" s="7">
        <v>6.1740000000000004</v>
      </c>
      <c r="O1138" s="7">
        <v>6.4009999999999998</v>
      </c>
      <c r="P1138" s="7">
        <v>5.8120000000000003</v>
      </c>
      <c r="Q1138" s="7">
        <v>5.3760000000000003</v>
      </c>
      <c r="R1138" s="7">
        <v>5.4080000000000004</v>
      </c>
      <c r="S1138" s="7">
        <f t="shared" si="17"/>
        <v>5.5079166666666657</v>
      </c>
    </row>
    <row r="1139" spans="1:19">
      <c r="A1139" s="5" t="str">
        <f>B1139&amp;"-"&amp;COUNTIF($B$2:B1139,B1139)</f>
        <v>MARANHÃO-10</v>
      </c>
      <c r="B1139" s="5" t="s">
        <v>875</v>
      </c>
      <c r="C1139" s="5" t="s">
        <v>5551</v>
      </c>
      <c r="D1139" s="6">
        <v>-460028</v>
      </c>
      <c r="E1139" s="6">
        <v>-16756</v>
      </c>
      <c r="F1139" s="7">
        <v>4.8170000000000002</v>
      </c>
      <c r="G1139" s="7">
        <v>4.5570000000000004</v>
      </c>
      <c r="H1139" s="7">
        <v>4.3609999999999998</v>
      </c>
      <c r="I1139" s="7">
        <v>4.242</v>
      </c>
      <c r="J1139" s="7">
        <v>4.2670000000000003</v>
      </c>
      <c r="K1139" s="7">
        <v>4.4169999999999998</v>
      </c>
      <c r="L1139" s="7">
        <v>4.7119999999999997</v>
      </c>
      <c r="M1139" s="7">
        <v>4.8620000000000001</v>
      </c>
      <c r="N1139" s="7">
        <v>5.4139999999999997</v>
      </c>
      <c r="O1139" s="7">
        <v>5.69</v>
      </c>
      <c r="P1139" s="7">
        <v>5.3760000000000003</v>
      </c>
      <c r="Q1139" s="7">
        <v>5.1639999999999997</v>
      </c>
      <c r="R1139" s="7">
        <v>4.7430000000000003</v>
      </c>
      <c r="S1139" s="7">
        <f t="shared" si="17"/>
        <v>4.8170833333333336</v>
      </c>
    </row>
    <row r="1140" spans="1:19">
      <c r="A1140" s="5" t="str">
        <f>B1140&amp;"-"&amp;COUNTIF($B$2:B1140,B1140)</f>
        <v>MARANHÃO-11</v>
      </c>
      <c r="B1140" s="5" t="s">
        <v>875</v>
      </c>
      <c r="C1140" s="5" t="s">
        <v>3940</v>
      </c>
      <c r="D1140" s="6">
        <v>-467477</v>
      </c>
      <c r="E1140" s="6">
        <v>-55695</v>
      </c>
      <c r="F1140" s="7">
        <v>5.07</v>
      </c>
      <c r="G1140" s="7">
        <v>4.5919999999999996</v>
      </c>
      <c r="H1140" s="7">
        <v>4.7709999999999999</v>
      </c>
      <c r="I1140" s="7">
        <v>4.7489999999999997</v>
      </c>
      <c r="J1140" s="7">
        <v>4.843</v>
      </c>
      <c r="K1140" s="7">
        <v>4.835</v>
      </c>
      <c r="L1140" s="7">
        <v>5.1219999999999999</v>
      </c>
      <c r="M1140" s="7">
        <v>5.3529999999999998</v>
      </c>
      <c r="N1140" s="7">
        <v>5.7619999999999996</v>
      </c>
      <c r="O1140" s="7">
        <v>5.7439999999999998</v>
      </c>
      <c r="P1140" s="7">
        <v>5.3079999999999998</v>
      </c>
      <c r="Q1140" s="7">
        <v>4.9580000000000002</v>
      </c>
      <c r="R1140" s="7">
        <v>4.798</v>
      </c>
      <c r="S1140" s="7">
        <f t="shared" si="17"/>
        <v>5.0695833333333331</v>
      </c>
    </row>
    <row r="1141" spans="1:19">
      <c r="A1141" s="5" t="str">
        <f>B1141&amp;"-"&amp;COUNTIF($B$2:B1141,B1141)</f>
        <v>MARANHÃO-12</v>
      </c>
      <c r="B1141" s="5" t="s">
        <v>875</v>
      </c>
      <c r="C1141" s="5" t="s">
        <v>879</v>
      </c>
      <c r="D1141" s="6">
        <v>-446167</v>
      </c>
      <c r="E1141" s="6">
        <v>-32649</v>
      </c>
      <c r="F1141" s="7">
        <v>5.2009999999999996</v>
      </c>
      <c r="G1141" s="7">
        <v>4.7110000000000003</v>
      </c>
      <c r="H1141" s="7">
        <v>4.8940000000000001</v>
      </c>
      <c r="I1141" s="7">
        <v>4.8979999999999997</v>
      </c>
      <c r="J1141" s="7">
        <v>4.7729999999999997</v>
      </c>
      <c r="K1141" s="7">
        <v>4.8410000000000002</v>
      </c>
      <c r="L1141" s="7">
        <v>5.0250000000000004</v>
      </c>
      <c r="M1141" s="7">
        <v>5.2060000000000004</v>
      </c>
      <c r="N1141" s="7">
        <v>5.8090000000000002</v>
      </c>
      <c r="O1141" s="7">
        <v>6.0369999999999999</v>
      </c>
      <c r="P1141" s="7">
        <v>5.7249999999999996</v>
      </c>
      <c r="Q1141" s="7">
        <v>5.399</v>
      </c>
      <c r="R1141" s="7">
        <v>5.0970000000000004</v>
      </c>
      <c r="S1141" s="7">
        <f t="shared" si="17"/>
        <v>5.2012500000000008</v>
      </c>
    </row>
    <row r="1142" spans="1:19">
      <c r="A1142" s="5" t="str">
        <f>B1142&amp;"-"&amp;COUNTIF($B$2:B1142,B1142)</f>
        <v>MARANHÃO-13</v>
      </c>
      <c r="B1142" s="5" t="s">
        <v>875</v>
      </c>
      <c r="C1142" s="5" t="s">
        <v>880</v>
      </c>
      <c r="D1142" s="6">
        <v>-431093</v>
      </c>
      <c r="E1142" s="6">
        <v>-36744</v>
      </c>
      <c r="F1142" s="7">
        <v>5.55</v>
      </c>
      <c r="G1142" s="7">
        <v>5.1980000000000004</v>
      </c>
      <c r="H1142" s="7">
        <v>5.3</v>
      </c>
      <c r="I1142" s="7">
        <v>5.2519999999999998</v>
      </c>
      <c r="J1142" s="7">
        <v>5.1289999999999996</v>
      </c>
      <c r="K1142" s="7">
        <v>5.0389999999999997</v>
      </c>
      <c r="L1142" s="7">
        <v>5.2149999999999999</v>
      </c>
      <c r="M1142" s="7">
        <v>5.3890000000000002</v>
      </c>
      <c r="N1142" s="7">
        <v>5.9539999999999997</v>
      </c>
      <c r="O1142" s="7">
        <v>6.3040000000000003</v>
      </c>
      <c r="P1142" s="7">
        <v>6.2569999999999997</v>
      </c>
      <c r="Q1142" s="7">
        <v>6.0069999999999997</v>
      </c>
      <c r="R1142" s="7">
        <v>5.5590000000000002</v>
      </c>
      <c r="S1142" s="7">
        <f t="shared" si="17"/>
        <v>5.5502499999999992</v>
      </c>
    </row>
    <row r="1143" spans="1:19">
      <c r="A1143" s="5" t="str">
        <f>B1143&amp;"-"&amp;COUNTIF($B$2:B1143,B1143)</f>
        <v>MARANHÃO-14</v>
      </c>
      <c r="B1143" s="5" t="s">
        <v>875</v>
      </c>
      <c r="C1143" s="5" t="s">
        <v>4637</v>
      </c>
      <c r="D1143" s="6">
        <v>-450779</v>
      </c>
      <c r="E1143" s="6">
        <v>-15291</v>
      </c>
      <c r="F1143" s="7">
        <v>5.1130000000000004</v>
      </c>
      <c r="G1143" s="7">
        <v>4.976</v>
      </c>
      <c r="H1143" s="7">
        <v>4.6980000000000004</v>
      </c>
      <c r="I1143" s="7">
        <v>4.5359999999999996</v>
      </c>
      <c r="J1143" s="7">
        <v>4.415</v>
      </c>
      <c r="K1143" s="7">
        <v>4.6539999999999999</v>
      </c>
      <c r="L1143" s="7">
        <v>4.9429999999999996</v>
      </c>
      <c r="M1143" s="7">
        <v>5.0910000000000002</v>
      </c>
      <c r="N1143" s="7">
        <v>5.5460000000000003</v>
      </c>
      <c r="O1143" s="7">
        <v>5.9290000000000003</v>
      </c>
      <c r="P1143" s="7">
        <v>5.6840000000000002</v>
      </c>
      <c r="Q1143" s="7">
        <v>5.5759999999999996</v>
      </c>
      <c r="R1143" s="7">
        <v>5.3129999999999997</v>
      </c>
      <c r="S1143" s="7">
        <f t="shared" si="17"/>
        <v>5.1134166666666667</v>
      </c>
    </row>
    <row r="1144" spans="1:19">
      <c r="A1144" s="5" t="str">
        <f>B1144&amp;"-"&amp;COUNTIF($B$2:B1144,B1144)</f>
        <v>MARANHÃO-15</v>
      </c>
      <c r="B1144" s="5" t="s">
        <v>875</v>
      </c>
      <c r="C1144" s="5" t="s">
        <v>5356</v>
      </c>
      <c r="D1144" s="6">
        <v>-456655</v>
      </c>
      <c r="E1144" s="6">
        <v>-29507</v>
      </c>
      <c r="F1144" s="7">
        <v>4.9550000000000001</v>
      </c>
      <c r="G1144" s="7">
        <v>4.5650000000000004</v>
      </c>
      <c r="H1144" s="7">
        <v>4.75</v>
      </c>
      <c r="I1144" s="7">
        <v>4.6399999999999997</v>
      </c>
      <c r="J1144" s="7">
        <v>4.68</v>
      </c>
      <c r="K1144" s="7">
        <v>4.7190000000000003</v>
      </c>
      <c r="L1144" s="7">
        <v>4.8600000000000003</v>
      </c>
      <c r="M1144" s="7">
        <v>4.9889999999999999</v>
      </c>
      <c r="N1144" s="7">
        <v>5.4450000000000003</v>
      </c>
      <c r="O1144" s="7">
        <v>5.6459999999999999</v>
      </c>
      <c r="P1144" s="7">
        <v>5.367</v>
      </c>
      <c r="Q1144" s="7">
        <v>5.0609999999999999</v>
      </c>
      <c r="R1144" s="7">
        <v>4.7350000000000003</v>
      </c>
      <c r="S1144" s="7">
        <f t="shared" si="17"/>
        <v>4.9547499999999998</v>
      </c>
    </row>
    <row r="1145" spans="1:19">
      <c r="A1145" s="5" t="str">
        <f>B1145&amp;"-"&amp;COUNTIF($B$2:B1145,B1145)</f>
        <v>MARANHÃO-16</v>
      </c>
      <c r="B1145" s="5" t="s">
        <v>875</v>
      </c>
      <c r="C1145" s="5" t="s">
        <v>881</v>
      </c>
      <c r="D1145" s="6">
        <v>-419053</v>
      </c>
      <c r="E1145" s="6">
        <v>-28913</v>
      </c>
      <c r="F1145" s="7">
        <v>5.6790000000000003</v>
      </c>
      <c r="G1145" s="7">
        <v>5.5629999999999997</v>
      </c>
      <c r="H1145" s="7">
        <v>5.375</v>
      </c>
      <c r="I1145" s="7">
        <v>5.2430000000000003</v>
      </c>
      <c r="J1145" s="7">
        <v>4.95</v>
      </c>
      <c r="K1145" s="7">
        <v>5.1310000000000002</v>
      </c>
      <c r="L1145" s="7">
        <v>5.3109999999999999</v>
      </c>
      <c r="M1145" s="7">
        <v>5.51</v>
      </c>
      <c r="N1145" s="7">
        <v>6.1520000000000001</v>
      </c>
      <c r="O1145" s="7">
        <v>6.298</v>
      </c>
      <c r="P1145" s="7">
        <v>6.181</v>
      </c>
      <c r="Q1145" s="7">
        <v>6.3680000000000003</v>
      </c>
      <c r="R1145" s="7">
        <v>6.0730000000000004</v>
      </c>
      <c r="S1145" s="7">
        <f t="shared" si="17"/>
        <v>5.6795833333333334</v>
      </c>
    </row>
    <row r="1146" spans="1:19">
      <c r="A1146" s="5" t="str">
        <f>B1146&amp;"-"&amp;COUNTIF($B$2:B1146,B1146)</f>
        <v>MARANHÃO-17</v>
      </c>
      <c r="B1146" s="5" t="s">
        <v>875</v>
      </c>
      <c r="C1146" s="5" t="s">
        <v>882</v>
      </c>
      <c r="D1146" s="6">
        <v>-460087</v>
      </c>
      <c r="E1146" s="6">
        <v>-48882</v>
      </c>
      <c r="F1146" s="7">
        <v>4.9539999999999997</v>
      </c>
      <c r="G1146" s="7">
        <v>4.5350000000000001</v>
      </c>
      <c r="H1146" s="7">
        <v>4.6950000000000003</v>
      </c>
      <c r="I1146" s="7">
        <v>4.8049999999999997</v>
      </c>
      <c r="J1146" s="7">
        <v>4.6980000000000004</v>
      </c>
      <c r="K1146" s="7">
        <v>4.7370000000000001</v>
      </c>
      <c r="L1146" s="7">
        <v>4.93</v>
      </c>
      <c r="M1146" s="7">
        <v>5.1749999999999998</v>
      </c>
      <c r="N1146" s="7">
        <v>5.5759999999999996</v>
      </c>
      <c r="O1146" s="7">
        <v>5.6980000000000004</v>
      </c>
      <c r="P1146" s="7">
        <v>5.1779999999999999</v>
      </c>
      <c r="Q1146" s="7">
        <v>4.76</v>
      </c>
      <c r="R1146" s="7">
        <v>4.665</v>
      </c>
      <c r="S1146" s="7">
        <f t="shared" si="17"/>
        <v>4.9543333333333326</v>
      </c>
    </row>
    <row r="1147" spans="1:19">
      <c r="A1147" s="5" t="str">
        <f>B1147&amp;"-"&amp;COUNTIF($B$2:B1147,B1147)</f>
        <v>MARANHÃO-18</v>
      </c>
      <c r="B1147" s="5" t="s">
        <v>875</v>
      </c>
      <c r="C1147" s="5" t="s">
        <v>883</v>
      </c>
      <c r="D1147" s="6">
        <v>-447771</v>
      </c>
      <c r="E1147" s="6">
        <v>-34554</v>
      </c>
      <c r="F1147" s="7">
        <v>5.2089999999999996</v>
      </c>
      <c r="G1147" s="7">
        <v>4.7549999999999999</v>
      </c>
      <c r="H1147" s="7">
        <v>4.9320000000000004</v>
      </c>
      <c r="I1147" s="7">
        <v>4.9109999999999996</v>
      </c>
      <c r="J1147" s="7">
        <v>4.8460000000000001</v>
      </c>
      <c r="K1147" s="7">
        <v>4.859</v>
      </c>
      <c r="L1147" s="7">
        <v>5.0389999999999997</v>
      </c>
      <c r="M1147" s="7">
        <v>5.2350000000000003</v>
      </c>
      <c r="N1147" s="7">
        <v>5.766</v>
      </c>
      <c r="O1147" s="7">
        <v>6.056</v>
      </c>
      <c r="P1147" s="7">
        <v>5.702</v>
      </c>
      <c r="Q1147" s="7">
        <v>5.3310000000000004</v>
      </c>
      <c r="R1147" s="7">
        <v>5.0759999999999996</v>
      </c>
      <c r="S1147" s="7">
        <f t="shared" si="17"/>
        <v>5.2090000000000005</v>
      </c>
    </row>
    <row r="1148" spans="1:19">
      <c r="A1148" s="5" t="str">
        <f>B1148&amp;"-"&amp;COUNTIF($B$2:B1148,B1148)</f>
        <v>MARANHÃO-19</v>
      </c>
      <c r="B1148" s="5" t="s">
        <v>875</v>
      </c>
      <c r="C1148" s="5" t="s">
        <v>5552</v>
      </c>
      <c r="D1148" s="6">
        <v>-440564</v>
      </c>
      <c r="E1148" s="6">
        <v>-28366</v>
      </c>
      <c r="F1148" s="7">
        <v>4.9649999999999999</v>
      </c>
      <c r="G1148" s="7">
        <v>4.4850000000000003</v>
      </c>
      <c r="H1148" s="7">
        <v>4.4619999999999997</v>
      </c>
      <c r="I1148" s="7">
        <v>4.4509999999999996</v>
      </c>
      <c r="J1148" s="7">
        <v>4.3940000000000001</v>
      </c>
      <c r="K1148" s="7">
        <v>4.5140000000000002</v>
      </c>
      <c r="L1148" s="7">
        <v>4.7809999999999997</v>
      </c>
      <c r="M1148" s="7">
        <v>5.0220000000000002</v>
      </c>
      <c r="N1148" s="7">
        <v>5.569</v>
      </c>
      <c r="O1148" s="7">
        <v>5.9390000000000001</v>
      </c>
      <c r="P1148" s="7">
        <v>5.7060000000000004</v>
      </c>
      <c r="Q1148" s="7">
        <v>5.367</v>
      </c>
      <c r="R1148" s="7">
        <v>4.8899999999999997</v>
      </c>
      <c r="S1148" s="7">
        <f t="shared" si="17"/>
        <v>4.9650000000000007</v>
      </c>
    </row>
    <row r="1149" spans="1:19">
      <c r="A1149" s="5" t="str">
        <f>B1149&amp;"-"&amp;COUNTIF($B$2:B1149,B1149)</f>
        <v>MARANHÃO-20</v>
      </c>
      <c r="B1149" s="5" t="s">
        <v>875</v>
      </c>
      <c r="C1149" s="5" t="s">
        <v>884</v>
      </c>
      <c r="D1149" s="6">
        <v>-447835</v>
      </c>
      <c r="E1149" s="6">
        <v>-42249</v>
      </c>
      <c r="F1149" s="7">
        <v>5.2069999999999999</v>
      </c>
      <c r="G1149" s="7">
        <v>4.7140000000000004</v>
      </c>
      <c r="H1149" s="7">
        <v>4.875</v>
      </c>
      <c r="I1149" s="7">
        <v>4.8949999999999996</v>
      </c>
      <c r="J1149" s="7">
        <v>4.9020000000000001</v>
      </c>
      <c r="K1149" s="7">
        <v>4.84</v>
      </c>
      <c r="L1149" s="7">
        <v>4.9770000000000003</v>
      </c>
      <c r="M1149" s="7">
        <v>5.2430000000000003</v>
      </c>
      <c r="N1149" s="7">
        <v>5.7750000000000004</v>
      </c>
      <c r="O1149" s="7">
        <v>6.1470000000000002</v>
      </c>
      <c r="P1149" s="7">
        <v>5.7510000000000003</v>
      </c>
      <c r="Q1149" s="7">
        <v>5.335</v>
      </c>
      <c r="R1149" s="7">
        <v>5.0350000000000001</v>
      </c>
      <c r="S1149" s="7">
        <f t="shared" si="17"/>
        <v>5.2074166666666661</v>
      </c>
    </row>
    <row r="1150" spans="1:19">
      <c r="A1150" s="5" t="str">
        <f>B1150&amp;"-"&amp;COUNTIF($B$2:B1150,B1150)</f>
        <v>MARANHÃO-21</v>
      </c>
      <c r="B1150" s="5" t="s">
        <v>875</v>
      </c>
      <c r="C1150" s="5" t="s">
        <v>885</v>
      </c>
      <c r="D1150" s="6">
        <v>-443142</v>
      </c>
      <c r="E1150" s="6">
        <v>-29765</v>
      </c>
      <c r="F1150" s="7">
        <v>5.1310000000000002</v>
      </c>
      <c r="G1150" s="7">
        <v>4.6829999999999998</v>
      </c>
      <c r="H1150" s="7">
        <v>4.6760000000000002</v>
      </c>
      <c r="I1150" s="7">
        <v>4.5679999999999996</v>
      </c>
      <c r="J1150" s="7">
        <v>4.5279999999999996</v>
      </c>
      <c r="K1150" s="7">
        <v>4.6909999999999998</v>
      </c>
      <c r="L1150" s="7">
        <v>4.9930000000000003</v>
      </c>
      <c r="M1150" s="7">
        <v>5.1840000000000002</v>
      </c>
      <c r="N1150" s="7">
        <v>5.7949999999999999</v>
      </c>
      <c r="O1150" s="7">
        <v>6.0590000000000002</v>
      </c>
      <c r="P1150" s="7">
        <v>5.7789999999999999</v>
      </c>
      <c r="Q1150" s="7">
        <v>5.5179999999999998</v>
      </c>
      <c r="R1150" s="7">
        <v>5.0979999999999999</v>
      </c>
      <c r="S1150" s="7">
        <f t="shared" si="17"/>
        <v>5.1309999999999993</v>
      </c>
    </row>
    <row r="1151" spans="1:19">
      <c r="A1151" s="5" t="str">
        <f>B1151&amp;"-"&amp;COUNTIF($B$2:B1151,B1151)</f>
        <v>MARANHÃO-22</v>
      </c>
      <c r="B1151" s="5" t="s">
        <v>875</v>
      </c>
      <c r="C1151" s="5" t="s">
        <v>886</v>
      </c>
      <c r="D1151" s="5" t="s">
        <v>887</v>
      </c>
      <c r="E1151" s="6">
        <v>-17257</v>
      </c>
      <c r="F1151" s="7">
        <v>4.9189999999999996</v>
      </c>
      <c r="G1151" s="7">
        <v>4.7080000000000002</v>
      </c>
      <c r="H1151" s="7">
        <v>4.532</v>
      </c>
      <c r="I1151" s="7">
        <v>4.3159999999999998</v>
      </c>
      <c r="J1151" s="7">
        <v>4.2279999999999998</v>
      </c>
      <c r="K1151" s="7">
        <v>4.5039999999999996</v>
      </c>
      <c r="L1151" s="7">
        <v>4.8129999999999997</v>
      </c>
      <c r="M1151" s="7">
        <v>4.9870000000000001</v>
      </c>
      <c r="N1151" s="7">
        <v>5.4589999999999996</v>
      </c>
      <c r="O1151" s="7">
        <v>5.7279999999999998</v>
      </c>
      <c r="P1151" s="7">
        <v>5.4320000000000004</v>
      </c>
      <c r="Q1151" s="7">
        <v>5.3339999999999996</v>
      </c>
      <c r="R1151" s="7">
        <v>4.9870000000000001</v>
      </c>
      <c r="S1151" s="7">
        <f t="shared" si="17"/>
        <v>4.9189999999999996</v>
      </c>
    </row>
    <row r="1152" spans="1:19">
      <c r="A1152" s="5" t="str">
        <f>B1152&amp;"-"&amp;COUNTIF($B$2:B1152,B1152)</f>
        <v>MARANHÃO-23</v>
      </c>
      <c r="B1152" s="5" t="s">
        <v>875</v>
      </c>
      <c r="C1152" s="5" t="s">
        <v>888</v>
      </c>
      <c r="D1152" s="6">
        <v>-44738</v>
      </c>
      <c r="E1152" s="6">
        <v>-27078</v>
      </c>
      <c r="F1152" s="7">
        <v>5.1959999999999997</v>
      </c>
      <c r="G1152" s="7">
        <v>4.8179999999999996</v>
      </c>
      <c r="H1152" s="7">
        <v>4.9039999999999999</v>
      </c>
      <c r="I1152" s="7">
        <v>4.8049999999999997</v>
      </c>
      <c r="J1152" s="7">
        <v>4.8220000000000001</v>
      </c>
      <c r="K1152" s="7">
        <v>4.8250000000000002</v>
      </c>
      <c r="L1152" s="7">
        <v>5.09</v>
      </c>
      <c r="M1152" s="7">
        <v>5.1829999999999998</v>
      </c>
      <c r="N1152" s="7">
        <v>5.6920000000000002</v>
      </c>
      <c r="O1152" s="7">
        <v>5.8490000000000002</v>
      </c>
      <c r="P1152" s="7">
        <v>5.6529999999999996</v>
      </c>
      <c r="Q1152" s="7">
        <v>5.5270000000000001</v>
      </c>
      <c r="R1152" s="7">
        <v>5.1890000000000001</v>
      </c>
      <c r="S1152" s="7">
        <f t="shared" si="17"/>
        <v>5.1964166666666669</v>
      </c>
    </row>
    <row r="1153" spans="1:19">
      <c r="A1153" s="5" t="str">
        <f>B1153&amp;"-"&amp;COUNTIF($B$2:B1153,B1153)</f>
        <v>MARANHÃO-24</v>
      </c>
      <c r="B1153" s="5" t="s">
        <v>875</v>
      </c>
      <c r="C1153" s="5" t="s">
        <v>889</v>
      </c>
      <c r="D1153" s="6">
        <v>-460375</v>
      </c>
      <c r="E1153" s="6">
        <v>-75326</v>
      </c>
      <c r="F1153" s="7">
        <v>5.35</v>
      </c>
      <c r="G1153" s="7">
        <v>4.96</v>
      </c>
      <c r="H1153" s="7">
        <v>5.0670000000000002</v>
      </c>
      <c r="I1153" s="7">
        <v>5.0720000000000001</v>
      </c>
      <c r="J1153" s="7">
        <v>5.1079999999999997</v>
      </c>
      <c r="K1153" s="7">
        <v>5.1829999999999998</v>
      </c>
      <c r="L1153" s="7">
        <v>5.2960000000000003</v>
      </c>
      <c r="M1153" s="7">
        <v>5.3380000000000001</v>
      </c>
      <c r="N1153" s="7">
        <v>5.8029999999999999</v>
      </c>
      <c r="O1153" s="7">
        <v>6.399</v>
      </c>
      <c r="P1153" s="7">
        <v>5.7169999999999996</v>
      </c>
      <c r="Q1153" s="7">
        <v>5.1769999999999996</v>
      </c>
      <c r="R1153" s="7">
        <v>5.0819999999999999</v>
      </c>
      <c r="S1153" s="7">
        <f t="shared" si="17"/>
        <v>5.3501666666666665</v>
      </c>
    </row>
    <row r="1154" spans="1:19">
      <c r="A1154" s="5" t="str">
        <f>B1154&amp;"-"&amp;COUNTIF($B$2:B1154,B1154)</f>
        <v>MARANHÃO-25</v>
      </c>
      <c r="B1154" s="5" t="s">
        <v>875</v>
      </c>
      <c r="C1154" s="5" t="s">
        <v>4831</v>
      </c>
      <c r="D1154" s="6">
        <v>-430269</v>
      </c>
      <c r="E1154" s="6">
        <v>-67564</v>
      </c>
      <c r="F1154" s="7">
        <v>5.641</v>
      </c>
      <c r="G1154" s="7">
        <v>5.24</v>
      </c>
      <c r="H1154" s="7">
        <v>5.306</v>
      </c>
      <c r="I1154" s="7">
        <v>5.2649999999999997</v>
      </c>
      <c r="J1154" s="7">
        <v>5.1829999999999998</v>
      </c>
      <c r="K1154" s="7">
        <v>5.21</v>
      </c>
      <c r="L1154" s="7">
        <v>5.34</v>
      </c>
      <c r="M1154" s="7">
        <v>5.5679999999999996</v>
      </c>
      <c r="N1154" s="7">
        <v>6.0890000000000004</v>
      </c>
      <c r="O1154" s="7">
        <v>6.5830000000000002</v>
      </c>
      <c r="P1154" s="7">
        <v>6.3559999999999999</v>
      </c>
      <c r="Q1154" s="7">
        <v>5.9950000000000001</v>
      </c>
      <c r="R1154" s="7">
        <v>5.5650000000000004</v>
      </c>
      <c r="S1154" s="7">
        <f t="shared" si="17"/>
        <v>5.6416666666666666</v>
      </c>
    </row>
    <row r="1155" spans="1:19">
      <c r="A1155" s="5" t="str">
        <f>B1155&amp;"-"&amp;COUNTIF($B$2:B1155,B1155)</f>
        <v>MARANHÃO-26</v>
      </c>
      <c r="B1155" s="5" t="s">
        <v>875</v>
      </c>
      <c r="C1155" s="5" t="s">
        <v>890</v>
      </c>
      <c r="D1155" s="6">
        <v>-452489</v>
      </c>
      <c r="E1155" s="6">
        <v>-54972</v>
      </c>
      <c r="F1155" s="7">
        <v>5.2030000000000003</v>
      </c>
      <c r="G1155" s="7">
        <v>4.7190000000000003</v>
      </c>
      <c r="H1155" s="7">
        <v>4.8849999999999998</v>
      </c>
      <c r="I1155" s="7">
        <v>4.9269999999999996</v>
      </c>
      <c r="J1155" s="7">
        <v>4.8289999999999997</v>
      </c>
      <c r="K1155" s="7">
        <v>4.9089999999999998</v>
      </c>
      <c r="L1155" s="7">
        <v>5.1059999999999999</v>
      </c>
      <c r="M1155" s="7">
        <v>5.3810000000000002</v>
      </c>
      <c r="N1155" s="7">
        <v>5.9249999999999998</v>
      </c>
      <c r="O1155" s="7">
        <v>6.1070000000000002</v>
      </c>
      <c r="P1155" s="7">
        <v>5.5380000000000003</v>
      </c>
      <c r="Q1155" s="7">
        <v>5.1849999999999996</v>
      </c>
      <c r="R1155" s="7">
        <v>4.9219999999999997</v>
      </c>
      <c r="S1155" s="7">
        <f t="shared" ref="S1155:S1218" si="18">(G1155+H1155+I1155+J1155+K1155+L1155+M1155+N1155+O1155+P1155+Q1155+R1155)/12</f>
        <v>5.2027499999999991</v>
      </c>
    </row>
    <row r="1156" spans="1:19">
      <c r="A1156" s="5" t="str">
        <f>B1156&amp;"-"&amp;COUNTIF($B$2:B1156,B1156)</f>
        <v>MARANHÃO-27</v>
      </c>
      <c r="B1156" s="5" t="s">
        <v>875</v>
      </c>
      <c r="C1156" s="5" t="s">
        <v>891</v>
      </c>
      <c r="D1156" s="6">
        <v>-428278</v>
      </c>
      <c r="E1156" s="6">
        <v>-27525</v>
      </c>
      <c r="F1156" s="7">
        <v>5.4219999999999997</v>
      </c>
      <c r="G1156" s="7">
        <v>5.1390000000000002</v>
      </c>
      <c r="H1156" s="7">
        <v>5.0990000000000002</v>
      </c>
      <c r="I1156" s="7">
        <v>4.9139999999999997</v>
      </c>
      <c r="J1156" s="7">
        <v>4.75</v>
      </c>
      <c r="K1156" s="7">
        <v>4.8970000000000002</v>
      </c>
      <c r="L1156" s="7">
        <v>4.9690000000000003</v>
      </c>
      <c r="M1156" s="7">
        <v>5.2069999999999999</v>
      </c>
      <c r="N1156" s="7">
        <v>5.9580000000000002</v>
      </c>
      <c r="O1156" s="7">
        <v>6.3460000000000001</v>
      </c>
      <c r="P1156" s="7">
        <v>6.1269999999999998</v>
      </c>
      <c r="Q1156" s="7">
        <v>6.008</v>
      </c>
      <c r="R1156" s="7">
        <v>5.6479999999999997</v>
      </c>
      <c r="S1156" s="7">
        <f t="shared" si="18"/>
        <v>5.4218333333333328</v>
      </c>
    </row>
    <row r="1157" spans="1:19">
      <c r="A1157" s="5" t="str">
        <f>B1157&amp;"-"&amp;COUNTIF($B$2:B1157,B1157)</f>
        <v>MARANHÃO-28</v>
      </c>
      <c r="B1157" s="5" t="s">
        <v>875</v>
      </c>
      <c r="C1157" s="5" t="s">
        <v>3941</v>
      </c>
      <c r="D1157" s="6">
        <v>-452496</v>
      </c>
      <c r="E1157" s="6">
        <v>-37407</v>
      </c>
      <c r="F1157" s="7">
        <v>5.0590000000000002</v>
      </c>
      <c r="G1157" s="7">
        <v>4.6429999999999998</v>
      </c>
      <c r="H1157" s="7">
        <v>4.8</v>
      </c>
      <c r="I1157" s="7">
        <v>4.8380000000000001</v>
      </c>
      <c r="J1157" s="7">
        <v>4.827</v>
      </c>
      <c r="K1157" s="7">
        <v>4.7549999999999999</v>
      </c>
      <c r="L1157" s="7">
        <v>4.97</v>
      </c>
      <c r="M1157" s="7">
        <v>5.0410000000000004</v>
      </c>
      <c r="N1157" s="7">
        <v>5.532</v>
      </c>
      <c r="O1157" s="7">
        <v>5.8369999999999997</v>
      </c>
      <c r="P1157" s="7">
        <v>5.45</v>
      </c>
      <c r="Q1157" s="7">
        <v>5.0599999999999996</v>
      </c>
      <c r="R1157" s="7">
        <v>4.9619999999999997</v>
      </c>
      <c r="S1157" s="7">
        <f t="shared" si="18"/>
        <v>5.0595833333333333</v>
      </c>
    </row>
    <row r="1158" spans="1:19">
      <c r="A1158" s="5" t="str">
        <f>B1158&amp;"-"&amp;COUNTIF($B$2:B1158,B1158)</f>
        <v>MARANHÃO-29</v>
      </c>
      <c r="B1158" s="5" t="s">
        <v>875</v>
      </c>
      <c r="C1158" s="5" t="s">
        <v>5553</v>
      </c>
      <c r="D1158" s="6">
        <v>-435083</v>
      </c>
      <c r="E1158" s="6">
        <v>-31604</v>
      </c>
      <c r="F1158" s="7">
        <v>5.3369999999999997</v>
      </c>
      <c r="G1158" s="7">
        <v>4.758</v>
      </c>
      <c r="H1158" s="7">
        <v>4.8140000000000001</v>
      </c>
      <c r="I1158" s="7">
        <v>4.8460000000000001</v>
      </c>
      <c r="J1158" s="7">
        <v>4.7759999999999998</v>
      </c>
      <c r="K1158" s="7">
        <v>4.9180000000000001</v>
      </c>
      <c r="L1158" s="7">
        <v>5.1769999999999996</v>
      </c>
      <c r="M1158" s="7">
        <v>5.367</v>
      </c>
      <c r="N1158" s="7">
        <v>5.9809999999999999</v>
      </c>
      <c r="O1158" s="7">
        <v>6.2969999999999997</v>
      </c>
      <c r="P1158" s="7">
        <v>6.1130000000000004</v>
      </c>
      <c r="Q1158" s="7">
        <v>5.7759999999999998</v>
      </c>
      <c r="R1158" s="7">
        <v>5.2169999999999996</v>
      </c>
      <c r="S1158" s="7">
        <f t="shared" si="18"/>
        <v>5.336666666666666</v>
      </c>
    </row>
    <row r="1159" spans="1:19">
      <c r="A1159" s="5" t="str">
        <f>B1159&amp;"-"&amp;COUNTIF($B$2:B1159,B1159)</f>
        <v>MARANHÃO-30</v>
      </c>
      <c r="B1159" s="5" t="s">
        <v>875</v>
      </c>
      <c r="C1159" s="5" t="s">
        <v>892</v>
      </c>
      <c r="D1159" s="6">
        <v>-445544</v>
      </c>
      <c r="E1159" s="6">
        <v>-72197</v>
      </c>
      <c r="F1159" s="7">
        <v>5.5030000000000001</v>
      </c>
      <c r="G1159" s="7">
        <v>5.0270000000000001</v>
      </c>
      <c r="H1159" s="7">
        <v>5.0890000000000004</v>
      </c>
      <c r="I1159" s="7">
        <v>5.0190000000000001</v>
      </c>
      <c r="J1159" s="7">
        <v>5.1180000000000003</v>
      </c>
      <c r="K1159" s="7">
        <v>5.2779999999999996</v>
      </c>
      <c r="L1159" s="7">
        <v>5.3849999999999998</v>
      </c>
      <c r="M1159" s="7">
        <v>5.6070000000000002</v>
      </c>
      <c r="N1159" s="7">
        <v>6.032</v>
      </c>
      <c r="O1159" s="7">
        <v>6.5579999999999998</v>
      </c>
      <c r="P1159" s="7">
        <v>6.04</v>
      </c>
      <c r="Q1159" s="7">
        <v>5.5730000000000004</v>
      </c>
      <c r="R1159" s="7">
        <v>5.3120000000000003</v>
      </c>
      <c r="S1159" s="7">
        <f t="shared" si="18"/>
        <v>5.5031666666666661</v>
      </c>
    </row>
    <row r="1160" spans="1:19">
      <c r="A1160" s="5" t="str">
        <f>B1160&amp;"-"&amp;COUNTIF($B$2:B1160,B1160)</f>
        <v>MARANHÃO-31</v>
      </c>
      <c r="B1160" s="5" t="s">
        <v>875</v>
      </c>
      <c r="C1160" s="5" t="s">
        <v>3942</v>
      </c>
      <c r="D1160" s="6">
        <v>-447908</v>
      </c>
      <c r="E1160" s="6">
        <v>-24495</v>
      </c>
      <c r="F1160" s="7">
        <v>5.0380000000000003</v>
      </c>
      <c r="G1160" s="7">
        <v>4.7859999999999996</v>
      </c>
      <c r="H1160" s="7">
        <v>4.6829999999999998</v>
      </c>
      <c r="I1160" s="7">
        <v>4.6020000000000003</v>
      </c>
      <c r="J1160" s="7">
        <v>4.476</v>
      </c>
      <c r="K1160" s="7">
        <v>4.59</v>
      </c>
      <c r="L1160" s="7">
        <v>4.8959999999999999</v>
      </c>
      <c r="M1160" s="7">
        <v>5.0049999999999999</v>
      </c>
      <c r="N1160" s="7">
        <v>5.5359999999999996</v>
      </c>
      <c r="O1160" s="7">
        <v>5.7960000000000003</v>
      </c>
      <c r="P1160" s="7">
        <v>5.5229999999999997</v>
      </c>
      <c r="Q1160" s="7">
        <v>5.4009999999999998</v>
      </c>
      <c r="R1160" s="7">
        <v>5.165</v>
      </c>
      <c r="S1160" s="7">
        <f t="shared" si="18"/>
        <v>5.0382499999999997</v>
      </c>
    </row>
    <row r="1161" spans="1:19">
      <c r="A1161" s="5" t="str">
        <f>B1161&amp;"-"&amp;COUNTIF($B$2:B1161,B1161)</f>
        <v>MARANHÃO-32</v>
      </c>
      <c r="B1161" s="5" t="s">
        <v>875</v>
      </c>
      <c r="C1161" s="5" t="s">
        <v>893</v>
      </c>
      <c r="D1161" s="6">
        <v>-447611</v>
      </c>
      <c r="E1161" s="6">
        <v>-46271</v>
      </c>
      <c r="F1161" s="7">
        <v>5.1890000000000001</v>
      </c>
      <c r="G1161" s="7">
        <v>4.7030000000000003</v>
      </c>
      <c r="H1161" s="7">
        <v>4.8140000000000001</v>
      </c>
      <c r="I1161" s="7">
        <v>4.8879999999999999</v>
      </c>
      <c r="J1161" s="7">
        <v>4.8449999999999998</v>
      </c>
      <c r="K1161" s="7">
        <v>4.8179999999999996</v>
      </c>
      <c r="L1161" s="7">
        <v>5.0590000000000002</v>
      </c>
      <c r="M1161" s="7">
        <v>5.2939999999999996</v>
      </c>
      <c r="N1161" s="7">
        <v>5.8209999999999997</v>
      </c>
      <c r="O1161" s="7">
        <v>6.141</v>
      </c>
      <c r="P1161" s="7">
        <v>5.6760000000000002</v>
      </c>
      <c r="Q1161" s="7">
        <v>5.2640000000000002</v>
      </c>
      <c r="R1161" s="7">
        <v>4.9379999999999997</v>
      </c>
      <c r="S1161" s="7">
        <f t="shared" si="18"/>
        <v>5.1884166666666669</v>
      </c>
    </row>
    <row r="1162" spans="1:19">
      <c r="A1162" s="5" t="str">
        <f>B1162&amp;"-"&amp;COUNTIF($B$2:B1162,B1162)</f>
        <v>MARANHÃO-33</v>
      </c>
      <c r="B1162" s="5" t="s">
        <v>875</v>
      </c>
      <c r="C1162" s="5" t="s">
        <v>894</v>
      </c>
      <c r="D1162" s="6">
        <v>-463006</v>
      </c>
      <c r="E1162" s="6">
        <v>-17765</v>
      </c>
      <c r="F1162" s="7">
        <v>4.819</v>
      </c>
      <c r="G1162" s="7">
        <v>4.4169999999999998</v>
      </c>
      <c r="H1162" s="7">
        <v>4.3470000000000004</v>
      </c>
      <c r="I1162" s="7">
        <v>4.3170000000000002</v>
      </c>
      <c r="J1162" s="7">
        <v>4.3949999999999996</v>
      </c>
      <c r="K1162" s="7">
        <v>4.5209999999999999</v>
      </c>
      <c r="L1162" s="7">
        <v>4.7690000000000001</v>
      </c>
      <c r="M1162" s="7">
        <v>4.9569999999999999</v>
      </c>
      <c r="N1162" s="7">
        <v>5.3540000000000001</v>
      </c>
      <c r="O1162" s="7">
        <v>5.5890000000000004</v>
      </c>
      <c r="P1162" s="7">
        <v>5.3019999999999996</v>
      </c>
      <c r="Q1162" s="7">
        <v>5.117</v>
      </c>
      <c r="R1162" s="7">
        <v>4.7430000000000003</v>
      </c>
      <c r="S1162" s="7">
        <f t="shared" si="18"/>
        <v>4.819</v>
      </c>
    </row>
    <row r="1163" spans="1:19">
      <c r="A1163" s="5" t="str">
        <f>B1163&amp;"-"&amp;COUNTIF($B$2:B1163,B1163)</f>
        <v>MARANHÃO-34</v>
      </c>
      <c r="B1163" s="5" t="s">
        <v>875</v>
      </c>
      <c r="C1163" s="5" t="s">
        <v>895</v>
      </c>
      <c r="D1163" s="6">
        <v>-456064</v>
      </c>
      <c r="E1163" s="6">
        <v>-35417</v>
      </c>
      <c r="F1163" s="7">
        <v>4.9770000000000003</v>
      </c>
      <c r="G1163" s="7">
        <v>4.5259999999999998</v>
      </c>
      <c r="H1163" s="7">
        <v>4.8109999999999999</v>
      </c>
      <c r="I1163" s="7">
        <v>4.8609999999999998</v>
      </c>
      <c r="J1163" s="7">
        <v>4.8339999999999996</v>
      </c>
      <c r="K1163" s="7">
        <v>4.726</v>
      </c>
      <c r="L1163" s="7">
        <v>4.851</v>
      </c>
      <c r="M1163" s="7">
        <v>4.9749999999999996</v>
      </c>
      <c r="N1163" s="7">
        <v>5.4050000000000002</v>
      </c>
      <c r="O1163" s="7">
        <v>5.6130000000000004</v>
      </c>
      <c r="P1163" s="7">
        <v>5.3239999999999998</v>
      </c>
      <c r="Q1163" s="7">
        <v>4.9960000000000004</v>
      </c>
      <c r="R1163" s="7">
        <v>4.8019999999999996</v>
      </c>
      <c r="S1163" s="7">
        <f t="shared" si="18"/>
        <v>4.9769999999999994</v>
      </c>
    </row>
    <row r="1164" spans="1:19">
      <c r="A1164" s="5" t="str">
        <f>B1164&amp;"-"&amp;COUNTIF($B$2:B1164,B1164)</f>
        <v>MARANHÃO-35</v>
      </c>
      <c r="B1164" s="5" t="s">
        <v>875</v>
      </c>
      <c r="C1164" s="5" t="s">
        <v>896</v>
      </c>
      <c r="D1164" s="6">
        <v>-468536</v>
      </c>
      <c r="E1164" s="6">
        <v>-44836</v>
      </c>
      <c r="F1164" s="7">
        <v>4.9279999999999999</v>
      </c>
      <c r="G1164" s="7">
        <v>4.5789999999999997</v>
      </c>
      <c r="H1164" s="7">
        <v>4.7629999999999999</v>
      </c>
      <c r="I1164" s="7">
        <v>4.8490000000000002</v>
      </c>
      <c r="J1164" s="7">
        <v>4.7809999999999997</v>
      </c>
      <c r="K1164" s="7">
        <v>4.7359999999999998</v>
      </c>
      <c r="L1164" s="7">
        <v>4.8710000000000004</v>
      </c>
      <c r="M1164" s="7">
        <v>5.0609999999999999</v>
      </c>
      <c r="N1164" s="7">
        <v>5.35</v>
      </c>
      <c r="O1164" s="7">
        <v>5.4930000000000003</v>
      </c>
      <c r="P1164" s="7">
        <v>5.157</v>
      </c>
      <c r="Q1164" s="7">
        <v>4.774</v>
      </c>
      <c r="R1164" s="7">
        <v>4.72</v>
      </c>
      <c r="S1164" s="7">
        <f t="shared" si="18"/>
        <v>4.9278333333333331</v>
      </c>
    </row>
    <row r="1165" spans="1:19">
      <c r="A1165" s="5" t="str">
        <f>B1165&amp;"-"&amp;COUNTIF($B$2:B1165,B1165)</f>
        <v>MARANHÃO-36</v>
      </c>
      <c r="B1165" s="5" t="s">
        <v>875</v>
      </c>
      <c r="C1165" s="5" t="s">
        <v>897</v>
      </c>
      <c r="D1165" s="6">
        <v>-450399</v>
      </c>
      <c r="E1165" s="6">
        <v>-43734</v>
      </c>
      <c r="F1165" s="7">
        <v>5.1050000000000004</v>
      </c>
      <c r="G1165" s="7">
        <v>4.6239999999999997</v>
      </c>
      <c r="H1165" s="7">
        <v>4.8479999999999999</v>
      </c>
      <c r="I1165" s="7">
        <v>4.8559999999999999</v>
      </c>
      <c r="J1165" s="7">
        <v>4.8680000000000003</v>
      </c>
      <c r="K1165" s="7">
        <v>4.7930000000000001</v>
      </c>
      <c r="L1165" s="7">
        <v>4.9400000000000004</v>
      </c>
      <c r="M1165" s="7">
        <v>5.1849999999999996</v>
      </c>
      <c r="N1165" s="7">
        <v>5.6760000000000002</v>
      </c>
      <c r="O1165" s="7">
        <v>5.95</v>
      </c>
      <c r="P1165" s="7">
        <v>5.4980000000000002</v>
      </c>
      <c r="Q1165" s="7">
        <v>5.0919999999999996</v>
      </c>
      <c r="R1165" s="7">
        <v>4.9340000000000002</v>
      </c>
      <c r="S1165" s="7">
        <f t="shared" si="18"/>
        <v>5.1053333333333333</v>
      </c>
    </row>
    <row r="1166" spans="1:19">
      <c r="A1166" s="5" t="str">
        <f>B1166&amp;"-"&amp;COUNTIF($B$2:B1166,B1166)</f>
        <v>MARANHÃO-37</v>
      </c>
      <c r="B1166" s="5" t="s">
        <v>875</v>
      </c>
      <c r="C1166" s="5" t="s">
        <v>898</v>
      </c>
      <c r="D1166" s="6">
        <v>-42753</v>
      </c>
      <c r="E1166" s="6">
        <v>-36784</v>
      </c>
      <c r="F1166" s="7">
        <v>5.633</v>
      </c>
      <c r="G1166" s="7">
        <v>5.2510000000000003</v>
      </c>
      <c r="H1166" s="7">
        <v>5.4</v>
      </c>
      <c r="I1166" s="7">
        <v>5.367</v>
      </c>
      <c r="J1166" s="7">
        <v>5.133</v>
      </c>
      <c r="K1166" s="7">
        <v>5.133</v>
      </c>
      <c r="L1166" s="7">
        <v>5.3010000000000002</v>
      </c>
      <c r="M1166" s="7">
        <v>5.5110000000000001</v>
      </c>
      <c r="N1166" s="7">
        <v>6.0309999999999997</v>
      </c>
      <c r="O1166" s="7">
        <v>6.415</v>
      </c>
      <c r="P1166" s="7">
        <v>6.3849999999999998</v>
      </c>
      <c r="Q1166" s="7">
        <v>6.0919999999999996</v>
      </c>
      <c r="R1166" s="7">
        <v>5.5789999999999997</v>
      </c>
      <c r="S1166" s="7">
        <f t="shared" si="18"/>
        <v>5.6331666666666669</v>
      </c>
    </row>
    <row r="1167" spans="1:19">
      <c r="A1167" s="5" t="str">
        <f>B1167&amp;"-"&amp;COUNTIF($B$2:B1167,B1167)</f>
        <v>MARANHÃO-38</v>
      </c>
      <c r="B1167" s="5" t="s">
        <v>875</v>
      </c>
      <c r="C1167" s="5" t="s">
        <v>899</v>
      </c>
      <c r="D1167" s="6">
        <v>-455841</v>
      </c>
      <c r="E1167" s="6">
        <v>-43306</v>
      </c>
      <c r="F1167" s="7">
        <v>4.9989999999999997</v>
      </c>
      <c r="G1167" s="7">
        <v>4.5449999999999999</v>
      </c>
      <c r="H1167" s="7">
        <v>4.758</v>
      </c>
      <c r="I1167" s="7">
        <v>4.8230000000000004</v>
      </c>
      <c r="J1167" s="7">
        <v>4.883</v>
      </c>
      <c r="K1167" s="7">
        <v>4.7610000000000001</v>
      </c>
      <c r="L1167" s="7">
        <v>4.915</v>
      </c>
      <c r="M1167" s="7">
        <v>5.0970000000000004</v>
      </c>
      <c r="N1167" s="7">
        <v>5.5350000000000001</v>
      </c>
      <c r="O1167" s="7">
        <v>5.7450000000000001</v>
      </c>
      <c r="P1167" s="7">
        <v>5.2990000000000004</v>
      </c>
      <c r="Q1167" s="7">
        <v>4.8929999999999998</v>
      </c>
      <c r="R1167" s="7">
        <v>4.7370000000000001</v>
      </c>
      <c r="S1167" s="7">
        <f t="shared" si="18"/>
        <v>4.9992499999999991</v>
      </c>
    </row>
    <row r="1168" spans="1:19">
      <c r="A1168" s="5" t="str">
        <f>B1168&amp;"-"&amp;COUNTIF($B$2:B1168,B1168)</f>
        <v>MARANHÃO-39</v>
      </c>
      <c r="B1168" s="5" t="s">
        <v>875</v>
      </c>
      <c r="C1168" s="5" t="s">
        <v>900</v>
      </c>
      <c r="D1168" s="6">
        <v>-429183</v>
      </c>
      <c r="E1168" s="6">
        <v>-39421</v>
      </c>
      <c r="F1168" s="7">
        <v>5.5629999999999997</v>
      </c>
      <c r="G1168" s="7">
        <v>5.1689999999999996</v>
      </c>
      <c r="H1168" s="7">
        <v>5.2960000000000003</v>
      </c>
      <c r="I1168" s="7">
        <v>5.2270000000000003</v>
      </c>
      <c r="J1168" s="7">
        <v>5.117</v>
      </c>
      <c r="K1168" s="7">
        <v>5.0659999999999998</v>
      </c>
      <c r="L1168" s="7">
        <v>5.2220000000000004</v>
      </c>
      <c r="M1168" s="7">
        <v>5.4429999999999996</v>
      </c>
      <c r="N1168" s="7">
        <v>5.9710000000000001</v>
      </c>
      <c r="O1168" s="7">
        <v>6.2830000000000004</v>
      </c>
      <c r="P1168" s="7">
        <v>6.2939999999999996</v>
      </c>
      <c r="Q1168" s="7">
        <v>6.0629999999999997</v>
      </c>
      <c r="R1168" s="7">
        <v>5.609</v>
      </c>
      <c r="S1168" s="7">
        <f t="shared" si="18"/>
        <v>5.5633333333333326</v>
      </c>
    </row>
    <row r="1169" spans="1:19">
      <c r="A1169" s="5" t="str">
        <f>B1169&amp;"-"&amp;COUNTIF($B$2:B1169,B1169)</f>
        <v>MARANHÃO-40</v>
      </c>
      <c r="B1169" s="5" t="s">
        <v>875</v>
      </c>
      <c r="C1169" s="5" t="s">
        <v>901</v>
      </c>
      <c r="D1169" s="6">
        <v>-438356</v>
      </c>
      <c r="E1169" s="6">
        <v>-58328</v>
      </c>
      <c r="F1169" s="7">
        <v>5.4240000000000004</v>
      </c>
      <c r="G1169" s="7">
        <v>4.8109999999999999</v>
      </c>
      <c r="H1169" s="7">
        <v>4.9960000000000004</v>
      </c>
      <c r="I1169" s="7">
        <v>4.9820000000000002</v>
      </c>
      <c r="J1169" s="7">
        <v>4.9359999999999999</v>
      </c>
      <c r="K1169" s="7">
        <v>5.0659999999999998</v>
      </c>
      <c r="L1169" s="7">
        <v>5.3369999999999997</v>
      </c>
      <c r="M1169" s="7">
        <v>5.58</v>
      </c>
      <c r="N1169" s="7">
        <v>6.2480000000000002</v>
      </c>
      <c r="O1169" s="7">
        <v>6.4550000000000001</v>
      </c>
      <c r="P1169" s="7">
        <v>5.9790000000000001</v>
      </c>
      <c r="Q1169" s="7">
        <v>5.5350000000000001</v>
      </c>
      <c r="R1169" s="7">
        <v>5.165</v>
      </c>
      <c r="S1169" s="7">
        <f t="shared" si="18"/>
        <v>5.4241666666666672</v>
      </c>
    </row>
    <row r="1170" spans="1:19">
      <c r="A1170" s="5" t="str">
        <f>B1170&amp;"-"&amp;COUNTIF($B$2:B1170,B1170)</f>
        <v>MARANHÃO-41</v>
      </c>
      <c r="B1170" s="5" t="s">
        <v>875</v>
      </c>
      <c r="C1170" s="5" t="s">
        <v>902</v>
      </c>
      <c r="D1170" s="6">
        <v>-464542</v>
      </c>
      <c r="E1170" s="6">
        <v>-43214</v>
      </c>
      <c r="F1170" s="7">
        <v>4.88</v>
      </c>
      <c r="G1170" s="7">
        <v>4.4489999999999998</v>
      </c>
      <c r="H1170" s="7">
        <v>4.7450000000000001</v>
      </c>
      <c r="I1170" s="7">
        <v>4.7869999999999999</v>
      </c>
      <c r="J1170" s="7">
        <v>4.7779999999999996</v>
      </c>
      <c r="K1170" s="7">
        <v>4.6829999999999998</v>
      </c>
      <c r="L1170" s="7">
        <v>4.8029999999999999</v>
      </c>
      <c r="M1170" s="7">
        <v>5.0110000000000001</v>
      </c>
      <c r="N1170" s="7">
        <v>5.3719999999999999</v>
      </c>
      <c r="O1170" s="7">
        <v>5.4989999999999997</v>
      </c>
      <c r="P1170" s="7">
        <v>5.085</v>
      </c>
      <c r="Q1170" s="7">
        <v>4.7290000000000001</v>
      </c>
      <c r="R1170" s="7">
        <v>4.617</v>
      </c>
      <c r="S1170" s="7">
        <f t="shared" si="18"/>
        <v>4.879833333333333</v>
      </c>
    </row>
    <row r="1171" spans="1:19">
      <c r="A1171" s="5" t="str">
        <f>B1171&amp;"-"&amp;COUNTIF($B$2:B1171,B1171)</f>
        <v>MARANHÃO-42</v>
      </c>
      <c r="B1171" s="5" t="s">
        <v>875</v>
      </c>
      <c r="C1171" s="5" t="s">
        <v>903</v>
      </c>
      <c r="D1171" s="6">
        <v>-470135</v>
      </c>
      <c r="E1171" s="6">
        <v>-55986</v>
      </c>
      <c r="F1171" s="7">
        <v>5.0469999999999997</v>
      </c>
      <c r="G1171" s="7">
        <v>4.5970000000000004</v>
      </c>
      <c r="H1171" s="7">
        <v>4.6959999999999997</v>
      </c>
      <c r="I1171" s="7">
        <v>4.7220000000000004</v>
      </c>
      <c r="J1171" s="7">
        <v>4.819</v>
      </c>
      <c r="K1171" s="7">
        <v>4.8330000000000002</v>
      </c>
      <c r="L1171" s="7">
        <v>5.16</v>
      </c>
      <c r="M1171" s="7">
        <v>5.3390000000000004</v>
      </c>
      <c r="N1171" s="7">
        <v>5.75</v>
      </c>
      <c r="O1171" s="7">
        <v>5.6689999999999996</v>
      </c>
      <c r="P1171" s="7">
        <v>5.2930000000000001</v>
      </c>
      <c r="Q1171" s="7">
        <v>4.9139999999999997</v>
      </c>
      <c r="R1171" s="7">
        <v>4.7770000000000001</v>
      </c>
      <c r="S1171" s="7">
        <f t="shared" si="18"/>
        <v>5.0474166666666669</v>
      </c>
    </row>
    <row r="1172" spans="1:19">
      <c r="A1172" s="5" t="str">
        <f>B1172&amp;"-"&amp;COUNTIF($B$2:B1172,B1172)</f>
        <v>MARANHÃO-43</v>
      </c>
      <c r="B1172" s="5" t="s">
        <v>875</v>
      </c>
      <c r="C1172" s="5" t="s">
        <v>4941</v>
      </c>
      <c r="D1172" s="6">
        <v>-457336</v>
      </c>
      <c r="E1172" s="6">
        <v>-1449</v>
      </c>
      <c r="F1172" s="7">
        <v>4.8810000000000002</v>
      </c>
      <c r="G1172" s="7">
        <v>4.74</v>
      </c>
      <c r="H1172" s="7">
        <v>4.476</v>
      </c>
      <c r="I1172" s="7">
        <v>4.3140000000000001</v>
      </c>
      <c r="J1172" s="7">
        <v>4.2220000000000004</v>
      </c>
      <c r="K1172" s="7">
        <v>4.4710000000000001</v>
      </c>
      <c r="L1172" s="7">
        <v>4.7670000000000003</v>
      </c>
      <c r="M1172" s="7">
        <v>4.8630000000000004</v>
      </c>
      <c r="N1172" s="7">
        <v>5.29</v>
      </c>
      <c r="O1172" s="7">
        <v>5.6479999999999997</v>
      </c>
      <c r="P1172" s="7">
        <v>5.4459999999999997</v>
      </c>
      <c r="Q1172" s="7">
        <v>5.3109999999999999</v>
      </c>
      <c r="R1172" s="7">
        <v>5.0279999999999996</v>
      </c>
      <c r="S1172" s="7">
        <f t="shared" si="18"/>
        <v>4.8813333333333331</v>
      </c>
    </row>
    <row r="1173" spans="1:19">
      <c r="A1173" s="5" t="str">
        <f>B1173&amp;"-"&amp;COUNTIF($B$2:B1173,B1173)</f>
        <v>MARANHÃO-44</v>
      </c>
      <c r="B1173" s="5" t="s">
        <v>875</v>
      </c>
      <c r="C1173" s="5" t="s">
        <v>904</v>
      </c>
      <c r="D1173" s="6">
        <v>-440531</v>
      </c>
      <c r="E1173" s="6">
        <v>-29311</v>
      </c>
      <c r="F1173" s="7">
        <v>4.9859999999999998</v>
      </c>
      <c r="G1173" s="7">
        <v>4.4790000000000001</v>
      </c>
      <c r="H1173" s="7">
        <v>4.5149999999999997</v>
      </c>
      <c r="I1173" s="7">
        <v>4.4950000000000001</v>
      </c>
      <c r="J1173" s="7">
        <v>4.4409999999999998</v>
      </c>
      <c r="K1173" s="7">
        <v>4.5869999999999997</v>
      </c>
      <c r="L1173" s="7">
        <v>4.9029999999999996</v>
      </c>
      <c r="M1173" s="7">
        <v>5.0490000000000004</v>
      </c>
      <c r="N1173" s="7">
        <v>5.5789999999999997</v>
      </c>
      <c r="O1173" s="7">
        <v>5.9349999999999996</v>
      </c>
      <c r="P1173" s="7">
        <v>5.6849999999999996</v>
      </c>
      <c r="Q1173" s="7">
        <v>5.3079999999999998</v>
      </c>
      <c r="R1173" s="7">
        <v>4.8570000000000002</v>
      </c>
      <c r="S1173" s="7">
        <f t="shared" si="18"/>
        <v>4.9860833333333341</v>
      </c>
    </row>
    <row r="1174" spans="1:19">
      <c r="A1174" s="5" t="str">
        <f>B1174&amp;"-"&amp;COUNTIF($B$2:B1174,B1174)</f>
        <v>MARANHÃO-45</v>
      </c>
      <c r="B1174" s="5" t="s">
        <v>875</v>
      </c>
      <c r="C1174" s="5" t="s">
        <v>5092</v>
      </c>
      <c r="D1174" s="6">
        <v>-446745</v>
      </c>
      <c r="E1174" s="6">
        <v>-28737</v>
      </c>
      <c r="F1174" s="7">
        <v>5.2709999999999999</v>
      </c>
      <c r="G1174" s="7">
        <v>4.8499999999999996</v>
      </c>
      <c r="H1174" s="7">
        <v>4.8710000000000004</v>
      </c>
      <c r="I1174" s="7">
        <v>4.7640000000000002</v>
      </c>
      <c r="J1174" s="7">
        <v>4.6950000000000003</v>
      </c>
      <c r="K1174" s="7">
        <v>4.7560000000000002</v>
      </c>
      <c r="L1174" s="7">
        <v>4.9950000000000001</v>
      </c>
      <c r="M1174" s="7">
        <v>5.1769999999999996</v>
      </c>
      <c r="N1174" s="7">
        <v>5.8010000000000002</v>
      </c>
      <c r="O1174" s="7">
        <v>6.0970000000000004</v>
      </c>
      <c r="P1174" s="7">
        <v>6.0510000000000002</v>
      </c>
      <c r="Q1174" s="7">
        <v>5.8230000000000004</v>
      </c>
      <c r="R1174" s="7">
        <v>5.3760000000000003</v>
      </c>
      <c r="S1174" s="7">
        <f t="shared" si="18"/>
        <v>5.2713333333333336</v>
      </c>
    </row>
    <row r="1175" spans="1:19">
      <c r="A1175" s="5" t="str">
        <f>B1175&amp;"-"&amp;COUNTIF($B$2:B1175,B1175)</f>
        <v>MARANHÃO-46</v>
      </c>
      <c r="B1175" s="5" t="s">
        <v>875</v>
      </c>
      <c r="C1175" s="5" t="s">
        <v>905</v>
      </c>
      <c r="D1175" s="6">
        <v>-450149</v>
      </c>
      <c r="E1175" s="6">
        <v>-33278</v>
      </c>
      <c r="F1175" s="7">
        <v>5.2720000000000002</v>
      </c>
      <c r="G1175" s="7">
        <v>4.7380000000000004</v>
      </c>
      <c r="H1175" s="7">
        <v>5.0289999999999999</v>
      </c>
      <c r="I1175" s="7">
        <v>5.0449999999999999</v>
      </c>
      <c r="J1175" s="7">
        <v>4.9930000000000003</v>
      </c>
      <c r="K1175" s="7">
        <v>4.9409999999999998</v>
      </c>
      <c r="L1175" s="7">
        <v>5.1159999999999997</v>
      </c>
      <c r="M1175" s="7">
        <v>5.2439999999999998</v>
      </c>
      <c r="N1175" s="7">
        <v>5.7640000000000002</v>
      </c>
      <c r="O1175" s="7">
        <v>6.0609999999999999</v>
      </c>
      <c r="P1175" s="7">
        <v>5.8</v>
      </c>
      <c r="Q1175" s="7">
        <v>5.4279999999999999</v>
      </c>
      <c r="R1175" s="7">
        <v>5.1040000000000001</v>
      </c>
      <c r="S1175" s="7">
        <f t="shared" si="18"/>
        <v>5.2719166666666659</v>
      </c>
    </row>
    <row r="1176" spans="1:19">
      <c r="A1176" s="5" t="str">
        <f>B1176&amp;"-"&amp;COUNTIF($B$2:B1176,B1176)</f>
        <v>MARANHÃO-47</v>
      </c>
      <c r="B1176" s="5" t="s">
        <v>875</v>
      </c>
      <c r="C1176" s="5" t="s">
        <v>3943</v>
      </c>
      <c r="D1176" s="6">
        <v>-473628</v>
      </c>
      <c r="E1176" s="6">
        <v>-61712</v>
      </c>
      <c r="F1176" s="7">
        <v>5.1109999999999998</v>
      </c>
      <c r="G1176" s="7">
        <v>4.7489999999999997</v>
      </c>
      <c r="H1176" s="7">
        <v>4.8760000000000003</v>
      </c>
      <c r="I1176" s="7">
        <v>4.87</v>
      </c>
      <c r="J1176" s="7">
        <v>4.8600000000000003</v>
      </c>
      <c r="K1176" s="7">
        <v>4.8780000000000001</v>
      </c>
      <c r="L1176" s="7">
        <v>5.1740000000000004</v>
      </c>
      <c r="M1176" s="7">
        <v>5.3540000000000001</v>
      </c>
      <c r="N1176" s="7">
        <v>5.8940000000000001</v>
      </c>
      <c r="O1176" s="7">
        <v>5.7389999999999999</v>
      </c>
      <c r="P1176" s="7">
        <v>5.2869999999999999</v>
      </c>
      <c r="Q1176" s="7">
        <v>4.8899999999999997</v>
      </c>
      <c r="R1176" s="7">
        <v>4.7629999999999999</v>
      </c>
      <c r="S1176" s="7">
        <f t="shared" si="18"/>
        <v>5.1111666666666666</v>
      </c>
    </row>
    <row r="1177" spans="1:19">
      <c r="A1177" s="5" t="str">
        <f>B1177&amp;"-"&amp;COUNTIF($B$2:B1177,B1177)</f>
        <v>MARANHÃO-48</v>
      </c>
      <c r="B1177" s="5" t="s">
        <v>875</v>
      </c>
      <c r="C1177" s="5" t="s">
        <v>906</v>
      </c>
      <c r="D1177" s="6">
        <v>-443806</v>
      </c>
      <c r="E1177" s="6">
        <v>-36345</v>
      </c>
      <c r="F1177" s="7">
        <v>5.258</v>
      </c>
      <c r="G1177" s="7">
        <v>4.6100000000000003</v>
      </c>
      <c r="H1177" s="7">
        <v>4.8159999999999998</v>
      </c>
      <c r="I1177" s="7">
        <v>4.9189999999999996</v>
      </c>
      <c r="J1177" s="7">
        <v>4.8259999999999996</v>
      </c>
      <c r="K1177" s="7">
        <v>4.8819999999999997</v>
      </c>
      <c r="L1177" s="7">
        <v>5.0910000000000002</v>
      </c>
      <c r="M1177" s="7">
        <v>5.3789999999999996</v>
      </c>
      <c r="N1177" s="7">
        <v>5.8540000000000001</v>
      </c>
      <c r="O1177" s="7">
        <v>6.2370000000000001</v>
      </c>
      <c r="P1177" s="7">
        <v>5.8780000000000001</v>
      </c>
      <c r="Q1177" s="7">
        <v>5.4909999999999997</v>
      </c>
      <c r="R1177" s="7">
        <v>5.1180000000000003</v>
      </c>
      <c r="S1177" s="7">
        <f t="shared" si="18"/>
        <v>5.2584166666666663</v>
      </c>
    </row>
    <row r="1178" spans="1:19">
      <c r="A1178" s="5" t="str">
        <f>B1178&amp;"-"&amp;COUNTIF($B$2:B1178,B1178)</f>
        <v>MARANHÃO-49</v>
      </c>
      <c r="B1178" s="5" t="s">
        <v>875</v>
      </c>
      <c r="C1178" s="5" t="s">
        <v>907</v>
      </c>
      <c r="D1178" s="6">
        <v>-443284</v>
      </c>
      <c r="E1178" s="6">
        <v>-4724</v>
      </c>
      <c r="F1178" s="7">
        <v>5.298</v>
      </c>
      <c r="G1178" s="7">
        <v>4.8280000000000003</v>
      </c>
      <c r="H1178" s="7">
        <v>4.8810000000000002</v>
      </c>
      <c r="I1178" s="7">
        <v>4.9139999999999997</v>
      </c>
      <c r="J1178" s="7">
        <v>4.8739999999999997</v>
      </c>
      <c r="K1178" s="7">
        <v>4.8789999999999996</v>
      </c>
      <c r="L1178" s="7">
        <v>5.0540000000000003</v>
      </c>
      <c r="M1178" s="7">
        <v>5.3849999999999998</v>
      </c>
      <c r="N1178" s="7">
        <v>5.968</v>
      </c>
      <c r="O1178" s="7">
        <v>6.2709999999999999</v>
      </c>
      <c r="P1178" s="7">
        <v>5.9130000000000003</v>
      </c>
      <c r="Q1178" s="7">
        <v>5.4950000000000001</v>
      </c>
      <c r="R1178" s="7">
        <v>5.1109999999999998</v>
      </c>
      <c r="S1178" s="7">
        <f t="shared" si="18"/>
        <v>5.2977499999999997</v>
      </c>
    </row>
    <row r="1179" spans="1:19">
      <c r="A1179" s="5" t="str">
        <f>B1179&amp;"-"&amp;COUNTIF($B$2:B1179,B1179)</f>
        <v>MARANHÃO-50</v>
      </c>
      <c r="B1179" s="5" t="s">
        <v>875</v>
      </c>
      <c r="C1179" s="5" t="s">
        <v>908</v>
      </c>
      <c r="D1179" s="6">
        <v>-474638</v>
      </c>
      <c r="E1179" s="6">
        <v>-73363</v>
      </c>
      <c r="F1179" s="7">
        <v>5.1779999999999999</v>
      </c>
      <c r="G1179" s="7">
        <v>4.8689999999999998</v>
      </c>
      <c r="H1179" s="7">
        <v>4.9249999999999998</v>
      </c>
      <c r="I1179" s="7">
        <v>4.806</v>
      </c>
      <c r="J1179" s="7">
        <v>4.8470000000000004</v>
      </c>
      <c r="K1179" s="7">
        <v>5.1050000000000004</v>
      </c>
      <c r="L1179" s="7">
        <v>5.3440000000000003</v>
      </c>
      <c r="M1179" s="7">
        <v>5.32</v>
      </c>
      <c r="N1179" s="7">
        <v>5.9429999999999996</v>
      </c>
      <c r="O1179" s="7">
        <v>6.0309999999999997</v>
      </c>
      <c r="P1179" s="7">
        <v>5.3419999999999996</v>
      </c>
      <c r="Q1179" s="7">
        <v>4.835</v>
      </c>
      <c r="R1179" s="7">
        <v>4.774</v>
      </c>
      <c r="S1179" s="7">
        <f t="shared" si="18"/>
        <v>5.1784166666666671</v>
      </c>
    </row>
    <row r="1180" spans="1:19">
      <c r="A1180" s="5" t="str">
        <f>B1180&amp;"-"&amp;COUNTIF($B$2:B1180,B1180)</f>
        <v>MARANHÃO-51</v>
      </c>
      <c r="B1180" s="5" t="s">
        <v>875</v>
      </c>
      <c r="C1180" s="5" t="s">
        <v>909</v>
      </c>
      <c r="D1180" s="6">
        <v>-460188</v>
      </c>
      <c r="E1180" s="6">
        <v>-12013</v>
      </c>
      <c r="F1180" s="7">
        <v>4.9279999999999999</v>
      </c>
      <c r="G1180" s="7">
        <v>4.78</v>
      </c>
      <c r="H1180" s="7">
        <v>4.5350000000000001</v>
      </c>
      <c r="I1180" s="7">
        <v>4.343</v>
      </c>
      <c r="J1180" s="7">
        <v>4.298</v>
      </c>
      <c r="K1180" s="7">
        <v>4.5010000000000003</v>
      </c>
      <c r="L1180" s="7">
        <v>4.7859999999999996</v>
      </c>
      <c r="M1180" s="7">
        <v>4.899</v>
      </c>
      <c r="N1180" s="7">
        <v>5.2549999999999999</v>
      </c>
      <c r="O1180" s="7">
        <v>5.6680000000000001</v>
      </c>
      <c r="P1180" s="7">
        <v>5.5359999999999996</v>
      </c>
      <c r="Q1180" s="7">
        <v>5.4160000000000004</v>
      </c>
      <c r="R1180" s="7">
        <v>5.1239999999999997</v>
      </c>
      <c r="S1180" s="7">
        <f t="shared" si="18"/>
        <v>4.928416666666668</v>
      </c>
    </row>
    <row r="1181" spans="1:19">
      <c r="A1181" s="5" t="str">
        <f>B1181&amp;"-"&amp;COUNTIF($B$2:B1181,B1181)</f>
        <v>MARANHÃO-52</v>
      </c>
      <c r="B1181" s="5" t="s">
        <v>875</v>
      </c>
      <c r="C1181" s="5" t="s">
        <v>910</v>
      </c>
      <c r="D1181" s="6">
        <v>-433621</v>
      </c>
      <c r="E1181" s="6">
        <v>-48655</v>
      </c>
      <c r="F1181" s="7">
        <v>5.4829999999999997</v>
      </c>
      <c r="G1181" s="7">
        <v>4.9000000000000004</v>
      </c>
      <c r="H1181" s="7">
        <v>5.1020000000000003</v>
      </c>
      <c r="I1181" s="7">
        <v>5.1070000000000002</v>
      </c>
      <c r="J1181" s="7">
        <v>5.0250000000000004</v>
      </c>
      <c r="K1181" s="7">
        <v>4.9909999999999997</v>
      </c>
      <c r="L1181" s="7">
        <v>5.1539999999999999</v>
      </c>
      <c r="M1181" s="7">
        <v>5.4349999999999996</v>
      </c>
      <c r="N1181" s="7">
        <v>6.0490000000000004</v>
      </c>
      <c r="O1181" s="7">
        <v>6.4089999999999998</v>
      </c>
      <c r="P1181" s="7">
        <v>6.2220000000000004</v>
      </c>
      <c r="Q1181" s="7">
        <v>5.96</v>
      </c>
      <c r="R1181" s="7">
        <v>5.4370000000000003</v>
      </c>
      <c r="S1181" s="7">
        <f t="shared" si="18"/>
        <v>5.4825833333333334</v>
      </c>
    </row>
    <row r="1182" spans="1:19">
      <c r="A1182" s="5" t="str">
        <f>B1182&amp;"-"&amp;COUNTIF($B$2:B1182,B1182)</f>
        <v>MARANHÃO-53</v>
      </c>
      <c r="B1182" s="5" t="s">
        <v>875</v>
      </c>
      <c r="C1182" s="5" t="s">
        <v>911</v>
      </c>
      <c r="D1182" s="6">
        <v>-445285</v>
      </c>
      <c r="E1182" s="6">
        <v>-20007</v>
      </c>
      <c r="F1182" s="7">
        <v>5.133</v>
      </c>
      <c r="G1182" s="7">
        <v>4.9320000000000004</v>
      </c>
      <c r="H1182" s="7">
        <v>4.9119999999999999</v>
      </c>
      <c r="I1182" s="7">
        <v>4.79</v>
      </c>
      <c r="J1182" s="7">
        <v>4.5279999999999996</v>
      </c>
      <c r="K1182" s="7">
        <v>4.8419999999999996</v>
      </c>
      <c r="L1182" s="7">
        <v>5.0069999999999997</v>
      </c>
      <c r="M1182" s="7">
        <v>5.0659999999999998</v>
      </c>
      <c r="N1182" s="7">
        <v>5.4329999999999998</v>
      </c>
      <c r="O1182" s="7">
        <v>5.7560000000000002</v>
      </c>
      <c r="P1182" s="7">
        <v>5.5730000000000004</v>
      </c>
      <c r="Q1182" s="7">
        <v>5.5209999999999999</v>
      </c>
      <c r="R1182" s="7">
        <v>5.234</v>
      </c>
      <c r="S1182" s="7">
        <f t="shared" si="18"/>
        <v>5.1328333333333331</v>
      </c>
    </row>
    <row r="1183" spans="1:19">
      <c r="A1183" s="5" t="str">
        <f>B1183&amp;"-"&amp;COUNTIF($B$2:B1183,B1183)</f>
        <v>MARANHÃO-54</v>
      </c>
      <c r="B1183" s="5" t="s">
        <v>875</v>
      </c>
      <c r="C1183" s="5" t="s">
        <v>3944</v>
      </c>
      <c r="D1183" s="6">
        <v>-448257</v>
      </c>
      <c r="E1183" s="6">
        <v>-21987</v>
      </c>
      <c r="F1183" s="7">
        <v>5.0519999999999996</v>
      </c>
      <c r="G1183" s="7">
        <v>4.8319999999999999</v>
      </c>
      <c r="H1183" s="7">
        <v>4.7080000000000002</v>
      </c>
      <c r="I1183" s="7">
        <v>4.5780000000000003</v>
      </c>
      <c r="J1183" s="7">
        <v>4.4669999999999996</v>
      </c>
      <c r="K1183" s="7">
        <v>4.6449999999999996</v>
      </c>
      <c r="L1183" s="7">
        <v>4.8940000000000001</v>
      </c>
      <c r="M1183" s="7">
        <v>5.0339999999999998</v>
      </c>
      <c r="N1183" s="7">
        <v>5.5670000000000002</v>
      </c>
      <c r="O1183" s="7">
        <v>5.79</v>
      </c>
      <c r="P1183" s="7">
        <v>5.5170000000000003</v>
      </c>
      <c r="Q1183" s="7">
        <v>5.4370000000000003</v>
      </c>
      <c r="R1183" s="7">
        <v>5.1559999999999997</v>
      </c>
      <c r="S1183" s="7">
        <f t="shared" si="18"/>
        <v>5.052083333333333</v>
      </c>
    </row>
    <row r="1184" spans="1:19">
      <c r="A1184" s="5" t="str">
        <f>B1184&amp;"-"&amp;COUNTIF($B$2:B1184,B1184)</f>
        <v>MARANHÃO-55</v>
      </c>
      <c r="B1184" s="5" t="s">
        <v>875</v>
      </c>
      <c r="C1184" s="5" t="s">
        <v>912</v>
      </c>
      <c r="D1184" s="6">
        <v>-460387</v>
      </c>
      <c r="E1184" s="6">
        <v>-24505</v>
      </c>
      <c r="F1184" s="7">
        <v>4.8479999999999999</v>
      </c>
      <c r="G1184" s="7">
        <v>4.4370000000000003</v>
      </c>
      <c r="H1184" s="7">
        <v>4.6260000000000003</v>
      </c>
      <c r="I1184" s="7">
        <v>4.5679999999999996</v>
      </c>
      <c r="J1184" s="7">
        <v>4.556</v>
      </c>
      <c r="K1184" s="7">
        <v>4.6440000000000001</v>
      </c>
      <c r="L1184" s="7">
        <v>4.8460000000000001</v>
      </c>
      <c r="M1184" s="7">
        <v>4.915</v>
      </c>
      <c r="N1184" s="7">
        <v>5.2919999999999998</v>
      </c>
      <c r="O1184" s="7">
        <v>5.4820000000000002</v>
      </c>
      <c r="P1184" s="7">
        <v>5.2030000000000003</v>
      </c>
      <c r="Q1184" s="7">
        <v>4.9859999999999998</v>
      </c>
      <c r="R1184" s="7">
        <v>4.6159999999999997</v>
      </c>
      <c r="S1184" s="7">
        <f t="shared" si="18"/>
        <v>4.8475833333333336</v>
      </c>
    </row>
    <row r="1185" spans="1:19">
      <c r="A1185" s="5" t="str">
        <f>B1185&amp;"-"&amp;COUNTIF($B$2:B1185,B1185)</f>
        <v>MARANHÃO-56</v>
      </c>
      <c r="B1185" s="5" t="s">
        <v>875</v>
      </c>
      <c r="C1185" s="5" t="s">
        <v>3945</v>
      </c>
      <c r="D1185" s="6">
        <v>-461233</v>
      </c>
      <c r="E1185" s="6">
        <v>-2141</v>
      </c>
      <c r="F1185" s="7">
        <v>4.7949999999999999</v>
      </c>
      <c r="G1185" s="7">
        <v>4.423</v>
      </c>
      <c r="H1185" s="7">
        <v>4.4569999999999999</v>
      </c>
      <c r="I1185" s="7">
        <v>4.41</v>
      </c>
      <c r="J1185" s="7">
        <v>4.4610000000000003</v>
      </c>
      <c r="K1185" s="7">
        <v>4.53</v>
      </c>
      <c r="L1185" s="7">
        <v>4.7850000000000001</v>
      </c>
      <c r="M1185" s="7">
        <v>4.883</v>
      </c>
      <c r="N1185" s="7">
        <v>5.3280000000000003</v>
      </c>
      <c r="O1185" s="7">
        <v>5.5049999999999999</v>
      </c>
      <c r="P1185" s="7">
        <v>5.2069999999999999</v>
      </c>
      <c r="Q1185" s="7">
        <v>4.9649999999999999</v>
      </c>
      <c r="R1185" s="7">
        <v>4.5839999999999996</v>
      </c>
      <c r="S1185" s="7">
        <f t="shared" si="18"/>
        <v>4.7948333333333339</v>
      </c>
    </row>
    <row r="1186" spans="1:19">
      <c r="A1186" s="5" t="str">
        <f>B1186&amp;"-"&amp;COUNTIF($B$2:B1186,B1186)</f>
        <v>MARANHÃO-57</v>
      </c>
      <c r="B1186" s="5" t="s">
        <v>875</v>
      </c>
      <c r="C1186" s="5" t="s">
        <v>913</v>
      </c>
      <c r="D1186" s="6">
        <v>-433542</v>
      </c>
      <c r="E1186" s="6">
        <v>-37391</v>
      </c>
      <c r="F1186" s="7">
        <v>5.5060000000000002</v>
      </c>
      <c r="G1186" s="7">
        <v>5.0229999999999997</v>
      </c>
      <c r="H1186" s="7">
        <v>5.1550000000000002</v>
      </c>
      <c r="I1186" s="7">
        <v>5.2069999999999999</v>
      </c>
      <c r="J1186" s="7">
        <v>5.0330000000000004</v>
      </c>
      <c r="K1186" s="7">
        <v>4.968</v>
      </c>
      <c r="L1186" s="7">
        <v>5.18</v>
      </c>
      <c r="M1186" s="7">
        <v>5.4539999999999997</v>
      </c>
      <c r="N1186" s="7">
        <v>5.97</v>
      </c>
      <c r="O1186" s="7">
        <v>6.3639999999999999</v>
      </c>
      <c r="P1186" s="7">
        <v>6.2759999999999998</v>
      </c>
      <c r="Q1186" s="7">
        <v>5.9489999999999998</v>
      </c>
      <c r="R1186" s="7">
        <v>5.4960000000000004</v>
      </c>
      <c r="S1186" s="7">
        <f t="shared" si="18"/>
        <v>5.5062499999999988</v>
      </c>
    </row>
    <row r="1187" spans="1:19">
      <c r="A1187" s="5" t="str">
        <f>B1187&amp;"-"&amp;COUNTIF($B$2:B1187,B1187)</f>
        <v>MARANHÃO-58</v>
      </c>
      <c r="B1187" s="5" t="s">
        <v>875</v>
      </c>
      <c r="C1187" s="5" t="s">
        <v>4942</v>
      </c>
      <c r="D1187" s="6">
        <v>-477838</v>
      </c>
      <c r="E1187" s="6">
        <v>-51772</v>
      </c>
      <c r="F1187" s="7">
        <v>4.9459999999999997</v>
      </c>
      <c r="G1187" s="7">
        <v>4.5</v>
      </c>
      <c r="H1187" s="7">
        <v>4.6470000000000002</v>
      </c>
      <c r="I1187" s="7">
        <v>4.6619999999999999</v>
      </c>
      <c r="J1187" s="7">
        <v>4.782</v>
      </c>
      <c r="K1187" s="7">
        <v>4.7530000000000001</v>
      </c>
      <c r="L1187" s="7">
        <v>5.1319999999999997</v>
      </c>
      <c r="M1187" s="7">
        <v>5.2830000000000004</v>
      </c>
      <c r="N1187" s="7">
        <v>5.6319999999999997</v>
      </c>
      <c r="O1187" s="7">
        <v>5.4960000000000004</v>
      </c>
      <c r="P1187" s="7">
        <v>5.0490000000000004</v>
      </c>
      <c r="Q1187" s="7">
        <v>4.8070000000000004</v>
      </c>
      <c r="R1187" s="7">
        <v>4.6100000000000003</v>
      </c>
      <c r="S1187" s="7">
        <f t="shared" si="18"/>
        <v>4.9460833333333332</v>
      </c>
    </row>
    <row r="1188" spans="1:19">
      <c r="A1188" s="5" t="str">
        <f>B1188&amp;"-"&amp;COUNTIF($B$2:B1188,B1188)</f>
        <v>MARANHÃO-59</v>
      </c>
      <c r="B1188" s="5" t="s">
        <v>875</v>
      </c>
      <c r="C1188" s="5" t="s">
        <v>5093</v>
      </c>
      <c r="D1188" s="6">
        <v>-438927</v>
      </c>
      <c r="E1188" s="6">
        <v>-4456</v>
      </c>
      <c r="F1188" s="7">
        <v>5.383</v>
      </c>
      <c r="G1188" s="7">
        <v>4.8639999999999999</v>
      </c>
      <c r="H1188" s="7">
        <v>4.9850000000000003</v>
      </c>
      <c r="I1188" s="7">
        <v>5.0359999999999996</v>
      </c>
      <c r="J1188" s="7">
        <v>4.8730000000000002</v>
      </c>
      <c r="K1188" s="7">
        <v>4.8789999999999996</v>
      </c>
      <c r="L1188" s="7">
        <v>5.0819999999999999</v>
      </c>
      <c r="M1188" s="7">
        <v>5.32</v>
      </c>
      <c r="N1188" s="7">
        <v>5.96</v>
      </c>
      <c r="O1188" s="7">
        <v>6.3849999999999998</v>
      </c>
      <c r="P1188" s="7">
        <v>6.1239999999999997</v>
      </c>
      <c r="Q1188" s="7">
        <v>5.7439999999999998</v>
      </c>
      <c r="R1188" s="7">
        <v>5.3460000000000001</v>
      </c>
      <c r="S1188" s="7">
        <f t="shared" si="18"/>
        <v>5.3831666666666669</v>
      </c>
    </row>
    <row r="1189" spans="1:19">
      <c r="A1189" s="5" t="str">
        <f>B1189&amp;"-"&amp;COUNTIF($B$2:B1189,B1189)</f>
        <v>MARANHÃO-60</v>
      </c>
      <c r="B1189" s="5" t="s">
        <v>875</v>
      </c>
      <c r="C1189" s="5" t="s">
        <v>914</v>
      </c>
      <c r="D1189" s="6">
        <v>-430111</v>
      </c>
      <c r="E1189" s="6">
        <v>-42529</v>
      </c>
      <c r="F1189" s="7">
        <v>5.5860000000000003</v>
      </c>
      <c r="G1189" s="7">
        <v>5.1130000000000004</v>
      </c>
      <c r="H1189" s="7">
        <v>5.26</v>
      </c>
      <c r="I1189" s="7">
        <v>5.234</v>
      </c>
      <c r="J1189" s="7">
        <v>5.149</v>
      </c>
      <c r="K1189" s="7">
        <v>5.0880000000000001</v>
      </c>
      <c r="L1189" s="7">
        <v>5.1660000000000004</v>
      </c>
      <c r="M1189" s="7">
        <v>5.45</v>
      </c>
      <c r="N1189" s="7">
        <v>6.0629999999999997</v>
      </c>
      <c r="O1189" s="7">
        <v>6.444</v>
      </c>
      <c r="P1189" s="7">
        <v>6.3860000000000001</v>
      </c>
      <c r="Q1189" s="7">
        <v>6.05</v>
      </c>
      <c r="R1189" s="7">
        <v>5.625</v>
      </c>
      <c r="S1189" s="7">
        <f t="shared" si="18"/>
        <v>5.5856666666666674</v>
      </c>
    </row>
    <row r="1190" spans="1:19">
      <c r="A1190" s="5" t="str">
        <f>B1190&amp;"-"&amp;COUNTIF($B$2:B1190,B1190)</f>
        <v>MARANHÃO-61</v>
      </c>
      <c r="B1190" s="5" t="s">
        <v>875</v>
      </c>
      <c r="C1190" s="5" t="s">
        <v>915</v>
      </c>
      <c r="D1190" s="6">
        <v>-442473</v>
      </c>
      <c r="E1190" s="6">
        <v>-60322</v>
      </c>
      <c r="F1190" s="7">
        <v>5.3970000000000002</v>
      </c>
      <c r="G1190" s="7">
        <v>4.71</v>
      </c>
      <c r="H1190" s="7">
        <v>4.9630000000000001</v>
      </c>
      <c r="I1190" s="7">
        <v>4.9909999999999997</v>
      </c>
      <c r="J1190" s="7">
        <v>4.93</v>
      </c>
      <c r="K1190" s="7">
        <v>5.0199999999999996</v>
      </c>
      <c r="L1190" s="7">
        <v>5.3360000000000003</v>
      </c>
      <c r="M1190" s="7">
        <v>5.6020000000000003</v>
      </c>
      <c r="N1190" s="7">
        <v>6.2080000000000002</v>
      </c>
      <c r="O1190" s="7">
        <v>6.4889999999999999</v>
      </c>
      <c r="P1190" s="7">
        <v>5.8949999999999996</v>
      </c>
      <c r="Q1190" s="7">
        <v>5.5030000000000001</v>
      </c>
      <c r="R1190" s="7">
        <v>5.1230000000000002</v>
      </c>
      <c r="S1190" s="7">
        <f t="shared" si="18"/>
        <v>5.3975000000000009</v>
      </c>
    </row>
    <row r="1191" spans="1:19">
      <c r="A1191" s="5" t="str">
        <f>B1191&amp;"-"&amp;COUNTIF($B$2:B1191,B1191)</f>
        <v>MARANHÃO-62</v>
      </c>
      <c r="B1191" s="5" t="s">
        <v>875</v>
      </c>
      <c r="C1191" s="5" t="s">
        <v>4638</v>
      </c>
      <c r="D1191" s="6">
        <v>-44897</v>
      </c>
      <c r="E1191" s="6">
        <v>-38379</v>
      </c>
      <c r="F1191" s="7">
        <v>5.2830000000000004</v>
      </c>
      <c r="G1191" s="7">
        <v>4.8140000000000001</v>
      </c>
      <c r="H1191" s="7">
        <v>4.9269999999999996</v>
      </c>
      <c r="I1191" s="7">
        <v>5.0129999999999999</v>
      </c>
      <c r="J1191" s="7">
        <v>4.9649999999999999</v>
      </c>
      <c r="K1191" s="7">
        <v>4.931</v>
      </c>
      <c r="L1191" s="7">
        <v>5.1429999999999998</v>
      </c>
      <c r="M1191" s="7">
        <v>5.2880000000000003</v>
      </c>
      <c r="N1191" s="7">
        <v>5.867</v>
      </c>
      <c r="O1191" s="7">
        <v>6.1369999999999996</v>
      </c>
      <c r="P1191" s="7">
        <v>5.7969999999999997</v>
      </c>
      <c r="Q1191" s="7">
        <v>5.367</v>
      </c>
      <c r="R1191" s="7">
        <v>5.15</v>
      </c>
      <c r="S1191" s="7">
        <f t="shared" si="18"/>
        <v>5.2832499999999998</v>
      </c>
    </row>
    <row r="1192" spans="1:19">
      <c r="A1192" s="5" t="str">
        <f>B1192&amp;"-"&amp;COUNTIF($B$2:B1192,B1192)</f>
        <v>MARANHÃO-63</v>
      </c>
      <c r="B1192" s="5" t="s">
        <v>875</v>
      </c>
      <c r="C1192" s="5" t="s">
        <v>5554</v>
      </c>
      <c r="D1192" s="6">
        <v>-441248</v>
      </c>
      <c r="E1192" s="6">
        <v>-41348</v>
      </c>
      <c r="F1192" s="7">
        <v>5.3520000000000003</v>
      </c>
      <c r="G1192" s="7">
        <v>4.8179999999999996</v>
      </c>
      <c r="H1192" s="7">
        <v>4.9320000000000004</v>
      </c>
      <c r="I1192" s="7">
        <v>5.0309999999999997</v>
      </c>
      <c r="J1192" s="7">
        <v>4.9370000000000003</v>
      </c>
      <c r="K1192" s="7">
        <v>4.9329999999999998</v>
      </c>
      <c r="L1192" s="7">
        <v>5.117</v>
      </c>
      <c r="M1192" s="7">
        <v>5.4009999999999998</v>
      </c>
      <c r="N1192" s="7">
        <v>5.9269999999999996</v>
      </c>
      <c r="O1192" s="7">
        <v>6.3319999999999999</v>
      </c>
      <c r="P1192" s="7">
        <v>6.0229999999999997</v>
      </c>
      <c r="Q1192" s="7">
        <v>5.5780000000000003</v>
      </c>
      <c r="R1192" s="7">
        <v>5.1929999999999996</v>
      </c>
      <c r="S1192" s="7">
        <f t="shared" si="18"/>
        <v>5.3518333333333326</v>
      </c>
    </row>
    <row r="1193" spans="1:19">
      <c r="A1193" s="5" t="str">
        <f>B1193&amp;"-"&amp;COUNTIF($B$2:B1193,B1193)</f>
        <v>MARANHÃO-64</v>
      </c>
      <c r="B1193" s="5" t="s">
        <v>875</v>
      </c>
      <c r="C1193" s="5" t="s">
        <v>916</v>
      </c>
      <c r="D1193" s="6">
        <v>-448733</v>
      </c>
      <c r="E1193" s="6">
        <v>-18243</v>
      </c>
      <c r="F1193" s="7">
        <v>5.0289999999999999</v>
      </c>
      <c r="G1193" s="7">
        <v>4.891</v>
      </c>
      <c r="H1193" s="7">
        <v>4.7640000000000002</v>
      </c>
      <c r="I1193" s="7">
        <v>4.5620000000000003</v>
      </c>
      <c r="J1193" s="7">
        <v>4.4139999999999997</v>
      </c>
      <c r="K1193" s="7">
        <v>4.6130000000000004</v>
      </c>
      <c r="L1193" s="7">
        <v>4.8940000000000001</v>
      </c>
      <c r="M1193" s="7">
        <v>4.9930000000000003</v>
      </c>
      <c r="N1193" s="7">
        <v>5.42</v>
      </c>
      <c r="O1193" s="7">
        <v>5.7510000000000003</v>
      </c>
      <c r="P1193" s="7">
        <v>5.4939999999999998</v>
      </c>
      <c r="Q1193" s="7">
        <v>5.4379999999999997</v>
      </c>
      <c r="R1193" s="7">
        <v>5.1150000000000002</v>
      </c>
      <c r="S1193" s="7">
        <f t="shared" si="18"/>
        <v>5.0290833333333333</v>
      </c>
    </row>
    <row r="1194" spans="1:19">
      <c r="A1194" s="5" t="str">
        <f>B1194&amp;"-"&amp;COUNTIF($B$2:B1194,B1194)</f>
        <v>MARANHÃO-65</v>
      </c>
      <c r="B1194" s="5" t="s">
        <v>875</v>
      </c>
      <c r="C1194" s="5" t="s">
        <v>5080</v>
      </c>
      <c r="D1194" s="6">
        <v>-47394</v>
      </c>
      <c r="E1194" s="6">
        <v>-55312</v>
      </c>
      <c r="F1194" s="7">
        <v>5.05</v>
      </c>
      <c r="G1194" s="7">
        <v>4.6509999999999998</v>
      </c>
      <c r="H1194" s="7">
        <v>4.7210000000000001</v>
      </c>
      <c r="I1194" s="7">
        <v>4.7910000000000004</v>
      </c>
      <c r="J1194" s="7">
        <v>4.8739999999999997</v>
      </c>
      <c r="K1194" s="7">
        <v>4.8410000000000002</v>
      </c>
      <c r="L1194" s="7">
        <v>5.1929999999999996</v>
      </c>
      <c r="M1194" s="7">
        <v>5.3239999999999998</v>
      </c>
      <c r="N1194" s="7">
        <v>5.7539999999999996</v>
      </c>
      <c r="O1194" s="7">
        <v>5.6139999999999999</v>
      </c>
      <c r="P1194" s="7">
        <v>5.21</v>
      </c>
      <c r="Q1194" s="7">
        <v>4.9000000000000004</v>
      </c>
      <c r="R1194" s="7">
        <v>4.7279999999999998</v>
      </c>
      <c r="S1194" s="7">
        <f t="shared" si="18"/>
        <v>5.0500833333333324</v>
      </c>
    </row>
    <row r="1195" spans="1:19">
      <c r="A1195" s="5" t="str">
        <f>B1195&amp;"-"&amp;COUNTIF($B$2:B1195,B1195)</f>
        <v>MARANHÃO-66</v>
      </c>
      <c r="B1195" s="5" t="s">
        <v>875</v>
      </c>
      <c r="C1195" s="5" t="s">
        <v>917</v>
      </c>
      <c r="D1195" s="6">
        <v>-444412</v>
      </c>
      <c r="E1195" s="6">
        <v>-50356</v>
      </c>
      <c r="F1195" s="7">
        <v>5.2750000000000004</v>
      </c>
      <c r="G1195" s="7">
        <v>4.7789999999999999</v>
      </c>
      <c r="H1195" s="7">
        <v>4.8789999999999996</v>
      </c>
      <c r="I1195" s="7">
        <v>4.8739999999999997</v>
      </c>
      <c r="J1195" s="7">
        <v>4.8070000000000004</v>
      </c>
      <c r="K1195" s="7">
        <v>4.9180000000000001</v>
      </c>
      <c r="L1195" s="7">
        <v>5.1079999999999997</v>
      </c>
      <c r="M1195" s="7">
        <v>5.4269999999999996</v>
      </c>
      <c r="N1195" s="7">
        <v>6.03</v>
      </c>
      <c r="O1195" s="7">
        <v>6.3010000000000002</v>
      </c>
      <c r="P1195" s="7">
        <v>5.8120000000000003</v>
      </c>
      <c r="Q1195" s="7">
        <v>5.3789999999999996</v>
      </c>
      <c r="R1195" s="7">
        <v>4.9820000000000002</v>
      </c>
      <c r="S1195" s="7">
        <f t="shared" si="18"/>
        <v>5.2746666666666666</v>
      </c>
    </row>
    <row r="1196" spans="1:19">
      <c r="A1196" s="5" t="str">
        <f>B1196&amp;"-"&amp;COUNTIF($B$2:B1196,B1196)</f>
        <v>MARANHÃO-67</v>
      </c>
      <c r="B1196" s="5" t="s">
        <v>875</v>
      </c>
      <c r="C1196" s="5" t="s">
        <v>918</v>
      </c>
      <c r="D1196" s="6">
        <v>-429448</v>
      </c>
      <c r="E1196" s="6">
        <v>-41508</v>
      </c>
      <c r="F1196" s="7">
        <v>5.5830000000000002</v>
      </c>
      <c r="G1196" s="7">
        <v>5.1219999999999999</v>
      </c>
      <c r="H1196" s="7">
        <v>5.2919999999999998</v>
      </c>
      <c r="I1196" s="7">
        <v>5.2809999999999997</v>
      </c>
      <c r="J1196" s="7">
        <v>5.1840000000000002</v>
      </c>
      <c r="K1196" s="7">
        <v>5.0739999999999998</v>
      </c>
      <c r="L1196" s="7">
        <v>5.1630000000000003</v>
      </c>
      <c r="M1196" s="7">
        <v>5.4640000000000004</v>
      </c>
      <c r="N1196" s="7">
        <v>5.9820000000000002</v>
      </c>
      <c r="O1196" s="7">
        <v>6.4020000000000001</v>
      </c>
      <c r="P1196" s="7">
        <v>6.343</v>
      </c>
      <c r="Q1196" s="7">
        <v>6.0750000000000002</v>
      </c>
      <c r="R1196" s="7">
        <v>5.61</v>
      </c>
      <c r="S1196" s="7">
        <f t="shared" si="18"/>
        <v>5.5826666666666673</v>
      </c>
    </row>
    <row r="1197" spans="1:19">
      <c r="A1197" s="5" t="str">
        <f>B1197&amp;"-"&amp;COUNTIF($B$2:B1197,B1197)</f>
        <v>MARANHÃO-68</v>
      </c>
      <c r="B1197" s="5" t="s">
        <v>875</v>
      </c>
      <c r="C1197" s="5" t="s">
        <v>5094</v>
      </c>
      <c r="D1197" s="6">
        <v>-44693</v>
      </c>
      <c r="E1197" s="6">
        <v>-48798</v>
      </c>
      <c r="F1197" s="7">
        <v>5.2359999999999998</v>
      </c>
      <c r="G1197" s="7">
        <v>4.7270000000000003</v>
      </c>
      <c r="H1197" s="7">
        <v>4.9400000000000004</v>
      </c>
      <c r="I1197" s="7">
        <v>4.952</v>
      </c>
      <c r="J1197" s="7">
        <v>4.8970000000000002</v>
      </c>
      <c r="K1197" s="7">
        <v>4.9089999999999998</v>
      </c>
      <c r="L1197" s="7">
        <v>5.0750000000000002</v>
      </c>
      <c r="M1197" s="7">
        <v>5.3460000000000001</v>
      </c>
      <c r="N1197" s="7">
        <v>5.8840000000000003</v>
      </c>
      <c r="O1197" s="7">
        <v>6.1749999999999998</v>
      </c>
      <c r="P1197" s="7">
        <v>5.6980000000000004</v>
      </c>
      <c r="Q1197" s="7">
        <v>5.3209999999999997</v>
      </c>
      <c r="R1197" s="7">
        <v>4.91</v>
      </c>
      <c r="S1197" s="7">
        <f t="shared" si="18"/>
        <v>5.2361666666666666</v>
      </c>
    </row>
    <row r="1198" spans="1:19">
      <c r="A1198" s="5" t="str">
        <f>B1198&amp;"-"&amp;COUNTIF($B$2:B1198,B1198)</f>
        <v>MARANHÃO-69</v>
      </c>
      <c r="B1198" s="5" t="s">
        <v>875</v>
      </c>
      <c r="C1198" s="5" t="s">
        <v>919</v>
      </c>
      <c r="D1198" s="6">
        <v>-474434</v>
      </c>
      <c r="E1198" s="6">
        <v>-65612</v>
      </c>
      <c r="F1198" s="7">
        <v>5.1559999999999997</v>
      </c>
      <c r="G1198" s="7">
        <v>4.8179999999999996</v>
      </c>
      <c r="H1198" s="7">
        <v>4.9009999999999998</v>
      </c>
      <c r="I1198" s="7">
        <v>4.8940000000000001</v>
      </c>
      <c r="J1198" s="7">
        <v>4.9160000000000004</v>
      </c>
      <c r="K1198" s="7">
        <v>4.9349999999999996</v>
      </c>
      <c r="L1198" s="7">
        <v>5.2210000000000001</v>
      </c>
      <c r="M1198" s="7">
        <v>5.42</v>
      </c>
      <c r="N1198" s="7">
        <v>5.8840000000000003</v>
      </c>
      <c r="O1198" s="7">
        <v>5.9029999999999996</v>
      </c>
      <c r="P1198" s="7">
        <v>5.3470000000000004</v>
      </c>
      <c r="Q1198" s="7">
        <v>4.8609999999999998</v>
      </c>
      <c r="R1198" s="7">
        <v>4.7729999999999997</v>
      </c>
      <c r="S1198" s="7">
        <f t="shared" si="18"/>
        <v>5.1560833333333322</v>
      </c>
    </row>
    <row r="1199" spans="1:19">
      <c r="A1199" s="5" t="str">
        <f>B1199&amp;"-"&amp;COUNTIF($B$2:B1199,B1199)</f>
        <v>MARANHÃO-70</v>
      </c>
      <c r="B1199" s="5" t="s">
        <v>875</v>
      </c>
      <c r="C1199" s="5" t="s">
        <v>3946</v>
      </c>
      <c r="D1199" s="6">
        <v>-46682</v>
      </c>
      <c r="E1199" s="6">
        <v>-69624</v>
      </c>
      <c r="F1199" s="7">
        <v>5.1680000000000001</v>
      </c>
      <c r="G1199" s="7">
        <v>4.6349999999999998</v>
      </c>
      <c r="H1199" s="7">
        <v>4.7210000000000001</v>
      </c>
      <c r="I1199" s="7">
        <v>4.7320000000000002</v>
      </c>
      <c r="J1199" s="7">
        <v>4.859</v>
      </c>
      <c r="K1199" s="7">
        <v>5.0140000000000002</v>
      </c>
      <c r="L1199" s="7">
        <v>5.343</v>
      </c>
      <c r="M1199" s="7">
        <v>5.468</v>
      </c>
      <c r="N1199" s="7">
        <v>6.0430000000000001</v>
      </c>
      <c r="O1199" s="7">
        <v>6.1859999999999999</v>
      </c>
      <c r="P1199" s="7">
        <v>5.4349999999999996</v>
      </c>
      <c r="Q1199" s="7">
        <v>4.8449999999999998</v>
      </c>
      <c r="R1199" s="7">
        <v>4.7380000000000004</v>
      </c>
      <c r="S1199" s="7">
        <f t="shared" si="18"/>
        <v>5.1682500000000005</v>
      </c>
    </row>
    <row r="1200" spans="1:19">
      <c r="A1200" s="5" t="str">
        <f>B1200&amp;"-"&amp;COUNTIF($B$2:B1200,B1200)</f>
        <v>MARANHÃO-71</v>
      </c>
      <c r="B1200" s="5" t="s">
        <v>875</v>
      </c>
      <c r="C1200" s="5" t="s">
        <v>3947</v>
      </c>
      <c r="D1200" s="6">
        <v>-448982</v>
      </c>
      <c r="E1200" s="6">
        <v>-61625</v>
      </c>
      <c r="F1200" s="7">
        <v>5.3129999999999997</v>
      </c>
      <c r="G1200" s="7">
        <v>4.6180000000000003</v>
      </c>
      <c r="H1200" s="7">
        <v>4.8780000000000001</v>
      </c>
      <c r="I1200" s="7">
        <v>4.8490000000000002</v>
      </c>
      <c r="J1200" s="7">
        <v>4.915</v>
      </c>
      <c r="K1200" s="7">
        <v>4.9939999999999998</v>
      </c>
      <c r="L1200" s="7">
        <v>5.3070000000000004</v>
      </c>
      <c r="M1200" s="7">
        <v>5.5679999999999996</v>
      </c>
      <c r="N1200" s="7">
        <v>6.2350000000000003</v>
      </c>
      <c r="O1200" s="7">
        <v>6.4729999999999999</v>
      </c>
      <c r="P1200" s="7">
        <v>5.7450000000000001</v>
      </c>
      <c r="Q1200" s="7">
        <v>5.2149999999999999</v>
      </c>
      <c r="R1200" s="7">
        <v>4.96</v>
      </c>
      <c r="S1200" s="7">
        <f t="shared" si="18"/>
        <v>5.3130833333333332</v>
      </c>
    </row>
    <row r="1201" spans="1:19">
      <c r="A1201" s="5" t="str">
        <f>B1201&amp;"-"&amp;COUNTIF($B$2:B1201,B1201)</f>
        <v>MARANHÃO-72</v>
      </c>
      <c r="B1201" s="5" t="s">
        <v>875</v>
      </c>
      <c r="C1201" s="5" t="s">
        <v>920</v>
      </c>
      <c r="D1201" s="6">
        <v>-461919</v>
      </c>
      <c r="E1201" s="6">
        <v>-64406</v>
      </c>
      <c r="F1201" s="7">
        <v>5.1769999999999996</v>
      </c>
      <c r="G1201" s="7">
        <v>4.6890000000000001</v>
      </c>
      <c r="H1201" s="7">
        <v>4.806</v>
      </c>
      <c r="I1201" s="7">
        <v>4.7830000000000004</v>
      </c>
      <c r="J1201" s="7">
        <v>4.7469999999999999</v>
      </c>
      <c r="K1201" s="7">
        <v>4.9930000000000003</v>
      </c>
      <c r="L1201" s="7">
        <v>5.2750000000000004</v>
      </c>
      <c r="M1201" s="7">
        <v>5.4779999999999998</v>
      </c>
      <c r="N1201" s="7">
        <v>6.0640000000000001</v>
      </c>
      <c r="O1201" s="7">
        <v>6.0990000000000002</v>
      </c>
      <c r="P1201" s="7">
        <v>5.47</v>
      </c>
      <c r="Q1201" s="7">
        <v>4.9240000000000004</v>
      </c>
      <c r="R1201" s="7">
        <v>4.7990000000000004</v>
      </c>
      <c r="S1201" s="7">
        <f t="shared" si="18"/>
        <v>5.1772499999999999</v>
      </c>
    </row>
    <row r="1202" spans="1:19">
      <c r="A1202" s="5" t="str">
        <f>B1202&amp;"-"&amp;COUNTIF($B$2:B1202,B1202)</f>
        <v>MARANHÃO-73</v>
      </c>
      <c r="B1202" s="5" t="s">
        <v>875</v>
      </c>
      <c r="C1202" s="5" t="s">
        <v>921</v>
      </c>
      <c r="D1202" s="6">
        <v>-461781</v>
      </c>
      <c r="E1202" s="6">
        <v>-69623</v>
      </c>
      <c r="F1202" s="7">
        <v>5.2240000000000002</v>
      </c>
      <c r="G1202" s="7">
        <v>4.6260000000000003</v>
      </c>
      <c r="H1202" s="7">
        <v>4.8159999999999998</v>
      </c>
      <c r="I1202" s="7">
        <v>4.7359999999999998</v>
      </c>
      <c r="J1202" s="7">
        <v>4.8789999999999996</v>
      </c>
      <c r="K1202" s="7">
        <v>5.0880000000000001</v>
      </c>
      <c r="L1202" s="7">
        <v>5.3529999999999998</v>
      </c>
      <c r="M1202" s="7">
        <v>5.4930000000000003</v>
      </c>
      <c r="N1202" s="7">
        <v>6.1020000000000003</v>
      </c>
      <c r="O1202" s="7">
        <v>6.2889999999999997</v>
      </c>
      <c r="P1202" s="7">
        <v>5.59</v>
      </c>
      <c r="Q1202" s="7">
        <v>4.9530000000000003</v>
      </c>
      <c r="R1202" s="7">
        <v>4.7649999999999997</v>
      </c>
      <c r="S1202" s="7">
        <f t="shared" si="18"/>
        <v>5.224166666666668</v>
      </c>
    </row>
    <row r="1203" spans="1:19">
      <c r="A1203" s="5" t="str">
        <f>B1203&amp;"-"&amp;COUNTIF($B$2:B1203,B1203)</f>
        <v>MARANHÃO-74</v>
      </c>
      <c r="B1203" s="5" t="s">
        <v>875</v>
      </c>
      <c r="C1203" s="5" t="s">
        <v>922</v>
      </c>
      <c r="D1203" s="6">
        <v>-441568</v>
      </c>
      <c r="E1203" s="6">
        <v>-57283</v>
      </c>
      <c r="F1203" s="7">
        <v>5.35</v>
      </c>
      <c r="G1203" s="7">
        <v>4.7140000000000004</v>
      </c>
      <c r="H1203" s="7">
        <v>4.9450000000000003</v>
      </c>
      <c r="I1203" s="7">
        <v>4.9870000000000001</v>
      </c>
      <c r="J1203" s="7">
        <v>4.9640000000000004</v>
      </c>
      <c r="K1203" s="7">
        <v>4.9820000000000002</v>
      </c>
      <c r="L1203" s="7">
        <v>5.2690000000000001</v>
      </c>
      <c r="M1203" s="7">
        <v>5.532</v>
      </c>
      <c r="N1203" s="7">
        <v>6.1689999999999996</v>
      </c>
      <c r="O1203" s="7">
        <v>6.3659999999999997</v>
      </c>
      <c r="P1203" s="7">
        <v>5.8040000000000003</v>
      </c>
      <c r="Q1203" s="7">
        <v>5.3730000000000002</v>
      </c>
      <c r="R1203" s="7">
        <v>5.0949999999999998</v>
      </c>
      <c r="S1203" s="7">
        <f t="shared" si="18"/>
        <v>5.3500000000000005</v>
      </c>
    </row>
    <row r="1204" spans="1:19">
      <c r="A1204" s="5" t="str">
        <f>B1204&amp;"-"&amp;COUNTIF($B$2:B1204,B1204)</f>
        <v>MARANHÃO-75</v>
      </c>
      <c r="B1204" s="5" t="s">
        <v>875</v>
      </c>
      <c r="C1204" s="5" t="s">
        <v>923</v>
      </c>
      <c r="D1204" s="6">
        <v>-457798</v>
      </c>
      <c r="E1204" s="6">
        <v>-1403</v>
      </c>
      <c r="F1204" s="7">
        <v>4.8810000000000002</v>
      </c>
      <c r="G1204" s="7">
        <v>4.74</v>
      </c>
      <c r="H1204" s="7">
        <v>4.476</v>
      </c>
      <c r="I1204" s="7">
        <v>4.3140000000000001</v>
      </c>
      <c r="J1204" s="7">
        <v>4.2220000000000004</v>
      </c>
      <c r="K1204" s="7">
        <v>4.4710000000000001</v>
      </c>
      <c r="L1204" s="7">
        <v>4.7670000000000003</v>
      </c>
      <c r="M1204" s="7">
        <v>4.8630000000000004</v>
      </c>
      <c r="N1204" s="7">
        <v>5.29</v>
      </c>
      <c r="O1204" s="7">
        <v>5.6479999999999997</v>
      </c>
      <c r="P1204" s="7">
        <v>5.4459999999999997</v>
      </c>
      <c r="Q1204" s="7">
        <v>5.3109999999999999</v>
      </c>
      <c r="R1204" s="7">
        <v>5.0279999999999996</v>
      </c>
      <c r="S1204" s="7">
        <f t="shared" si="18"/>
        <v>4.8813333333333331</v>
      </c>
    </row>
    <row r="1205" spans="1:19">
      <c r="A1205" s="5" t="str">
        <f>B1205&amp;"-"&amp;COUNTIF($B$2:B1205,B1205)</f>
        <v>MARANHÃO-76</v>
      </c>
      <c r="B1205" s="5" t="s">
        <v>875</v>
      </c>
      <c r="C1205" s="5" t="s">
        <v>4639</v>
      </c>
      <c r="D1205" s="6">
        <v>-443017</v>
      </c>
      <c r="E1205" s="6">
        <v>-51479</v>
      </c>
      <c r="F1205" s="7">
        <v>5.3159999999999998</v>
      </c>
      <c r="G1205" s="7">
        <v>4.78</v>
      </c>
      <c r="H1205" s="7">
        <v>4.9180000000000001</v>
      </c>
      <c r="I1205" s="7">
        <v>4.9119999999999999</v>
      </c>
      <c r="J1205" s="7">
        <v>4.8689999999999998</v>
      </c>
      <c r="K1205" s="7">
        <v>4.9550000000000001</v>
      </c>
      <c r="L1205" s="7">
        <v>5.149</v>
      </c>
      <c r="M1205" s="7">
        <v>5.4749999999999996</v>
      </c>
      <c r="N1205" s="7">
        <v>6.109</v>
      </c>
      <c r="O1205" s="7">
        <v>6.3369999999999997</v>
      </c>
      <c r="P1205" s="7">
        <v>5.81</v>
      </c>
      <c r="Q1205" s="7">
        <v>5.4370000000000003</v>
      </c>
      <c r="R1205" s="7">
        <v>5.0430000000000001</v>
      </c>
      <c r="S1205" s="7">
        <f t="shared" si="18"/>
        <v>5.3161666666666667</v>
      </c>
    </row>
    <row r="1206" spans="1:19">
      <c r="A1206" s="5" t="str">
        <f>B1206&amp;"-"&amp;COUNTIF($B$2:B1206,B1206)</f>
        <v>MARANHÃO-77</v>
      </c>
      <c r="B1206" s="5" t="s">
        <v>875</v>
      </c>
      <c r="C1206" s="5" t="s">
        <v>924</v>
      </c>
      <c r="D1206" s="6">
        <v>-442758</v>
      </c>
      <c r="E1206" s="6">
        <v>-50212</v>
      </c>
      <c r="F1206" s="7">
        <v>5.3140000000000001</v>
      </c>
      <c r="G1206" s="7">
        <v>4.7969999999999997</v>
      </c>
      <c r="H1206" s="7">
        <v>4.9290000000000003</v>
      </c>
      <c r="I1206" s="7">
        <v>4.9989999999999997</v>
      </c>
      <c r="J1206" s="7">
        <v>4.8840000000000003</v>
      </c>
      <c r="K1206" s="7">
        <v>4.9560000000000004</v>
      </c>
      <c r="L1206" s="7">
        <v>5.1139999999999999</v>
      </c>
      <c r="M1206" s="7">
        <v>5.4</v>
      </c>
      <c r="N1206" s="7">
        <v>6.0250000000000004</v>
      </c>
      <c r="O1206" s="7">
        <v>6.2850000000000001</v>
      </c>
      <c r="P1206" s="7">
        <v>5.8310000000000004</v>
      </c>
      <c r="Q1206" s="7">
        <v>5.48</v>
      </c>
      <c r="R1206" s="7">
        <v>5.0670000000000002</v>
      </c>
      <c r="S1206" s="7">
        <f t="shared" si="18"/>
        <v>5.3139166666666666</v>
      </c>
    </row>
    <row r="1207" spans="1:19">
      <c r="A1207" s="5" t="str">
        <f>B1207&amp;"-"&amp;COUNTIF($B$2:B1207,B1207)</f>
        <v>MARANHÃO-78</v>
      </c>
      <c r="B1207" s="5" t="s">
        <v>875</v>
      </c>
      <c r="C1207" s="5" t="s">
        <v>3948</v>
      </c>
      <c r="D1207" s="6">
        <v>-47365</v>
      </c>
      <c r="E1207" s="6">
        <v>-57501</v>
      </c>
      <c r="F1207" s="7">
        <v>5.0350000000000001</v>
      </c>
      <c r="G1207" s="7">
        <v>4.6269999999999998</v>
      </c>
      <c r="H1207" s="7">
        <v>4.6760000000000002</v>
      </c>
      <c r="I1207" s="7">
        <v>4.76</v>
      </c>
      <c r="J1207" s="7">
        <v>4.8090000000000002</v>
      </c>
      <c r="K1207" s="7">
        <v>4.8460000000000001</v>
      </c>
      <c r="L1207" s="7">
        <v>5.141</v>
      </c>
      <c r="M1207" s="7">
        <v>5.3209999999999997</v>
      </c>
      <c r="N1207" s="7">
        <v>5.7480000000000002</v>
      </c>
      <c r="O1207" s="7">
        <v>5.6130000000000004</v>
      </c>
      <c r="P1207" s="7">
        <v>5.1980000000000004</v>
      </c>
      <c r="Q1207" s="7">
        <v>4.9080000000000004</v>
      </c>
      <c r="R1207" s="7">
        <v>4.7759999999999998</v>
      </c>
      <c r="S1207" s="7">
        <f t="shared" si="18"/>
        <v>5.0352500000000004</v>
      </c>
    </row>
    <row r="1208" spans="1:19">
      <c r="A1208" s="5" t="str">
        <f>B1208&amp;"-"&amp;COUNTIF($B$2:B1208,B1208)</f>
        <v>MARANHÃO-79</v>
      </c>
      <c r="B1208" s="5" t="s">
        <v>875</v>
      </c>
      <c r="C1208" s="5" t="s">
        <v>5287</v>
      </c>
      <c r="D1208" s="6">
        <v>-442473</v>
      </c>
      <c r="E1208" s="6">
        <v>-53194</v>
      </c>
      <c r="F1208" s="7">
        <v>5.3129999999999997</v>
      </c>
      <c r="G1208" s="7">
        <v>4.7119999999999997</v>
      </c>
      <c r="H1208" s="7">
        <v>4.875</v>
      </c>
      <c r="I1208" s="7">
        <v>4.9480000000000004</v>
      </c>
      <c r="J1208" s="7">
        <v>4.9039999999999999</v>
      </c>
      <c r="K1208" s="7">
        <v>4.9279999999999999</v>
      </c>
      <c r="L1208" s="7">
        <v>5.1859999999999999</v>
      </c>
      <c r="M1208" s="7">
        <v>5.5049999999999999</v>
      </c>
      <c r="N1208" s="7">
        <v>6.0739999999999998</v>
      </c>
      <c r="O1208" s="7">
        <v>6.3470000000000004</v>
      </c>
      <c r="P1208" s="7">
        <v>5.8259999999999996</v>
      </c>
      <c r="Q1208" s="7">
        <v>5.4080000000000004</v>
      </c>
      <c r="R1208" s="7">
        <v>5.0449999999999999</v>
      </c>
      <c r="S1208" s="7">
        <f t="shared" si="18"/>
        <v>5.3131666666666666</v>
      </c>
    </row>
    <row r="1209" spans="1:19">
      <c r="A1209" s="5" t="str">
        <f>B1209&amp;"-"&amp;COUNTIF($B$2:B1209,B1209)</f>
        <v>MARANHÃO-80</v>
      </c>
      <c r="B1209" s="5" t="s">
        <v>875</v>
      </c>
      <c r="C1209" s="5" t="s">
        <v>925</v>
      </c>
      <c r="D1209" s="6">
        <v>-440702</v>
      </c>
      <c r="E1209" s="6">
        <v>-54723</v>
      </c>
      <c r="F1209" s="7">
        <v>5.391</v>
      </c>
      <c r="G1209" s="7">
        <v>4.7519999999999998</v>
      </c>
      <c r="H1209" s="7">
        <v>4.9489999999999998</v>
      </c>
      <c r="I1209" s="7">
        <v>5.0229999999999997</v>
      </c>
      <c r="J1209" s="7">
        <v>4.9829999999999997</v>
      </c>
      <c r="K1209" s="7">
        <v>5.0330000000000004</v>
      </c>
      <c r="L1209" s="7">
        <v>5.2190000000000003</v>
      </c>
      <c r="M1209" s="7">
        <v>5.569</v>
      </c>
      <c r="N1209" s="7">
        <v>6.1909999999999998</v>
      </c>
      <c r="O1209" s="7">
        <v>6.4329999999999998</v>
      </c>
      <c r="P1209" s="7">
        <v>5.9109999999999996</v>
      </c>
      <c r="Q1209" s="7">
        <v>5.484</v>
      </c>
      <c r="R1209" s="7">
        <v>5.1390000000000002</v>
      </c>
      <c r="S1209" s="7">
        <f t="shared" si="18"/>
        <v>5.3905000000000003</v>
      </c>
    </row>
    <row r="1210" spans="1:19">
      <c r="A1210" s="5" t="str">
        <f>B1210&amp;"-"&amp;COUNTIF($B$2:B1210,B1210)</f>
        <v>MARANHÃO-81</v>
      </c>
      <c r="B1210" s="5" t="s">
        <v>875</v>
      </c>
      <c r="C1210" s="5" t="s">
        <v>926</v>
      </c>
      <c r="D1210" s="6">
        <v>-456623</v>
      </c>
      <c r="E1210" s="6">
        <v>-34328</v>
      </c>
      <c r="F1210" s="7">
        <v>4.9749999999999996</v>
      </c>
      <c r="G1210" s="7">
        <v>4.5439999999999996</v>
      </c>
      <c r="H1210" s="7">
        <v>4.782</v>
      </c>
      <c r="I1210" s="7">
        <v>4.8129999999999997</v>
      </c>
      <c r="J1210" s="7">
        <v>4.8129999999999997</v>
      </c>
      <c r="K1210" s="7">
        <v>4.7169999999999996</v>
      </c>
      <c r="L1210" s="7">
        <v>4.8490000000000002</v>
      </c>
      <c r="M1210" s="7">
        <v>4.9809999999999999</v>
      </c>
      <c r="N1210" s="7">
        <v>5.3730000000000002</v>
      </c>
      <c r="O1210" s="7">
        <v>5.6340000000000003</v>
      </c>
      <c r="P1210" s="7">
        <v>5.351</v>
      </c>
      <c r="Q1210" s="7">
        <v>5.0359999999999996</v>
      </c>
      <c r="R1210" s="7">
        <v>4.8150000000000004</v>
      </c>
      <c r="S1210" s="7">
        <f t="shared" si="18"/>
        <v>4.9756666666666662</v>
      </c>
    </row>
    <row r="1211" spans="1:19">
      <c r="A1211" s="5" t="str">
        <f>B1211&amp;"-"&amp;COUNTIF($B$2:B1211,B1211)</f>
        <v>MARANHÃO-82</v>
      </c>
      <c r="B1211" s="5" t="s">
        <v>875</v>
      </c>
      <c r="C1211" s="5" t="s">
        <v>927</v>
      </c>
      <c r="D1211" s="6">
        <v>-458913</v>
      </c>
      <c r="E1211" s="6">
        <v>-2129</v>
      </c>
      <c r="F1211" s="7">
        <v>4.8620000000000001</v>
      </c>
      <c r="G1211" s="7">
        <v>4.5170000000000003</v>
      </c>
      <c r="H1211" s="7">
        <v>4.4400000000000004</v>
      </c>
      <c r="I1211" s="7">
        <v>4.3789999999999996</v>
      </c>
      <c r="J1211" s="7">
        <v>4.4740000000000002</v>
      </c>
      <c r="K1211" s="7">
        <v>4.5049999999999999</v>
      </c>
      <c r="L1211" s="7">
        <v>4.8259999999999996</v>
      </c>
      <c r="M1211" s="7">
        <v>4.95</v>
      </c>
      <c r="N1211" s="7">
        <v>5.4320000000000004</v>
      </c>
      <c r="O1211" s="7">
        <v>5.6440000000000001</v>
      </c>
      <c r="P1211" s="7">
        <v>5.3529999999999998</v>
      </c>
      <c r="Q1211" s="7">
        <v>5.1440000000000001</v>
      </c>
      <c r="R1211" s="7">
        <v>4.6849999999999996</v>
      </c>
      <c r="S1211" s="7">
        <f t="shared" si="18"/>
        <v>4.8624166666666673</v>
      </c>
    </row>
    <row r="1212" spans="1:19">
      <c r="A1212" s="5" t="str">
        <f>B1212&amp;"-"&amp;COUNTIF($B$2:B1212,B1212)</f>
        <v>MARANHÃO-83</v>
      </c>
      <c r="B1212" s="5" t="s">
        <v>875</v>
      </c>
      <c r="C1212" s="5" t="s">
        <v>4640</v>
      </c>
      <c r="D1212" s="6">
        <v>-443362</v>
      </c>
      <c r="E1212" s="6">
        <v>-54059</v>
      </c>
      <c r="F1212" s="7">
        <v>5.3109999999999999</v>
      </c>
      <c r="G1212" s="7">
        <v>4.6959999999999997</v>
      </c>
      <c r="H1212" s="7">
        <v>4.8360000000000003</v>
      </c>
      <c r="I1212" s="7">
        <v>4.9000000000000004</v>
      </c>
      <c r="J1212" s="7">
        <v>4.9089999999999998</v>
      </c>
      <c r="K1212" s="7">
        <v>4.9859999999999998</v>
      </c>
      <c r="L1212" s="7">
        <v>5.1959999999999997</v>
      </c>
      <c r="M1212" s="7">
        <v>5.4889999999999999</v>
      </c>
      <c r="N1212" s="7">
        <v>6.1360000000000001</v>
      </c>
      <c r="O1212" s="7">
        <v>6.3419999999999996</v>
      </c>
      <c r="P1212" s="7">
        <v>5.7859999999999996</v>
      </c>
      <c r="Q1212" s="7">
        <v>5.3920000000000003</v>
      </c>
      <c r="R1212" s="7">
        <v>5.0579999999999998</v>
      </c>
      <c r="S1212" s="7">
        <f t="shared" si="18"/>
        <v>5.3105000000000002</v>
      </c>
    </row>
    <row r="1213" spans="1:19">
      <c r="A1213" s="5" t="str">
        <f>B1213&amp;"-"&amp;COUNTIF($B$2:B1213,B1213)</f>
        <v>MARANHÃO-84</v>
      </c>
      <c r="B1213" s="5" t="s">
        <v>875</v>
      </c>
      <c r="C1213" s="5" t="s">
        <v>4832</v>
      </c>
      <c r="D1213" s="6">
        <v>-461559</v>
      </c>
      <c r="E1213" s="6">
        <v>-58202</v>
      </c>
      <c r="F1213" s="7">
        <v>5.1150000000000002</v>
      </c>
      <c r="G1213" s="7">
        <v>4.6550000000000002</v>
      </c>
      <c r="H1213" s="7">
        <v>4.8099999999999996</v>
      </c>
      <c r="I1213" s="7">
        <v>4.7779999999999996</v>
      </c>
      <c r="J1213" s="7">
        <v>4.8159999999999998</v>
      </c>
      <c r="K1213" s="7">
        <v>4.8979999999999997</v>
      </c>
      <c r="L1213" s="7">
        <v>5.1159999999999997</v>
      </c>
      <c r="M1213" s="7">
        <v>5.37</v>
      </c>
      <c r="N1213" s="7">
        <v>5.8739999999999997</v>
      </c>
      <c r="O1213" s="7">
        <v>5.9320000000000004</v>
      </c>
      <c r="P1213" s="7">
        <v>5.4290000000000003</v>
      </c>
      <c r="Q1213" s="7">
        <v>4.931</v>
      </c>
      <c r="R1213" s="7">
        <v>4.7709999999999999</v>
      </c>
      <c r="S1213" s="7">
        <f t="shared" si="18"/>
        <v>5.1150000000000002</v>
      </c>
    </row>
    <row r="1214" spans="1:19">
      <c r="A1214" s="5" t="str">
        <f>B1214&amp;"-"&amp;COUNTIF($B$2:B1214,B1214)</f>
        <v>MARANHÃO-85</v>
      </c>
      <c r="B1214" s="5" t="s">
        <v>875</v>
      </c>
      <c r="C1214" s="5" t="s">
        <v>5357</v>
      </c>
      <c r="D1214" s="6">
        <v>-446056</v>
      </c>
      <c r="E1214" s="6">
        <v>-21344</v>
      </c>
      <c r="F1214" s="7">
        <v>5.0519999999999996</v>
      </c>
      <c r="G1214" s="7">
        <v>4.7839999999999998</v>
      </c>
      <c r="H1214" s="7">
        <v>4.76</v>
      </c>
      <c r="I1214" s="7">
        <v>4.6470000000000002</v>
      </c>
      <c r="J1214" s="7">
        <v>4.484</v>
      </c>
      <c r="K1214" s="7">
        <v>4.7169999999999996</v>
      </c>
      <c r="L1214" s="7">
        <v>5.0039999999999996</v>
      </c>
      <c r="M1214" s="7">
        <v>5.1280000000000001</v>
      </c>
      <c r="N1214" s="7">
        <v>5.5039999999999996</v>
      </c>
      <c r="O1214" s="7">
        <v>5.726</v>
      </c>
      <c r="P1214" s="7">
        <v>5.4640000000000004</v>
      </c>
      <c r="Q1214" s="7">
        <v>5.359</v>
      </c>
      <c r="R1214" s="7">
        <v>5.0519999999999996</v>
      </c>
      <c r="S1214" s="7">
        <f t="shared" si="18"/>
        <v>5.0524166666666668</v>
      </c>
    </row>
    <row r="1215" spans="1:19">
      <c r="A1215" s="5" t="str">
        <f>B1215&amp;"-"&amp;COUNTIF($B$2:B1215,B1215)</f>
        <v>MARANHÃO-86</v>
      </c>
      <c r="B1215" s="5" t="s">
        <v>875</v>
      </c>
      <c r="C1215" s="5" t="s">
        <v>928</v>
      </c>
      <c r="D1215" s="6">
        <v>-434652</v>
      </c>
      <c r="E1215" s="6">
        <v>-25987</v>
      </c>
      <c r="F1215" s="7">
        <v>5.2530000000000001</v>
      </c>
      <c r="G1215" s="7">
        <v>4.899</v>
      </c>
      <c r="H1215" s="7">
        <v>4.8899999999999997</v>
      </c>
      <c r="I1215" s="7">
        <v>4.7370000000000001</v>
      </c>
      <c r="J1215" s="7">
        <v>4.633</v>
      </c>
      <c r="K1215" s="7">
        <v>4.726</v>
      </c>
      <c r="L1215" s="7">
        <v>4.907</v>
      </c>
      <c r="M1215" s="7">
        <v>5.109</v>
      </c>
      <c r="N1215" s="7">
        <v>5.8239999999999998</v>
      </c>
      <c r="O1215" s="7">
        <v>6.2140000000000004</v>
      </c>
      <c r="P1215" s="7">
        <v>5.9580000000000002</v>
      </c>
      <c r="Q1215" s="7">
        <v>5.7309999999999999</v>
      </c>
      <c r="R1215" s="7">
        <v>5.4119999999999999</v>
      </c>
      <c r="S1215" s="7">
        <f t="shared" si="18"/>
        <v>5.253333333333333</v>
      </c>
    </row>
    <row r="1216" spans="1:19">
      <c r="A1216" s="5" t="str">
        <f>B1216&amp;"-"&amp;COUNTIF($B$2:B1216,B1216)</f>
        <v>MARANHÃO-87</v>
      </c>
      <c r="B1216" s="5" t="s">
        <v>875</v>
      </c>
      <c r="C1216" s="5" t="s">
        <v>929</v>
      </c>
      <c r="D1216" s="6">
        <v>-440617</v>
      </c>
      <c r="E1216" s="6">
        <v>-27749</v>
      </c>
      <c r="F1216" s="7">
        <v>4.9649999999999999</v>
      </c>
      <c r="G1216" s="7">
        <v>4.4850000000000003</v>
      </c>
      <c r="H1216" s="7">
        <v>4.4619999999999997</v>
      </c>
      <c r="I1216" s="7">
        <v>4.4509999999999996</v>
      </c>
      <c r="J1216" s="7">
        <v>4.3940000000000001</v>
      </c>
      <c r="K1216" s="7">
        <v>4.5140000000000002</v>
      </c>
      <c r="L1216" s="7">
        <v>4.7809999999999997</v>
      </c>
      <c r="M1216" s="7">
        <v>5.0220000000000002</v>
      </c>
      <c r="N1216" s="7">
        <v>5.569</v>
      </c>
      <c r="O1216" s="7">
        <v>5.9390000000000001</v>
      </c>
      <c r="P1216" s="7">
        <v>5.7060000000000004</v>
      </c>
      <c r="Q1216" s="7">
        <v>5.367</v>
      </c>
      <c r="R1216" s="7">
        <v>4.8899999999999997</v>
      </c>
      <c r="S1216" s="7">
        <f t="shared" si="18"/>
        <v>4.9650000000000007</v>
      </c>
    </row>
    <row r="1217" spans="1:19">
      <c r="A1217" s="5" t="str">
        <f>B1217&amp;"-"&amp;COUNTIF($B$2:B1217,B1217)</f>
        <v>MARANHÃO-88</v>
      </c>
      <c r="B1217" s="5" t="s">
        <v>875</v>
      </c>
      <c r="C1217" s="5" t="s">
        <v>4308</v>
      </c>
      <c r="D1217" s="6">
        <v>-451847</v>
      </c>
      <c r="E1217" s="6">
        <v>-36404</v>
      </c>
      <c r="F1217" s="7">
        <v>5.1029999999999998</v>
      </c>
      <c r="G1217" s="7">
        <v>4.7030000000000003</v>
      </c>
      <c r="H1217" s="7">
        <v>4.7690000000000001</v>
      </c>
      <c r="I1217" s="7">
        <v>4.8209999999999997</v>
      </c>
      <c r="J1217" s="7">
        <v>4.8449999999999998</v>
      </c>
      <c r="K1217" s="7">
        <v>4.7590000000000003</v>
      </c>
      <c r="L1217" s="7">
        <v>4.9569999999999999</v>
      </c>
      <c r="M1217" s="7">
        <v>5.093</v>
      </c>
      <c r="N1217" s="7">
        <v>5.7350000000000003</v>
      </c>
      <c r="O1217" s="7">
        <v>5.9160000000000004</v>
      </c>
      <c r="P1217" s="7">
        <v>5.5129999999999999</v>
      </c>
      <c r="Q1217" s="7">
        <v>5.1529999999999996</v>
      </c>
      <c r="R1217" s="7">
        <v>4.9720000000000004</v>
      </c>
      <c r="S1217" s="7">
        <f t="shared" si="18"/>
        <v>5.1029999999999998</v>
      </c>
    </row>
    <row r="1218" spans="1:19">
      <c r="A1218" s="5" t="str">
        <f>B1218&amp;"-"&amp;COUNTIF($B$2:B1218,B1218)</f>
        <v>MARANHÃO-89</v>
      </c>
      <c r="B1218" s="5" t="s">
        <v>875</v>
      </c>
      <c r="C1218" s="5" t="s">
        <v>4309</v>
      </c>
      <c r="D1218" s="6">
        <v>-448562</v>
      </c>
      <c r="E1218" s="6">
        <v>-46629</v>
      </c>
      <c r="F1218" s="7">
        <v>5.1820000000000004</v>
      </c>
      <c r="G1218" s="7">
        <v>4.649</v>
      </c>
      <c r="H1218" s="7">
        <v>4.8899999999999997</v>
      </c>
      <c r="I1218" s="7">
        <v>4.8899999999999997</v>
      </c>
      <c r="J1218" s="7">
        <v>4.851</v>
      </c>
      <c r="K1218" s="7">
        <v>4.8529999999999998</v>
      </c>
      <c r="L1218" s="7">
        <v>5.0410000000000004</v>
      </c>
      <c r="M1218" s="7">
        <v>5.28</v>
      </c>
      <c r="N1218" s="7">
        <v>5.8209999999999997</v>
      </c>
      <c r="O1218" s="7">
        <v>6.085</v>
      </c>
      <c r="P1218" s="7">
        <v>5.6429999999999998</v>
      </c>
      <c r="Q1218" s="7">
        <v>5.25</v>
      </c>
      <c r="R1218" s="7">
        <v>4.9329999999999998</v>
      </c>
      <c r="S1218" s="7">
        <f t="shared" si="18"/>
        <v>5.1821666666666664</v>
      </c>
    </row>
    <row r="1219" spans="1:19">
      <c r="A1219" s="5" t="str">
        <f>B1219&amp;"-"&amp;COUNTIF($B$2:B1219,B1219)</f>
        <v>MARANHÃO-90</v>
      </c>
      <c r="B1219" s="5" t="s">
        <v>875</v>
      </c>
      <c r="C1219" s="5" t="s">
        <v>930</v>
      </c>
      <c r="D1219" s="6">
        <v>-474781</v>
      </c>
      <c r="E1219" s="6">
        <v>-55189</v>
      </c>
      <c r="F1219" s="7">
        <v>5.0250000000000004</v>
      </c>
      <c r="G1219" s="7">
        <v>4.6399999999999997</v>
      </c>
      <c r="H1219" s="7">
        <v>4.7140000000000004</v>
      </c>
      <c r="I1219" s="7">
        <v>4.798</v>
      </c>
      <c r="J1219" s="7">
        <v>4.8380000000000001</v>
      </c>
      <c r="K1219" s="7">
        <v>4.7850000000000001</v>
      </c>
      <c r="L1219" s="7">
        <v>5.1360000000000001</v>
      </c>
      <c r="M1219" s="7">
        <v>5.2549999999999999</v>
      </c>
      <c r="N1219" s="7">
        <v>5.7110000000000003</v>
      </c>
      <c r="O1219" s="7">
        <v>5.5869999999999997</v>
      </c>
      <c r="P1219" s="7">
        <v>5.1859999999999999</v>
      </c>
      <c r="Q1219" s="7">
        <v>4.9130000000000003</v>
      </c>
      <c r="R1219" s="7">
        <v>4.7460000000000004</v>
      </c>
      <c r="S1219" s="7">
        <f t="shared" ref="S1219:S1282" si="19">(G1219+H1219+I1219+J1219+K1219+L1219+M1219+N1219+O1219+P1219+Q1219+R1219)/12</f>
        <v>5.0257500000000004</v>
      </c>
    </row>
    <row r="1220" spans="1:19">
      <c r="A1220" s="5" t="str">
        <f>B1220&amp;"-"&amp;COUNTIF($B$2:B1220,B1220)</f>
        <v>MARANHÃO-91</v>
      </c>
      <c r="B1220" s="5" t="s">
        <v>875</v>
      </c>
      <c r="C1220" s="5" t="s">
        <v>4833</v>
      </c>
      <c r="D1220" s="6">
        <v>-457881</v>
      </c>
      <c r="E1220" s="6">
        <v>-51429</v>
      </c>
      <c r="F1220" s="7">
        <v>5.125</v>
      </c>
      <c r="G1220" s="7">
        <v>4.6529999999999996</v>
      </c>
      <c r="H1220" s="7">
        <v>4.8570000000000002</v>
      </c>
      <c r="I1220" s="7">
        <v>4.8840000000000003</v>
      </c>
      <c r="J1220" s="7">
        <v>4.867</v>
      </c>
      <c r="K1220" s="7">
        <v>4.8090000000000002</v>
      </c>
      <c r="L1220" s="7">
        <v>5.0709999999999997</v>
      </c>
      <c r="M1220" s="7">
        <v>5.3310000000000004</v>
      </c>
      <c r="N1220" s="7">
        <v>5.7610000000000001</v>
      </c>
      <c r="O1220" s="7">
        <v>5.9059999999999997</v>
      </c>
      <c r="P1220" s="7">
        <v>5.4240000000000004</v>
      </c>
      <c r="Q1220" s="7">
        <v>5.0590000000000002</v>
      </c>
      <c r="R1220" s="7">
        <v>4.8760000000000003</v>
      </c>
      <c r="S1220" s="7">
        <f t="shared" si="19"/>
        <v>5.1248333333333331</v>
      </c>
    </row>
    <row r="1221" spans="1:19">
      <c r="A1221" s="5" t="str">
        <f>B1221&amp;"-"&amp;COUNTIF($B$2:B1221,B1221)</f>
        <v>MARANHÃO-92</v>
      </c>
      <c r="B1221" s="5" t="s">
        <v>875</v>
      </c>
      <c r="C1221" s="5" t="s">
        <v>931</v>
      </c>
      <c r="D1221" s="6">
        <v>-443512</v>
      </c>
      <c r="E1221" s="6">
        <v>-34024</v>
      </c>
      <c r="F1221" s="7">
        <v>5.2039999999999997</v>
      </c>
      <c r="G1221" s="7">
        <v>4.7270000000000003</v>
      </c>
      <c r="H1221" s="7">
        <v>4.7670000000000003</v>
      </c>
      <c r="I1221" s="7">
        <v>4.8150000000000004</v>
      </c>
      <c r="J1221" s="7">
        <v>4.7889999999999997</v>
      </c>
      <c r="K1221" s="7">
        <v>4.8600000000000003</v>
      </c>
      <c r="L1221" s="7">
        <v>5.0309999999999997</v>
      </c>
      <c r="M1221" s="7">
        <v>5.2060000000000004</v>
      </c>
      <c r="N1221" s="7">
        <v>5.7779999999999996</v>
      </c>
      <c r="O1221" s="7">
        <v>6.1029999999999998</v>
      </c>
      <c r="P1221" s="7">
        <v>5.8319999999999999</v>
      </c>
      <c r="Q1221" s="7">
        <v>5.4409999999999998</v>
      </c>
      <c r="R1221" s="7">
        <v>5.1050000000000004</v>
      </c>
      <c r="S1221" s="7">
        <f t="shared" si="19"/>
        <v>5.2045000000000003</v>
      </c>
    </row>
    <row r="1222" spans="1:19">
      <c r="A1222" s="5" t="str">
        <f>B1222&amp;"-"&amp;COUNTIF($B$2:B1222,B1222)</f>
        <v>MARANHÃO-93</v>
      </c>
      <c r="B1222" s="5" t="s">
        <v>875</v>
      </c>
      <c r="C1222" s="5" t="s">
        <v>3949</v>
      </c>
      <c r="D1222" s="6">
        <v>-475303</v>
      </c>
      <c r="E1222" s="6">
        <v>-44556</v>
      </c>
      <c r="F1222" s="7">
        <v>4.8010000000000002</v>
      </c>
      <c r="G1222" s="7">
        <v>4.4329999999999998</v>
      </c>
      <c r="H1222" s="7">
        <v>4.6580000000000004</v>
      </c>
      <c r="I1222" s="7">
        <v>4.6870000000000003</v>
      </c>
      <c r="J1222" s="7">
        <v>4.7930000000000001</v>
      </c>
      <c r="K1222" s="7">
        <v>4.6779999999999999</v>
      </c>
      <c r="L1222" s="7">
        <v>4.8529999999999998</v>
      </c>
      <c r="M1222" s="7">
        <v>4.9619999999999997</v>
      </c>
      <c r="N1222" s="7">
        <v>5.2469999999999999</v>
      </c>
      <c r="O1222" s="7">
        <v>5.2229999999999999</v>
      </c>
      <c r="P1222" s="7">
        <v>4.8869999999999996</v>
      </c>
      <c r="Q1222" s="7">
        <v>4.641</v>
      </c>
      <c r="R1222" s="7">
        <v>4.5490000000000004</v>
      </c>
      <c r="S1222" s="7">
        <f t="shared" si="19"/>
        <v>4.8009166666666667</v>
      </c>
    </row>
    <row r="1223" spans="1:19">
      <c r="A1223" s="5" t="str">
        <f>B1223&amp;"-"&amp;COUNTIF($B$2:B1223,B1223)</f>
        <v>MARANHÃO-94</v>
      </c>
      <c r="B1223" s="5" t="s">
        <v>875</v>
      </c>
      <c r="C1223" s="5" t="s">
        <v>5555</v>
      </c>
      <c r="D1223" s="6">
        <v>-442248</v>
      </c>
      <c r="E1223" s="6">
        <v>-58194</v>
      </c>
      <c r="F1223" s="7">
        <v>5.3330000000000002</v>
      </c>
      <c r="G1223" s="7">
        <v>4.7</v>
      </c>
      <c r="H1223" s="7">
        <v>4.867</v>
      </c>
      <c r="I1223" s="7">
        <v>4.952</v>
      </c>
      <c r="J1223" s="7">
        <v>4.9080000000000004</v>
      </c>
      <c r="K1223" s="7">
        <v>4.9569999999999999</v>
      </c>
      <c r="L1223" s="7">
        <v>5.2610000000000001</v>
      </c>
      <c r="M1223" s="7">
        <v>5.548</v>
      </c>
      <c r="N1223" s="7">
        <v>6.1749999999999998</v>
      </c>
      <c r="O1223" s="7">
        <v>6.4039999999999999</v>
      </c>
      <c r="P1223" s="7">
        <v>5.798</v>
      </c>
      <c r="Q1223" s="7">
        <v>5.36</v>
      </c>
      <c r="R1223" s="7">
        <v>5.0629999999999997</v>
      </c>
      <c r="S1223" s="7">
        <f t="shared" si="19"/>
        <v>5.3327499999999999</v>
      </c>
    </row>
    <row r="1224" spans="1:19">
      <c r="A1224" s="5" t="str">
        <f>B1224&amp;"-"&amp;COUNTIF($B$2:B1224,B1224)</f>
        <v>MARANHÃO-95</v>
      </c>
      <c r="B1224" s="5" t="s">
        <v>875</v>
      </c>
      <c r="C1224" s="5" t="s">
        <v>932</v>
      </c>
      <c r="D1224" s="6">
        <v>-45636</v>
      </c>
      <c r="E1224" s="6">
        <v>-53696</v>
      </c>
      <c r="F1224" s="7">
        <v>5.093</v>
      </c>
      <c r="G1224" s="7">
        <v>4.4820000000000002</v>
      </c>
      <c r="H1224" s="7">
        <v>4.6980000000000004</v>
      </c>
      <c r="I1224" s="7">
        <v>4.7809999999999997</v>
      </c>
      <c r="J1224" s="7">
        <v>4.8289999999999997</v>
      </c>
      <c r="K1224" s="7">
        <v>4.8369999999999997</v>
      </c>
      <c r="L1224" s="7">
        <v>5.12</v>
      </c>
      <c r="M1224" s="7">
        <v>5.3559999999999999</v>
      </c>
      <c r="N1224" s="7">
        <v>5.9189999999999996</v>
      </c>
      <c r="O1224" s="7">
        <v>5.96</v>
      </c>
      <c r="P1224" s="7">
        <v>5.4</v>
      </c>
      <c r="Q1224" s="7">
        <v>4.968</v>
      </c>
      <c r="R1224" s="7">
        <v>4.7649999999999997</v>
      </c>
      <c r="S1224" s="7">
        <f t="shared" si="19"/>
        <v>5.0929166666666665</v>
      </c>
    </row>
    <row r="1225" spans="1:19">
      <c r="A1225" s="5" t="str">
        <f>B1225&amp;"-"&amp;COUNTIF($B$2:B1225,B1225)</f>
        <v>MARANHÃO-96</v>
      </c>
      <c r="B1225" s="5" t="s">
        <v>875</v>
      </c>
      <c r="C1225" s="5" t="s">
        <v>3950</v>
      </c>
      <c r="D1225" s="6">
        <v>-474068</v>
      </c>
      <c r="E1225" s="6">
        <v>-5444</v>
      </c>
      <c r="F1225" s="7">
        <v>5.0179999999999998</v>
      </c>
      <c r="G1225" s="7">
        <v>4.6159999999999997</v>
      </c>
      <c r="H1225" s="7">
        <v>4.6970000000000001</v>
      </c>
      <c r="I1225" s="7">
        <v>4.7750000000000004</v>
      </c>
      <c r="J1225" s="7">
        <v>4.835</v>
      </c>
      <c r="K1225" s="7">
        <v>4.8049999999999997</v>
      </c>
      <c r="L1225" s="7">
        <v>5.17</v>
      </c>
      <c r="M1225" s="7">
        <v>5.3090000000000002</v>
      </c>
      <c r="N1225" s="7">
        <v>5.7119999999999997</v>
      </c>
      <c r="O1225" s="7">
        <v>5.5490000000000004</v>
      </c>
      <c r="P1225" s="7">
        <v>5.1559999999999997</v>
      </c>
      <c r="Q1225" s="7">
        <v>4.87</v>
      </c>
      <c r="R1225" s="7">
        <v>4.72</v>
      </c>
      <c r="S1225" s="7">
        <f t="shared" si="19"/>
        <v>5.0178333333333329</v>
      </c>
    </row>
    <row r="1226" spans="1:19">
      <c r="A1226" s="5" t="str">
        <f>B1226&amp;"-"&amp;COUNTIF($B$2:B1226,B1226)</f>
        <v>MARANHÃO-97</v>
      </c>
      <c r="B1226" s="5" t="s">
        <v>875</v>
      </c>
      <c r="C1226" s="5" t="s">
        <v>4943</v>
      </c>
      <c r="D1226" s="6">
        <v>-446962</v>
      </c>
      <c r="E1226" s="6">
        <v>-49865</v>
      </c>
      <c r="F1226" s="7">
        <v>5.2469999999999999</v>
      </c>
      <c r="G1226" s="7">
        <v>4.7830000000000004</v>
      </c>
      <c r="H1226" s="7">
        <v>4.9109999999999996</v>
      </c>
      <c r="I1226" s="7">
        <v>4.9589999999999996</v>
      </c>
      <c r="J1226" s="7">
        <v>4.9009999999999998</v>
      </c>
      <c r="K1226" s="7">
        <v>4.9139999999999997</v>
      </c>
      <c r="L1226" s="7">
        <v>5.1219999999999999</v>
      </c>
      <c r="M1226" s="7">
        <v>5.3739999999999997</v>
      </c>
      <c r="N1226" s="7">
        <v>5.9160000000000004</v>
      </c>
      <c r="O1226" s="7">
        <v>6.1509999999999998</v>
      </c>
      <c r="P1226" s="7">
        <v>5.657</v>
      </c>
      <c r="Q1226" s="7">
        <v>5.3150000000000004</v>
      </c>
      <c r="R1226" s="7">
        <v>4.9539999999999997</v>
      </c>
      <c r="S1226" s="7">
        <f t="shared" si="19"/>
        <v>5.2464166666666658</v>
      </c>
    </row>
    <row r="1227" spans="1:19">
      <c r="A1227" s="5" t="str">
        <f>B1227&amp;"-"&amp;COUNTIF($B$2:B1227,B1227)</f>
        <v>MARANHÃO-98</v>
      </c>
      <c r="B1227" s="5" t="s">
        <v>875</v>
      </c>
      <c r="C1227" s="5" t="s">
        <v>3951</v>
      </c>
      <c r="D1227" s="6">
        <v>-460713</v>
      </c>
      <c r="E1227" s="6">
        <v>-18783</v>
      </c>
      <c r="F1227" s="7">
        <v>4.8650000000000002</v>
      </c>
      <c r="G1227" s="7">
        <v>4.556</v>
      </c>
      <c r="H1227" s="7">
        <v>4.4119999999999999</v>
      </c>
      <c r="I1227" s="7">
        <v>4.3570000000000002</v>
      </c>
      <c r="J1227" s="7">
        <v>4.3739999999999997</v>
      </c>
      <c r="K1227" s="7">
        <v>4.4969999999999999</v>
      </c>
      <c r="L1227" s="7">
        <v>4.8150000000000004</v>
      </c>
      <c r="M1227" s="7">
        <v>4.9130000000000003</v>
      </c>
      <c r="N1227" s="7">
        <v>5.4109999999999996</v>
      </c>
      <c r="O1227" s="7">
        <v>5.67</v>
      </c>
      <c r="P1227" s="7">
        <v>5.3970000000000002</v>
      </c>
      <c r="Q1227" s="7">
        <v>5.2270000000000003</v>
      </c>
      <c r="R1227" s="7">
        <v>4.7530000000000001</v>
      </c>
      <c r="S1227" s="7">
        <f t="shared" si="19"/>
        <v>4.8651666666666671</v>
      </c>
    </row>
    <row r="1228" spans="1:19">
      <c r="A1228" s="5" t="str">
        <f>B1228&amp;"-"&amp;COUNTIF($B$2:B1228,B1228)</f>
        <v>MARANHÃO-99</v>
      </c>
      <c r="B1228" s="5" t="s">
        <v>875</v>
      </c>
      <c r="C1228" s="5" t="s">
        <v>933</v>
      </c>
      <c r="D1228" s="6">
        <v>-451347</v>
      </c>
      <c r="E1228" s="6">
        <v>-45586</v>
      </c>
      <c r="F1228" s="7">
        <v>5.0910000000000002</v>
      </c>
      <c r="G1228" s="7">
        <v>4.6319999999999997</v>
      </c>
      <c r="H1228" s="7">
        <v>4.7450000000000001</v>
      </c>
      <c r="I1228" s="7">
        <v>4.8780000000000001</v>
      </c>
      <c r="J1228" s="7">
        <v>4.8520000000000003</v>
      </c>
      <c r="K1228" s="7">
        <v>4.7359999999999998</v>
      </c>
      <c r="L1228" s="7">
        <v>5.0030000000000001</v>
      </c>
      <c r="M1228" s="7">
        <v>5.194</v>
      </c>
      <c r="N1228" s="7">
        <v>5.6870000000000003</v>
      </c>
      <c r="O1228" s="7">
        <v>5.931</v>
      </c>
      <c r="P1228" s="7">
        <v>5.524</v>
      </c>
      <c r="Q1228" s="7">
        <v>5.0830000000000002</v>
      </c>
      <c r="R1228" s="7">
        <v>4.8239999999999998</v>
      </c>
      <c r="S1228" s="7">
        <f t="shared" si="19"/>
        <v>5.090749999999999</v>
      </c>
    </row>
    <row r="1229" spans="1:19">
      <c r="A1229" s="5" t="str">
        <f>B1229&amp;"-"&amp;COUNTIF($B$2:B1229,B1229)</f>
        <v>MARANHÃO-100</v>
      </c>
      <c r="B1229" s="5" t="s">
        <v>875</v>
      </c>
      <c r="C1229" s="5" t="s">
        <v>934</v>
      </c>
      <c r="D1229" s="6">
        <v>-450566</v>
      </c>
      <c r="E1229" s="6">
        <v>-46077</v>
      </c>
      <c r="F1229" s="7">
        <v>5.1180000000000003</v>
      </c>
      <c r="G1229" s="7">
        <v>4.6379999999999999</v>
      </c>
      <c r="H1229" s="7">
        <v>4.7889999999999997</v>
      </c>
      <c r="I1229" s="7">
        <v>4.875</v>
      </c>
      <c r="J1229" s="7">
        <v>4.8559999999999999</v>
      </c>
      <c r="K1229" s="7">
        <v>4.7709999999999999</v>
      </c>
      <c r="L1229" s="7">
        <v>5.0129999999999999</v>
      </c>
      <c r="M1229" s="7">
        <v>5.2050000000000001</v>
      </c>
      <c r="N1229" s="7">
        <v>5.7569999999999997</v>
      </c>
      <c r="O1229" s="7">
        <v>5.9870000000000001</v>
      </c>
      <c r="P1229" s="7">
        <v>5.5309999999999997</v>
      </c>
      <c r="Q1229" s="7">
        <v>5.133</v>
      </c>
      <c r="R1229" s="7">
        <v>4.8620000000000001</v>
      </c>
      <c r="S1229" s="7">
        <f t="shared" si="19"/>
        <v>5.1180833333333338</v>
      </c>
    </row>
    <row r="1230" spans="1:19">
      <c r="A1230" s="5" t="str">
        <f>B1230&amp;"-"&amp;COUNTIF($B$2:B1230,B1230)</f>
        <v>MARANHÃO-101</v>
      </c>
      <c r="B1230" s="5" t="s">
        <v>875</v>
      </c>
      <c r="C1230" s="5" t="s">
        <v>935</v>
      </c>
      <c r="D1230" s="6">
        <v>-449801</v>
      </c>
      <c r="E1230" s="6">
        <v>-46121</v>
      </c>
      <c r="F1230" s="7">
        <v>5.1379999999999999</v>
      </c>
      <c r="G1230" s="7">
        <v>4.6920000000000002</v>
      </c>
      <c r="H1230" s="7">
        <v>4.8310000000000004</v>
      </c>
      <c r="I1230" s="7">
        <v>4.9029999999999996</v>
      </c>
      <c r="J1230" s="7">
        <v>4.8419999999999996</v>
      </c>
      <c r="K1230" s="7">
        <v>4.8140000000000001</v>
      </c>
      <c r="L1230" s="7">
        <v>4.984</v>
      </c>
      <c r="M1230" s="7">
        <v>5.1769999999999996</v>
      </c>
      <c r="N1230" s="7">
        <v>5.7439999999999998</v>
      </c>
      <c r="O1230" s="7">
        <v>6.01</v>
      </c>
      <c r="P1230" s="7">
        <v>5.556</v>
      </c>
      <c r="Q1230" s="7">
        <v>5.1539999999999999</v>
      </c>
      <c r="R1230" s="7">
        <v>4.9489999999999998</v>
      </c>
      <c r="S1230" s="7">
        <f t="shared" si="19"/>
        <v>5.137999999999999</v>
      </c>
    </row>
    <row r="1231" spans="1:19">
      <c r="A1231" s="5" t="str">
        <f>B1231&amp;"-"&amp;COUNTIF($B$2:B1231,B1231)</f>
        <v>MARANHÃO-102</v>
      </c>
      <c r="B1231" s="5" t="s">
        <v>875</v>
      </c>
      <c r="C1231" s="5" t="s">
        <v>936</v>
      </c>
      <c r="D1231" s="6">
        <v>-449338</v>
      </c>
      <c r="E1231" s="6">
        <v>-40446</v>
      </c>
      <c r="F1231" s="7">
        <v>5.1639999999999997</v>
      </c>
      <c r="G1231" s="7">
        <v>4.7629999999999999</v>
      </c>
      <c r="H1231" s="7">
        <v>4.8460000000000001</v>
      </c>
      <c r="I1231" s="7">
        <v>4.9740000000000002</v>
      </c>
      <c r="J1231" s="7">
        <v>4.8780000000000001</v>
      </c>
      <c r="K1231" s="7">
        <v>4.8390000000000004</v>
      </c>
      <c r="L1231" s="7">
        <v>4.984</v>
      </c>
      <c r="M1231" s="7">
        <v>5.1580000000000004</v>
      </c>
      <c r="N1231" s="7">
        <v>5.6890000000000001</v>
      </c>
      <c r="O1231" s="7">
        <v>6.0330000000000004</v>
      </c>
      <c r="P1231" s="7">
        <v>5.5869999999999997</v>
      </c>
      <c r="Q1231" s="7">
        <v>5.1959999999999997</v>
      </c>
      <c r="R1231" s="7">
        <v>5.0250000000000004</v>
      </c>
      <c r="S1231" s="7">
        <f t="shared" si="19"/>
        <v>5.1643333333333334</v>
      </c>
    </row>
    <row r="1232" spans="1:19">
      <c r="A1232" s="5" t="str">
        <f>B1232&amp;"-"&amp;COUNTIF($B$2:B1232,B1232)</f>
        <v>MARANHÃO-103</v>
      </c>
      <c r="B1232" s="5" t="s">
        <v>875</v>
      </c>
      <c r="C1232" s="5" t="s">
        <v>937</v>
      </c>
      <c r="D1232" s="6">
        <v>-435278</v>
      </c>
      <c r="E1232" s="6">
        <v>-60477</v>
      </c>
      <c r="F1232" s="7">
        <v>5.4909999999999997</v>
      </c>
      <c r="G1232" s="7">
        <v>4.9009999999999998</v>
      </c>
      <c r="H1232" s="7">
        <v>5.0780000000000003</v>
      </c>
      <c r="I1232" s="7">
        <v>4.9740000000000002</v>
      </c>
      <c r="J1232" s="7">
        <v>5.05</v>
      </c>
      <c r="K1232" s="7">
        <v>5.1139999999999999</v>
      </c>
      <c r="L1232" s="7">
        <v>5.38</v>
      </c>
      <c r="M1232" s="7">
        <v>5.5960000000000001</v>
      </c>
      <c r="N1232" s="7">
        <v>6.2030000000000003</v>
      </c>
      <c r="O1232" s="7">
        <v>6.4859999999999998</v>
      </c>
      <c r="P1232" s="7">
        <v>6.1340000000000003</v>
      </c>
      <c r="Q1232" s="7">
        <v>5.7130000000000001</v>
      </c>
      <c r="R1232" s="7">
        <v>5.2619999999999996</v>
      </c>
      <c r="S1232" s="7">
        <f t="shared" si="19"/>
        <v>5.4909166666666671</v>
      </c>
    </row>
    <row r="1233" spans="1:19">
      <c r="A1233" s="5" t="str">
        <f>B1233&amp;"-"&amp;COUNTIF($B$2:B1233,B1233)</f>
        <v>MARANHÃO-104</v>
      </c>
      <c r="B1233" s="5" t="s">
        <v>875</v>
      </c>
      <c r="C1233" s="5" t="s">
        <v>3952</v>
      </c>
      <c r="D1233" s="6">
        <v>-45382</v>
      </c>
      <c r="E1233" s="6">
        <v>-49893</v>
      </c>
      <c r="F1233" s="7">
        <v>5.0709999999999997</v>
      </c>
      <c r="G1233" s="7">
        <v>4.5709999999999997</v>
      </c>
      <c r="H1233" s="7">
        <v>4.7560000000000002</v>
      </c>
      <c r="I1233" s="7">
        <v>4.7990000000000004</v>
      </c>
      <c r="J1233" s="7">
        <v>4.7990000000000004</v>
      </c>
      <c r="K1233" s="7">
        <v>4.7830000000000004</v>
      </c>
      <c r="L1233" s="7">
        <v>4.9880000000000004</v>
      </c>
      <c r="M1233" s="7">
        <v>5.2480000000000002</v>
      </c>
      <c r="N1233" s="7">
        <v>5.734</v>
      </c>
      <c r="O1233" s="7">
        <v>5.9130000000000003</v>
      </c>
      <c r="P1233" s="7">
        <v>5.41</v>
      </c>
      <c r="Q1233" s="7">
        <v>5.0359999999999996</v>
      </c>
      <c r="R1233" s="7">
        <v>4.8129999999999997</v>
      </c>
      <c r="S1233" s="7">
        <f t="shared" si="19"/>
        <v>5.0708333333333337</v>
      </c>
    </row>
    <row r="1234" spans="1:19">
      <c r="A1234" s="5" t="str">
        <f>B1234&amp;"-"&amp;COUNTIF($B$2:B1234,B1234)</f>
        <v>MARANHÃO-105</v>
      </c>
      <c r="B1234" s="5" t="s">
        <v>875</v>
      </c>
      <c r="C1234" s="5" t="s">
        <v>938</v>
      </c>
      <c r="D1234" s="6">
        <v>-470373</v>
      </c>
      <c r="E1234" s="6">
        <v>-61899</v>
      </c>
      <c r="F1234" s="7">
        <v>5.1280000000000001</v>
      </c>
      <c r="G1234" s="7">
        <v>4.6779999999999999</v>
      </c>
      <c r="H1234" s="7">
        <v>4.7919999999999998</v>
      </c>
      <c r="I1234" s="7">
        <v>4.7759999999999998</v>
      </c>
      <c r="J1234" s="7">
        <v>4.8620000000000001</v>
      </c>
      <c r="K1234" s="7">
        <v>4.9320000000000004</v>
      </c>
      <c r="L1234" s="7">
        <v>5.2670000000000003</v>
      </c>
      <c r="M1234" s="7">
        <v>5.4130000000000003</v>
      </c>
      <c r="N1234" s="7">
        <v>5.9580000000000002</v>
      </c>
      <c r="O1234" s="7">
        <v>5.8579999999999997</v>
      </c>
      <c r="P1234" s="7">
        <v>5.3220000000000001</v>
      </c>
      <c r="Q1234" s="7">
        <v>4.8789999999999996</v>
      </c>
      <c r="R1234" s="7">
        <v>4.7990000000000004</v>
      </c>
      <c r="S1234" s="7">
        <f t="shared" si="19"/>
        <v>5.1279999999999992</v>
      </c>
    </row>
    <row r="1235" spans="1:19">
      <c r="A1235" s="5" t="str">
        <f>B1235&amp;"-"&amp;COUNTIF($B$2:B1235,B1235)</f>
        <v>MARANHÃO-106</v>
      </c>
      <c r="B1235" s="5" t="s">
        <v>875</v>
      </c>
      <c r="C1235" s="5" t="s">
        <v>939</v>
      </c>
      <c r="D1235" s="6">
        <v>-44465</v>
      </c>
      <c r="E1235" s="6">
        <v>-45188</v>
      </c>
      <c r="F1235" s="7">
        <v>5.2510000000000003</v>
      </c>
      <c r="G1235" s="7">
        <v>4.71</v>
      </c>
      <c r="H1235" s="7">
        <v>4.819</v>
      </c>
      <c r="I1235" s="7">
        <v>4.8949999999999996</v>
      </c>
      <c r="J1235" s="7">
        <v>4.8710000000000004</v>
      </c>
      <c r="K1235" s="7">
        <v>4.8460000000000001</v>
      </c>
      <c r="L1235" s="7">
        <v>5.077</v>
      </c>
      <c r="M1235" s="7">
        <v>5.3159999999999998</v>
      </c>
      <c r="N1235" s="7">
        <v>5.8979999999999997</v>
      </c>
      <c r="O1235" s="7">
        <v>6.2519999999999998</v>
      </c>
      <c r="P1235" s="7">
        <v>5.8490000000000002</v>
      </c>
      <c r="Q1235" s="7">
        <v>5.4349999999999996</v>
      </c>
      <c r="R1235" s="7">
        <v>5.0469999999999997</v>
      </c>
      <c r="S1235" s="7">
        <f t="shared" si="19"/>
        <v>5.2512499999999998</v>
      </c>
    </row>
    <row r="1236" spans="1:19">
      <c r="A1236" s="5" t="str">
        <f>B1236&amp;"-"&amp;COUNTIF($B$2:B1236,B1236)</f>
        <v>MARANHÃO-107</v>
      </c>
      <c r="B1236" s="5" t="s">
        <v>875</v>
      </c>
      <c r="C1236" s="5" t="s">
        <v>940</v>
      </c>
      <c r="D1236" s="6">
        <v>-451389</v>
      </c>
      <c r="E1236" s="6">
        <v>-70864</v>
      </c>
      <c r="F1236" s="7">
        <v>5.4489999999999998</v>
      </c>
      <c r="G1236" s="7">
        <v>4.8730000000000002</v>
      </c>
      <c r="H1236" s="7">
        <v>5.1539999999999999</v>
      </c>
      <c r="I1236" s="7">
        <v>5.0949999999999998</v>
      </c>
      <c r="J1236" s="7">
        <v>5.1559999999999997</v>
      </c>
      <c r="K1236" s="7">
        <v>5.2270000000000003</v>
      </c>
      <c r="L1236" s="7">
        <v>5.3150000000000004</v>
      </c>
      <c r="M1236" s="7">
        <v>5.5970000000000004</v>
      </c>
      <c r="N1236" s="7">
        <v>6.06</v>
      </c>
      <c r="O1236" s="7">
        <v>6.5389999999999997</v>
      </c>
      <c r="P1236" s="7">
        <v>5.8949999999999996</v>
      </c>
      <c r="Q1236" s="7">
        <v>5.3390000000000004</v>
      </c>
      <c r="R1236" s="7">
        <v>5.1420000000000003</v>
      </c>
      <c r="S1236" s="7">
        <f t="shared" si="19"/>
        <v>5.4493333333333327</v>
      </c>
    </row>
    <row r="1237" spans="1:19">
      <c r="A1237" s="5" t="str">
        <f>B1237&amp;"-"&amp;COUNTIF($B$2:B1237,B1237)</f>
        <v>MARANHÃO-108</v>
      </c>
      <c r="B1237" s="5" t="s">
        <v>875</v>
      </c>
      <c r="C1237" s="5" t="s">
        <v>941</v>
      </c>
      <c r="D1237" s="6">
        <v>-458984</v>
      </c>
      <c r="E1237" s="6">
        <v>-13304</v>
      </c>
      <c r="F1237" s="7">
        <v>4.9210000000000003</v>
      </c>
      <c r="G1237" s="7">
        <v>4.7859999999999996</v>
      </c>
      <c r="H1237" s="7">
        <v>4.516</v>
      </c>
      <c r="I1237" s="7">
        <v>4.3609999999999998</v>
      </c>
      <c r="J1237" s="7">
        <v>4.2949999999999999</v>
      </c>
      <c r="K1237" s="7">
        <v>4.5380000000000003</v>
      </c>
      <c r="L1237" s="7">
        <v>4.7709999999999999</v>
      </c>
      <c r="M1237" s="7">
        <v>4.9390000000000001</v>
      </c>
      <c r="N1237" s="7">
        <v>5.3</v>
      </c>
      <c r="O1237" s="7">
        <v>5.6929999999999996</v>
      </c>
      <c r="P1237" s="7">
        <v>5.4640000000000004</v>
      </c>
      <c r="Q1237" s="7">
        <v>5.343</v>
      </c>
      <c r="R1237" s="7">
        <v>5.0469999999999997</v>
      </c>
      <c r="S1237" s="7">
        <f t="shared" si="19"/>
        <v>4.9210833333333328</v>
      </c>
    </row>
    <row r="1238" spans="1:19">
      <c r="A1238" s="5" t="str">
        <f>B1238&amp;"-"&amp;COUNTIF($B$2:B1238,B1238)</f>
        <v>MARANHÃO-109</v>
      </c>
      <c r="B1238" s="5" t="s">
        <v>875</v>
      </c>
      <c r="C1238" s="5" t="s">
        <v>5358</v>
      </c>
      <c r="D1238" s="6">
        <v>-422046</v>
      </c>
      <c r="E1238" s="6">
        <v>-33964</v>
      </c>
      <c r="F1238" s="7">
        <v>5.5780000000000003</v>
      </c>
      <c r="G1238" s="7">
        <v>5.21</v>
      </c>
      <c r="H1238" s="7">
        <v>5.3070000000000004</v>
      </c>
      <c r="I1238" s="7">
        <v>5.2469999999999999</v>
      </c>
      <c r="J1238" s="7">
        <v>5.0570000000000004</v>
      </c>
      <c r="K1238" s="7">
        <v>5.1420000000000003</v>
      </c>
      <c r="L1238" s="7">
        <v>5.3220000000000001</v>
      </c>
      <c r="M1238" s="7">
        <v>5.5170000000000003</v>
      </c>
      <c r="N1238" s="7">
        <v>5.9530000000000003</v>
      </c>
      <c r="O1238" s="7">
        <v>6.2629999999999999</v>
      </c>
      <c r="P1238" s="7">
        <v>6.3470000000000004</v>
      </c>
      <c r="Q1238" s="7">
        <v>6.0590000000000002</v>
      </c>
      <c r="R1238" s="7">
        <v>5.5140000000000002</v>
      </c>
      <c r="S1238" s="7">
        <f t="shared" si="19"/>
        <v>5.5781666666666672</v>
      </c>
    </row>
    <row r="1239" spans="1:19">
      <c r="A1239" s="5" t="str">
        <f>B1239&amp;"-"&amp;COUNTIF($B$2:B1239,B1239)</f>
        <v>MARANHÃO-110</v>
      </c>
      <c r="B1239" s="5" t="s">
        <v>875</v>
      </c>
      <c r="C1239" s="5" t="s">
        <v>4641</v>
      </c>
      <c r="D1239" s="6">
        <v>-459591</v>
      </c>
      <c r="E1239" s="6">
        <v>-20496</v>
      </c>
      <c r="F1239" s="7">
        <v>4.84</v>
      </c>
      <c r="G1239" s="7">
        <v>4.4859999999999998</v>
      </c>
      <c r="H1239" s="7">
        <v>4.4269999999999996</v>
      </c>
      <c r="I1239" s="7">
        <v>4.3639999999999999</v>
      </c>
      <c r="J1239" s="7">
        <v>4.383</v>
      </c>
      <c r="K1239" s="7">
        <v>4.5039999999999996</v>
      </c>
      <c r="L1239" s="7">
        <v>4.8289999999999997</v>
      </c>
      <c r="M1239" s="7">
        <v>4.9210000000000003</v>
      </c>
      <c r="N1239" s="7">
        <v>5.3840000000000003</v>
      </c>
      <c r="O1239" s="7">
        <v>5.601</v>
      </c>
      <c r="P1239" s="7">
        <v>5.3440000000000003</v>
      </c>
      <c r="Q1239" s="7">
        <v>5.1150000000000002</v>
      </c>
      <c r="R1239" s="7">
        <v>4.7229999999999999</v>
      </c>
      <c r="S1239" s="7">
        <f t="shared" si="19"/>
        <v>4.8400833333333333</v>
      </c>
    </row>
    <row r="1240" spans="1:19">
      <c r="A1240" s="5" t="str">
        <f>B1240&amp;"-"&amp;COUNTIF($B$2:B1240,B1240)</f>
        <v>MARANHÃO-111</v>
      </c>
      <c r="B1240" s="5" t="s">
        <v>875</v>
      </c>
      <c r="C1240" s="5" t="s">
        <v>5556</v>
      </c>
      <c r="D1240" s="6">
        <v>-454568</v>
      </c>
      <c r="E1240" s="6">
        <v>-46289</v>
      </c>
      <c r="F1240" s="7">
        <v>5.0819999999999999</v>
      </c>
      <c r="G1240" s="7">
        <v>4.6310000000000002</v>
      </c>
      <c r="H1240" s="7">
        <v>4.8369999999999997</v>
      </c>
      <c r="I1240" s="7">
        <v>4.9210000000000003</v>
      </c>
      <c r="J1240" s="7">
        <v>4.8920000000000003</v>
      </c>
      <c r="K1240" s="7">
        <v>4.8070000000000004</v>
      </c>
      <c r="L1240" s="7">
        <v>5.0140000000000002</v>
      </c>
      <c r="M1240" s="7">
        <v>5.1749999999999998</v>
      </c>
      <c r="N1240" s="7">
        <v>5.5659999999999998</v>
      </c>
      <c r="O1240" s="7">
        <v>5.8460000000000001</v>
      </c>
      <c r="P1240" s="7">
        <v>5.444</v>
      </c>
      <c r="Q1240" s="7">
        <v>5.0419999999999998</v>
      </c>
      <c r="R1240" s="7">
        <v>4.8079999999999998</v>
      </c>
      <c r="S1240" s="7">
        <f t="shared" si="19"/>
        <v>5.0819166666666673</v>
      </c>
    </row>
    <row r="1241" spans="1:19">
      <c r="A1241" s="5" t="str">
        <f>B1241&amp;"-"&amp;COUNTIF($B$2:B1241,B1241)</f>
        <v>MARANHÃO-112</v>
      </c>
      <c r="B1241" s="5" t="s">
        <v>875</v>
      </c>
      <c r="C1241" s="5" t="s">
        <v>3953</v>
      </c>
      <c r="D1241" s="6">
        <v>-458575</v>
      </c>
      <c r="E1241" s="6">
        <v>-22411</v>
      </c>
      <c r="F1241" s="7">
        <v>4.9130000000000003</v>
      </c>
      <c r="G1241" s="7">
        <v>4.5620000000000003</v>
      </c>
      <c r="H1241" s="7">
        <v>4.4619999999999997</v>
      </c>
      <c r="I1241" s="7">
        <v>4.3949999999999996</v>
      </c>
      <c r="J1241" s="7">
        <v>4.508</v>
      </c>
      <c r="K1241" s="7">
        <v>4.5599999999999996</v>
      </c>
      <c r="L1241" s="7">
        <v>4.8680000000000003</v>
      </c>
      <c r="M1241" s="7">
        <v>4.9870000000000001</v>
      </c>
      <c r="N1241" s="7">
        <v>5.5110000000000001</v>
      </c>
      <c r="O1241" s="7">
        <v>5.7270000000000003</v>
      </c>
      <c r="P1241" s="7">
        <v>5.4630000000000001</v>
      </c>
      <c r="Q1241" s="7">
        <v>5.173</v>
      </c>
      <c r="R1241" s="7">
        <v>4.7380000000000004</v>
      </c>
      <c r="S1241" s="7">
        <f t="shared" si="19"/>
        <v>4.9128333333333334</v>
      </c>
    </row>
    <row r="1242" spans="1:19">
      <c r="A1242" s="5" t="str">
        <f>B1242&amp;"-"&amp;COUNTIF($B$2:B1242,B1242)</f>
        <v>MARANHÃO-113</v>
      </c>
      <c r="B1242" s="5" t="s">
        <v>875</v>
      </c>
      <c r="C1242" s="5" t="s">
        <v>942</v>
      </c>
      <c r="D1242" s="6">
        <v>-431163</v>
      </c>
      <c r="E1242" s="5" t="s">
        <v>943</v>
      </c>
      <c r="F1242" s="7">
        <v>5.5549999999999997</v>
      </c>
      <c r="G1242" s="7">
        <v>5.0469999999999997</v>
      </c>
      <c r="H1242" s="7">
        <v>5.2220000000000004</v>
      </c>
      <c r="I1242" s="7">
        <v>5.2309999999999999</v>
      </c>
      <c r="J1242" s="7">
        <v>5.1390000000000002</v>
      </c>
      <c r="K1242" s="7">
        <v>5.0629999999999997</v>
      </c>
      <c r="L1242" s="7">
        <v>5.1970000000000001</v>
      </c>
      <c r="M1242" s="7">
        <v>5.476</v>
      </c>
      <c r="N1242" s="7">
        <v>6.0650000000000004</v>
      </c>
      <c r="O1242" s="7">
        <v>6.4189999999999996</v>
      </c>
      <c r="P1242" s="7">
        <v>6.2910000000000004</v>
      </c>
      <c r="Q1242" s="7">
        <v>5.97</v>
      </c>
      <c r="R1242" s="7">
        <v>5.5359999999999996</v>
      </c>
      <c r="S1242" s="7">
        <f t="shared" si="19"/>
        <v>5.554666666666666</v>
      </c>
    </row>
    <row r="1243" spans="1:19">
      <c r="A1243" s="5" t="str">
        <f>B1243&amp;"-"&amp;COUNTIF($B$2:B1243,B1243)</f>
        <v>MARANHÃO-114</v>
      </c>
      <c r="B1243" s="5" t="s">
        <v>875</v>
      </c>
      <c r="C1243" s="5" t="s">
        <v>5432</v>
      </c>
      <c r="D1243" s="6">
        <v>-432043</v>
      </c>
      <c r="E1243" s="6">
        <v>-5524</v>
      </c>
      <c r="F1243" s="7">
        <v>5.5129999999999999</v>
      </c>
      <c r="G1243" s="7">
        <v>4.952</v>
      </c>
      <c r="H1243" s="7">
        <v>5.0720000000000001</v>
      </c>
      <c r="I1243" s="7">
        <v>5.0259999999999998</v>
      </c>
      <c r="J1243" s="7">
        <v>4.9749999999999996</v>
      </c>
      <c r="K1243" s="7">
        <v>5.0540000000000003</v>
      </c>
      <c r="L1243" s="7">
        <v>5.3280000000000003</v>
      </c>
      <c r="M1243" s="7">
        <v>5.5919999999999996</v>
      </c>
      <c r="N1243" s="7">
        <v>6.22</v>
      </c>
      <c r="O1243" s="7">
        <v>6.5309999999999997</v>
      </c>
      <c r="P1243" s="7">
        <v>6.1840000000000002</v>
      </c>
      <c r="Q1243" s="7">
        <v>5.7830000000000004</v>
      </c>
      <c r="R1243" s="7">
        <v>5.4349999999999996</v>
      </c>
      <c r="S1243" s="7">
        <f t="shared" si="19"/>
        <v>5.512666666666667</v>
      </c>
    </row>
    <row r="1244" spans="1:19">
      <c r="A1244" s="5" t="str">
        <f>B1244&amp;"-"&amp;COUNTIF($B$2:B1244,B1244)</f>
        <v>MARANHÃO-115</v>
      </c>
      <c r="B1244" s="5" t="s">
        <v>875</v>
      </c>
      <c r="C1244" s="5" t="s">
        <v>5433</v>
      </c>
      <c r="D1244" s="6">
        <v>-445471</v>
      </c>
      <c r="E1244" s="6">
        <v>-36248</v>
      </c>
      <c r="F1244" s="7">
        <v>5.2</v>
      </c>
      <c r="G1244" s="7">
        <v>4.7160000000000002</v>
      </c>
      <c r="H1244" s="7">
        <v>4.8600000000000003</v>
      </c>
      <c r="I1244" s="7">
        <v>4.8849999999999998</v>
      </c>
      <c r="J1244" s="7">
        <v>4.8019999999999996</v>
      </c>
      <c r="K1244" s="7">
        <v>4.8520000000000003</v>
      </c>
      <c r="L1244" s="7">
        <v>5.0519999999999996</v>
      </c>
      <c r="M1244" s="7">
        <v>5.2270000000000003</v>
      </c>
      <c r="N1244" s="7">
        <v>5.81</v>
      </c>
      <c r="O1244" s="7">
        <v>6.0789999999999997</v>
      </c>
      <c r="P1244" s="7">
        <v>5.7270000000000003</v>
      </c>
      <c r="Q1244" s="7">
        <v>5.3220000000000001</v>
      </c>
      <c r="R1244" s="7">
        <v>5.0650000000000004</v>
      </c>
      <c r="S1244" s="7">
        <f t="shared" si="19"/>
        <v>5.1997500000000008</v>
      </c>
    </row>
    <row r="1245" spans="1:19">
      <c r="A1245" s="5" t="str">
        <f>B1245&amp;"-"&amp;COUNTIF($B$2:B1245,B1245)</f>
        <v>MARANHÃO-116</v>
      </c>
      <c r="B1245" s="5" t="s">
        <v>875</v>
      </c>
      <c r="C1245" s="5" t="s">
        <v>944</v>
      </c>
      <c r="D1245" s="6">
        <v>-450354</v>
      </c>
      <c r="E1245" s="6">
        <v>-30989</v>
      </c>
      <c r="F1245" s="7">
        <v>5.1440000000000001</v>
      </c>
      <c r="G1245" s="7">
        <v>4.6449999999999996</v>
      </c>
      <c r="H1245" s="7">
        <v>4.8890000000000002</v>
      </c>
      <c r="I1245" s="7">
        <v>4.8869999999999996</v>
      </c>
      <c r="J1245" s="7">
        <v>4.774</v>
      </c>
      <c r="K1245" s="7">
        <v>4.8730000000000002</v>
      </c>
      <c r="L1245" s="7">
        <v>5.0119999999999996</v>
      </c>
      <c r="M1245" s="7">
        <v>5.1180000000000003</v>
      </c>
      <c r="N1245" s="7">
        <v>5.6470000000000002</v>
      </c>
      <c r="O1245" s="7">
        <v>5.9160000000000004</v>
      </c>
      <c r="P1245" s="7">
        <v>5.6769999999999996</v>
      </c>
      <c r="Q1245" s="7">
        <v>5.31</v>
      </c>
      <c r="R1245" s="7">
        <v>4.9720000000000004</v>
      </c>
      <c r="S1245" s="7">
        <f t="shared" si="19"/>
        <v>5.1433333333333335</v>
      </c>
    </row>
    <row r="1246" spans="1:19">
      <c r="A1246" s="5" t="str">
        <f>B1246&amp;"-"&amp;COUNTIF($B$2:B1246,B1246)</f>
        <v>MARANHÃO-117</v>
      </c>
      <c r="B1246" s="5" t="s">
        <v>875</v>
      </c>
      <c r="C1246" s="5" t="s">
        <v>3954</v>
      </c>
      <c r="D1246" s="6">
        <v>-426072</v>
      </c>
      <c r="E1246" s="6">
        <v>-35822</v>
      </c>
      <c r="F1246" s="7">
        <v>5.6459999999999999</v>
      </c>
      <c r="G1246" s="7">
        <v>5.2779999999999996</v>
      </c>
      <c r="H1246" s="7">
        <v>5.2990000000000004</v>
      </c>
      <c r="I1246" s="7">
        <v>5.3769999999999998</v>
      </c>
      <c r="J1246" s="7">
        <v>5.17</v>
      </c>
      <c r="K1246" s="7">
        <v>5.2030000000000003</v>
      </c>
      <c r="L1246" s="7">
        <v>5.319</v>
      </c>
      <c r="M1246" s="7">
        <v>5.52</v>
      </c>
      <c r="N1246" s="7">
        <v>6.085</v>
      </c>
      <c r="O1246" s="7">
        <v>6.4169999999999998</v>
      </c>
      <c r="P1246" s="7">
        <v>6.359</v>
      </c>
      <c r="Q1246" s="7">
        <v>6.101</v>
      </c>
      <c r="R1246" s="7">
        <v>5.6310000000000002</v>
      </c>
      <c r="S1246" s="7">
        <f t="shared" si="19"/>
        <v>5.6465833333333331</v>
      </c>
    </row>
    <row r="1247" spans="1:19">
      <c r="A1247" s="5" t="str">
        <f>B1247&amp;"-"&amp;COUNTIF($B$2:B1247,B1247)</f>
        <v>MARANHÃO-118</v>
      </c>
      <c r="B1247" s="5" t="s">
        <v>875</v>
      </c>
      <c r="C1247" s="5" t="s">
        <v>945</v>
      </c>
      <c r="D1247" s="6">
        <v>-443686</v>
      </c>
      <c r="E1247" s="6">
        <v>-6375</v>
      </c>
      <c r="F1247" s="7">
        <v>5.4109999999999996</v>
      </c>
      <c r="G1247" s="7">
        <v>4.7610000000000001</v>
      </c>
      <c r="H1247" s="7">
        <v>4.944</v>
      </c>
      <c r="I1247" s="7">
        <v>4.9409999999999998</v>
      </c>
      <c r="J1247" s="7">
        <v>4.92</v>
      </c>
      <c r="K1247" s="7">
        <v>5.093</v>
      </c>
      <c r="L1247" s="7">
        <v>5.3739999999999997</v>
      </c>
      <c r="M1247" s="7">
        <v>5.6239999999999997</v>
      </c>
      <c r="N1247" s="7">
        <v>6.2629999999999999</v>
      </c>
      <c r="O1247" s="7">
        <v>6.5410000000000004</v>
      </c>
      <c r="P1247" s="7">
        <v>5.9349999999999996</v>
      </c>
      <c r="Q1247" s="7">
        <v>5.4470000000000001</v>
      </c>
      <c r="R1247" s="7">
        <v>5.093</v>
      </c>
      <c r="S1247" s="7">
        <f t="shared" si="19"/>
        <v>5.4113333333333342</v>
      </c>
    </row>
    <row r="1248" spans="1:19">
      <c r="A1248" s="5" t="str">
        <f>B1248&amp;"-"&amp;COUNTIF($B$2:B1248,B1248)</f>
        <v>MARANHÃO-119</v>
      </c>
      <c r="B1248" s="5" t="s">
        <v>875</v>
      </c>
      <c r="C1248" s="5" t="s">
        <v>946</v>
      </c>
      <c r="D1248" s="6">
        <v>-445818</v>
      </c>
      <c r="E1248" s="6">
        <v>-35635</v>
      </c>
      <c r="F1248" s="7">
        <v>5.2</v>
      </c>
      <c r="G1248" s="7">
        <v>4.7160000000000002</v>
      </c>
      <c r="H1248" s="7">
        <v>4.8600000000000003</v>
      </c>
      <c r="I1248" s="7">
        <v>4.8849999999999998</v>
      </c>
      <c r="J1248" s="7">
        <v>4.8019999999999996</v>
      </c>
      <c r="K1248" s="7">
        <v>4.8520000000000003</v>
      </c>
      <c r="L1248" s="7">
        <v>5.0519999999999996</v>
      </c>
      <c r="M1248" s="7">
        <v>5.2270000000000003</v>
      </c>
      <c r="N1248" s="7">
        <v>5.81</v>
      </c>
      <c r="O1248" s="7">
        <v>6.0789999999999997</v>
      </c>
      <c r="P1248" s="7">
        <v>5.7270000000000003</v>
      </c>
      <c r="Q1248" s="7">
        <v>5.3220000000000001</v>
      </c>
      <c r="R1248" s="7">
        <v>5.0650000000000004</v>
      </c>
      <c r="S1248" s="7">
        <f t="shared" si="19"/>
        <v>5.1997500000000008</v>
      </c>
    </row>
    <row r="1249" spans="1:19">
      <c r="A1249" s="5" t="str">
        <f>B1249&amp;"-"&amp;COUNTIF($B$2:B1249,B1249)</f>
        <v>MARANHÃO-120</v>
      </c>
      <c r="B1249" s="5" t="s">
        <v>875</v>
      </c>
      <c r="C1249" s="5" t="s">
        <v>947</v>
      </c>
      <c r="D1249" s="6">
        <v>-447847</v>
      </c>
      <c r="E1249" s="6">
        <v>-20672</v>
      </c>
      <c r="F1249" s="7">
        <v>5.03</v>
      </c>
      <c r="G1249" s="7">
        <v>4.7240000000000002</v>
      </c>
      <c r="H1249" s="7">
        <v>4.7</v>
      </c>
      <c r="I1249" s="7">
        <v>4.5750000000000002</v>
      </c>
      <c r="J1249" s="7">
        <v>4.4539999999999997</v>
      </c>
      <c r="K1249" s="7">
        <v>4.6680000000000001</v>
      </c>
      <c r="L1249" s="7">
        <v>4.9470000000000001</v>
      </c>
      <c r="M1249" s="7">
        <v>5.08</v>
      </c>
      <c r="N1249" s="7">
        <v>5.5810000000000004</v>
      </c>
      <c r="O1249" s="7">
        <v>5.7359999999999998</v>
      </c>
      <c r="P1249" s="7">
        <v>5.4710000000000001</v>
      </c>
      <c r="Q1249" s="7">
        <v>5.37</v>
      </c>
      <c r="R1249" s="7">
        <v>5.0540000000000003</v>
      </c>
      <c r="S1249" s="7">
        <f t="shared" si="19"/>
        <v>5.0299999999999994</v>
      </c>
    </row>
    <row r="1250" spans="1:19">
      <c r="A1250" s="5" t="str">
        <f>B1250&amp;"-"&amp;COUNTIF($B$2:B1250,B1250)</f>
        <v>MARANHÃO-121</v>
      </c>
      <c r="B1250" s="5" t="s">
        <v>875</v>
      </c>
      <c r="C1250" s="5" t="s">
        <v>4642</v>
      </c>
      <c r="D1250" s="5" t="s">
        <v>948</v>
      </c>
      <c r="E1250" s="6">
        <v>-34816</v>
      </c>
      <c r="F1250" s="7">
        <v>5.1529999999999996</v>
      </c>
      <c r="G1250" s="7">
        <v>4.6669999999999998</v>
      </c>
      <c r="H1250" s="7">
        <v>4.9219999999999997</v>
      </c>
      <c r="I1250" s="7">
        <v>4.9589999999999996</v>
      </c>
      <c r="J1250" s="7">
        <v>4.9640000000000004</v>
      </c>
      <c r="K1250" s="7">
        <v>4.7930000000000001</v>
      </c>
      <c r="L1250" s="7">
        <v>5.0369999999999999</v>
      </c>
      <c r="M1250" s="7">
        <v>5.1520000000000001</v>
      </c>
      <c r="N1250" s="7">
        <v>5.6050000000000004</v>
      </c>
      <c r="O1250" s="7">
        <v>5.8920000000000003</v>
      </c>
      <c r="P1250" s="7">
        <v>5.5730000000000004</v>
      </c>
      <c r="Q1250" s="7">
        <v>5.2770000000000001</v>
      </c>
      <c r="R1250" s="7">
        <v>4.9889999999999999</v>
      </c>
      <c r="S1250" s="7">
        <f t="shared" si="19"/>
        <v>5.1525000000000007</v>
      </c>
    </row>
    <row r="1251" spans="1:19">
      <c r="A1251" s="5" t="str">
        <f>B1251&amp;"-"&amp;COUNTIF($B$2:B1251,B1251)</f>
        <v>MARANHÃO-122</v>
      </c>
      <c r="B1251" s="5" t="s">
        <v>875</v>
      </c>
      <c r="C1251" s="5" t="s">
        <v>949</v>
      </c>
      <c r="D1251" s="6">
        <v>-470677</v>
      </c>
      <c r="E1251" s="6">
        <v>-58311</v>
      </c>
      <c r="F1251" s="7">
        <v>5.1180000000000003</v>
      </c>
      <c r="G1251" s="7">
        <v>4.7160000000000002</v>
      </c>
      <c r="H1251" s="7">
        <v>4.8</v>
      </c>
      <c r="I1251" s="7">
        <v>4.8099999999999996</v>
      </c>
      <c r="J1251" s="7">
        <v>4.88</v>
      </c>
      <c r="K1251" s="7">
        <v>4.9429999999999996</v>
      </c>
      <c r="L1251" s="7">
        <v>5.2229999999999999</v>
      </c>
      <c r="M1251" s="7">
        <v>5.3780000000000001</v>
      </c>
      <c r="N1251" s="7">
        <v>5.8540000000000001</v>
      </c>
      <c r="O1251" s="7">
        <v>5.76</v>
      </c>
      <c r="P1251" s="7">
        <v>5.2629999999999999</v>
      </c>
      <c r="Q1251" s="7">
        <v>4.9560000000000004</v>
      </c>
      <c r="R1251" s="7">
        <v>4.8369999999999997</v>
      </c>
      <c r="S1251" s="7">
        <f t="shared" si="19"/>
        <v>5.1183333333333332</v>
      </c>
    </row>
    <row r="1252" spans="1:19">
      <c r="A1252" s="5" t="str">
        <f>B1252&amp;"-"&amp;COUNTIF($B$2:B1252,B1252)</f>
        <v>MARANHÃO-123</v>
      </c>
      <c r="B1252" s="5" t="s">
        <v>875</v>
      </c>
      <c r="C1252" s="5" t="s">
        <v>950</v>
      </c>
      <c r="D1252" s="6">
        <v>-440364</v>
      </c>
      <c r="E1252" s="6">
        <v>-28659</v>
      </c>
      <c r="F1252" s="7">
        <v>4.9859999999999998</v>
      </c>
      <c r="G1252" s="7">
        <v>4.4790000000000001</v>
      </c>
      <c r="H1252" s="7">
        <v>4.5149999999999997</v>
      </c>
      <c r="I1252" s="7">
        <v>4.4950000000000001</v>
      </c>
      <c r="J1252" s="7">
        <v>4.4409999999999998</v>
      </c>
      <c r="K1252" s="7">
        <v>4.5869999999999997</v>
      </c>
      <c r="L1252" s="7">
        <v>4.9029999999999996</v>
      </c>
      <c r="M1252" s="7">
        <v>5.0490000000000004</v>
      </c>
      <c r="N1252" s="7">
        <v>5.5789999999999997</v>
      </c>
      <c r="O1252" s="7">
        <v>5.9349999999999996</v>
      </c>
      <c r="P1252" s="7">
        <v>5.6849999999999996</v>
      </c>
      <c r="Q1252" s="7">
        <v>5.3079999999999998</v>
      </c>
      <c r="R1252" s="7">
        <v>4.8570000000000002</v>
      </c>
      <c r="S1252" s="7">
        <f t="shared" si="19"/>
        <v>4.9860833333333341</v>
      </c>
    </row>
    <row r="1253" spans="1:19">
      <c r="A1253" s="5" t="str">
        <f>B1253&amp;"-"&amp;COUNTIF($B$2:B1253,B1253)</f>
        <v>MARANHÃO-124</v>
      </c>
      <c r="B1253" s="5" t="s">
        <v>875</v>
      </c>
      <c r="C1253" s="5" t="s">
        <v>951</v>
      </c>
      <c r="D1253" s="6">
        <v>-439115</v>
      </c>
      <c r="E1253" s="6">
        <v>-34676</v>
      </c>
      <c r="F1253" s="7">
        <v>5.3239999999999998</v>
      </c>
      <c r="G1253" s="7">
        <v>4.78</v>
      </c>
      <c r="H1253" s="7">
        <v>4.9020000000000001</v>
      </c>
      <c r="I1253" s="7">
        <v>5.0039999999999996</v>
      </c>
      <c r="J1253" s="7">
        <v>4.84</v>
      </c>
      <c r="K1253" s="7">
        <v>4.9589999999999996</v>
      </c>
      <c r="L1253" s="7">
        <v>5.1100000000000003</v>
      </c>
      <c r="M1253" s="7">
        <v>5.3010000000000002</v>
      </c>
      <c r="N1253" s="7">
        <v>5.8869999999999996</v>
      </c>
      <c r="O1253" s="7">
        <v>6.2619999999999996</v>
      </c>
      <c r="P1253" s="7">
        <v>6.056</v>
      </c>
      <c r="Q1253" s="7">
        <v>5.6029999999999998</v>
      </c>
      <c r="R1253" s="7">
        <v>5.1890000000000001</v>
      </c>
      <c r="S1253" s="7">
        <f t="shared" si="19"/>
        <v>5.324416666666667</v>
      </c>
    </row>
    <row r="1254" spans="1:19">
      <c r="A1254" s="5" t="str">
        <f>B1254&amp;"-"&amp;COUNTIF($B$2:B1254,B1254)</f>
        <v>MARANHÃO-125</v>
      </c>
      <c r="B1254" s="5" t="s">
        <v>875</v>
      </c>
      <c r="C1254" s="5" t="s">
        <v>952</v>
      </c>
      <c r="D1254" s="6">
        <v>-46261</v>
      </c>
      <c r="E1254" s="6">
        <v>-7123</v>
      </c>
      <c r="F1254" s="7">
        <v>5.2119999999999997</v>
      </c>
      <c r="G1254" s="7">
        <v>4.609</v>
      </c>
      <c r="H1254" s="7">
        <v>4.8099999999999996</v>
      </c>
      <c r="I1254" s="7">
        <v>4.6829999999999998</v>
      </c>
      <c r="J1254" s="7">
        <v>4.9169999999999998</v>
      </c>
      <c r="K1254" s="7">
        <v>5.085</v>
      </c>
      <c r="L1254" s="7">
        <v>5.3730000000000002</v>
      </c>
      <c r="M1254" s="7">
        <v>5.4749999999999996</v>
      </c>
      <c r="N1254" s="7">
        <v>6.0970000000000004</v>
      </c>
      <c r="O1254" s="7">
        <v>6.2530000000000001</v>
      </c>
      <c r="P1254" s="7">
        <v>5.4880000000000004</v>
      </c>
      <c r="Q1254" s="7">
        <v>4.9779999999999998</v>
      </c>
      <c r="R1254" s="7">
        <v>4.7690000000000001</v>
      </c>
      <c r="S1254" s="7">
        <f t="shared" si="19"/>
        <v>5.2114166666666666</v>
      </c>
    </row>
    <row r="1255" spans="1:19">
      <c r="A1255" s="5" t="str">
        <f>B1255&amp;"-"&amp;COUNTIF($B$2:B1255,B1255)</f>
        <v>MARANHÃO-126</v>
      </c>
      <c r="B1255" s="5" t="s">
        <v>875</v>
      </c>
      <c r="C1255" s="5" t="s">
        <v>953</v>
      </c>
      <c r="D1255" s="6">
        <v>-440475</v>
      </c>
      <c r="E1255" s="6">
        <v>-67309</v>
      </c>
      <c r="F1255" s="7">
        <v>5.5060000000000002</v>
      </c>
      <c r="G1255" s="7">
        <v>4.8940000000000001</v>
      </c>
      <c r="H1255" s="7">
        <v>5.0460000000000003</v>
      </c>
      <c r="I1255" s="7">
        <v>5.1369999999999996</v>
      </c>
      <c r="J1255" s="7">
        <v>5.1130000000000004</v>
      </c>
      <c r="K1255" s="7">
        <v>5.2</v>
      </c>
      <c r="L1255" s="7">
        <v>5.4409999999999998</v>
      </c>
      <c r="M1255" s="7">
        <v>5.5819999999999999</v>
      </c>
      <c r="N1255" s="7">
        <v>5.9960000000000004</v>
      </c>
      <c r="O1255" s="7">
        <v>6.5369999999999999</v>
      </c>
      <c r="P1255" s="7">
        <v>6.1870000000000003</v>
      </c>
      <c r="Q1255" s="7">
        <v>5.6630000000000003</v>
      </c>
      <c r="R1255" s="7">
        <v>5.2720000000000002</v>
      </c>
      <c r="S1255" s="7">
        <f t="shared" si="19"/>
        <v>5.5056666666666665</v>
      </c>
    </row>
    <row r="1256" spans="1:19">
      <c r="A1256" s="5" t="str">
        <f>B1256&amp;"-"&amp;COUNTIF($B$2:B1256,B1256)</f>
        <v>MARANHÃO-127</v>
      </c>
      <c r="B1256" s="5" t="s">
        <v>875</v>
      </c>
      <c r="C1256" s="5" t="s">
        <v>3955</v>
      </c>
      <c r="D1256" s="6">
        <v>-457024</v>
      </c>
      <c r="E1256" s="6">
        <v>-28063</v>
      </c>
      <c r="F1256" s="7">
        <v>4.9160000000000004</v>
      </c>
      <c r="G1256" s="7">
        <v>4.5039999999999996</v>
      </c>
      <c r="H1256" s="7">
        <v>4.7119999999999997</v>
      </c>
      <c r="I1256" s="7">
        <v>4.55</v>
      </c>
      <c r="J1256" s="7">
        <v>4.6740000000000004</v>
      </c>
      <c r="K1256" s="7">
        <v>4.7080000000000002</v>
      </c>
      <c r="L1256" s="7">
        <v>4.9059999999999997</v>
      </c>
      <c r="M1256" s="7">
        <v>4.9630000000000001</v>
      </c>
      <c r="N1256" s="7">
        <v>5.3559999999999999</v>
      </c>
      <c r="O1256" s="7">
        <v>5.5389999999999997</v>
      </c>
      <c r="P1256" s="7">
        <v>5.3159999999999998</v>
      </c>
      <c r="Q1256" s="7">
        <v>5.0839999999999996</v>
      </c>
      <c r="R1256" s="7">
        <v>4.6749999999999998</v>
      </c>
      <c r="S1256" s="7">
        <f t="shared" si="19"/>
        <v>4.9155833333333332</v>
      </c>
    </row>
    <row r="1257" spans="1:19">
      <c r="A1257" s="5" t="str">
        <f>B1257&amp;"-"&amp;COUNTIF($B$2:B1257,B1257)</f>
        <v>MARANHÃO-128</v>
      </c>
      <c r="B1257" s="5" t="s">
        <v>875</v>
      </c>
      <c r="C1257" s="5" t="s">
        <v>5359</v>
      </c>
      <c r="D1257" s="6">
        <v>-451191</v>
      </c>
      <c r="E1257" s="6">
        <v>-41376</v>
      </c>
      <c r="F1257" s="7">
        <v>5.1180000000000003</v>
      </c>
      <c r="G1257" s="7">
        <v>4.6920000000000002</v>
      </c>
      <c r="H1257" s="7">
        <v>4.8929999999999998</v>
      </c>
      <c r="I1257" s="7">
        <v>4.9619999999999997</v>
      </c>
      <c r="J1257" s="7">
        <v>4.883</v>
      </c>
      <c r="K1257" s="7">
        <v>4.79</v>
      </c>
      <c r="L1257" s="7">
        <v>4.9400000000000004</v>
      </c>
      <c r="M1257" s="7">
        <v>5.14</v>
      </c>
      <c r="N1257" s="7">
        <v>5.6059999999999999</v>
      </c>
      <c r="O1257" s="7">
        <v>5.9020000000000001</v>
      </c>
      <c r="P1257" s="7">
        <v>5.4980000000000002</v>
      </c>
      <c r="Q1257" s="7">
        <v>5.1879999999999997</v>
      </c>
      <c r="R1257" s="7">
        <v>4.923</v>
      </c>
      <c r="S1257" s="7">
        <f t="shared" si="19"/>
        <v>5.1180833333333338</v>
      </c>
    </row>
    <row r="1258" spans="1:19">
      <c r="A1258" s="5" t="str">
        <f>B1258&amp;"-"&amp;COUNTIF($B$2:B1258,B1258)</f>
        <v>MARANHÃO-129</v>
      </c>
      <c r="B1258" s="5" t="s">
        <v>875</v>
      </c>
      <c r="C1258" s="5" t="s">
        <v>3956</v>
      </c>
      <c r="D1258" s="6">
        <v>-449926</v>
      </c>
      <c r="E1258" s="6">
        <v>-30018</v>
      </c>
      <c r="F1258" s="7">
        <v>5.149</v>
      </c>
      <c r="G1258" s="7">
        <v>4.5990000000000002</v>
      </c>
      <c r="H1258" s="7">
        <v>4.8330000000000002</v>
      </c>
      <c r="I1258" s="7">
        <v>4.7779999999999996</v>
      </c>
      <c r="J1258" s="7">
        <v>4.7939999999999996</v>
      </c>
      <c r="K1258" s="7">
        <v>4.8460000000000001</v>
      </c>
      <c r="L1258" s="7">
        <v>5.04</v>
      </c>
      <c r="M1258" s="7">
        <v>5.1769999999999996</v>
      </c>
      <c r="N1258" s="7">
        <v>5.6660000000000004</v>
      </c>
      <c r="O1258" s="7">
        <v>5.923</v>
      </c>
      <c r="P1258" s="7">
        <v>5.6550000000000002</v>
      </c>
      <c r="Q1258" s="7">
        <v>5.4370000000000003</v>
      </c>
      <c r="R1258" s="7">
        <v>5.0410000000000004</v>
      </c>
      <c r="S1258" s="7">
        <f t="shared" si="19"/>
        <v>5.1490833333333335</v>
      </c>
    </row>
    <row r="1259" spans="1:19">
      <c r="A1259" s="5" t="str">
        <f>B1259&amp;"-"&amp;COUNTIF($B$2:B1259,B1259)</f>
        <v>MARANHÃO-130</v>
      </c>
      <c r="B1259" s="5" t="s">
        <v>875</v>
      </c>
      <c r="C1259" s="5" t="s">
        <v>4643</v>
      </c>
      <c r="D1259" s="6">
        <v>-441091</v>
      </c>
      <c r="E1259" s="6">
        <v>-25176</v>
      </c>
      <c r="F1259" s="7">
        <v>5.17</v>
      </c>
      <c r="G1259" s="7">
        <v>4.9059999999999997</v>
      </c>
      <c r="H1259" s="7">
        <v>4.9139999999999997</v>
      </c>
      <c r="I1259" s="7">
        <v>4.766</v>
      </c>
      <c r="J1259" s="7">
        <v>4.5890000000000004</v>
      </c>
      <c r="K1259" s="7">
        <v>4.6669999999999998</v>
      </c>
      <c r="L1259" s="7">
        <v>4.8330000000000002</v>
      </c>
      <c r="M1259" s="7">
        <v>5.0579999999999998</v>
      </c>
      <c r="N1259" s="7">
        <v>5.6559999999999997</v>
      </c>
      <c r="O1259" s="7">
        <v>5.9589999999999996</v>
      </c>
      <c r="P1259" s="7">
        <v>5.73</v>
      </c>
      <c r="Q1259" s="7">
        <v>5.5609999999999999</v>
      </c>
      <c r="R1259" s="7">
        <v>5.4020000000000001</v>
      </c>
      <c r="S1259" s="7">
        <f t="shared" si="19"/>
        <v>5.1700833333333334</v>
      </c>
    </row>
    <row r="1260" spans="1:19">
      <c r="A1260" s="5" t="str">
        <f>B1260&amp;"-"&amp;COUNTIF($B$2:B1260,B1260)</f>
        <v>MARANHÃO-131</v>
      </c>
      <c r="B1260" s="5" t="s">
        <v>875</v>
      </c>
      <c r="C1260" s="5" t="s">
        <v>4944</v>
      </c>
      <c r="D1260" s="6">
        <v>-448974</v>
      </c>
      <c r="E1260" s="6">
        <v>-26466</v>
      </c>
      <c r="F1260" s="7">
        <v>5.0979999999999999</v>
      </c>
      <c r="G1260" s="7">
        <v>4.68</v>
      </c>
      <c r="H1260" s="7">
        <v>4.7169999999999996</v>
      </c>
      <c r="I1260" s="7">
        <v>4.6609999999999996</v>
      </c>
      <c r="J1260" s="7">
        <v>4.7030000000000003</v>
      </c>
      <c r="K1260" s="7">
        <v>4.7519999999999998</v>
      </c>
      <c r="L1260" s="7">
        <v>5.0339999999999998</v>
      </c>
      <c r="M1260" s="7">
        <v>5.194</v>
      </c>
      <c r="N1260" s="7">
        <v>5.6639999999999997</v>
      </c>
      <c r="O1260" s="7">
        <v>5.8390000000000004</v>
      </c>
      <c r="P1260" s="7">
        <v>5.5860000000000003</v>
      </c>
      <c r="Q1260" s="7">
        <v>5.34</v>
      </c>
      <c r="R1260" s="7">
        <v>5.01</v>
      </c>
      <c r="S1260" s="7">
        <f t="shared" si="19"/>
        <v>5.0983333333333336</v>
      </c>
    </row>
    <row r="1261" spans="1:19">
      <c r="A1261" s="5" t="str">
        <f>B1261&amp;"-"&amp;COUNTIF($B$2:B1261,B1261)</f>
        <v>MARANHÃO-132</v>
      </c>
      <c r="B1261" s="5" t="s">
        <v>875</v>
      </c>
      <c r="C1261" s="5" t="s">
        <v>954</v>
      </c>
      <c r="D1261" s="6">
        <v>-439895</v>
      </c>
      <c r="E1261" s="6">
        <v>-6432</v>
      </c>
      <c r="F1261" s="7">
        <v>5.44</v>
      </c>
      <c r="G1261" s="7">
        <v>4.8010000000000002</v>
      </c>
      <c r="H1261" s="7">
        <v>4.9249999999999998</v>
      </c>
      <c r="I1261" s="7">
        <v>4.9470000000000001</v>
      </c>
      <c r="J1261" s="7">
        <v>4.9089999999999998</v>
      </c>
      <c r="K1261" s="7">
        <v>5.0590000000000002</v>
      </c>
      <c r="L1261" s="7">
        <v>5.3529999999999998</v>
      </c>
      <c r="M1261" s="7">
        <v>5.66</v>
      </c>
      <c r="N1261" s="7">
        <v>6.2919999999999998</v>
      </c>
      <c r="O1261" s="7">
        <v>6.6</v>
      </c>
      <c r="P1261" s="7">
        <v>6.0170000000000003</v>
      </c>
      <c r="Q1261" s="7">
        <v>5.5759999999999996</v>
      </c>
      <c r="R1261" s="7">
        <v>5.141</v>
      </c>
      <c r="S1261" s="7">
        <f t="shared" si="19"/>
        <v>5.44</v>
      </c>
    </row>
    <row r="1262" spans="1:19">
      <c r="A1262" s="5" t="str">
        <f>B1262&amp;"-"&amp;COUNTIF($B$2:B1262,B1262)</f>
        <v>MARANHÃO-133</v>
      </c>
      <c r="B1262" s="5" t="s">
        <v>875</v>
      </c>
      <c r="C1262" s="5" t="s">
        <v>955</v>
      </c>
      <c r="D1262" s="6">
        <v>-431069</v>
      </c>
      <c r="E1262" s="6">
        <v>-56839</v>
      </c>
      <c r="F1262" s="7">
        <v>5.5419999999999998</v>
      </c>
      <c r="G1262" s="7">
        <v>4.9480000000000004</v>
      </c>
      <c r="H1262" s="7">
        <v>5.149</v>
      </c>
      <c r="I1262" s="7">
        <v>5.0919999999999996</v>
      </c>
      <c r="J1262" s="7">
        <v>5.0519999999999996</v>
      </c>
      <c r="K1262" s="7">
        <v>5.0270000000000001</v>
      </c>
      <c r="L1262" s="7">
        <v>5.343</v>
      </c>
      <c r="M1262" s="7">
        <v>5.6029999999999998</v>
      </c>
      <c r="N1262" s="7">
        <v>6.2149999999999999</v>
      </c>
      <c r="O1262" s="7">
        <v>6.5179999999999998</v>
      </c>
      <c r="P1262" s="7">
        <v>6.2249999999999996</v>
      </c>
      <c r="Q1262" s="7">
        <v>5.8090000000000002</v>
      </c>
      <c r="R1262" s="7">
        <v>5.5289999999999999</v>
      </c>
      <c r="S1262" s="7">
        <f t="shared" si="19"/>
        <v>5.5425000000000004</v>
      </c>
    </row>
    <row r="1263" spans="1:19">
      <c r="A1263" s="5" t="str">
        <f>B1263&amp;"-"&amp;COUNTIF($B$2:B1263,B1263)</f>
        <v>MARANHÃO-134</v>
      </c>
      <c r="B1263" s="5" t="s">
        <v>875</v>
      </c>
      <c r="C1263" s="5" t="s">
        <v>956</v>
      </c>
      <c r="D1263" s="6">
        <v>-437759</v>
      </c>
      <c r="E1263" s="6">
        <v>-61779</v>
      </c>
      <c r="F1263" s="7">
        <v>5.4420000000000002</v>
      </c>
      <c r="G1263" s="7">
        <v>4.782</v>
      </c>
      <c r="H1263" s="7">
        <v>4.9649999999999999</v>
      </c>
      <c r="I1263" s="7">
        <v>4.8959999999999999</v>
      </c>
      <c r="J1263" s="7">
        <v>4.9409999999999998</v>
      </c>
      <c r="K1263" s="7">
        <v>5.0570000000000004</v>
      </c>
      <c r="L1263" s="7">
        <v>5.3630000000000004</v>
      </c>
      <c r="M1263" s="7">
        <v>5.6660000000000004</v>
      </c>
      <c r="N1263" s="7">
        <v>6.3159999999999998</v>
      </c>
      <c r="O1263" s="7">
        <v>6.5439999999999996</v>
      </c>
      <c r="P1263" s="7">
        <v>6.0609999999999999</v>
      </c>
      <c r="Q1263" s="7">
        <v>5.5819999999999999</v>
      </c>
      <c r="R1263" s="7">
        <v>5.1340000000000003</v>
      </c>
      <c r="S1263" s="7">
        <f t="shared" si="19"/>
        <v>5.4422500000000005</v>
      </c>
    </row>
    <row r="1264" spans="1:19">
      <c r="A1264" s="5" t="str">
        <f>B1264&amp;"-"&amp;COUNTIF($B$2:B1264,B1264)</f>
        <v>MARANHÃO-135</v>
      </c>
      <c r="B1264" s="5" t="s">
        <v>875</v>
      </c>
      <c r="C1264" s="5" t="s">
        <v>957</v>
      </c>
      <c r="D1264" s="6">
        <v>-440845</v>
      </c>
      <c r="E1264" s="6">
        <v>-65989</v>
      </c>
      <c r="F1264" s="7">
        <v>5.4669999999999996</v>
      </c>
      <c r="G1264" s="7">
        <v>4.8860000000000001</v>
      </c>
      <c r="H1264" s="7">
        <v>4.9859999999999998</v>
      </c>
      <c r="I1264" s="7">
        <v>4.9729999999999999</v>
      </c>
      <c r="J1264" s="7">
        <v>5.0129999999999999</v>
      </c>
      <c r="K1264" s="7">
        <v>5.1100000000000003</v>
      </c>
      <c r="L1264" s="7">
        <v>5.3869999999999996</v>
      </c>
      <c r="M1264" s="7">
        <v>5.6280000000000001</v>
      </c>
      <c r="N1264" s="7">
        <v>6.2089999999999996</v>
      </c>
      <c r="O1264" s="7">
        <v>6.5940000000000003</v>
      </c>
      <c r="P1264" s="7">
        <v>6.069</v>
      </c>
      <c r="Q1264" s="7">
        <v>5.5449999999999999</v>
      </c>
      <c r="R1264" s="7">
        <v>5.2039999999999997</v>
      </c>
      <c r="S1264" s="7">
        <f t="shared" si="19"/>
        <v>5.4669999999999996</v>
      </c>
    </row>
    <row r="1265" spans="1:19">
      <c r="A1265" s="5" t="str">
        <f>B1265&amp;"-"&amp;COUNTIF($B$2:B1265,B1265)</f>
        <v>MARANHÃO-136</v>
      </c>
      <c r="B1265" s="5" t="s">
        <v>875</v>
      </c>
      <c r="C1265" s="5" t="s">
        <v>958</v>
      </c>
      <c r="D1265" s="6">
        <v>-425369</v>
      </c>
      <c r="E1265" s="6">
        <v>-27222</v>
      </c>
      <c r="F1265" s="7">
        <v>5.2889999999999997</v>
      </c>
      <c r="G1265" s="7">
        <v>5.298</v>
      </c>
      <c r="H1265" s="7">
        <v>5.2939999999999996</v>
      </c>
      <c r="I1265" s="7">
        <v>5.133</v>
      </c>
      <c r="J1265" s="7">
        <v>4.9649999999999999</v>
      </c>
      <c r="K1265" s="7">
        <v>5.0309999999999997</v>
      </c>
      <c r="L1265" s="7">
        <v>5.0359999999999996</v>
      </c>
      <c r="M1265" s="7">
        <v>5.16</v>
      </c>
      <c r="N1265" s="7">
        <v>5.4009999999999998</v>
      </c>
      <c r="O1265" s="7">
        <v>5.4349999999999996</v>
      </c>
      <c r="P1265" s="7">
        <v>5.3869999999999996</v>
      </c>
      <c r="Q1265" s="7">
        <v>5.6710000000000003</v>
      </c>
      <c r="R1265" s="7">
        <v>5.6580000000000004</v>
      </c>
      <c r="S1265" s="7">
        <f t="shared" si="19"/>
        <v>5.2890833333333331</v>
      </c>
    </row>
    <row r="1266" spans="1:19">
      <c r="A1266" s="5" t="str">
        <f>B1266&amp;"-"&amp;COUNTIF($B$2:B1266,B1266)</f>
        <v>MARANHÃO-137</v>
      </c>
      <c r="B1266" s="5" t="s">
        <v>875</v>
      </c>
      <c r="C1266" s="5" t="s">
        <v>959</v>
      </c>
      <c r="D1266" s="6">
        <v>-452401</v>
      </c>
      <c r="E1266" s="6">
        <v>-44452</v>
      </c>
      <c r="F1266" s="7">
        <v>5.0519999999999996</v>
      </c>
      <c r="G1266" s="7">
        <v>4.5739999999999998</v>
      </c>
      <c r="H1266" s="7">
        <v>4.8170000000000002</v>
      </c>
      <c r="I1266" s="7">
        <v>4.9009999999999998</v>
      </c>
      <c r="J1266" s="7">
        <v>4.8499999999999996</v>
      </c>
      <c r="K1266" s="7">
        <v>4.7750000000000004</v>
      </c>
      <c r="L1266" s="7">
        <v>4.9349999999999996</v>
      </c>
      <c r="M1266" s="7">
        <v>5.1459999999999999</v>
      </c>
      <c r="N1266" s="7">
        <v>5.6</v>
      </c>
      <c r="O1266" s="7">
        <v>5.8529999999999998</v>
      </c>
      <c r="P1266" s="7">
        <v>5.3710000000000004</v>
      </c>
      <c r="Q1266" s="7">
        <v>5.0039999999999996</v>
      </c>
      <c r="R1266" s="7">
        <v>4.8029999999999999</v>
      </c>
      <c r="S1266" s="7">
        <f t="shared" si="19"/>
        <v>5.0524166666666668</v>
      </c>
    </row>
    <row r="1267" spans="1:19">
      <c r="A1267" s="5" t="str">
        <f>B1267&amp;"-"&amp;COUNTIF($B$2:B1267,B1267)</f>
        <v>MARANHÃO-138</v>
      </c>
      <c r="B1267" s="5" t="s">
        <v>875</v>
      </c>
      <c r="C1267" s="5" t="s">
        <v>960</v>
      </c>
      <c r="D1267" s="6">
        <v>-44601</v>
      </c>
      <c r="E1267" s="6">
        <v>-45652</v>
      </c>
      <c r="F1267" s="7">
        <v>5.2220000000000004</v>
      </c>
      <c r="G1267" s="7">
        <v>4.7519999999999998</v>
      </c>
      <c r="H1267" s="7">
        <v>4.851</v>
      </c>
      <c r="I1267" s="7">
        <v>4.9429999999999996</v>
      </c>
      <c r="J1267" s="7">
        <v>4.8650000000000002</v>
      </c>
      <c r="K1267" s="7">
        <v>4.8230000000000004</v>
      </c>
      <c r="L1267" s="7">
        <v>5.0640000000000001</v>
      </c>
      <c r="M1267" s="7">
        <v>5.298</v>
      </c>
      <c r="N1267" s="7">
        <v>5.8220000000000001</v>
      </c>
      <c r="O1267" s="7">
        <v>6.181</v>
      </c>
      <c r="P1267" s="7">
        <v>5.73</v>
      </c>
      <c r="Q1267" s="7">
        <v>5.3150000000000004</v>
      </c>
      <c r="R1267" s="7">
        <v>5.0129999999999999</v>
      </c>
      <c r="S1267" s="7">
        <f t="shared" si="19"/>
        <v>5.2214166666666673</v>
      </c>
    </row>
    <row r="1268" spans="1:19">
      <c r="A1268" s="5" t="str">
        <f>B1268&amp;"-"&amp;COUNTIF($B$2:B1268,B1268)</f>
        <v>MARANHÃO-139</v>
      </c>
      <c r="B1268" s="5" t="s">
        <v>875</v>
      </c>
      <c r="C1268" s="5" t="s">
        <v>5557</v>
      </c>
      <c r="D1268" s="6">
        <v>-453486</v>
      </c>
      <c r="E1268" s="6">
        <v>-29692</v>
      </c>
      <c r="F1268" s="7">
        <v>5.0330000000000004</v>
      </c>
      <c r="G1268" s="7">
        <v>4.6390000000000002</v>
      </c>
      <c r="H1268" s="7">
        <v>4.7439999999999998</v>
      </c>
      <c r="I1268" s="7">
        <v>4.6970000000000001</v>
      </c>
      <c r="J1268" s="7">
        <v>4.673</v>
      </c>
      <c r="K1268" s="7">
        <v>4.7249999999999996</v>
      </c>
      <c r="L1268" s="7">
        <v>4.93</v>
      </c>
      <c r="M1268" s="7">
        <v>5.0419999999999998</v>
      </c>
      <c r="N1268" s="7">
        <v>5.6029999999999998</v>
      </c>
      <c r="O1268" s="7">
        <v>5.7370000000000001</v>
      </c>
      <c r="P1268" s="7">
        <v>5.5229999999999997</v>
      </c>
      <c r="Q1268" s="7">
        <v>5.2380000000000004</v>
      </c>
      <c r="R1268" s="7">
        <v>4.84</v>
      </c>
      <c r="S1268" s="7">
        <f t="shared" si="19"/>
        <v>5.0325833333333341</v>
      </c>
    </row>
    <row r="1269" spans="1:19">
      <c r="A1269" s="5" t="str">
        <f>B1269&amp;"-"&amp;COUNTIF($B$2:B1269,B1269)</f>
        <v>MARANHÃO-140</v>
      </c>
      <c r="B1269" s="5" t="s">
        <v>875</v>
      </c>
      <c r="C1269" s="5" t="s">
        <v>961</v>
      </c>
      <c r="D1269" s="6">
        <v>-451772</v>
      </c>
      <c r="E1269" s="6">
        <v>-32771</v>
      </c>
      <c r="F1269" s="7">
        <v>5.2720000000000002</v>
      </c>
      <c r="G1269" s="7">
        <v>4.7480000000000002</v>
      </c>
      <c r="H1269" s="7">
        <v>5.0540000000000003</v>
      </c>
      <c r="I1269" s="7">
        <v>5.0599999999999996</v>
      </c>
      <c r="J1269" s="7">
        <v>5</v>
      </c>
      <c r="K1269" s="7">
        <v>4.9400000000000004</v>
      </c>
      <c r="L1269" s="7">
        <v>5.1289999999999996</v>
      </c>
      <c r="M1269" s="7">
        <v>5.2569999999999997</v>
      </c>
      <c r="N1269" s="7">
        <v>5.7489999999999997</v>
      </c>
      <c r="O1269" s="7">
        <v>6.0469999999999997</v>
      </c>
      <c r="P1269" s="7">
        <v>5.7770000000000001</v>
      </c>
      <c r="Q1269" s="7">
        <v>5.4130000000000003</v>
      </c>
      <c r="R1269" s="7">
        <v>5.0949999999999998</v>
      </c>
      <c r="S1269" s="7">
        <f t="shared" si="19"/>
        <v>5.2724166666666656</v>
      </c>
    </row>
    <row r="1270" spans="1:19">
      <c r="A1270" s="5" t="str">
        <f>B1270&amp;"-"&amp;COUNTIF($B$2:B1270,B1270)</f>
        <v>MARANHÃO-141</v>
      </c>
      <c r="B1270" s="5" t="s">
        <v>875</v>
      </c>
      <c r="C1270" s="5" t="s">
        <v>962</v>
      </c>
      <c r="D1270" s="6">
        <v>-448549</v>
      </c>
      <c r="E1270" s="6">
        <v>-25778</v>
      </c>
      <c r="F1270" s="7">
        <v>5.0979999999999999</v>
      </c>
      <c r="G1270" s="7">
        <v>4.68</v>
      </c>
      <c r="H1270" s="7">
        <v>4.7169999999999996</v>
      </c>
      <c r="I1270" s="7">
        <v>4.6609999999999996</v>
      </c>
      <c r="J1270" s="7">
        <v>4.7030000000000003</v>
      </c>
      <c r="K1270" s="7">
        <v>4.7519999999999998</v>
      </c>
      <c r="L1270" s="7">
        <v>5.0339999999999998</v>
      </c>
      <c r="M1270" s="7">
        <v>5.194</v>
      </c>
      <c r="N1270" s="7">
        <v>5.6639999999999997</v>
      </c>
      <c r="O1270" s="7">
        <v>5.8390000000000004</v>
      </c>
      <c r="P1270" s="7">
        <v>5.5860000000000003</v>
      </c>
      <c r="Q1270" s="7">
        <v>5.34</v>
      </c>
      <c r="R1270" s="7">
        <v>5.01</v>
      </c>
      <c r="S1270" s="7">
        <f t="shared" si="19"/>
        <v>5.0983333333333336</v>
      </c>
    </row>
    <row r="1271" spans="1:19">
      <c r="A1271" s="5" t="str">
        <f>B1271&amp;"-"&amp;COUNTIF($B$2:B1271,B1271)</f>
        <v>MARANHÃO-142</v>
      </c>
      <c r="B1271" s="5" t="s">
        <v>875</v>
      </c>
      <c r="C1271" s="5" t="s">
        <v>5095</v>
      </c>
      <c r="D1271" s="6">
        <v>-443313</v>
      </c>
      <c r="E1271" s="6">
        <v>-4373</v>
      </c>
      <c r="F1271" s="7">
        <v>5.2969999999999997</v>
      </c>
      <c r="G1271" s="7">
        <v>4.6959999999999997</v>
      </c>
      <c r="H1271" s="7">
        <v>4.8890000000000002</v>
      </c>
      <c r="I1271" s="7">
        <v>4.9539999999999997</v>
      </c>
      <c r="J1271" s="7">
        <v>4.8719999999999999</v>
      </c>
      <c r="K1271" s="7">
        <v>4.8869999999999996</v>
      </c>
      <c r="L1271" s="7">
        <v>5.0419999999999998</v>
      </c>
      <c r="M1271" s="7">
        <v>5.383</v>
      </c>
      <c r="N1271" s="7">
        <v>5.9420000000000002</v>
      </c>
      <c r="O1271" s="7">
        <v>6.2930000000000001</v>
      </c>
      <c r="P1271" s="7">
        <v>5.9539999999999997</v>
      </c>
      <c r="Q1271" s="7">
        <v>5.5389999999999997</v>
      </c>
      <c r="R1271" s="7">
        <v>5.1189999999999998</v>
      </c>
      <c r="S1271" s="7">
        <f t="shared" si="19"/>
        <v>5.2975000000000003</v>
      </c>
    </row>
    <row r="1272" spans="1:19">
      <c r="A1272" s="5" t="str">
        <f>B1272&amp;"-"&amp;COUNTIF($B$2:B1272,B1272)</f>
        <v>MARANHÃO-143</v>
      </c>
      <c r="B1272" s="5" t="s">
        <v>875</v>
      </c>
      <c r="C1272" s="5" t="s">
        <v>4310</v>
      </c>
      <c r="D1272" s="6">
        <v>-453423</v>
      </c>
      <c r="E1272" s="6">
        <v>-36102</v>
      </c>
      <c r="F1272" s="7">
        <v>5.1479999999999997</v>
      </c>
      <c r="G1272" s="7">
        <v>4.726</v>
      </c>
      <c r="H1272" s="7">
        <v>4.96</v>
      </c>
      <c r="I1272" s="7">
        <v>4.9720000000000004</v>
      </c>
      <c r="J1272" s="7">
        <v>4.992</v>
      </c>
      <c r="K1272" s="7">
        <v>4.8490000000000002</v>
      </c>
      <c r="L1272" s="7">
        <v>4.9850000000000003</v>
      </c>
      <c r="M1272" s="7">
        <v>5.157</v>
      </c>
      <c r="N1272" s="7">
        <v>5.6219999999999999</v>
      </c>
      <c r="O1272" s="7">
        <v>5.8479999999999999</v>
      </c>
      <c r="P1272" s="7">
        <v>5.53</v>
      </c>
      <c r="Q1272" s="7">
        <v>5.149</v>
      </c>
      <c r="R1272" s="7">
        <v>4.9800000000000004</v>
      </c>
      <c r="S1272" s="7">
        <f t="shared" si="19"/>
        <v>5.1475000000000009</v>
      </c>
    </row>
    <row r="1273" spans="1:19">
      <c r="A1273" s="5" t="str">
        <f>B1273&amp;"-"&amp;COUNTIF($B$2:B1273,B1273)</f>
        <v>MARANHÃO-144</v>
      </c>
      <c r="B1273" s="5" t="s">
        <v>875</v>
      </c>
      <c r="C1273" s="5" t="s">
        <v>963</v>
      </c>
      <c r="D1273" s="6">
        <v>-450792</v>
      </c>
      <c r="E1273" s="6">
        <v>-25226</v>
      </c>
      <c r="F1273" s="7">
        <v>5.0359999999999996</v>
      </c>
      <c r="G1273" s="7">
        <v>4.67</v>
      </c>
      <c r="H1273" s="7">
        <v>4.67</v>
      </c>
      <c r="I1273" s="7">
        <v>4.5579999999999998</v>
      </c>
      <c r="J1273" s="7">
        <v>4.4939999999999998</v>
      </c>
      <c r="K1273" s="7">
        <v>4.7089999999999996</v>
      </c>
      <c r="L1273" s="7">
        <v>4.968</v>
      </c>
      <c r="M1273" s="7">
        <v>5.1100000000000003</v>
      </c>
      <c r="N1273" s="7">
        <v>5.665</v>
      </c>
      <c r="O1273" s="7">
        <v>5.8209999999999997</v>
      </c>
      <c r="P1273" s="7">
        <v>5.5439999999999996</v>
      </c>
      <c r="Q1273" s="7">
        <v>5.31</v>
      </c>
      <c r="R1273" s="7">
        <v>4.9119999999999999</v>
      </c>
      <c r="S1273" s="7">
        <f t="shared" si="19"/>
        <v>5.0359166666666662</v>
      </c>
    </row>
    <row r="1274" spans="1:19">
      <c r="A1274" s="5" t="str">
        <f>B1274&amp;"-"&amp;COUNTIF($B$2:B1274,B1274)</f>
        <v>MARANHÃO-145</v>
      </c>
      <c r="B1274" s="5" t="s">
        <v>875</v>
      </c>
      <c r="C1274" s="5" t="s">
        <v>964</v>
      </c>
      <c r="D1274" s="6">
        <v>-451763</v>
      </c>
      <c r="E1274" s="6">
        <v>-38935</v>
      </c>
      <c r="F1274" s="7">
        <v>5.1369999999999996</v>
      </c>
      <c r="G1274" s="7">
        <v>4.6900000000000004</v>
      </c>
      <c r="H1274" s="7">
        <v>4.9240000000000004</v>
      </c>
      <c r="I1274" s="7">
        <v>4.9450000000000003</v>
      </c>
      <c r="J1274" s="7">
        <v>4.8890000000000002</v>
      </c>
      <c r="K1274" s="7">
        <v>4.7969999999999997</v>
      </c>
      <c r="L1274" s="7">
        <v>4.9870000000000001</v>
      </c>
      <c r="M1274" s="7">
        <v>5.1539999999999999</v>
      </c>
      <c r="N1274" s="7">
        <v>5.61</v>
      </c>
      <c r="O1274" s="7">
        <v>5.9139999999999997</v>
      </c>
      <c r="P1274" s="7">
        <v>5.5679999999999996</v>
      </c>
      <c r="Q1274" s="7">
        <v>5.1870000000000003</v>
      </c>
      <c r="R1274" s="7">
        <v>4.9720000000000004</v>
      </c>
      <c r="S1274" s="7">
        <f t="shared" si="19"/>
        <v>5.1364166666666664</v>
      </c>
    </row>
    <row r="1275" spans="1:19">
      <c r="A1275" s="5" t="str">
        <f>B1275&amp;"-"&amp;COUNTIF($B$2:B1275,B1275)</f>
        <v>MARANHÃO-146</v>
      </c>
      <c r="B1275" s="5" t="s">
        <v>875</v>
      </c>
      <c r="C1275" s="5" t="s">
        <v>965</v>
      </c>
      <c r="D1275" s="6">
        <v>-442292</v>
      </c>
      <c r="E1275" s="6">
        <v>-3726</v>
      </c>
      <c r="F1275" s="7">
        <v>5.3159999999999998</v>
      </c>
      <c r="G1275" s="7">
        <v>4.7850000000000001</v>
      </c>
      <c r="H1275" s="7">
        <v>5.0049999999999999</v>
      </c>
      <c r="I1275" s="7">
        <v>5.0149999999999997</v>
      </c>
      <c r="J1275" s="7">
        <v>4.8769999999999998</v>
      </c>
      <c r="K1275" s="7">
        <v>4.9509999999999996</v>
      </c>
      <c r="L1275" s="7">
        <v>5.1189999999999998</v>
      </c>
      <c r="M1275" s="7">
        <v>5.3250000000000002</v>
      </c>
      <c r="N1275" s="7">
        <v>5.899</v>
      </c>
      <c r="O1275" s="7">
        <v>6.16</v>
      </c>
      <c r="P1275" s="7">
        <v>5.944</v>
      </c>
      <c r="Q1275" s="7">
        <v>5.5350000000000001</v>
      </c>
      <c r="R1275" s="7">
        <v>5.1829999999999998</v>
      </c>
      <c r="S1275" s="7">
        <f t="shared" si="19"/>
        <v>5.3164999999999996</v>
      </c>
    </row>
    <row r="1276" spans="1:19">
      <c r="A1276" s="5" t="str">
        <f>B1276&amp;"-"&amp;COUNTIF($B$2:B1276,B1276)</f>
        <v>MARANHÃO-147</v>
      </c>
      <c r="B1276" s="5" t="s">
        <v>875</v>
      </c>
      <c r="C1276" s="5" t="s">
        <v>4644</v>
      </c>
      <c r="D1276" s="6">
        <v>-449426</v>
      </c>
      <c r="E1276" s="6">
        <v>-47511</v>
      </c>
      <c r="F1276" s="7">
        <v>5.1769999999999996</v>
      </c>
      <c r="G1276" s="7">
        <v>4.6849999999999996</v>
      </c>
      <c r="H1276" s="7">
        <v>4.8730000000000002</v>
      </c>
      <c r="I1276" s="7">
        <v>4.8570000000000002</v>
      </c>
      <c r="J1276" s="7">
        <v>4.859</v>
      </c>
      <c r="K1276" s="7">
        <v>4.8410000000000002</v>
      </c>
      <c r="L1276" s="7">
        <v>5.0250000000000004</v>
      </c>
      <c r="M1276" s="7">
        <v>5.2590000000000003</v>
      </c>
      <c r="N1276" s="7">
        <v>5.8319999999999999</v>
      </c>
      <c r="O1276" s="7">
        <v>6.0880000000000001</v>
      </c>
      <c r="P1276" s="7">
        <v>5.6280000000000001</v>
      </c>
      <c r="Q1276" s="7">
        <v>5.2229999999999999</v>
      </c>
      <c r="R1276" s="7">
        <v>4.9480000000000004</v>
      </c>
      <c r="S1276" s="7">
        <f t="shared" si="19"/>
        <v>5.1764999999999999</v>
      </c>
    </row>
    <row r="1277" spans="1:19">
      <c r="A1277" s="5" t="str">
        <f>B1277&amp;"-"&amp;COUNTIF($B$2:B1277,B1277)</f>
        <v>MARANHÃO-148</v>
      </c>
      <c r="B1277" s="5" t="s">
        <v>875</v>
      </c>
      <c r="C1277" s="5" t="s">
        <v>966</v>
      </c>
      <c r="D1277" s="6">
        <v>-473966</v>
      </c>
      <c r="E1277" s="6">
        <v>-63419</v>
      </c>
      <c r="F1277" s="7">
        <v>5.1289999999999996</v>
      </c>
      <c r="G1277" s="7">
        <v>4.7720000000000002</v>
      </c>
      <c r="H1277" s="7">
        <v>4.87</v>
      </c>
      <c r="I1277" s="7">
        <v>4.8769999999999998</v>
      </c>
      <c r="J1277" s="7">
        <v>4.9130000000000003</v>
      </c>
      <c r="K1277" s="7">
        <v>4.9169999999999998</v>
      </c>
      <c r="L1277" s="7">
        <v>5.1680000000000001</v>
      </c>
      <c r="M1277" s="7">
        <v>5.3639999999999999</v>
      </c>
      <c r="N1277" s="7">
        <v>5.907</v>
      </c>
      <c r="O1277" s="7">
        <v>5.7949999999999999</v>
      </c>
      <c r="P1277" s="7">
        <v>5.282</v>
      </c>
      <c r="Q1277" s="7">
        <v>4.8819999999999997</v>
      </c>
      <c r="R1277" s="7">
        <v>4.8029999999999999</v>
      </c>
      <c r="S1277" s="7">
        <f t="shared" si="19"/>
        <v>5.1291666666666655</v>
      </c>
    </row>
    <row r="1278" spans="1:19">
      <c r="A1278" s="5" t="str">
        <f>B1278&amp;"-"&amp;COUNTIF($B$2:B1278,B1278)</f>
        <v>MARANHÃO-149</v>
      </c>
      <c r="B1278" s="5" t="s">
        <v>875</v>
      </c>
      <c r="C1278" s="5" t="s">
        <v>3957</v>
      </c>
      <c r="D1278" s="6">
        <v>-445955</v>
      </c>
      <c r="E1278" s="6">
        <v>-18624</v>
      </c>
      <c r="F1278" s="7">
        <v>5.1820000000000004</v>
      </c>
      <c r="G1278" s="7">
        <v>4.9889999999999999</v>
      </c>
      <c r="H1278" s="7">
        <v>4.9950000000000001</v>
      </c>
      <c r="I1278" s="7">
        <v>4.7939999999999996</v>
      </c>
      <c r="J1278" s="7">
        <v>4.5609999999999999</v>
      </c>
      <c r="K1278" s="7">
        <v>4.8440000000000003</v>
      </c>
      <c r="L1278" s="7">
        <v>5.0430000000000001</v>
      </c>
      <c r="M1278" s="7">
        <v>5.0919999999999996</v>
      </c>
      <c r="N1278" s="7">
        <v>5.47</v>
      </c>
      <c r="O1278" s="7">
        <v>5.8090000000000002</v>
      </c>
      <c r="P1278" s="7">
        <v>5.6779999999999999</v>
      </c>
      <c r="Q1278" s="7">
        <v>5.6029999999999998</v>
      </c>
      <c r="R1278" s="7">
        <v>5.3090000000000002</v>
      </c>
      <c r="S1278" s="7">
        <f t="shared" si="19"/>
        <v>5.1822499999999989</v>
      </c>
    </row>
    <row r="1279" spans="1:19">
      <c r="A1279" s="5" t="str">
        <f>B1279&amp;"-"&amp;COUNTIF($B$2:B1279,B1279)</f>
        <v>MARANHÃO-150</v>
      </c>
      <c r="B1279" s="5" t="s">
        <v>875</v>
      </c>
      <c r="C1279" s="5" t="s">
        <v>503</v>
      </c>
      <c r="D1279" s="6">
        <v>-444953</v>
      </c>
      <c r="E1279" s="6">
        <v>-52902</v>
      </c>
      <c r="F1279" s="7">
        <v>5.298</v>
      </c>
      <c r="G1279" s="7">
        <v>4.8259999999999996</v>
      </c>
      <c r="H1279" s="7">
        <v>4.883</v>
      </c>
      <c r="I1279" s="7">
        <v>4.9569999999999999</v>
      </c>
      <c r="J1279" s="7">
        <v>4.9160000000000004</v>
      </c>
      <c r="K1279" s="7">
        <v>4.952</v>
      </c>
      <c r="L1279" s="7">
        <v>5.1539999999999999</v>
      </c>
      <c r="M1279" s="7">
        <v>5.4210000000000003</v>
      </c>
      <c r="N1279" s="7">
        <v>6.0510000000000002</v>
      </c>
      <c r="O1279" s="7">
        <v>6.2619999999999996</v>
      </c>
      <c r="P1279" s="7">
        <v>5.7130000000000001</v>
      </c>
      <c r="Q1279" s="7">
        <v>5.3630000000000004</v>
      </c>
      <c r="R1279" s="7">
        <v>5.0789999999999997</v>
      </c>
      <c r="S1279" s="7">
        <f t="shared" si="19"/>
        <v>5.2980833333333335</v>
      </c>
    </row>
    <row r="1280" spans="1:19">
      <c r="A1280" s="5" t="str">
        <f>B1280&amp;"-"&amp;COUNTIF($B$2:B1280,B1280)</f>
        <v>MARANHÃO-151</v>
      </c>
      <c r="B1280" s="5" t="s">
        <v>875</v>
      </c>
      <c r="C1280" s="5" t="s">
        <v>967</v>
      </c>
      <c r="D1280" s="6">
        <v>-440714</v>
      </c>
      <c r="E1280" s="6">
        <v>-29277</v>
      </c>
      <c r="F1280" s="7">
        <v>4.9859999999999998</v>
      </c>
      <c r="G1280" s="7">
        <v>4.4790000000000001</v>
      </c>
      <c r="H1280" s="7">
        <v>4.5149999999999997</v>
      </c>
      <c r="I1280" s="7">
        <v>4.4950000000000001</v>
      </c>
      <c r="J1280" s="7">
        <v>4.4409999999999998</v>
      </c>
      <c r="K1280" s="7">
        <v>4.5869999999999997</v>
      </c>
      <c r="L1280" s="7">
        <v>4.9029999999999996</v>
      </c>
      <c r="M1280" s="7">
        <v>5.0490000000000004</v>
      </c>
      <c r="N1280" s="7">
        <v>5.5789999999999997</v>
      </c>
      <c r="O1280" s="7">
        <v>5.9349999999999996</v>
      </c>
      <c r="P1280" s="7">
        <v>5.6849999999999996</v>
      </c>
      <c r="Q1280" s="7">
        <v>5.3079999999999998</v>
      </c>
      <c r="R1280" s="7">
        <v>4.8570000000000002</v>
      </c>
      <c r="S1280" s="7">
        <f t="shared" si="19"/>
        <v>4.9860833333333341</v>
      </c>
    </row>
    <row r="1281" spans="1:19">
      <c r="A1281" s="5" t="str">
        <f>B1281&amp;"-"&amp;COUNTIF($B$2:B1281,B1281)</f>
        <v>MARANHÃO-152</v>
      </c>
      <c r="B1281" s="5" t="s">
        <v>875</v>
      </c>
      <c r="C1281" s="5" t="s">
        <v>4311</v>
      </c>
      <c r="D1281" s="6">
        <v>-458237</v>
      </c>
      <c r="E1281" s="6">
        <v>-2376</v>
      </c>
      <c r="F1281" s="7">
        <v>4.92</v>
      </c>
      <c r="G1281" s="7">
        <v>4.51</v>
      </c>
      <c r="H1281" s="7">
        <v>4.5490000000000004</v>
      </c>
      <c r="I1281" s="7">
        <v>4.4660000000000002</v>
      </c>
      <c r="J1281" s="7">
        <v>4.625</v>
      </c>
      <c r="K1281" s="7">
        <v>4.6210000000000004</v>
      </c>
      <c r="L1281" s="7">
        <v>4.8979999999999997</v>
      </c>
      <c r="M1281" s="7">
        <v>5.0119999999999996</v>
      </c>
      <c r="N1281" s="7">
        <v>5.5110000000000001</v>
      </c>
      <c r="O1281" s="7">
        <v>5.6849999999999996</v>
      </c>
      <c r="P1281" s="7">
        <v>5.3970000000000002</v>
      </c>
      <c r="Q1281" s="7">
        <v>5.0839999999999996</v>
      </c>
      <c r="R1281" s="7">
        <v>4.6879999999999997</v>
      </c>
      <c r="S1281" s="7">
        <f t="shared" si="19"/>
        <v>4.9205000000000005</v>
      </c>
    </row>
    <row r="1282" spans="1:19">
      <c r="A1282" s="5" t="str">
        <f>B1282&amp;"-"&amp;COUNTIF($B$2:B1282,B1282)</f>
        <v>MARANHÃO-153</v>
      </c>
      <c r="B1282" s="5" t="s">
        <v>875</v>
      </c>
      <c r="C1282" s="5" t="s">
        <v>968</v>
      </c>
      <c r="D1282" s="6">
        <v>-453631</v>
      </c>
      <c r="E1282" s="6">
        <v>-25918</v>
      </c>
      <c r="F1282" s="7">
        <v>5.01</v>
      </c>
      <c r="G1282" s="7">
        <v>4.5759999999999996</v>
      </c>
      <c r="H1282" s="7">
        <v>4.6280000000000001</v>
      </c>
      <c r="I1282" s="7">
        <v>4.5</v>
      </c>
      <c r="J1282" s="7">
        <v>4.5659999999999998</v>
      </c>
      <c r="K1282" s="7">
        <v>4.6820000000000004</v>
      </c>
      <c r="L1282" s="7">
        <v>4.944</v>
      </c>
      <c r="M1282" s="7">
        <v>5.0540000000000003</v>
      </c>
      <c r="N1282" s="7">
        <v>5.6109999999999998</v>
      </c>
      <c r="O1282" s="7">
        <v>5.8150000000000004</v>
      </c>
      <c r="P1282" s="7">
        <v>5.5789999999999997</v>
      </c>
      <c r="Q1282" s="7">
        <v>5.2930000000000001</v>
      </c>
      <c r="R1282" s="7">
        <v>4.875</v>
      </c>
      <c r="S1282" s="7">
        <f t="shared" si="19"/>
        <v>5.0102499999999992</v>
      </c>
    </row>
    <row r="1283" spans="1:19">
      <c r="A1283" s="5" t="str">
        <f>B1283&amp;"-"&amp;COUNTIF($B$2:B1283,B1283)</f>
        <v>MARANHÃO-154</v>
      </c>
      <c r="B1283" s="5" t="s">
        <v>875</v>
      </c>
      <c r="C1283" s="5" t="s">
        <v>969</v>
      </c>
      <c r="D1283" s="6">
        <v>-440238</v>
      </c>
      <c r="E1283" s="6">
        <v>-34083</v>
      </c>
      <c r="F1283" s="7">
        <v>5.3109999999999999</v>
      </c>
      <c r="G1283" s="7">
        <v>4.7380000000000004</v>
      </c>
      <c r="H1283" s="7">
        <v>4.9009999999999998</v>
      </c>
      <c r="I1283" s="7">
        <v>4.8979999999999997</v>
      </c>
      <c r="J1283" s="7">
        <v>4.8079999999999998</v>
      </c>
      <c r="K1283" s="7">
        <v>4.9420000000000002</v>
      </c>
      <c r="L1283" s="7">
        <v>5.141</v>
      </c>
      <c r="M1283" s="7">
        <v>5.3529999999999998</v>
      </c>
      <c r="N1283" s="7">
        <v>5.9539999999999997</v>
      </c>
      <c r="O1283" s="7">
        <v>6.2880000000000003</v>
      </c>
      <c r="P1283" s="7">
        <v>6.024</v>
      </c>
      <c r="Q1283" s="7">
        <v>5.5460000000000003</v>
      </c>
      <c r="R1283" s="7">
        <v>5.1360000000000001</v>
      </c>
      <c r="S1283" s="7">
        <f t="shared" ref="S1283:S1346" si="20">(G1283+H1283+I1283+J1283+K1283+L1283+M1283+N1283+O1283+P1283+Q1283+R1283)/12</f>
        <v>5.3107499999999996</v>
      </c>
    </row>
    <row r="1284" spans="1:19">
      <c r="A1284" s="5" t="str">
        <f>B1284&amp;"-"&amp;COUNTIF($B$2:B1284,B1284)</f>
        <v>MARANHÃO-155</v>
      </c>
      <c r="B1284" s="5" t="s">
        <v>875</v>
      </c>
      <c r="C1284" s="5" t="s">
        <v>970</v>
      </c>
      <c r="D1284" s="6">
        <v>-434239</v>
      </c>
      <c r="E1284" s="6">
        <v>-25065</v>
      </c>
      <c r="F1284" s="7">
        <v>5.3040000000000003</v>
      </c>
      <c r="G1284" s="7">
        <v>4.9370000000000003</v>
      </c>
      <c r="H1284" s="7">
        <v>4.9039999999999999</v>
      </c>
      <c r="I1284" s="7">
        <v>4.7430000000000003</v>
      </c>
      <c r="J1284" s="7">
        <v>4.6900000000000004</v>
      </c>
      <c r="K1284" s="7">
        <v>4.8659999999999997</v>
      </c>
      <c r="L1284" s="7">
        <v>5.0140000000000002</v>
      </c>
      <c r="M1284" s="7">
        <v>5.2009999999999996</v>
      </c>
      <c r="N1284" s="7">
        <v>5.92</v>
      </c>
      <c r="O1284" s="7">
        <v>6.1669999999999998</v>
      </c>
      <c r="P1284" s="7">
        <v>5.9909999999999997</v>
      </c>
      <c r="Q1284" s="7">
        <v>5.7850000000000001</v>
      </c>
      <c r="R1284" s="7">
        <v>5.4320000000000004</v>
      </c>
      <c r="S1284" s="7">
        <f t="shared" si="20"/>
        <v>5.3041666666666671</v>
      </c>
    </row>
    <row r="1285" spans="1:19">
      <c r="A1285" s="5" t="str">
        <f>B1285&amp;"-"&amp;COUNTIF($B$2:B1285,B1285)</f>
        <v>MARANHÃO-156</v>
      </c>
      <c r="B1285" s="5" t="s">
        <v>875</v>
      </c>
      <c r="C1285" s="5" t="s">
        <v>971</v>
      </c>
      <c r="D1285" s="6">
        <v>-441032</v>
      </c>
      <c r="E1285" s="6">
        <v>-24427</v>
      </c>
      <c r="F1285" s="7">
        <v>5.3849999999999998</v>
      </c>
      <c r="G1285" s="7">
        <v>5.24</v>
      </c>
      <c r="H1285" s="7">
        <v>5.1440000000000001</v>
      </c>
      <c r="I1285" s="7">
        <v>4.9569999999999999</v>
      </c>
      <c r="J1285" s="7">
        <v>4.7590000000000003</v>
      </c>
      <c r="K1285" s="7">
        <v>4.8849999999999998</v>
      </c>
      <c r="L1285" s="7">
        <v>5.1139999999999999</v>
      </c>
      <c r="M1285" s="7">
        <v>5.31</v>
      </c>
      <c r="N1285" s="7">
        <v>5.7080000000000002</v>
      </c>
      <c r="O1285" s="7">
        <v>5.9530000000000003</v>
      </c>
      <c r="P1285" s="7">
        <v>5.9370000000000003</v>
      </c>
      <c r="Q1285" s="7">
        <v>5.8979999999999997</v>
      </c>
      <c r="R1285" s="7">
        <v>5.7160000000000002</v>
      </c>
      <c r="S1285" s="7">
        <f t="shared" si="20"/>
        <v>5.3850833333333332</v>
      </c>
    </row>
    <row r="1286" spans="1:19">
      <c r="A1286" s="5" t="str">
        <f>B1286&amp;"-"&amp;COUNTIF($B$2:B1286,B1286)</f>
        <v>MARANHÃO-157</v>
      </c>
      <c r="B1286" s="5" t="s">
        <v>875</v>
      </c>
      <c r="C1286" s="5" t="s">
        <v>3958</v>
      </c>
      <c r="D1286" s="6">
        <v>-466229</v>
      </c>
      <c r="E1286" s="6">
        <v>-73586</v>
      </c>
      <c r="F1286" s="7">
        <v>5.2080000000000002</v>
      </c>
      <c r="G1286" s="7">
        <v>4.7750000000000004</v>
      </c>
      <c r="H1286" s="7">
        <v>4.8819999999999997</v>
      </c>
      <c r="I1286" s="7">
        <v>4.8179999999999996</v>
      </c>
      <c r="J1286" s="7">
        <v>4.9969999999999999</v>
      </c>
      <c r="K1286" s="7">
        <v>5.1909999999999998</v>
      </c>
      <c r="L1286" s="7">
        <v>5.3049999999999997</v>
      </c>
      <c r="M1286" s="7">
        <v>5.2629999999999999</v>
      </c>
      <c r="N1286" s="7">
        <v>5.8869999999999996</v>
      </c>
      <c r="O1286" s="7">
        <v>6.2</v>
      </c>
      <c r="P1286" s="7">
        <v>5.4649999999999999</v>
      </c>
      <c r="Q1286" s="7">
        <v>4.9119999999999999</v>
      </c>
      <c r="R1286" s="7">
        <v>4.8019999999999996</v>
      </c>
      <c r="S1286" s="7">
        <f t="shared" si="20"/>
        <v>5.2080833333333336</v>
      </c>
    </row>
    <row r="1287" spans="1:19">
      <c r="A1287" s="5" t="str">
        <f>B1287&amp;"-"&amp;COUNTIF($B$2:B1287,B1287)</f>
        <v>MARANHÃO-158</v>
      </c>
      <c r="B1287" s="5" t="s">
        <v>875</v>
      </c>
      <c r="C1287" s="5" t="s">
        <v>972</v>
      </c>
      <c r="D1287" s="6">
        <v>-473891</v>
      </c>
      <c r="E1287" s="6">
        <v>-59311</v>
      </c>
      <c r="F1287" s="7">
        <v>5.069</v>
      </c>
      <c r="G1287" s="7">
        <v>4.6609999999999996</v>
      </c>
      <c r="H1287" s="7">
        <v>4.734</v>
      </c>
      <c r="I1287" s="7">
        <v>4.7670000000000003</v>
      </c>
      <c r="J1287" s="7">
        <v>4.7930000000000001</v>
      </c>
      <c r="K1287" s="7">
        <v>4.8529999999999998</v>
      </c>
      <c r="L1287" s="7">
        <v>5.1479999999999997</v>
      </c>
      <c r="M1287" s="7">
        <v>5.3630000000000004</v>
      </c>
      <c r="N1287" s="7">
        <v>5.8490000000000002</v>
      </c>
      <c r="O1287" s="7">
        <v>5.6680000000000001</v>
      </c>
      <c r="P1287" s="7">
        <v>5.266</v>
      </c>
      <c r="Q1287" s="7">
        <v>4.931</v>
      </c>
      <c r="R1287" s="7">
        <v>4.7919999999999998</v>
      </c>
      <c r="S1287" s="7">
        <f t="shared" si="20"/>
        <v>5.0687500000000005</v>
      </c>
    </row>
    <row r="1288" spans="1:19">
      <c r="A1288" s="5" t="str">
        <f>B1288&amp;"-"&amp;COUNTIF($B$2:B1288,B1288)</f>
        <v>MARANHÃO-159</v>
      </c>
      <c r="B1288" s="5" t="s">
        <v>875</v>
      </c>
      <c r="C1288" s="5" t="s">
        <v>5558</v>
      </c>
      <c r="D1288" s="6">
        <v>-442475</v>
      </c>
      <c r="E1288" s="6">
        <v>-29385</v>
      </c>
      <c r="F1288" s="7">
        <v>5.1689999999999996</v>
      </c>
      <c r="G1288" s="7">
        <v>4.7050000000000001</v>
      </c>
      <c r="H1288" s="7">
        <v>4.6440000000000001</v>
      </c>
      <c r="I1288" s="7">
        <v>4.5679999999999996</v>
      </c>
      <c r="J1288" s="7">
        <v>4.4729999999999999</v>
      </c>
      <c r="K1288" s="7">
        <v>4.6139999999999999</v>
      </c>
      <c r="L1288" s="7">
        <v>4.9009999999999998</v>
      </c>
      <c r="M1288" s="7">
        <v>5.0780000000000003</v>
      </c>
      <c r="N1288" s="7">
        <v>5.7480000000000002</v>
      </c>
      <c r="O1288" s="7">
        <v>6.1769999999999996</v>
      </c>
      <c r="P1288" s="7">
        <v>6.0469999999999997</v>
      </c>
      <c r="Q1288" s="7">
        <v>5.7430000000000003</v>
      </c>
      <c r="R1288" s="7">
        <v>5.3250000000000002</v>
      </c>
      <c r="S1288" s="7">
        <f t="shared" si="20"/>
        <v>5.1685833333333333</v>
      </c>
    </row>
    <row r="1289" spans="1:19">
      <c r="A1289" s="5" t="str">
        <f>B1289&amp;"-"&amp;COUNTIF($B$2:B1289,B1289)</f>
        <v>MARANHÃO-160</v>
      </c>
      <c r="B1289" s="5" t="s">
        <v>875</v>
      </c>
      <c r="C1289" s="5" t="s">
        <v>3959</v>
      </c>
      <c r="D1289" s="6">
        <v>-435291</v>
      </c>
      <c r="E1289" s="6">
        <v>-33355</v>
      </c>
      <c r="F1289" s="7">
        <v>5.3609999999999998</v>
      </c>
      <c r="G1289" s="7">
        <v>4.8109999999999999</v>
      </c>
      <c r="H1289" s="7">
        <v>4.8659999999999997</v>
      </c>
      <c r="I1289" s="7">
        <v>4.8789999999999996</v>
      </c>
      <c r="J1289" s="7">
        <v>4.8140000000000001</v>
      </c>
      <c r="K1289" s="7">
        <v>4.9219999999999997</v>
      </c>
      <c r="L1289" s="7">
        <v>5.1980000000000004</v>
      </c>
      <c r="M1289" s="7">
        <v>5.351</v>
      </c>
      <c r="N1289" s="7">
        <v>5.9710000000000001</v>
      </c>
      <c r="O1289" s="7">
        <v>6.3079999999999998</v>
      </c>
      <c r="P1289" s="7">
        <v>6.1319999999999997</v>
      </c>
      <c r="Q1289" s="7">
        <v>5.8010000000000002</v>
      </c>
      <c r="R1289" s="7">
        <v>5.2809999999999997</v>
      </c>
      <c r="S1289" s="7">
        <f t="shared" si="20"/>
        <v>5.3611666666666666</v>
      </c>
    </row>
    <row r="1290" spans="1:19">
      <c r="A1290" s="5" t="str">
        <f>B1290&amp;"-"&amp;COUNTIF($B$2:B1290,B1290)</f>
        <v>MARANHÃO-161</v>
      </c>
      <c r="B1290" s="5" t="s">
        <v>875</v>
      </c>
      <c r="C1290" s="5" t="s">
        <v>3960</v>
      </c>
      <c r="D1290" s="6">
        <v>-448293</v>
      </c>
      <c r="E1290" s="6">
        <v>-26982</v>
      </c>
      <c r="F1290" s="7">
        <v>5.14</v>
      </c>
      <c r="G1290" s="7">
        <v>4.66</v>
      </c>
      <c r="H1290" s="7">
        <v>4.8380000000000001</v>
      </c>
      <c r="I1290" s="7">
        <v>4.7990000000000004</v>
      </c>
      <c r="J1290" s="7">
        <v>4.8499999999999996</v>
      </c>
      <c r="K1290" s="7">
        <v>4.84</v>
      </c>
      <c r="L1290" s="7">
        <v>5.117</v>
      </c>
      <c r="M1290" s="7">
        <v>5.1749999999999998</v>
      </c>
      <c r="N1290" s="7">
        <v>5.6459999999999999</v>
      </c>
      <c r="O1290" s="7">
        <v>5.798</v>
      </c>
      <c r="P1290" s="7">
        <v>5.5650000000000004</v>
      </c>
      <c r="Q1290" s="7">
        <v>5.3869999999999996</v>
      </c>
      <c r="R1290" s="7">
        <v>5</v>
      </c>
      <c r="S1290" s="7">
        <f t="shared" si="20"/>
        <v>5.1395833333333334</v>
      </c>
    </row>
    <row r="1291" spans="1:19">
      <c r="A1291" s="5" t="str">
        <f>B1291&amp;"-"&amp;COUNTIF($B$2:B1291,B1291)</f>
        <v>MARANHÃO-162</v>
      </c>
      <c r="B1291" s="5" t="s">
        <v>875</v>
      </c>
      <c r="C1291" s="5" t="s">
        <v>3961</v>
      </c>
      <c r="D1291" s="6">
        <v>-424195</v>
      </c>
      <c r="E1291" s="6">
        <v>-33726</v>
      </c>
      <c r="F1291" s="7">
        <v>5.5880000000000001</v>
      </c>
      <c r="G1291" s="7">
        <v>5.2119999999999997</v>
      </c>
      <c r="H1291" s="7">
        <v>5.2469999999999999</v>
      </c>
      <c r="I1291" s="7">
        <v>5.2850000000000001</v>
      </c>
      <c r="J1291" s="7">
        <v>5.0640000000000001</v>
      </c>
      <c r="K1291" s="7">
        <v>5.117</v>
      </c>
      <c r="L1291" s="7">
        <v>5.3040000000000003</v>
      </c>
      <c r="M1291" s="7">
        <v>5.5049999999999999</v>
      </c>
      <c r="N1291" s="7">
        <v>6.0170000000000003</v>
      </c>
      <c r="O1291" s="7">
        <v>6.3419999999999996</v>
      </c>
      <c r="P1291" s="7">
        <v>6.407</v>
      </c>
      <c r="Q1291" s="7">
        <v>6.0540000000000003</v>
      </c>
      <c r="R1291" s="7">
        <v>5.5060000000000002</v>
      </c>
      <c r="S1291" s="7">
        <f t="shared" si="20"/>
        <v>5.5883333333333338</v>
      </c>
    </row>
    <row r="1292" spans="1:19">
      <c r="A1292" s="5" t="str">
        <f>B1292&amp;"-"&amp;COUNTIF($B$2:B1292,B1292)</f>
        <v>MARANHÃO-163</v>
      </c>
      <c r="B1292" s="5" t="s">
        <v>875</v>
      </c>
      <c r="C1292" s="5" t="s">
        <v>3962</v>
      </c>
      <c r="D1292" s="6">
        <v>-446445</v>
      </c>
      <c r="E1292" s="6">
        <v>-68124</v>
      </c>
      <c r="F1292" s="7">
        <v>5.37</v>
      </c>
      <c r="G1292" s="7">
        <v>4.7590000000000003</v>
      </c>
      <c r="H1292" s="7">
        <v>4.96</v>
      </c>
      <c r="I1292" s="7">
        <v>4.9400000000000004</v>
      </c>
      <c r="J1292" s="7">
        <v>4.9530000000000003</v>
      </c>
      <c r="K1292" s="7">
        <v>5.1029999999999998</v>
      </c>
      <c r="L1292" s="7">
        <v>5.2709999999999999</v>
      </c>
      <c r="M1292" s="7">
        <v>5.5659999999999998</v>
      </c>
      <c r="N1292" s="7">
        <v>6.0350000000000001</v>
      </c>
      <c r="O1292" s="7">
        <v>6.5110000000000001</v>
      </c>
      <c r="P1292" s="7">
        <v>5.8920000000000003</v>
      </c>
      <c r="Q1292" s="7">
        <v>5.3369999999999997</v>
      </c>
      <c r="R1292" s="7">
        <v>5.1139999999999999</v>
      </c>
      <c r="S1292" s="7">
        <f t="shared" si="20"/>
        <v>5.3700833333333344</v>
      </c>
    </row>
    <row r="1293" spans="1:19">
      <c r="A1293" s="5" t="str">
        <f>B1293&amp;"-"&amp;COUNTIF($B$2:B1293,B1293)</f>
        <v>MARANHÃO-164</v>
      </c>
      <c r="B1293" s="5" t="s">
        <v>875</v>
      </c>
      <c r="C1293" s="5" t="s">
        <v>3963</v>
      </c>
      <c r="D1293" s="6">
        <v>-443825</v>
      </c>
      <c r="E1293" s="6">
        <v>-55814</v>
      </c>
      <c r="F1293" s="7">
        <v>5.3090000000000002</v>
      </c>
      <c r="G1293" s="7">
        <v>4.7300000000000004</v>
      </c>
      <c r="H1293" s="7">
        <v>4.78</v>
      </c>
      <c r="I1293" s="7">
        <v>4.9459999999999997</v>
      </c>
      <c r="J1293" s="7">
        <v>4.9530000000000003</v>
      </c>
      <c r="K1293" s="7">
        <v>4.9550000000000001</v>
      </c>
      <c r="L1293" s="7">
        <v>5.2169999999999996</v>
      </c>
      <c r="M1293" s="7">
        <v>5.49</v>
      </c>
      <c r="N1293" s="7">
        <v>6.1040000000000001</v>
      </c>
      <c r="O1293" s="7">
        <v>6.3369999999999997</v>
      </c>
      <c r="P1293" s="7">
        <v>5.7629999999999999</v>
      </c>
      <c r="Q1293" s="7">
        <v>5.3620000000000001</v>
      </c>
      <c r="R1293" s="7">
        <v>5.0720000000000001</v>
      </c>
      <c r="S1293" s="7">
        <f t="shared" si="20"/>
        <v>5.3090833333333336</v>
      </c>
    </row>
    <row r="1294" spans="1:19">
      <c r="A1294" s="5" t="str">
        <f>B1294&amp;"-"&amp;COUNTIF($B$2:B1294,B1294)</f>
        <v>MARANHÃO-165</v>
      </c>
      <c r="B1294" s="5" t="s">
        <v>875</v>
      </c>
      <c r="C1294" s="5" t="s">
        <v>4312</v>
      </c>
      <c r="D1294" s="6">
        <v>-448096</v>
      </c>
      <c r="E1294" s="6">
        <v>-70758</v>
      </c>
      <c r="F1294" s="7">
        <v>5.4820000000000002</v>
      </c>
      <c r="G1294" s="7">
        <v>4.9790000000000001</v>
      </c>
      <c r="H1294" s="7">
        <v>5.1219999999999999</v>
      </c>
      <c r="I1294" s="7">
        <v>5.0419999999999998</v>
      </c>
      <c r="J1294" s="7">
        <v>5.1159999999999997</v>
      </c>
      <c r="K1294" s="7">
        <v>5.26</v>
      </c>
      <c r="L1294" s="7">
        <v>5.3959999999999999</v>
      </c>
      <c r="M1294" s="7">
        <v>5.5140000000000002</v>
      </c>
      <c r="N1294" s="7">
        <v>6.0469999999999997</v>
      </c>
      <c r="O1294" s="7">
        <v>6.5650000000000004</v>
      </c>
      <c r="P1294" s="7">
        <v>5.9969999999999999</v>
      </c>
      <c r="Q1294" s="7">
        <v>5.48</v>
      </c>
      <c r="R1294" s="7">
        <v>5.2670000000000003</v>
      </c>
      <c r="S1294" s="7">
        <f t="shared" si="20"/>
        <v>5.4820833333333328</v>
      </c>
    </row>
    <row r="1295" spans="1:19">
      <c r="A1295" s="5" t="str">
        <f>B1295&amp;"-"&amp;COUNTIF($B$2:B1295,B1295)</f>
        <v>MARANHÃO-166</v>
      </c>
      <c r="B1295" s="5" t="s">
        <v>875</v>
      </c>
      <c r="C1295" s="5" t="s">
        <v>3964</v>
      </c>
      <c r="D1295" s="6">
        <v>-473894</v>
      </c>
      <c r="E1295" s="6">
        <v>-51262</v>
      </c>
      <c r="F1295" s="7">
        <v>4.9039999999999999</v>
      </c>
      <c r="G1295" s="7">
        <v>4.4909999999999997</v>
      </c>
      <c r="H1295" s="7">
        <v>4.6879999999999997</v>
      </c>
      <c r="I1295" s="7">
        <v>4.6669999999999998</v>
      </c>
      <c r="J1295" s="7">
        <v>4.7149999999999999</v>
      </c>
      <c r="K1295" s="7">
        <v>4.7380000000000004</v>
      </c>
      <c r="L1295" s="7">
        <v>5.0019999999999998</v>
      </c>
      <c r="M1295" s="7">
        <v>5.165</v>
      </c>
      <c r="N1295" s="7">
        <v>5.5659999999999998</v>
      </c>
      <c r="O1295" s="7">
        <v>5.4340000000000002</v>
      </c>
      <c r="P1295" s="7">
        <v>4.992</v>
      </c>
      <c r="Q1295" s="7">
        <v>4.7370000000000001</v>
      </c>
      <c r="R1295" s="7">
        <v>4.6520000000000001</v>
      </c>
      <c r="S1295" s="7">
        <f t="shared" si="20"/>
        <v>4.9039166666666665</v>
      </c>
    </row>
    <row r="1296" spans="1:19">
      <c r="A1296" s="5" t="str">
        <f>B1296&amp;"-"&amp;COUNTIF($B$2:B1296,B1296)</f>
        <v>MARANHÃO-167</v>
      </c>
      <c r="B1296" s="5" t="s">
        <v>875</v>
      </c>
      <c r="C1296" s="5" t="s">
        <v>3965</v>
      </c>
      <c r="D1296" s="6">
        <v>-428579</v>
      </c>
      <c r="E1296" s="6">
        <v>-62477</v>
      </c>
      <c r="F1296" s="7">
        <v>5.62</v>
      </c>
      <c r="G1296" s="7">
        <v>5.0620000000000003</v>
      </c>
      <c r="H1296" s="7">
        <v>5.2140000000000004</v>
      </c>
      <c r="I1296" s="7">
        <v>5.2039999999999997</v>
      </c>
      <c r="J1296" s="7">
        <v>5.1369999999999996</v>
      </c>
      <c r="K1296" s="7">
        <v>5.2629999999999999</v>
      </c>
      <c r="L1296" s="7">
        <v>5.4059999999999997</v>
      </c>
      <c r="M1296" s="7">
        <v>5.66</v>
      </c>
      <c r="N1296" s="7">
        <v>6.1550000000000002</v>
      </c>
      <c r="O1296" s="7">
        <v>6.56</v>
      </c>
      <c r="P1296" s="7">
        <v>6.2720000000000002</v>
      </c>
      <c r="Q1296" s="7">
        <v>6.0010000000000003</v>
      </c>
      <c r="R1296" s="7">
        <v>5.51</v>
      </c>
      <c r="S1296" s="7">
        <f t="shared" si="20"/>
        <v>5.6203333333333338</v>
      </c>
    </row>
    <row r="1297" spans="1:19">
      <c r="A1297" s="5" t="str">
        <f>B1297&amp;"-"&amp;COUNTIF($B$2:B1297,B1297)</f>
        <v>MARANHÃO-168</v>
      </c>
      <c r="B1297" s="5" t="s">
        <v>875</v>
      </c>
      <c r="C1297" s="5" t="s">
        <v>3966</v>
      </c>
      <c r="D1297" s="6">
        <v>-447976</v>
      </c>
      <c r="E1297" s="6">
        <v>-29584</v>
      </c>
      <c r="F1297" s="7">
        <v>5.22</v>
      </c>
      <c r="G1297" s="7">
        <v>4.7779999999999996</v>
      </c>
      <c r="H1297" s="7">
        <v>4.8810000000000002</v>
      </c>
      <c r="I1297" s="7">
        <v>4.7930000000000001</v>
      </c>
      <c r="J1297" s="7">
        <v>4.7930000000000001</v>
      </c>
      <c r="K1297" s="7">
        <v>4.8280000000000003</v>
      </c>
      <c r="L1297" s="7">
        <v>5.0350000000000001</v>
      </c>
      <c r="M1297" s="7">
        <v>5.109</v>
      </c>
      <c r="N1297" s="7">
        <v>5.6289999999999996</v>
      </c>
      <c r="O1297" s="7">
        <v>5.9960000000000004</v>
      </c>
      <c r="P1297" s="7">
        <v>5.8780000000000001</v>
      </c>
      <c r="Q1297" s="7">
        <v>5.6740000000000004</v>
      </c>
      <c r="R1297" s="7">
        <v>5.2530000000000001</v>
      </c>
      <c r="S1297" s="7">
        <f t="shared" si="20"/>
        <v>5.2205833333333329</v>
      </c>
    </row>
    <row r="1298" spans="1:19">
      <c r="A1298" s="5" t="str">
        <f>B1298&amp;"-"&amp;COUNTIF($B$2:B1298,B1298)</f>
        <v>MARANHÃO-169</v>
      </c>
      <c r="B1298" s="5" t="s">
        <v>875</v>
      </c>
      <c r="C1298" s="5" t="s">
        <v>4834</v>
      </c>
      <c r="D1298" s="6">
        <v>-462511</v>
      </c>
      <c r="E1298" s="6">
        <v>-35507</v>
      </c>
      <c r="F1298" s="7">
        <v>4.8860000000000001</v>
      </c>
      <c r="G1298" s="7">
        <v>4.4880000000000004</v>
      </c>
      <c r="H1298" s="7">
        <v>4.6479999999999997</v>
      </c>
      <c r="I1298" s="7">
        <v>4.72</v>
      </c>
      <c r="J1298" s="7">
        <v>4.7809999999999997</v>
      </c>
      <c r="K1298" s="7">
        <v>4.6609999999999996</v>
      </c>
      <c r="L1298" s="7">
        <v>4.851</v>
      </c>
      <c r="M1298" s="7">
        <v>4.9880000000000004</v>
      </c>
      <c r="N1298" s="7">
        <v>5.3289999999999997</v>
      </c>
      <c r="O1298" s="7">
        <v>5.4660000000000002</v>
      </c>
      <c r="P1298" s="7">
        <v>5.1340000000000003</v>
      </c>
      <c r="Q1298" s="7">
        <v>4.8319999999999999</v>
      </c>
      <c r="R1298" s="7">
        <v>4.742</v>
      </c>
      <c r="S1298" s="7">
        <f t="shared" si="20"/>
        <v>4.8866666666666658</v>
      </c>
    </row>
    <row r="1299" spans="1:19">
      <c r="A1299" s="5" t="str">
        <f>B1299&amp;"-"&amp;COUNTIF($B$2:B1299,B1299)</f>
        <v>MARANHÃO-170</v>
      </c>
      <c r="B1299" s="5" t="s">
        <v>875</v>
      </c>
      <c r="C1299" s="5" t="s">
        <v>3967</v>
      </c>
      <c r="D1299" s="6">
        <v>-470565</v>
      </c>
      <c r="E1299" s="6">
        <v>-64651</v>
      </c>
      <c r="F1299" s="7">
        <v>5.1180000000000003</v>
      </c>
      <c r="G1299" s="7">
        <v>4.6559999999999997</v>
      </c>
      <c r="H1299" s="7">
        <v>4.7850000000000001</v>
      </c>
      <c r="I1299" s="7">
        <v>4.7060000000000004</v>
      </c>
      <c r="J1299" s="7">
        <v>4.7350000000000003</v>
      </c>
      <c r="K1299" s="7">
        <v>4.9240000000000004</v>
      </c>
      <c r="L1299" s="7">
        <v>5.2759999999999998</v>
      </c>
      <c r="M1299" s="7">
        <v>5.4390000000000001</v>
      </c>
      <c r="N1299" s="7">
        <v>6.0220000000000002</v>
      </c>
      <c r="O1299" s="7">
        <v>5.9470000000000001</v>
      </c>
      <c r="P1299" s="7">
        <v>5.3410000000000002</v>
      </c>
      <c r="Q1299" s="7">
        <v>4.8049999999999997</v>
      </c>
      <c r="R1299" s="7">
        <v>4.7709999999999999</v>
      </c>
      <c r="S1299" s="7">
        <f t="shared" si="20"/>
        <v>5.1172500000000003</v>
      </c>
    </row>
    <row r="1300" spans="1:19">
      <c r="A1300" s="5" t="str">
        <f>B1300&amp;"-"&amp;COUNTIF($B$2:B1300,B1300)</f>
        <v>MARANHÃO-171</v>
      </c>
      <c r="B1300" s="5" t="s">
        <v>875</v>
      </c>
      <c r="C1300" s="5" t="s">
        <v>3968</v>
      </c>
      <c r="D1300" s="6">
        <v>-438166</v>
      </c>
      <c r="E1300" s="6">
        <v>-51086</v>
      </c>
      <c r="F1300" s="7">
        <v>5.3920000000000003</v>
      </c>
      <c r="G1300" s="7">
        <v>4.8049999999999997</v>
      </c>
      <c r="H1300" s="7">
        <v>4.9960000000000004</v>
      </c>
      <c r="I1300" s="7">
        <v>5</v>
      </c>
      <c r="J1300" s="7">
        <v>4.9450000000000003</v>
      </c>
      <c r="K1300" s="7">
        <v>5.0190000000000001</v>
      </c>
      <c r="L1300" s="7">
        <v>5.1189999999999998</v>
      </c>
      <c r="M1300" s="7">
        <v>5.484</v>
      </c>
      <c r="N1300" s="7">
        <v>6.19</v>
      </c>
      <c r="O1300" s="7">
        <v>6.4379999999999997</v>
      </c>
      <c r="P1300" s="7">
        <v>6.0010000000000003</v>
      </c>
      <c r="Q1300" s="7">
        <v>5.5789999999999997</v>
      </c>
      <c r="R1300" s="7">
        <v>5.133</v>
      </c>
      <c r="S1300" s="7">
        <f t="shared" si="20"/>
        <v>5.3924166666666666</v>
      </c>
    </row>
    <row r="1301" spans="1:19">
      <c r="A1301" s="5" t="str">
        <f>B1301&amp;"-"&amp;COUNTIF($B$2:B1301,B1301)</f>
        <v>MARANHÃO-172</v>
      </c>
      <c r="B1301" s="5" t="s">
        <v>875</v>
      </c>
      <c r="C1301" s="5" t="s">
        <v>3969</v>
      </c>
      <c r="D1301" s="6">
        <v>-43704</v>
      </c>
      <c r="E1301" s="6">
        <v>-64938</v>
      </c>
      <c r="F1301" s="7">
        <v>5.423</v>
      </c>
      <c r="G1301" s="7">
        <v>4.76</v>
      </c>
      <c r="H1301" s="7">
        <v>4.9619999999999997</v>
      </c>
      <c r="I1301" s="7">
        <v>4.93</v>
      </c>
      <c r="J1301" s="7">
        <v>4.9260000000000002</v>
      </c>
      <c r="K1301" s="7">
        <v>5.0709999999999997</v>
      </c>
      <c r="L1301" s="7">
        <v>5.3689999999999998</v>
      </c>
      <c r="M1301" s="7">
        <v>5.6550000000000002</v>
      </c>
      <c r="N1301" s="7">
        <v>6.2389999999999999</v>
      </c>
      <c r="O1301" s="7">
        <v>6.5339999999999998</v>
      </c>
      <c r="P1301" s="7">
        <v>6.0069999999999997</v>
      </c>
      <c r="Q1301" s="7">
        <v>5.5259999999999998</v>
      </c>
      <c r="R1301" s="7">
        <v>5.0999999999999996</v>
      </c>
      <c r="S1301" s="7">
        <f t="shared" si="20"/>
        <v>5.4232499999999995</v>
      </c>
    </row>
    <row r="1302" spans="1:19">
      <c r="A1302" s="5" t="str">
        <f>B1302&amp;"-"&amp;COUNTIF($B$2:B1302,B1302)</f>
        <v>MARANHÃO-173</v>
      </c>
      <c r="B1302" s="5" t="s">
        <v>875</v>
      </c>
      <c r="C1302" s="5" t="s">
        <v>4313</v>
      </c>
      <c r="D1302" s="6">
        <v>-440581</v>
      </c>
      <c r="E1302" s="6">
        <v>-25539</v>
      </c>
      <c r="F1302" s="7">
        <v>5.3170000000000002</v>
      </c>
      <c r="G1302" s="7">
        <v>5.0259999999999998</v>
      </c>
      <c r="H1302" s="7">
        <v>4.883</v>
      </c>
      <c r="I1302" s="7">
        <v>4.7359999999999998</v>
      </c>
      <c r="J1302" s="7">
        <v>4.5750000000000002</v>
      </c>
      <c r="K1302" s="7">
        <v>4.7069999999999999</v>
      </c>
      <c r="L1302" s="7">
        <v>4.9640000000000004</v>
      </c>
      <c r="M1302" s="7">
        <v>5.1909999999999998</v>
      </c>
      <c r="N1302" s="7">
        <v>5.85</v>
      </c>
      <c r="O1302" s="7">
        <v>6.18</v>
      </c>
      <c r="P1302" s="7">
        <v>6.0590000000000002</v>
      </c>
      <c r="Q1302" s="7">
        <v>5.9630000000000001</v>
      </c>
      <c r="R1302" s="7">
        <v>5.6669999999999998</v>
      </c>
      <c r="S1302" s="7">
        <f t="shared" si="20"/>
        <v>5.3167499999999999</v>
      </c>
    </row>
    <row r="1303" spans="1:19">
      <c r="A1303" s="5" t="str">
        <f>B1303&amp;"-"&amp;COUNTIF($B$2:B1303,B1303)</f>
        <v>MARANHÃO-174</v>
      </c>
      <c r="B1303" s="5" t="s">
        <v>875</v>
      </c>
      <c r="C1303" s="5" t="s">
        <v>4314</v>
      </c>
      <c r="D1303" s="6">
        <v>-445824</v>
      </c>
      <c r="E1303" s="6">
        <v>-50596</v>
      </c>
      <c r="F1303" s="7">
        <v>5.2409999999999997</v>
      </c>
      <c r="G1303" s="7">
        <v>4.78</v>
      </c>
      <c r="H1303" s="7">
        <v>4.8529999999999998</v>
      </c>
      <c r="I1303" s="7">
        <v>4.8940000000000001</v>
      </c>
      <c r="J1303" s="7">
        <v>4.8419999999999996</v>
      </c>
      <c r="K1303" s="7">
        <v>4.9320000000000004</v>
      </c>
      <c r="L1303" s="7">
        <v>5.141</v>
      </c>
      <c r="M1303" s="7">
        <v>5.3840000000000003</v>
      </c>
      <c r="N1303" s="7">
        <v>5.98</v>
      </c>
      <c r="O1303" s="7">
        <v>6.2039999999999997</v>
      </c>
      <c r="P1303" s="7">
        <v>5.6429999999999998</v>
      </c>
      <c r="Q1303" s="7">
        <v>5.3159999999999998</v>
      </c>
      <c r="R1303" s="7">
        <v>4.92</v>
      </c>
      <c r="S1303" s="7">
        <f t="shared" si="20"/>
        <v>5.2407500000000002</v>
      </c>
    </row>
    <row r="1304" spans="1:19">
      <c r="A1304" s="5" t="str">
        <f>B1304&amp;"-"&amp;COUNTIF($B$2:B1304,B1304)</f>
        <v>MARANHÃO-175</v>
      </c>
      <c r="B1304" s="5" t="s">
        <v>875</v>
      </c>
      <c r="C1304" s="5" t="s">
        <v>3970</v>
      </c>
      <c r="D1304" s="6">
        <v>-442832</v>
      </c>
      <c r="E1304" s="6">
        <v>-25395</v>
      </c>
      <c r="F1304" s="7">
        <v>5.2080000000000002</v>
      </c>
      <c r="G1304" s="7">
        <v>4.9580000000000002</v>
      </c>
      <c r="H1304" s="7">
        <v>4.9889999999999999</v>
      </c>
      <c r="I1304" s="7">
        <v>4.7869999999999999</v>
      </c>
      <c r="J1304" s="7">
        <v>4.6479999999999997</v>
      </c>
      <c r="K1304" s="7">
        <v>4.6870000000000003</v>
      </c>
      <c r="L1304" s="7">
        <v>4.8440000000000003</v>
      </c>
      <c r="M1304" s="7">
        <v>5.0780000000000003</v>
      </c>
      <c r="N1304" s="7">
        <v>5.6589999999999998</v>
      </c>
      <c r="O1304" s="7">
        <v>5.9989999999999997</v>
      </c>
      <c r="P1304" s="7">
        <v>5.7409999999999997</v>
      </c>
      <c r="Q1304" s="7">
        <v>5.6349999999999998</v>
      </c>
      <c r="R1304" s="7">
        <v>5.48</v>
      </c>
      <c r="S1304" s="7">
        <f t="shared" si="20"/>
        <v>5.2087499999999993</v>
      </c>
    </row>
    <row r="1305" spans="1:19">
      <c r="A1305" s="5" t="str">
        <f>B1305&amp;"-"&amp;COUNTIF($B$2:B1305,B1305)</f>
        <v>MARANHÃO-176</v>
      </c>
      <c r="B1305" s="5" t="s">
        <v>875</v>
      </c>
      <c r="C1305" s="5" t="s">
        <v>3971</v>
      </c>
      <c r="D1305" s="6">
        <v>-44671</v>
      </c>
      <c r="E1305" s="6">
        <v>-43772</v>
      </c>
      <c r="F1305" s="7">
        <v>5.2160000000000002</v>
      </c>
      <c r="G1305" s="7">
        <v>4.673</v>
      </c>
      <c r="H1305" s="7">
        <v>4.8049999999999997</v>
      </c>
      <c r="I1305" s="7">
        <v>4.8929999999999998</v>
      </c>
      <c r="J1305" s="7">
        <v>4.8630000000000004</v>
      </c>
      <c r="K1305" s="7">
        <v>4.8390000000000004</v>
      </c>
      <c r="L1305" s="7">
        <v>5.0439999999999996</v>
      </c>
      <c r="M1305" s="7">
        <v>5.3250000000000002</v>
      </c>
      <c r="N1305" s="7">
        <v>5.843</v>
      </c>
      <c r="O1305" s="7">
        <v>6.1890000000000001</v>
      </c>
      <c r="P1305" s="7">
        <v>5.7569999999999997</v>
      </c>
      <c r="Q1305" s="7">
        <v>5.3479999999999999</v>
      </c>
      <c r="R1305" s="7">
        <v>5.0129999999999999</v>
      </c>
      <c r="S1305" s="7">
        <f t="shared" si="20"/>
        <v>5.2159999999999993</v>
      </c>
    </row>
    <row r="1306" spans="1:19">
      <c r="A1306" s="5" t="str">
        <f>B1306&amp;"-"&amp;COUNTIF($B$2:B1306,B1306)</f>
        <v>MARANHÃO-177</v>
      </c>
      <c r="B1306" s="5" t="s">
        <v>875</v>
      </c>
      <c r="C1306" s="5" t="s">
        <v>3972</v>
      </c>
      <c r="D1306" s="6">
        <v>-44471</v>
      </c>
      <c r="E1306" s="6">
        <v>-40378</v>
      </c>
      <c r="F1306" s="7">
        <v>5.31</v>
      </c>
      <c r="G1306" s="7">
        <v>4.9039999999999999</v>
      </c>
      <c r="H1306" s="7">
        <v>4.9589999999999996</v>
      </c>
      <c r="I1306" s="7">
        <v>5.0670000000000002</v>
      </c>
      <c r="J1306" s="7">
        <v>4.9710000000000001</v>
      </c>
      <c r="K1306" s="7">
        <v>4.9340000000000002</v>
      </c>
      <c r="L1306" s="7">
        <v>5.0949999999999998</v>
      </c>
      <c r="M1306" s="7">
        <v>5.3639999999999999</v>
      </c>
      <c r="N1306" s="7">
        <v>5.798</v>
      </c>
      <c r="O1306" s="7">
        <v>6.1559999999999997</v>
      </c>
      <c r="P1306" s="7">
        <v>5.8419999999999996</v>
      </c>
      <c r="Q1306" s="7">
        <v>5.4539999999999997</v>
      </c>
      <c r="R1306" s="7">
        <v>5.173</v>
      </c>
      <c r="S1306" s="7">
        <f t="shared" si="20"/>
        <v>5.3097500000000002</v>
      </c>
    </row>
    <row r="1307" spans="1:19">
      <c r="A1307" s="5" t="str">
        <f>B1307&amp;"-"&amp;COUNTIF($B$2:B1307,B1307)</f>
        <v>MARANHÃO-178</v>
      </c>
      <c r="B1307" s="5" t="s">
        <v>875</v>
      </c>
      <c r="C1307" s="5" t="s">
        <v>3973</v>
      </c>
      <c r="D1307" s="6">
        <v>-484295</v>
      </c>
      <c r="E1307" s="6">
        <v>-50851</v>
      </c>
      <c r="F1307" s="7">
        <v>4.8719999999999999</v>
      </c>
      <c r="G1307" s="7">
        <v>4.4029999999999996</v>
      </c>
      <c r="H1307" s="7">
        <v>4.5640000000000001</v>
      </c>
      <c r="I1307" s="7">
        <v>4.6449999999999996</v>
      </c>
      <c r="J1307" s="7">
        <v>4.726</v>
      </c>
      <c r="K1307" s="7">
        <v>4.7</v>
      </c>
      <c r="L1307" s="7">
        <v>5.07</v>
      </c>
      <c r="M1307" s="7">
        <v>5.1879999999999997</v>
      </c>
      <c r="N1307" s="7">
        <v>5.6260000000000003</v>
      </c>
      <c r="O1307" s="7">
        <v>5.3710000000000004</v>
      </c>
      <c r="P1307" s="7">
        <v>4.8710000000000004</v>
      </c>
      <c r="Q1307" s="7">
        <v>4.7880000000000003</v>
      </c>
      <c r="R1307" s="7">
        <v>4.5129999999999999</v>
      </c>
      <c r="S1307" s="7">
        <f t="shared" si="20"/>
        <v>4.8720833333333333</v>
      </c>
    </row>
    <row r="1308" spans="1:19">
      <c r="A1308" s="5" t="str">
        <f>B1308&amp;"-"&amp;COUNTIF($B$2:B1308,B1308)</f>
        <v>MARANHÃO-179</v>
      </c>
      <c r="B1308" s="5" t="s">
        <v>875</v>
      </c>
      <c r="C1308" s="5" t="s">
        <v>3974</v>
      </c>
      <c r="D1308" s="6">
        <v>-465322</v>
      </c>
      <c r="E1308" s="6">
        <v>-68243</v>
      </c>
      <c r="F1308" s="7">
        <v>5.1740000000000004</v>
      </c>
      <c r="G1308" s="7">
        <v>4.6310000000000002</v>
      </c>
      <c r="H1308" s="7">
        <v>4.7729999999999997</v>
      </c>
      <c r="I1308" s="7">
        <v>4.7450000000000001</v>
      </c>
      <c r="J1308" s="7">
        <v>4.8120000000000003</v>
      </c>
      <c r="K1308" s="7">
        <v>4.9960000000000004</v>
      </c>
      <c r="L1308" s="7">
        <v>5.2939999999999996</v>
      </c>
      <c r="M1308" s="7">
        <v>5.4450000000000003</v>
      </c>
      <c r="N1308" s="7">
        <v>6.008</v>
      </c>
      <c r="O1308" s="7">
        <v>6.1539999999999999</v>
      </c>
      <c r="P1308" s="7">
        <v>5.5119999999999996</v>
      </c>
      <c r="Q1308" s="7">
        <v>4.8849999999999998</v>
      </c>
      <c r="R1308" s="7">
        <v>4.8289999999999997</v>
      </c>
      <c r="S1308" s="7">
        <f t="shared" si="20"/>
        <v>5.1736666666666666</v>
      </c>
    </row>
    <row r="1309" spans="1:19">
      <c r="A1309" s="5" t="str">
        <f>B1309&amp;"-"&amp;COUNTIF($B$2:B1309,B1309)</f>
        <v>MARANHÃO-180</v>
      </c>
      <c r="B1309" s="5" t="s">
        <v>875</v>
      </c>
      <c r="C1309" s="5" t="s">
        <v>3975</v>
      </c>
      <c r="D1309" s="6">
        <v>-454812</v>
      </c>
      <c r="E1309" s="6">
        <v>-70222</v>
      </c>
      <c r="F1309" s="7">
        <v>5.3520000000000003</v>
      </c>
      <c r="G1309" s="7">
        <v>4.7519999999999998</v>
      </c>
      <c r="H1309" s="7">
        <v>4.9000000000000004</v>
      </c>
      <c r="I1309" s="7">
        <v>4.8739999999999997</v>
      </c>
      <c r="J1309" s="7">
        <v>4.9960000000000004</v>
      </c>
      <c r="K1309" s="7">
        <v>5.194</v>
      </c>
      <c r="L1309" s="7">
        <v>5.3630000000000004</v>
      </c>
      <c r="M1309" s="7">
        <v>5.5209999999999999</v>
      </c>
      <c r="N1309" s="7">
        <v>6.1059999999999999</v>
      </c>
      <c r="O1309" s="7">
        <v>6.4820000000000002</v>
      </c>
      <c r="P1309" s="7">
        <v>5.8019999999999996</v>
      </c>
      <c r="Q1309" s="7">
        <v>5.2359999999999998</v>
      </c>
      <c r="R1309" s="7">
        <v>4.9960000000000004</v>
      </c>
      <c r="S1309" s="7">
        <f t="shared" si="20"/>
        <v>5.3518333333333326</v>
      </c>
    </row>
    <row r="1310" spans="1:19">
      <c r="A1310" s="5" t="str">
        <f>B1310&amp;"-"&amp;COUNTIF($B$2:B1310,B1310)</f>
        <v>MARANHÃO-181</v>
      </c>
      <c r="B1310" s="5" t="s">
        <v>875</v>
      </c>
      <c r="C1310" s="5" t="s">
        <v>3976</v>
      </c>
      <c r="D1310" s="6">
        <v>-450771</v>
      </c>
      <c r="E1310" s="6">
        <v>-51061</v>
      </c>
      <c r="F1310" s="7">
        <v>5.2</v>
      </c>
      <c r="G1310" s="7">
        <v>4.6539999999999999</v>
      </c>
      <c r="H1310" s="7">
        <v>4.915</v>
      </c>
      <c r="I1310" s="7">
        <v>4.9779999999999998</v>
      </c>
      <c r="J1310" s="7">
        <v>4.9260000000000002</v>
      </c>
      <c r="K1310" s="7">
        <v>4.907</v>
      </c>
      <c r="L1310" s="7">
        <v>5.0549999999999997</v>
      </c>
      <c r="M1310" s="7">
        <v>5.3079999999999998</v>
      </c>
      <c r="N1310" s="7">
        <v>5.8959999999999999</v>
      </c>
      <c r="O1310" s="7">
        <v>6.117</v>
      </c>
      <c r="P1310" s="7">
        <v>5.5439999999999996</v>
      </c>
      <c r="Q1310" s="7">
        <v>5.1929999999999996</v>
      </c>
      <c r="R1310" s="7">
        <v>4.9109999999999996</v>
      </c>
      <c r="S1310" s="7">
        <f t="shared" si="20"/>
        <v>5.2003333333333321</v>
      </c>
    </row>
    <row r="1311" spans="1:19">
      <c r="A1311" s="5" t="str">
        <f>B1311&amp;"-"&amp;COUNTIF($B$2:B1311,B1311)</f>
        <v>MARANHÃO-182</v>
      </c>
      <c r="B1311" s="5" t="s">
        <v>875</v>
      </c>
      <c r="C1311" s="5" t="s">
        <v>3977</v>
      </c>
      <c r="D1311" s="6">
        <v>-449927</v>
      </c>
      <c r="E1311" s="6">
        <v>-50227</v>
      </c>
      <c r="F1311" s="7">
        <v>5.2050000000000001</v>
      </c>
      <c r="G1311" s="7">
        <v>4.6820000000000004</v>
      </c>
      <c r="H1311" s="7">
        <v>4.9020000000000001</v>
      </c>
      <c r="I1311" s="7">
        <v>4.9320000000000004</v>
      </c>
      <c r="J1311" s="7">
        <v>4.931</v>
      </c>
      <c r="K1311" s="7">
        <v>4.9539999999999997</v>
      </c>
      <c r="L1311" s="7">
        <v>5.0620000000000003</v>
      </c>
      <c r="M1311" s="7">
        <v>5.298</v>
      </c>
      <c r="N1311" s="7">
        <v>5.8920000000000003</v>
      </c>
      <c r="O1311" s="7">
        <v>6.1050000000000004</v>
      </c>
      <c r="P1311" s="7">
        <v>5.5819999999999999</v>
      </c>
      <c r="Q1311" s="7">
        <v>5.22</v>
      </c>
      <c r="R1311" s="7">
        <v>4.899</v>
      </c>
      <c r="S1311" s="7">
        <f t="shared" si="20"/>
        <v>5.2049166666666675</v>
      </c>
    </row>
    <row r="1312" spans="1:19">
      <c r="A1312" s="5" t="str">
        <f>B1312&amp;"-"&amp;COUNTIF($B$2:B1312,B1312)</f>
        <v>MARANHÃO-183</v>
      </c>
      <c r="B1312" s="5" t="s">
        <v>875</v>
      </c>
      <c r="C1312" s="5" t="s">
        <v>3978</v>
      </c>
      <c r="D1312" s="6">
        <v>-448801</v>
      </c>
      <c r="E1312" s="6">
        <v>-28924</v>
      </c>
      <c r="F1312" s="7">
        <v>5.1369999999999996</v>
      </c>
      <c r="G1312" s="7">
        <v>4.7309999999999999</v>
      </c>
      <c r="H1312" s="7">
        <v>4.8449999999999998</v>
      </c>
      <c r="I1312" s="7">
        <v>4.8049999999999997</v>
      </c>
      <c r="J1312" s="7">
        <v>4.7969999999999997</v>
      </c>
      <c r="K1312" s="7">
        <v>4.806</v>
      </c>
      <c r="L1312" s="7">
        <v>5.0090000000000003</v>
      </c>
      <c r="M1312" s="7">
        <v>5.0960000000000001</v>
      </c>
      <c r="N1312" s="7">
        <v>5.6150000000000002</v>
      </c>
      <c r="O1312" s="7">
        <v>5.8120000000000003</v>
      </c>
      <c r="P1312" s="7">
        <v>5.5949999999999998</v>
      </c>
      <c r="Q1312" s="7">
        <v>5.4429999999999996</v>
      </c>
      <c r="R1312" s="7">
        <v>5.0890000000000004</v>
      </c>
      <c r="S1312" s="7">
        <f t="shared" si="20"/>
        <v>5.1369166666666661</v>
      </c>
    </row>
    <row r="1313" spans="1:19">
      <c r="A1313" s="5" t="str">
        <f>B1313&amp;"-"&amp;COUNTIF($B$2:B1313,B1313)</f>
        <v>MARANHÃO-184</v>
      </c>
      <c r="B1313" s="5" t="s">
        <v>875</v>
      </c>
      <c r="C1313" s="5" t="s">
        <v>973</v>
      </c>
      <c r="D1313" s="6">
        <v>-453465</v>
      </c>
      <c r="E1313" s="6">
        <v>-71409</v>
      </c>
      <c r="F1313" s="7">
        <v>5.4119999999999999</v>
      </c>
      <c r="G1313" s="7">
        <v>4.867</v>
      </c>
      <c r="H1313" s="7">
        <v>5.0279999999999996</v>
      </c>
      <c r="I1313" s="7">
        <v>5.0179999999999998</v>
      </c>
      <c r="J1313" s="7">
        <v>5.0890000000000004</v>
      </c>
      <c r="K1313" s="7">
        <v>5.2560000000000002</v>
      </c>
      <c r="L1313" s="7">
        <v>5.3890000000000002</v>
      </c>
      <c r="M1313" s="7">
        <v>5.5309999999999997</v>
      </c>
      <c r="N1313" s="7">
        <v>6.0119999999999996</v>
      </c>
      <c r="O1313" s="7">
        <v>6.5279999999999996</v>
      </c>
      <c r="P1313" s="7">
        <v>5.8479999999999999</v>
      </c>
      <c r="Q1313" s="7">
        <v>5.2859999999999996</v>
      </c>
      <c r="R1313" s="7">
        <v>5.0940000000000003</v>
      </c>
      <c r="S1313" s="7">
        <f t="shared" si="20"/>
        <v>5.4121666666666668</v>
      </c>
    </row>
    <row r="1314" spans="1:19">
      <c r="A1314" s="5" t="str">
        <f>B1314&amp;"-"&amp;COUNTIF($B$2:B1314,B1314)</f>
        <v>MARANHÃO-185</v>
      </c>
      <c r="B1314" s="5" t="s">
        <v>875</v>
      </c>
      <c r="C1314" s="5" t="s">
        <v>3979</v>
      </c>
      <c r="D1314" s="6">
        <v>-445591</v>
      </c>
      <c r="E1314" s="6">
        <v>-54981</v>
      </c>
      <c r="F1314" s="7">
        <v>5.2789999999999999</v>
      </c>
      <c r="G1314" s="7">
        <v>4.7610000000000001</v>
      </c>
      <c r="H1314" s="7">
        <v>4.8099999999999996</v>
      </c>
      <c r="I1314" s="7">
        <v>4.9249999999999998</v>
      </c>
      <c r="J1314" s="7">
        <v>4.8330000000000002</v>
      </c>
      <c r="K1314" s="7">
        <v>4.923</v>
      </c>
      <c r="L1314" s="7">
        <v>5.2030000000000003</v>
      </c>
      <c r="M1314" s="7">
        <v>5.4669999999999996</v>
      </c>
      <c r="N1314" s="7">
        <v>6.0830000000000002</v>
      </c>
      <c r="O1314" s="7">
        <v>6.2859999999999996</v>
      </c>
      <c r="P1314" s="7">
        <v>5.6680000000000001</v>
      </c>
      <c r="Q1314" s="7">
        <v>5.3460000000000001</v>
      </c>
      <c r="R1314" s="7">
        <v>5.04</v>
      </c>
      <c r="S1314" s="7">
        <f t="shared" si="20"/>
        <v>5.2787500000000005</v>
      </c>
    </row>
    <row r="1315" spans="1:19">
      <c r="A1315" s="5" t="str">
        <f>B1315&amp;"-"&amp;COUNTIF($B$2:B1315,B1315)</f>
        <v>MARANHÃO-186</v>
      </c>
      <c r="B1315" s="5" t="s">
        <v>875</v>
      </c>
      <c r="C1315" s="5" t="s">
        <v>974</v>
      </c>
      <c r="D1315" s="6">
        <v>-453011</v>
      </c>
      <c r="E1315" s="6">
        <v>-2234</v>
      </c>
      <c r="F1315" s="7">
        <v>4.9130000000000003</v>
      </c>
      <c r="G1315" s="7">
        <v>4.5990000000000002</v>
      </c>
      <c r="H1315" s="7">
        <v>4.4859999999999998</v>
      </c>
      <c r="I1315" s="7">
        <v>4.3730000000000002</v>
      </c>
      <c r="J1315" s="7">
        <v>4.3719999999999999</v>
      </c>
      <c r="K1315" s="7">
        <v>4.569</v>
      </c>
      <c r="L1315" s="7">
        <v>4.8719999999999999</v>
      </c>
      <c r="M1315" s="7">
        <v>4.9379999999999997</v>
      </c>
      <c r="N1315" s="7">
        <v>5.5</v>
      </c>
      <c r="O1315" s="7">
        <v>5.7460000000000004</v>
      </c>
      <c r="P1315" s="7">
        <v>5.4690000000000003</v>
      </c>
      <c r="Q1315" s="7">
        <v>5.2169999999999996</v>
      </c>
      <c r="R1315" s="7">
        <v>4.8230000000000004</v>
      </c>
      <c r="S1315" s="7">
        <f t="shared" si="20"/>
        <v>4.9136666666666668</v>
      </c>
    </row>
    <row r="1316" spans="1:19">
      <c r="A1316" s="5" t="str">
        <f>B1316&amp;"-"&amp;COUNTIF($B$2:B1316,B1316)</f>
        <v>MARANHÃO-187</v>
      </c>
      <c r="B1316" s="5" t="s">
        <v>875</v>
      </c>
      <c r="C1316" s="5" t="s">
        <v>5281</v>
      </c>
      <c r="D1316" s="6">
        <v>-453778</v>
      </c>
      <c r="E1316" s="6">
        <v>-36515</v>
      </c>
      <c r="F1316" s="7">
        <v>5.0670000000000002</v>
      </c>
      <c r="G1316" s="7">
        <v>4.6420000000000003</v>
      </c>
      <c r="H1316" s="7">
        <v>4.8710000000000004</v>
      </c>
      <c r="I1316" s="7">
        <v>4.9210000000000003</v>
      </c>
      <c r="J1316" s="7">
        <v>4.8769999999999998</v>
      </c>
      <c r="K1316" s="7">
        <v>4.7439999999999998</v>
      </c>
      <c r="L1316" s="7">
        <v>4.8949999999999996</v>
      </c>
      <c r="M1316" s="7">
        <v>4.9809999999999999</v>
      </c>
      <c r="N1316" s="7">
        <v>5.5119999999999996</v>
      </c>
      <c r="O1316" s="7">
        <v>5.7839999999999998</v>
      </c>
      <c r="P1316" s="7">
        <v>5.49</v>
      </c>
      <c r="Q1316" s="7">
        <v>5.1379999999999999</v>
      </c>
      <c r="R1316" s="7">
        <v>4.9509999999999996</v>
      </c>
      <c r="S1316" s="7">
        <f t="shared" si="20"/>
        <v>5.0671666666666662</v>
      </c>
    </row>
    <row r="1317" spans="1:19">
      <c r="A1317" s="5" t="str">
        <f>B1317&amp;"-"&amp;COUNTIF($B$2:B1317,B1317)</f>
        <v>MARANHÃO-188</v>
      </c>
      <c r="B1317" s="5" t="s">
        <v>875</v>
      </c>
      <c r="C1317" s="5" t="s">
        <v>521</v>
      </c>
      <c r="D1317" s="6">
        <v>-456644</v>
      </c>
      <c r="E1317" s="6">
        <v>-39613</v>
      </c>
      <c r="F1317" s="7">
        <v>4.9729999999999999</v>
      </c>
      <c r="G1317" s="7">
        <v>4.569</v>
      </c>
      <c r="H1317" s="7">
        <v>4.782</v>
      </c>
      <c r="I1317" s="7">
        <v>4.8630000000000004</v>
      </c>
      <c r="J1317" s="7">
        <v>4.8490000000000002</v>
      </c>
      <c r="K1317" s="7">
        <v>4.6760000000000002</v>
      </c>
      <c r="L1317" s="7">
        <v>4.8600000000000003</v>
      </c>
      <c r="M1317" s="7">
        <v>5.0199999999999996</v>
      </c>
      <c r="N1317" s="7">
        <v>5.4269999999999996</v>
      </c>
      <c r="O1317" s="7">
        <v>5.6609999999999996</v>
      </c>
      <c r="P1317" s="7">
        <v>5.266</v>
      </c>
      <c r="Q1317" s="7">
        <v>4.9290000000000003</v>
      </c>
      <c r="R1317" s="7">
        <v>4.7789999999999999</v>
      </c>
      <c r="S1317" s="7">
        <f t="shared" si="20"/>
        <v>4.9734166666666662</v>
      </c>
    </row>
    <row r="1318" spans="1:19">
      <c r="A1318" s="5" t="str">
        <f>B1318&amp;"-"&amp;COUNTIF($B$2:B1318,B1318)</f>
        <v>MARANHÃO-189</v>
      </c>
      <c r="B1318" s="5" t="s">
        <v>875</v>
      </c>
      <c r="C1318" s="5" t="s">
        <v>5559</v>
      </c>
      <c r="D1318" s="6">
        <v>-457751</v>
      </c>
      <c r="E1318" s="6">
        <v>-25442</v>
      </c>
      <c r="F1318" s="7">
        <v>4.95</v>
      </c>
      <c r="G1318" s="7">
        <v>4.5430000000000001</v>
      </c>
      <c r="H1318" s="7">
        <v>4.63</v>
      </c>
      <c r="I1318" s="7">
        <v>4.5380000000000003</v>
      </c>
      <c r="J1318" s="7">
        <v>4.5949999999999998</v>
      </c>
      <c r="K1318" s="7">
        <v>4.6580000000000004</v>
      </c>
      <c r="L1318" s="7">
        <v>4.8840000000000003</v>
      </c>
      <c r="M1318" s="7">
        <v>4.9969999999999999</v>
      </c>
      <c r="N1318" s="7">
        <v>5.5549999999999997</v>
      </c>
      <c r="O1318" s="7">
        <v>5.7350000000000003</v>
      </c>
      <c r="P1318" s="7">
        <v>5.4119999999999999</v>
      </c>
      <c r="Q1318" s="7">
        <v>5.085</v>
      </c>
      <c r="R1318" s="7">
        <v>4.7699999999999996</v>
      </c>
      <c r="S1318" s="7">
        <f t="shared" si="20"/>
        <v>4.950166666666667</v>
      </c>
    </row>
    <row r="1319" spans="1:19">
      <c r="A1319" s="5" t="str">
        <f>B1319&amp;"-"&amp;COUNTIF($B$2:B1319,B1319)</f>
        <v>MARANHÃO-190</v>
      </c>
      <c r="B1319" s="5" t="s">
        <v>875</v>
      </c>
      <c r="C1319" s="5" t="s">
        <v>4315</v>
      </c>
      <c r="D1319" s="6">
        <v>-425605</v>
      </c>
      <c r="E1319" s="6">
        <v>-34985</v>
      </c>
      <c r="F1319" s="7">
        <v>5.6180000000000003</v>
      </c>
      <c r="G1319" s="7">
        <v>5.2770000000000001</v>
      </c>
      <c r="H1319" s="7">
        <v>5.3029999999999999</v>
      </c>
      <c r="I1319" s="7">
        <v>5.4029999999999996</v>
      </c>
      <c r="J1319" s="7">
        <v>5.1459999999999999</v>
      </c>
      <c r="K1319" s="7">
        <v>5.15</v>
      </c>
      <c r="L1319" s="7">
        <v>5.2990000000000004</v>
      </c>
      <c r="M1319" s="7">
        <v>5.5220000000000002</v>
      </c>
      <c r="N1319" s="7">
        <v>5.9960000000000004</v>
      </c>
      <c r="O1319" s="7">
        <v>6.3179999999999996</v>
      </c>
      <c r="P1319" s="7">
        <v>6.3339999999999996</v>
      </c>
      <c r="Q1319" s="7">
        <v>6.09</v>
      </c>
      <c r="R1319" s="7">
        <v>5.577</v>
      </c>
      <c r="S1319" s="7">
        <f t="shared" si="20"/>
        <v>5.6179166666666669</v>
      </c>
    </row>
    <row r="1320" spans="1:19">
      <c r="A1320" s="5" t="str">
        <f>B1320&amp;"-"&amp;COUNTIF($B$2:B1320,B1320)</f>
        <v>MARANHÃO-191</v>
      </c>
      <c r="B1320" s="5" t="s">
        <v>875</v>
      </c>
      <c r="C1320" s="5" t="s">
        <v>975</v>
      </c>
      <c r="D1320" s="6">
        <v>-44326</v>
      </c>
      <c r="E1320" s="6">
        <v>-31375</v>
      </c>
      <c r="F1320" s="7">
        <v>5.173</v>
      </c>
      <c r="G1320" s="7">
        <v>4.6429999999999998</v>
      </c>
      <c r="H1320" s="7">
        <v>4.7880000000000003</v>
      </c>
      <c r="I1320" s="7">
        <v>4.6909999999999998</v>
      </c>
      <c r="J1320" s="7">
        <v>4.5940000000000003</v>
      </c>
      <c r="K1320" s="7">
        <v>4.7619999999999996</v>
      </c>
      <c r="L1320" s="7">
        <v>5.0350000000000001</v>
      </c>
      <c r="M1320" s="7">
        <v>5.2450000000000001</v>
      </c>
      <c r="N1320" s="7">
        <v>5.8620000000000001</v>
      </c>
      <c r="O1320" s="7">
        <v>6.1139999999999999</v>
      </c>
      <c r="P1320" s="7">
        <v>5.8280000000000003</v>
      </c>
      <c r="Q1320" s="7">
        <v>5.4790000000000001</v>
      </c>
      <c r="R1320" s="7">
        <v>5.0309999999999997</v>
      </c>
      <c r="S1320" s="7">
        <f t="shared" si="20"/>
        <v>5.1726666666666672</v>
      </c>
    </row>
    <row r="1321" spans="1:19">
      <c r="A1321" s="5" t="str">
        <f>B1321&amp;"-"&amp;COUNTIF($B$2:B1321,B1321)</f>
        <v>MARANHÃO-192</v>
      </c>
      <c r="B1321" s="5" t="s">
        <v>875</v>
      </c>
      <c r="C1321" s="5" t="s">
        <v>3980</v>
      </c>
      <c r="D1321" s="6">
        <v>-424139</v>
      </c>
      <c r="E1321" s="6">
        <v>-31121</v>
      </c>
      <c r="F1321" s="7">
        <v>5.4580000000000002</v>
      </c>
      <c r="G1321" s="7">
        <v>5.0149999999999997</v>
      </c>
      <c r="H1321" s="7">
        <v>4.9349999999999996</v>
      </c>
      <c r="I1321" s="7">
        <v>4.9290000000000003</v>
      </c>
      <c r="J1321" s="7">
        <v>4.8449999999999998</v>
      </c>
      <c r="K1321" s="7">
        <v>5.0030000000000001</v>
      </c>
      <c r="L1321" s="7">
        <v>5.1619999999999999</v>
      </c>
      <c r="M1321" s="7">
        <v>5.415</v>
      </c>
      <c r="N1321" s="7">
        <v>6.048</v>
      </c>
      <c r="O1321" s="7">
        <v>6.3639999999999999</v>
      </c>
      <c r="P1321" s="7">
        <v>6.3220000000000001</v>
      </c>
      <c r="Q1321" s="7">
        <v>6.032</v>
      </c>
      <c r="R1321" s="7">
        <v>5.423</v>
      </c>
      <c r="S1321" s="7">
        <f t="shared" si="20"/>
        <v>5.4577500000000008</v>
      </c>
    </row>
    <row r="1322" spans="1:19">
      <c r="A1322" s="5" t="str">
        <f>B1322&amp;"-"&amp;COUNTIF($B$2:B1322,B1322)</f>
        <v>MARANHÃO-193</v>
      </c>
      <c r="B1322" s="5" t="s">
        <v>875</v>
      </c>
      <c r="C1322" s="5" t="s">
        <v>3981</v>
      </c>
      <c r="D1322" s="6">
        <v>-432534</v>
      </c>
      <c r="E1322" s="6">
        <v>-25009</v>
      </c>
      <c r="F1322" s="7">
        <v>5.36</v>
      </c>
      <c r="G1322" s="7">
        <v>5.09</v>
      </c>
      <c r="H1322" s="7">
        <v>5.077</v>
      </c>
      <c r="I1322" s="7">
        <v>4.9000000000000004</v>
      </c>
      <c r="J1322" s="7">
        <v>4.8289999999999997</v>
      </c>
      <c r="K1322" s="7">
        <v>4.9649999999999999</v>
      </c>
      <c r="L1322" s="7">
        <v>5.1740000000000004</v>
      </c>
      <c r="M1322" s="7">
        <v>5.359</v>
      </c>
      <c r="N1322" s="7">
        <v>5.8109999999999999</v>
      </c>
      <c r="O1322" s="7">
        <v>6.0060000000000002</v>
      </c>
      <c r="P1322" s="7">
        <v>5.9080000000000004</v>
      </c>
      <c r="Q1322" s="7">
        <v>5.7409999999999997</v>
      </c>
      <c r="R1322" s="7">
        <v>5.4560000000000004</v>
      </c>
      <c r="S1322" s="7">
        <f t="shared" si="20"/>
        <v>5.3596666666666666</v>
      </c>
    </row>
    <row r="1323" spans="1:19">
      <c r="A1323" s="5" t="str">
        <f>B1323&amp;"-"&amp;COUNTIF($B$2:B1323,B1323)</f>
        <v>MARANHÃO-194</v>
      </c>
      <c r="B1323" s="5" t="s">
        <v>875</v>
      </c>
      <c r="C1323" s="5" t="s">
        <v>4545</v>
      </c>
      <c r="D1323" s="6">
        <v>-443591</v>
      </c>
      <c r="E1323" s="6">
        <v>-48705</v>
      </c>
      <c r="F1323" s="7">
        <v>5.2969999999999997</v>
      </c>
      <c r="G1323" s="7">
        <v>4.8250000000000002</v>
      </c>
      <c r="H1323" s="7">
        <v>4.8810000000000002</v>
      </c>
      <c r="I1323" s="7">
        <v>4.9470000000000001</v>
      </c>
      <c r="J1323" s="7">
        <v>4.8460000000000001</v>
      </c>
      <c r="K1323" s="7">
        <v>4.9379999999999997</v>
      </c>
      <c r="L1323" s="7">
        <v>5.0910000000000002</v>
      </c>
      <c r="M1323" s="7">
        <v>5.3949999999999996</v>
      </c>
      <c r="N1323" s="7">
        <v>6.0190000000000001</v>
      </c>
      <c r="O1323" s="7">
        <v>6.2859999999999996</v>
      </c>
      <c r="P1323" s="7">
        <v>5.84</v>
      </c>
      <c r="Q1323" s="7">
        <v>5.47</v>
      </c>
      <c r="R1323" s="7">
        <v>5.0270000000000001</v>
      </c>
      <c r="S1323" s="7">
        <f t="shared" si="20"/>
        <v>5.2970833333333331</v>
      </c>
    </row>
    <row r="1324" spans="1:19">
      <c r="A1324" s="5" t="str">
        <f>B1324&amp;"-"&amp;COUNTIF($B$2:B1324,B1324)</f>
        <v>MARANHÃO-195</v>
      </c>
      <c r="B1324" s="5" t="s">
        <v>875</v>
      </c>
      <c r="C1324" s="5" t="s">
        <v>976</v>
      </c>
      <c r="D1324" s="6">
        <v>-467037</v>
      </c>
      <c r="E1324" s="6">
        <v>-58764</v>
      </c>
      <c r="F1324" s="7">
        <v>5.1260000000000003</v>
      </c>
      <c r="G1324" s="7">
        <v>4.742</v>
      </c>
      <c r="H1324" s="7">
        <v>4.819</v>
      </c>
      <c r="I1324" s="7">
        <v>4.8579999999999997</v>
      </c>
      <c r="J1324" s="7">
        <v>4.827</v>
      </c>
      <c r="K1324" s="7">
        <v>4.8739999999999997</v>
      </c>
      <c r="L1324" s="7">
        <v>5.165</v>
      </c>
      <c r="M1324" s="7">
        <v>5.3940000000000001</v>
      </c>
      <c r="N1324" s="7">
        <v>5.8849999999999998</v>
      </c>
      <c r="O1324" s="7">
        <v>5.8239999999999998</v>
      </c>
      <c r="P1324" s="7">
        <v>5.3479999999999999</v>
      </c>
      <c r="Q1324" s="7">
        <v>4.907</v>
      </c>
      <c r="R1324" s="7">
        <v>4.8710000000000004</v>
      </c>
      <c r="S1324" s="7">
        <f t="shared" si="20"/>
        <v>5.1261666666666672</v>
      </c>
    </row>
    <row r="1325" spans="1:19">
      <c r="A1325" s="5" t="str">
        <f>B1325&amp;"-"&amp;COUNTIF($B$2:B1325,B1325)</f>
        <v>MARANHÃO-196</v>
      </c>
      <c r="B1325" s="5" t="s">
        <v>875</v>
      </c>
      <c r="C1325" s="5" t="s">
        <v>977</v>
      </c>
      <c r="D1325" s="6">
        <v>-452387</v>
      </c>
      <c r="E1325" s="6">
        <v>-40372</v>
      </c>
      <c r="F1325" s="7">
        <v>5.093</v>
      </c>
      <c r="G1325" s="7">
        <v>4.6550000000000002</v>
      </c>
      <c r="H1325" s="7">
        <v>4.8440000000000003</v>
      </c>
      <c r="I1325" s="7">
        <v>4.93</v>
      </c>
      <c r="J1325" s="7">
        <v>4.9130000000000003</v>
      </c>
      <c r="K1325" s="7">
        <v>4.7649999999999997</v>
      </c>
      <c r="L1325" s="7">
        <v>4.9580000000000002</v>
      </c>
      <c r="M1325" s="7">
        <v>5.0609999999999999</v>
      </c>
      <c r="N1325" s="7">
        <v>5.5679999999999996</v>
      </c>
      <c r="O1325" s="7">
        <v>5.8410000000000002</v>
      </c>
      <c r="P1325" s="7">
        <v>5.49</v>
      </c>
      <c r="Q1325" s="7">
        <v>5.1509999999999998</v>
      </c>
      <c r="R1325" s="7">
        <v>4.9400000000000004</v>
      </c>
      <c r="S1325" s="7">
        <f t="shared" si="20"/>
        <v>5.093</v>
      </c>
    </row>
    <row r="1326" spans="1:19">
      <c r="A1326" s="5" t="str">
        <f>B1326&amp;"-"&amp;COUNTIF($B$2:B1326,B1326)</f>
        <v>MARANHÃO-197</v>
      </c>
      <c r="B1326" s="5" t="s">
        <v>875</v>
      </c>
      <c r="C1326" s="5" t="s">
        <v>978</v>
      </c>
      <c r="D1326" s="6">
        <v>-440553</v>
      </c>
      <c r="E1326" s="5" t="s">
        <v>979</v>
      </c>
      <c r="F1326" s="7">
        <v>5.3380000000000001</v>
      </c>
      <c r="G1326" s="7">
        <v>4.6959999999999997</v>
      </c>
      <c r="H1326" s="7">
        <v>4.907</v>
      </c>
      <c r="I1326" s="7">
        <v>4.9619999999999997</v>
      </c>
      <c r="J1326" s="7">
        <v>4.9029999999999996</v>
      </c>
      <c r="K1326" s="7">
        <v>4.9550000000000001</v>
      </c>
      <c r="L1326" s="7">
        <v>5.1779999999999999</v>
      </c>
      <c r="M1326" s="7">
        <v>5.4710000000000001</v>
      </c>
      <c r="N1326" s="7">
        <v>6.0960000000000001</v>
      </c>
      <c r="O1326" s="7">
        <v>6.3789999999999996</v>
      </c>
      <c r="P1326" s="7">
        <v>5.9050000000000002</v>
      </c>
      <c r="Q1326" s="7">
        <v>5.5019999999999998</v>
      </c>
      <c r="R1326" s="7">
        <v>5.1050000000000004</v>
      </c>
      <c r="S1326" s="7">
        <f t="shared" si="20"/>
        <v>5.3382500000000013</v>
      </c>
    </row>
    <row r="1327" spans="1:19">
      <c r="A1327" s="5" t="str">
        <f>B1327&amp;"-"&amp;COUNTIF($B$2:B1327,B1327)</f>
        <v>MARANHÃO-198</v>
      </c>
      <c r="B1327" s="5" t="s">
        <v>875</v>
      </c>
      <c r="C1327" s="5" t="s">
        <v>980</v>
      </c>
      <c r="D1327" s="6">
        <v>-472963</v>
      </c>
      <c r="E1327" s="6">
        <v>-54465</v>
      </c>
      <c r="F1327" s="7">
        <v>5.0179999999999998</v>
      </c>
      <c r="G1327" s="7">
        <v>4.5999999999999996</v>
      </c>
      <c r="H1327" s="7">
        <v>4.6589999999999998</v>
      </c>
      <c r="I1327" s="7">
        <v>4.7229999999999999</v>
      </c>
      <c r="J1327" s="7">
        <v>4.819</v>
      </c>
      <c r="K1327" s="7">
        <v>4.83</v>
      </c>
      <c r="L1327" s="7">
        <v>5.2009999999999996</v>
      </c>
      <c r="M1327" s="7">
        <v>5.3230000000000004</v>
      </c>
      <c r="N1327" s="7">
        <v>5.7</v>
      </c>
      <c r="O1327" s="7">
        <v>5.5880000000000001</v>
      </c>
      <c r="P1327" s="7">
        <v>5.1959999999999997</v>
      </c>
      <c r="Q1327" s="7">
        <v>4.8789999999999996</v>
      </c>
      <c r="R1327" s="7">
        <v>4.7050000000000001</v>
      </c>
      <c r="S1327" s="7">
        <f t="shared" si="20"/>
        <v>5.018583333333333</v>
      </c>
    </row>
    <row r="1328" spans="1:19">
      <c r="A1328" s="5" t="str">
        <f>B1328&amp;"-"&amp;COUNTIF($B$2:B1328,B1328)</f>
        <v>MARANHÃO-199</v>
      </c>
      <c r="B1328" s="5" t="s">
        <v>875</v>
      </c>
      <c r="C1328" s="5" t="s">
        <v>3982</v>
      </c>
      <c r="D1328" s="6">
        <v>-451211</v>
      </c>
      <c r="E1328" s="6">
        <v>-18527</v>
      </c>
      <c r="F1328" s="7">
        <v>4.899</v>
      </c>
      <c r="G1328" s="7">
        <v>4.6399999999999997</v>
      </c>
      <c r="H1328" s="7">
        <v>4.5090000000000003</v>
      </c>
      <c r="I1328" s="7">
        <v>4.3209999999999997</v>
      </c>
      <c r="J1328" s="7">
        <v>4.2370000000000001</v>
      </c>
      <c r="K1328" s="7">
        <v>4.4850000000000003</v>
      </c>
      <c r="L1328" s="7">
        <v>4.8170000000000002</v>
      </c>
      <c r="M1328" s="7">
        <v>4.9690000000000003</v>
      </c>
      <c r="N1328" s="7">
        <v>5.4340000000000002</v>
      </c>
      <c r="O1328" s="7">
        <v>5.702</v>
      </c>
      <c r="P1328" s="7">
        <v>5.4329999999999998</v>
      </c>
      <c r="Q1328" s="7">
        <v>5.2590000000000003</v>
      </c>
      <c r="R1328" s="7">
        <v>4.9850000000000003</v>
      </c>
      <c r="S1328" s="7">
        <f t="shared" si="20"/>
        <v>4.8992499999999994</v>
      </c>
    </row>
    <row r="1329" spans="1:19">
      <c r="A1329" s="5" t="str">
        <f>B1329&amp;"-"&amp;COUNTIF($B$2:B1329,B1329)</f>
        <v>MARANHÃO-200</v>
      </c>
      <c r="B1329" s="5" t="s">
        <v>875</v>
      </c>
      <c r="C1329" s="5" t="s">
        <v>981</v>
      </c>
      <c r="D1329" s="6">
        <v>-441922</v>
      </c>
      <c r="E1329" s="6">
        <v>-64788</v>
      </c>
      <c r="F1329" s="7">
        <v>5.41</v>
      </c>
      <c r="G1329" s="7">
        <v>4.6909999999999998</v>
      </c>
      <c r="H1329" s="7">
        <v>4.9109999999999996</v>
      </c>
      <c r="I1329" s="7">
        <v>4.8529999999999998</v>
      </c>
      <c r="J1329" s="7">
        <v>4.9630000000000001</v>
      </c>
      <c r="K1329" s="7">
        <v>5.1289999999999996</v>
      </c>
      <c r="L1329" s="7">
        <v>5.41</v>
      </c>
      <c r="M1329" s="7">
        <v>5.6749999999999998</v>
      </c>
      <c r="N1329" s="7">
        <v>6.2770000000000001</v>
      </c>
      <c r="O1329" s="7">
        <v>6.5549999999999997</v>
      </c>
      <c r="P1329" s="7">
        <v>5.9660000000000002</v>
      </c>
      <c r="Q1329" s="7">
        <v>5.4240000000000004</v>
      </c>
      <c r="R1329" s="7">
        <v>5.0640000000000001</v>
      </c>
      <c r="S1329" s="7">
        <f t="shared" si="20"/>
        <v>5.4098333333333342</v>
      </c>
    </row>
    <row r="1330" spans="1:19">
      <c r="A1330" s="5" t="str">
        <f>B1330&amp;"-"&amp;COUNTIF($B$2:B1330,B1330)</f>
        <v>MARANHÃO-201</v>
      </c>
      <c r="B1330" s="5" t="s">
        <v>875</v>
      </c>
      <c r="C1330" s="5" t="s">
        <v>3983</v>
      </c>
      <c r="D1330" s="6">
        <v>-435451</v>
      </c>
      <c r="E1330" s="6">
        <v>-64162</v>
      </c>
      <c r="F1330" s="7">
        <v>5.4820000000000002</v>
      </c>
      <c r="G1330" s="7">
        <v>4.8239999999999998</v>
      </c>
      <c r="H1330" s="7">
        <v>5.0650000000000004</v>
      </c>
      <c r="I1330" s="7">
        <v>4.99</v>
      </c>
      <c r="J1330" s="7">
        <v>5.0039999999999996</v>
      </c>
      <c r="K1330" s="7">
        <v>5.0960000000000001</v>
      </c>
      <c r="L1330" s="7">
        <v>5.36</v>
      </c>
      <c r="M1330" s="7">
        <v>5.6859999999999999</v>
      </c>
      <c r="N1330" s="7">
        <v>6.3070000000000004</v>
      </c>
      <c r="O1330" s="7">
        <v>6.5090000000000003</v>
      </c>
      <c r="P1330" s="7">
        <v>6.0890000000000004</v>
      </c>
      <c r="Q1330" s="7">
        <v>5.6779999999999999</v>
      </c>
      <c r="R1330" s="7">
        <v>5.1749999999999998</v>
      </c>
      <c r="S1330" s="7">
        <f t="shared" si="20"/>
        <v>5.4819166666666668</v>
      </c>
    </row>
    <row r="1331" spans="1:19">
      <c r="A1331" s="5" t="str">
        <f>B1331&amp;"-"&amp;COUNTIF($B$2:B1331,B1331)</f>
        <v>MARANHÃO-202</v>
      </c>
      <c r="B1331" s="5" t="s">
        <v>875</v>
      </c>
      <c r="C1331" s="5" t="s">
        <v>982</v>
      </c>
      <c r="D1331" s="6">
        <v>-457479</v>
      </c>
      <c r="E1331" s="6">
        <v>-84737</v>
      </c>
      <c r="F1331" s="7">
        <v>5.476</v>
      </c>
      <c r="G1331" s="7">
        <v>5.1719999999999997</v>
      </c>
      <c r="H1331" s="7">
        <v>5.2030000000000003</v>
      </c>
      <c r="I1331" s="7">
        <v>5.1070000000000002</v>
      </c>
      <c r="J1331" s="7">
        <v>5.242</v>
      </c>
      <c r="K1331" s="7">
        <v>5.3250000000000002</v>
      </c>
      <c r="L1331" s="7">
        <v>5.359</v>
      </c>
      <c r="M1331" s="7">
        <v>5.5119999999999996</v>
      </c>
      <c r="N1331" s="7">
        <v>5.9610000000000003</v>
      </c>
      <c r="O1331" s="7">
        <v>6.4390000000000001</v>
      </c>
      <c r="P1331" s="7">
        <v>5.8159999999999998</v>
      </c>
      <c r="Q1331" s="7">
        <v>5.359</v>
      </c>
      <c r="R1331" s="7">
        <v>5.2140000000000004</v>
      </c>
      <c r="S1331" s="7">
        <f t="shared" si="20"/>
        <v>5.4757500000000006</v>
      </c>
    </row>
    <row r="1332" spans="1:19">
      <c r="A1332" s="5" t="str">
        <f>B1332&amp;"-"&amp;COUNTIF($B$2:B1332,B1332)</f>
        <v>MARANHÃO-203</v>
      </c>
      <c r="B1332" s="5" t="s">
        <v>875</v>
      </c>
      <c r="C1332" s="5" t="s">
        <v>983</v>
      </c>
      <c r="D1332" s="6">
        <v>-439323</v>
      </c>
      <c r="E1332" s="6">
        <v>-42564</v>
      </c>
      <c r="F1332" s="7">
        <v>5.367</v>
      </c>
      <c r="G1332" s="7">
        <v>4.8499999999999996</v>
      </c>
      <c r="H1332" s="7">
        <v>4.9390000000000001</v>
      </c>
      <c r="I1332" s="7">
        <v>5.0209999999999999</v>
      </c>
      <c r="J1332" s="7">
        <v>4.8940000000000001</v>
      </c>
      <c r="K1332" s="7">
        <v>4.9050000000000002</v>
      </c>
      <c r="L1332" s="7">
        <v>5.1100000000000003</v>
      </c>
      <c r="M1332" s="7">
        <v>5.3810000000000002</v>
      </c>
      <c r="N1332" s="7">
        <v>6.0190000000000001</v>
      </c>
      <c r="O1332" s="7">
        <v>6.3140000000000001</v>
      </c>
      <c r="P1332" s="7">
        <v>6.0380000000000003</v>
      </c>
      <c r="Q1332" s="7">
        <v>5.6740000000000004</v>
      </c>
      <c r="R1332" s="7">
        <v>5.2560000000000002</v>
      </c>
      <c r="S1332" s="7">
        <f t="shared" si="20"/>
        <v>5.3667500000000006</v>
      </c>
    </row>
    <row r="1333" spans="1:19">
      <c r="A1333" s="5" t="str">
        <f>B1333&amp;"-"&amp;COUNTIF($B$2:B1333,B1333)</f>
        <v>MARANHÃO-204</v>
      </c>
      <c r="B1333" s="5" t="s">
        <v>875</v>
      </c>
      <c r="C1333" s="5" t="s">
        <v>984</v>
      </c>
      <c r="D1333" s="6">
        <v>-428333</v>
      </c>
      <c r="E1333" s="6">
        <v>-50981</v>
      </c>
      <c r="F1333" s="7">
        <v>5.5720000000000001</v>
      </c>
      <c r="G1333" s="7">
        <v>5.1079999999999997</v>
      </c>
      <c r="H1333" s="7">
        <v>5.2169999999999996</v>
      </c>
      <c r="I1333" s="7">
        <v>5.1509999999999998</v>
      </c>
      <c r="J1333" s="7">
        <v>5.0350000000000001</v>
      </c>
      <c r="K1333" s="7">
        <v>5.0529999999999999</v>
      </c>
      <c r="L1333" s="7">
        <v>5.1710000000000003</v>
      </c>
      <c r="M1333" s="7">
        <v>5.4649999999999999</v>
      </c>
      <c r="N1333" s="7">
        <v>6.03</v>
      </c>
      <c r="O1333" s="7">
        <v>6.46</v>
      </c>
      <c r="P1333" s="7">
        <v>6.3529999999999998</v>
      </c>
      <c r="Q1333" s="7">
        <v>6.1630000000000003</v>
      </c>
      <c r="R1333" s="7">
        <v>5.6520000000000001</v>
      </c>
      <c r="S1333" s="7">
        <f t="shared" si="20"/>
        <v>5.5715000000000003</v>
      </c>
    </row>
    <row r="1334" spans="1:19">
      <c r="A1334" s="5" t="str">
        <f>B1334&amp;"-"&amp;COUNTIF($B$2:B1334,B1334)</f>
        <v>MARANHÃO-205</v>
      </c>
      <c r="B1334" s="5" t="s">
        <v>875</v>
      </c>
      <c r="C1334" s="5" t="s">
        <v>985</v>
      </c>
      <c r="D1334" s="6">
        <v>-446164</v>
      </c>
      <c r="E1334" s="6">
        <v>-45683</v>
      </c>
      <c r="F1334" s="7">
        <v>5.2220000000000004</v>
      </c>
      <c r="G1334" s="7">
        <v>4.7519999999999998</v>
      </c>
      <c r="H1334" s="7">
        <v>4.851</v>
      </c>
      <c r="I1334" s="7">
        <v>4.9429999999999996</v>
      </c>
      <c r="J1334" s="7">
        <v>4.8650000000000002</v>
      </c>
      <c r="K1334" s="7">
        <v>4.8230000000000004</v>
      </c>
      <c r="L1334" s="7">
        <v>5.0640000000000001</v>
      </c>
      <c r="M1334" s="7">
        <v>5.298</v>
      </c>
      <c r="N1334" s="7">
        <v>5.8220000000000001</v>
      </c>
      <c r="O1334" s="7">
        <v>6.181</v>
      </c>
      <c r="P1334" s="7">
        <v>5.73</v>
      </c>
      <c r="Q1334" s="7">
        <v>5.3150000000000004</v>
      </c>
      <c r="R1334" s="7">
        <v>5.0129999999999999</v>
      </c>
      <c r="S1334" s="7">
        <f t="shared" si="20"/>
        <v>5.2214166666666673</v>
      </c>
    </row>
    <row r="1335" spans="1:19">
      <c r="A1335" s="5" t="str">
        <f>B1335&amp;"-"&amp;COUNTIF($B$2:B1335,B1335)</f>
        <v>MARANHÃO-206</v>
      </c>
      <c r="B1335" s="5" t="s">
        <v>875</v>
      </c>
      <c r="C1335" s="5" t="s">
        <v>4945</v>
      </c>
      <c r="D1335" s="6">
        <v>-456241</v>
      </c>
      <c r="E1335" s="6">
        <v>-36739</v>
      </c>
      <c r="F1335" s="7">
        <v>5.0069999999999997</v>
      </c>
      <c r="G1335" s="7">
        <v>4.6310000000000002</v>
      </c>
      <c r="H1335" s="7">
        <v>4.8879999999999999</v>
      </c>
      <c r="I1335" s="7">
        <v>4.8819999999999997</v>
      </c>
      <c r="J1335" s="7">
        <v>4.8979999999999997</v>
      </c>
      <c r="K1335" s="7">
        <v>4.74</v>
      </c>
      <c r="L1335" s="7">
        <v>4.88</v>
      </c>
      <c r="M1335" s="7">
        <v>5.0490000000000004</v>
      </c>
      <c r="N1335" s="7">
        <v>5.4039999999999999</v>
      </c>
      <c r="O1335" s="7">
        <v>5.6870000000000003</v>
      </c>
      <c r="P1335" s="7">
        <v>5.3230000000000004</v>
      </c>
      <c r="Q1335" s="7">
        <v>4.9640000000000004</v>
      </c>
      <c r="R1335" s="7">
        <v>4.74</v>
      </c>
      <c r="S1335" s="7">
        <f t="shared" si="20"/>
        <v>5.0071666666666665</v>
      </c>
    </row>
    <row r="1336" spans="1:19">
      <c r="A1336" s="5" t="str">
        <f>B1336&amp;"-"&amp;COUNTIF($B$2:B1336,B1336)</f>
        <v>MARANHÃO-207</v>
      </c>
      <c r="B1336" s="5" t="s">
        <v>875</v>
      </c>
      <c r="C1336" s="5" t="s">
        <v>986</v>
      </c>
      <c r="D1336" s="6">
        <v>-446447</v>
      </c>
      <c r="E1336" s="6">
        <v>-52552</v>
      </c>
      <c r="F1336" s="7">
        <v>5.274</v>
      </c>
      <c r="G1336" s="7">
        <v>4.78</v>
      </c>
      <c r="H1336" s="7">
        <v>4.9279999999999999</v>
      </c>
      <c r="I1336" s="7">
        <v>4.9260000000000002</v>
      </c>
      <c r="J1336" s="7">
        <v>4.9080000000000004</v>
      </c>
      <c r="K1336" s="7">
        <v>4.8769999999999998</v>
      </c>
      <c r="L1336" s="7">
        <v>5.1660000000000004</v>
      </c>
      <c r="M1336" s="7">
        <v>5.3810000000000002</v>
      </c>
      <c r="N1336" s="7">
        <v>6.0069999999999997</v>
      </c>
      <c r="O1336" s="7">
        <v>6.202</v>
      </c>
      <c r="P1336" s="7">
        <v>5.6539999999999999</v>
      </c>
      <c r="Q1336" s="7">
        <v>5.399</v>
      </c>
      <c r="R1336" s="7">
        <v>5.0599999999999996</v>
      </c>
      <c r="S1336" s="7">
        <f t="shared" si="20"/>
        <v>5.274</v>
      </c>
    </row>
    <row r="1337" spans="1:19">
      <c r="A1337" s="5" t="str">
        <f>B1337&amp;"-"&amp;COUNTIF($B$2:B1337,B1337)</f>
        <v>MARANHÃO-208</v>
      </c>
      <c r="B1337" s="5" t="s">
        <v>875</v>
      </c>
      <c r="C1337" s="5" t="s">
        <v>4645</v>
      </c>
      <c r="D1337" s="6">
        <v>-453704</v>
      </c>
      <c r="E1337" s="6">
        <v>-16656</v>
      </c>
      <c r="F1337" s="7">
        <v>4.8280000000000003</v>
      </c>
      <c r="G1337" s="7">
        <v>4.6159999999999997</v>
      </c>
      <c r="H1337" s="7">
        <v>4.4580000000000002</v>
      </c>
      <c r="I1337" s="7">
        <v>4.2089999999999996</v>
      </c>
      <c r="J1337" s="7">
        <v>4.1749999999999998</v>
      </c>
      <c r="K1337" s="7">
        <v>4.375</v>
      </c>
      <c r="L1337" s="7">
        <v>4.6959999999999997</v>
      </c>
      <c r="M1337" s="7">
        <v>4.8710000000000004</v>
      </c>
      <c r="N1337" s="7">
        <v>5.3289999999999997</v>
      </c>
      <c r="O1337" s="7">
        <v>5.63</v>
      </c>
      <c r="P1337" s="7">
        <v>5.4039999999999999</v>
      </c>
      <c r="Q1337" s="7">
        <v>5.2279999999999998</v>
      </c>
      <c r="R1337" s="7">
        <v>4.9420000000000002</v>
      </c>
      <c r="S1337" s="7">
        <f t="shared" si="20"/>
        <v>4.8277500000000009</v>
      </c>
    </row>
    <row r="1338" spans="1:19">
      <c r="A1338" s="5" t="str">
        <f>B1338&amp;"-"&amp;COUNTIF($B$2:B1338,B1338)</f>
        <v>MARANHÃO-209</v>
      </c>
      <c r="B1338" s="5" t="s">
        <v>875</v>
      </c>
      <c r="C1338" s="5" t="s">
        <v>4946</v>
      </c>
      <c r="D1338" s="6">
        <v>-453067</v>
      </c>
      <c r="E1338" s="6">
        <v>-22204</v>
      </c>
      <c r="F1338" s="7">
        <v>4.9130000000000003</v>
      </c>
      <c r="G1338" s="7">
        <v>4.5990000000000002</v>
      </c>
      <c r="H1338" s="7">
        <v>4.4859999999999998</v>
      </c>
      <c r="I1338" s="7">
        <v>4.3730000000000002</v>
      </c>
      <c r="J1338" s="7">
        <v>4.3719999999999999</v>
      </c>
      <c r="K1338" s="7">
        <v>4.569</v>
      </c>
      <c r="L1338" s="7">
        <v>4.8719999999999999</v>
      </c>
      <c r="M1338" s="7">
        <v>4.9379999999999997</v>
      </c>
      <c r="N1338" s="7">
        <v>5.5</v>
      </c>
      <c r="O1338" s="7">
        <v>5.7460000000000004</v>
      </c>
      <c r="P1338" s="7">
        <v>5.4690000000000003</v>
      </c>
      <c r="Q1338" s="7">
        <v>5.2169999999999996</v>
      </c>
      <c r="R1338" s="7">
        <v>4.8230000000000004</v>
      </c>
      <c r="S1338" s="7">
        <f t="shared" si="20"/>
        <v>4.9136666666666668</v>
      </c>
    </row>
    <row r="1339" spans="1:19">
      <c r="A1339" s="5" t="str">
        <f>B1339&amp;"-"&amp;COUNTIF($B$2:B1339,B1339)</f>
        <v>MARANHÃO-210</v>
      </c>
      <c r="B1339" s="5" t="s">
        <v>875</v>
      </c>
      <c r="C1339" s="5" t="s">
        <v>5096</v>
      </c>
      <c r="D1339" s="6">
        <v>-422759</v>
      </c>
      <c r="E1339" s="6">
        <v>-27618</v>
      </c>
      <c r="F1339" s="7">
        <v>5.5490000000000004</v>
      </c>
      <c r="G1339" s="7">
        <v>5.4790000000000001</v>
      </c>
      <c r="H1339" s="7">
        <v>5.3170000000000002</v>
      </c>
      <c r="I1339" s="7">
        <v>5.1790000000000003</v>
      </c>
      <c r="J1339" s="7">
        <v>4.97</v>
      </c>
      <c r="K1339" s="7">
        <v>5.0410000000000004</v>
      </c>
      <c r="L1339" s="7">
        <v>5.1840000000000002</v>
      </c>
      <c r="M1339" s="7">
        <v>5.3970000000000002</v>
      </c>
      <c r="N1339" s="7">
        <v>5.9210000000000003</v>
      </c>
      <c r="O1339" s="7">
        <v>6.0430000000000001</v>
      </c>
      <c r="P1339" s="7">
        <v>5.8869999999999996</v>
      </c>
      <c r="Q1339" s="7">
        <v>6.21</v>
      </c>
      <c r="R1339" s="7">
        <v>5.9569999999999999</v>
      </c>
      <c r="S1339" s="7">
        <f t="shared" si="20"/>
        <v>5.5487499999999992</v>
      </c>
    </row>
    <row r="1340" spans="1:19">
      <c r="A1340" s="5" t="str">
        <f>B1340&amp;"-"&amp;COUNTIF($B$2:B1340,B1340)</f>
        <v>MARANHÃO-211</v>
      </c>
      <c r="B1340" s="5" t="s">
        <v>875</v>
      </c>
      <c r="C1340" s="5" t="s">
        <v>987</v>
      </c>
      <c r="D1340" s="6">
        <v>-433882</v>
      </c>
      <c r="E1340" s="6">
        <v>-32068</v>
      </c>
      <c r="F1340" s="7">
        <v>5.3579999999999997</v>
      </c>
      <c r="G1340" s="7">
        <v>4.8449999999999998</v>
      </c>
      <c r="H1340" s="7">
        <v>4.8440000000000003</v>
      </c>
      <c r="I1340" s="7">
        <v>4.8579999999999997</v>
      </c>
      <c r="J1340" s="7">
        <v>4.8140000000000001</v>
      </c>
      <c r="K1340" s="7">
        <v>4.9610000000000003</v>
      </c>
      <c r="L1340" s="7">
        <v>5.165</v>
      </c>
      <c r="M1340" s="7">
        <v>5.3419999999999996</v>
      </c>
      <c r="N1340" s="7">
        <v>5.9459999999999997</v>
      </c>
      <c r="O1340" s="7">
        <v>6.3070000000000004</v>
      </c>
      <c r="P1340" s="7">
        <v>6.1349999999999998</v>
      </c>
      <c r="Q1340" s="7">
        <v>5.8520000000000003</v>
      </c>
      <c r="R1340" s="7">
        <v>5.2270000000000003</v>
      </c>
      <c r="S1340" s="7">
        <f t="shared" si="20"/>
        <v>5.3580000000000005</v>
      </c>
    </row>
    <row r="1341" spans="1:19">
      <c r="A1341" s="5" t="str">
        <f>B1341&amp;"-"&amp;COUNTIF($B$2:B1341,B1341)</f>
        <v>MARANHÃO-212</v>
      </c>
      <c r="B1341" s="5" t="s">
        <v>875</v>
      </c>
      <c r="C1341" s="5" t="s">
        <v>988</v>
      </c>
      <c r="D1341" s="6">
        <v>-439174</v>
      </c>
      <c r="E1341" s="6">
        <v>-35454</v>
      </c>
      <c r="F1341" s="7">
        <v>5.3239999999999998</v>
      </c>
      <c r="G1341" s="7">
        <v>4.78</v>
      </c>
      <c r="H1341" s="7">
        <v>4.9020000000000001</v>
      </c>
      <c r="I1341" s="7">
        <v>5.0039999999999996</v>
      </c>
      <c r="J1341" s="7">
        <v>4.84</v>
      </c>
      <c r="K1341" s="7">
        <v>4.9589999999999996</v>
      </c>
      <c r="L1341" s="7">
        <v>5.1100000000000003</v>
      </c>
      <c r="M1341" s="7">
        <v>5.3010000000000002</v>
      </c>
      <c r="N1341" s="7">
        <v>5.8869999999999996</v>
      </c>
      <c r="O1341" s="7">
        <v>6.2619999999999996</v>
      </c>
      <c r="P1341" s="7">
        <v>6.056</v>
      </c>
      <c r="Q1341" s="7">
        <v>5.6029999999999998</v>
      </c>
      <c r="R1341" s="7">
        <v>5.1890000000000001</v>
      </c>
      <c r="S1341" s="7">
        <f t="shared" si="20"/>
        <v>5.324416666666667</v>
      </c>
    </row>
    <row r="1342" spans="1:19">
      <c r="A1342" s="5" t="str">
        <f>B1342&amp;"-"&amp;COUNTIF($B$2:B1342,B1342)</f>
        <v>MARANHÃO-213</v>
      </c>
      <c r="B1342" s="5" t="s">
        <v>875</v>
      </c>
      <c r="C1342" s="5" t="s">
        <v>767</v>
      </c>
      <c r="D1342" s="6">
        <v>-449995</v>
      </c>
      <c r="E1342" s="6">
        <v>-32119</v>
      </c>
      <c r="F1342" s="7">
        <v>5.2140000000000004</v>
      </c>
      <c r="G1342" s="7">
        <v>4.6719999999999997</v>
      </c>
      <c r="H1342" s="7">
        <v>4.9740000000000002</v>
      </c>
      <c r="I1342" s="7">
        <v>4.9850000000000003</v>
      </c>
      <c r="J1342" s="7">
        <v>4.9130000000000003</v>
      </c>
      <c r="K1342" s="7">
        <v>4.9470000000000001</v>
      </c>
      <c r="L1342" s="7">
        <v>5.1050000000000004</v>
      </c>
      <c r="M1342" s="7">
        <v>5.2249999999999996</v>
      </c>
      <c r="N1342" s="7">
        <v>5.7389999999999999</v>
      </c>
      <c r="O1342" s="7">
        <v>5.9619999999999997</v>
      </c>
      <c r="P1342" s="7">
        <v>5.6840000000000002</v>
      </c>
      <c r="Q1342" s="7">
        <v>5.3529999999999998</v>
      </c>
      <c r="R1342" s="7">
        <v>5.016</v>
      </c>
      <c r="S1342" s="7">
        <f t="shared" si="20"/>
        <v>5.2145833333333327</v>
      </c>
    </row>
    <row r="1343" spans="1:19">
      <c r="A1343" s="5" t="str">
        <f>B1343&amp;"-"&amp;COUNTIF($B$2:B1343,B1343)</f>
        <v>MARANHÃO-214</v>
      </c>
      <c r="B1343" s="5" t="s">
        <v>875</v>
      </c>
      <c r="C1343" s="5" t="s">
        <v>989</v>
      </c>
      <c r="D1343" s="6">
        <v>-48138</v>
      </c>
      <c r="E1343" s="6">
        <v>-5182</v>
      </c>
      <c r="F1343" s="7">
        <v>4.923</v>
      </c>
      <c r="G1343" s="7">
        <v>4.4459999999999997</v>
      </c>
      <c r="H1343" s="7">
        <v>4.6139999999999999</v>
      </c>
      <c r="I1343" s="7">
        <v>4.6849999999999996</v>
      </c>
      <c r="J1343" s="7">
        <v>4.8250000000000002</v>
      </c>
      <c r="K1343" s="7">
        <v>4.7830000000000004</v>
      </c>
      <c r="L1343" s="7">
        <v>5.2060000000000004</v>
      </c>
      <c r="M1343" s="7">
        <v>5.2210000000000001</v>
      </c>
      <c r="N1343" s="7">
        <v>5.6529999999999996</v>
      </c>
      <c r="O1343" s="7">
        <v>5.4329999999999998</v>
      </c>
      <c r="P1343" s="7">
        <v>4.9580000000000002</v>
      </c>
      <c r="Q1343" s="7">
        <v>4.734</v>
      </c>
      <c r="R1343" s="7">
        <v>4.5229999999999997</v>
      </c>
      <c r="S1343" s="7">
        <f t="shared" si="20"/>
        <v>4.9234166666666672</v>
      </c>
    </row>
    <row r="1344" spans="1:19">
      <c r="A1344" s="5" t="str">
        <f>B1344&amp;"-"&amp;COUNTIF($B$2:B1344,B1344)</f>
        <v>MARANHÃO-215</v>
      </c>
      <c r="B1344" s="5" t="s">
        <v>875</v>
      </c>
      <c r="C1344" s="5" t="s">
        <v>5097</v>
      </c>
      <c r="D1344" s="6">
        <v>-448647</v>
      </c>
      <c r="E1344" s="6">
        <v>-34516</v>
      </c>
      <c r="F1344" s="7">
        <v>5.2119999999999997</v>
      </c>
      <c r="G1344" s="7">
        <v>4.7750000000000004</v>
      </c>
      <c r="H1344" s="7">
        <v>4.9489999999999998</v>
      </c>
      <c r="I1344" s="7">
        <v>4.9459999999999997</v>
      </c>
      <c r="J1344" s="7">
        <v>4.867</v>
      </c>
      <c r="K1344" s="7">
        <v>4.8609999999999998</v>
      </c>
      <c r="L1344" s="7">
        <v>5.04</v>
      </c>
      <c r="M1344" s="7">
        <v>5.21</v>
      </c>
      <c r="N1344" s="7">
        <v>5.7380000000000004</v>
      </c>
      <c r="O1344" s="7">
        <v>6.016</v>
      </c>
      <c r="P1344" s="7">
        <v>5.6870000000000003</v>
      </c>
      <c r="Q1344" s="7">
        <v>5.3470000000000004</v>
      </c>
      <c r="R1344" s="7">
        <v>5.1109999999999998</v>
      </c>
      <c r="S1344" s="7">
        <f t="shared" si="20"/>
        <v>5.2122499999999992</v>
      </c>
    </row>
    <row r="1345" spans="1:19">
      <c r="A1345" s="5" t="str">
        <f>B1345&amp;"-"&amp;COUNTIF($B$2:B1345,B1345)</f>
        <v>MARANHÃO-216</v>
      </c>
      <c r="B1345" s="5" t="s">
        <v>875</v>
      </c>
      <c r="C1345" s="5" t="s">
        <v>990</v>
      </c>
      <c r="D1345" s="6">
        <v>-452461</v>
      </c>
      <c r="E1345" s="6">
        <v>-42891</v>
      </c>
      <c r="F1345" s="7">
        <v>5.0570000000000004</v>
      </c>
      <c r="G1345" s="7">
        <v>4.625</v>
      </c>
      <c r="H1345" s="7">
        <v>4.798</v>
      </c>
      <c r="I1345" s="7">
        <v>4.9080000000000004</v>
      </c>
      <c r="J1345" s="7">
        <v>4.8490000000000002</v>
      </c>
      <c r="K1345" s="7">
        <v>4.7759999999999998</v>
      </c>
      <c r="L1345" s="7">
        <v>4.915</v>
      </c>
      <c r="M1345" s="7">
        <v>5.1470000000000002</v>
      </c>
      <c r="N1345" s="7">
        <v>5.5449999999999999</v>
      </c>
      <c r="O1345" s="7">
        <v>5.8230000000000004</v>
      </c>
      <c r="P1345" s="7">
        <v>5.4</v>
      </c>
      <c r="Q1345" s="7">
        <v>5.05</v>
      </c>
      <c r="R1345" s="7">
        <v>4.851</v>
      </c>
      <c r="S1345" s="7">
        <f t="shared" si="20"/>
        <v>5.0572499999999998</v>
      </c>
    </row>
    <row r="1346" spans="1:19">
      <c r="A1346" s="5" t="str">
        <f>B1346&amp;"-"&amp;COUNTIF($B$2:B1346,B1346)</f>
        <v>MARANHÃO-217</v>
      </c>
      <c r="B1346" s="5" t="s">
        <v>875</v>
      </c>
      <c r="C1346" s="5" t="s">
        <v>4316</v>
      </c>
      <c r="D1346" s="6">
        <v>-456557</v>
      </c>
      <c r="E1346" s="6">
        <v>-32705</v>
      </c>
      <c r="F1346" s="7">
        <v>5.0129999999999999</v>
      </c>
      <c r="G1346" s="7">
        <v>4.617</v>
      </c>
      <c r="H1346" s="7">
        <v>4.8070000000000004</v>
      </c>
      <c r="I1346" s="7">
        <v>4.8250000000000002</v>
      </c>
      <c r="J1346" s="7">
        <v>4.8419999999999996</v>
      </c>
      <c r="K1346" s="7">
        <v>4.7729999999999997</v>
      </c>
      <c r="L1346" s="7">
        <v>4.9109999999999996</v>
      </c>
      <c r="M1346" s="7">
        <v>5.0149999999999997</v>
      </c>
      <c r="N1346" s="7">
        <v>5.3959999999999999</v>
      </c>
      <c r="O1346" s="7">
        <v>5.7</v>
      </c>
      <c r="P1346" s="7">
        <v>5.3860000000000001</v>
      </c>
      <c r="Q1346" s="7">
        <v>5.0519999999999996</v>
      </c>
      <c r="R1346" s="7">
        <v>4.8280000000000003</v>
      </c>
      <c r="S1346" s="7">
        <f t="shared" si="20"/>
        <v>5.012666666666667</v>
      </c>
    </row>
    <row r="1347" spans="1:19">
      <c r="A1347" s="5" t="str">
        <f>B1347&amp;"-"&amp;COUNTIF($B$2:B1347,B1347)</f>
        <v>MATO GROSSO-1</v>
      </c>
      <c r="B1347" s="5" t="s">
        <v>991</v>
      </c>
      <c r="C1347" s="5" t="s">
        <v>992</v>
      </c>
      <c r="D1347" s="6">
        <v>-521605</v>
      </c>
      <c r="E1347" s="6">
        <v>-140515</v>
      </c>
      <c r="F1347" s="7">
        <v>5.266</v>
      </c>
      <c r="G1347" s="7">
        <v>5.2720000000000002</v>
      </c>
      <c r="H1347" s="7">
        <v>5.5359999999999996</v>
      </c>
      <c r="I1347" s="7">
        <v>5.1840000000000002</v>
      </c>
      <c r="J1347" s="7">
        <v>5.2359999999999998</v>
      </c>
      <c r="K1347" s="7">
        <v>4.99</v>
      </c>
      <c r="L1347" s="7">
        <v>4.7290000000000001</v>
      </c>
      <c r="M1347" s="7">
        <v>5.0759999999999996</v>
      </c>
      <c r="N1347" s="7">
        <v>5.5650000000000004</v>
      </c>
      <c r="O1347" s="7">
        <v>5.4489999999999998</v>
      </c>
      <c r="P1347" s="7">
        <v>5.4669999999999996</v>
      </c>
      <c r="Q1347" s="7">
        <v>5.2939999999999996</v>
      </c>
      <c r="R1347" s="7">
        <v>5.3970000000000002</v>
      </c>
      <c r="S1347" s="7">
        <f t="shared" ref="S1347:S1410" si="21">(G1347+H1347+I1347+J1347+K1347+L1347+M1347+N1347+O1347+P1347+Q1347+R1347)/12</f>
        <v>5.2662499999999994</v>
      </c>
    </row>
    <row r="1348" spans="1:19">
      <c r="A1348" s="5" t="str">
        <f>B1348&amp;"-"&amp;COUNTIF($B$2:B1348,B1348)</f>
        <v>MATO GROSSO-2</v>
      </c>
      <c r="B1348" s="5" t="s">
        <v>991</v>
      </c>
      <c r="C1348" s="5" t="s">
        <v>993</v>
      </c>
      <c r="D1348" s="6">
        <v>-563637</v>
      </c>
      <c r="E1348" s="6">
        <v>-151945</v>
      </c>
      <c r="F1348" s="7">
        <v>5.1379999999999999</v>
      </c>
      <c r="G1348" s="7">
        <v>5.431</v>
      </c>
      <c r="H1348" s="7">
        <v>5.3719999999999999</v>
      </c>
      <c r="I1348" s="7">
        <v>5.17</v>
      </c>
      <c r="J1348" s="7">
        <v>4.9560000000000004</v>
      </c>
      <c r="K1348" s="7">
        <v>4.4770000000000003</v>
      </c>
      <c r="L1348" s="7">
        <v>4.4610000000000003</v>
      </c>
      <c r="M1348" s="7">
        <v>4.5979999999999999</v>
      </c>
      <c r="N1348" s="7">
        <v>5.4349999999999996</v>
      </c>
      <c r="O1348" s="7">
        <v>5.1189999999999998</v>
      </c>
      <c r="P1348" s="7">
        <v>5.3049999999999997</v>
      </c>
      <c r="Q1348" s="7">
        <v>5.61</v>
      </c>
      <c r="R1348" s="7">
        <v>5.72</v>
      </c>
      <c r="S1348" s="7">
        <f t="shared" si="21"/>
        <v>5.1378333333333339</v>
      </c>
    </row>
    <row r="1349" spans="1:19">
      <c r="A1349" s="5" t="str">
        <f>B1349&amp;"-"&amp;COUNTIF($B$2:B1349,B1349)</f>
        <v>MATO GROSSO-3</v>
      </c>
      <c r="B1349" s="5" t="s">
        <v>991</v>
      </c>
      <c r="C1349" s="5" t="s">
        <v>994</v>
      </c>
      <c r="D1349" s="6">
        <v>-560871</v>
      </c>
      <c r="E1349" s="6">
        <v>-98672</v>
      </c>
      <c r="F1349" s="7">
        <v>4.8899999999999997</v>
      </c>
      <c r="G1349" s="7">
        <v>4.8099999999999996</v>
      </c>
      <c r="H1349" s="7">
        <v>4.8129999999999997</v>
      </c>
      <c r="I1349" s="7">
        <v>4.6740000000000004</v>
      </c>
      <c r="J1349" s="7">
        <v>4.5739999999999998</v>
      </c>
      <c r="K1349" s="7">
        <v>4.5540000000000003</v>
      </c>
      <c r="L1349" s="7">
        <v>4.6929999999999996</v>
      </c>
      <c r="M1349" s="7">
        <v>4.8040000000000003</v>
      </c>
      <c r="N1349" s="7">
        <v>5.3840000000000003</v>
      </c>
      <c r="O1349" s="7">
        <v>5.13</v>
      </c>
      <c r="P1349" s="7">
        <v>5.2290000000000001</v>
      </c>
      <c r="Q1349" s="7">
        <v>5.0229999999999997</v>
      </c>
      <c r="R1349" s="7">
        <v>4.9880000000000004</v>
      </c>
      <c r="S1349" s="7">
        <f t="shared" si="21"/>
        <v>4.8896666666666668</v>
      </c>
    </row>
    <row r="1350" spans="1:19">
      <c r="A1350" s="5" t="str">
        <f>B1350&amp;"-"&amp;COUNTIF($B$2:B1350,B1350)</f>
        <v>MATO GROSSO-4</v>
      </c>
      <c r="B1350" s="5" t="s">
        <v>991</v>
      </c>
      <c r="C1350" s="5" t="s">
        <v>995</v>
      </c>
      <c r="D1350" s="6">
        <v>-532185</v>
      </c>
      <c r="E1350" s="6">
        <v>-173158</v>
      </c>
      <c r="F1350" s="7">
        <v>5.1539999999999999</v>
      </c>
      <c r="G1350" s="7">
        <v>5.4720000000000004</v>
      </c>
      <c r="H1350" s="7">
        <v>5.5709999999999997</v>
      </c>
      <c r="I1350" s="7">
        <v>5.141</v>
      </c>
      <c r="J1350" s="7">
        <v>5.0949999999999998</v>
      </c>
      <c r="K1350" s="7">
        <v>4.633</v>
      </c>
      <c r="L1350" s="7">
        <v>4.4029999999999996</v>
      </c>
      <c r="M1350" s="7">
        <v>4.5469999999999997</v>
      </c>
      <c r="N1350" s="7">
        <v>5.4139999999999997</v>
      </c>
      <c r="O1350" s="7">
        <v>5.3140000000000001</v>
      </c>
      <c r="P1350" s="7">
        <v>5.2489999999999997</v>
      </c>
      <c r="Q1350" s="7">
        <v>5.4169999999999998</v>
      </c>
      <c r="R1350" s="7">
        <v>5.5979999999999999</v>
      </c>
      <c r="S1350" s="7">
        <f t="shared" si="21"/>
        <v>5.1544999999999996</v>
      </c>
    </row>
    <row r="1351" spans="1:19">
      <c r="A1351" s="5" t="str">
        <f>B1351&amp;"-"&amp;COUNTIF($B$2:B1351,B1351)</f>
        <v>MATO GROSSO-5</v>
      </c>
      <c r="B1351" s="5" t="s">
        <v>991</v>
      </c>
      <c r="C1351" s="5" t="s">
        <v>996</v>
      </c>
      <c r="D1351" s="6">
        <v>-513776</v>
      </c>
      <c r="E1351" s="6">
        <v>-116721</v>
      </c>
      <c r="F1351" s="7">
        <v>5.1470000000000002</v>
      </c>
      <c r="G1351" s="7">
        <v>5.1280000000000001</v>
      </c>
      <c r="H1351" s="7">
        <v>5.2110000000000003</v>
      </c>
      <c r="I1351" s="7">
        <v>4.9950000000000001</v>
      </c>
      <c r="J1351" s="7">
        <v>4.8230000000000004</v>
      </c>
      <c r="K1351" s="7">
        <v>4.8949999999999996</v>
      </c>
      <c r="L1351" s="7">
        <v>4.8029999999999999</v>
      </c>
      <c r="M1351" s="7">
        <v>5.0720000000000001</v>
      </c>
      <c r="N1351" s="7">
        <v>5.6239999999999997</v>
      </c>
      <c r="O1351" s="7">
        <v>5.4210000000000003</v>
      </c>
      <c r="P1351" s="7">
        <v>5.2729999999999997</v>
      </c>
      <c r="Q1351" s="7">
        <v>5.1879999999999997</v>
      </c>
      <c r="R1351" s="7">
        <v>5.3330000000000002</v>
      </c>
      <c r="S1351" s="7">
        <f t="shared" si="21"/>
        <v>5.1471666666666671</v>
      </c>
    </row>
    <row r="1352" spans="1:19">
      <c r="A1352" s="5" t="str">
        <f>B1352&amp;"-"&amp;COUNTIF($B$2:B1352,B1352)</f>
        <v>MATO GROSSO-6</v>
      </c>
      <c r="B1352" s="5" t="s">
        <v>991</v>
      </c>
      <c r="C1352" s="5" t="s">
        <v>4646</v>
      </c>
      <c r="D1352" s="6">
        <v>-535276</v>
      </c>
      <c r="E1352" s="6">
        <v>-169467</v>
      </c>
      <c r="F1352" s="7">
        <v>5.1459999999999999</v>
      </c>
      <c r="G1352" s="7">
        <v>5.4980000000000002</v>
      </c>
      <c r="H1352" s="7">
        <v>5.5259999999999998</v>
      </c>
      <c r="I1352" s="7">
        <v>5.0999999999999996</v>
      </c>
      <c r="J1352" s="7">
        <v>5.0369999999999999</v>
      </c>
      <c r="K1352" s="7">
        <v>4.6459999999999999</v>
      </c>
      <c r="L1352" s="7">
        <v>4.3929999999999998</v>
      </c>
      <c r="M1352" s="7">
        <v>4.569</v>
      </c>
      <c r="N1352" s="7">
        <v>5.3289999999999997</v>
      </c>
      <c r="O1352" s="7">
        <v>5.2759999999999998</v>
      </c>
      <c r="P1352" s="7">
        <v>5.2850000000000001</v>
      </c>
      <c r="Q1352" s="7">
        <v>5.4569999999999999</v>
      </c>
      <c r="R1352" s="7">
        <v>5.6349999999999998</v>
      </c>
      <c r="S1352" s="7">
        <f t="shared" si="21"/>
        <v>5.1459166666666674</v>
      </c>
    </row>
    <row r="1353" spans="1:19">
      <c r="A1353" s="5" t="str">
        <f>B1353&amp;"-"&amp;COUNTIF($B$2:B1353,B1353)</f>
        <v>MATO GROSSO-7</v>
      </c>
      <c r="B1353" s="5" t="s">
        <v>991</v>
      </c>
      <c r="C1353" s="5" t="s">
        <v>997</v>
      </c>
      <c r="D1353" s="6">
        <v>-564781</v>
      </c>
      <c r="E1353" s="6">
        <v>-145141</v>
      </c>
      <c r="F1353" s="7">
        <v>5.0730000000000004</v>
      </c>
      <c r="G1353" s="7">
        <v>5.2249999999999996</v>
      </c>
      <c r="H1353" s="7">
        <v>5.1870000000000003</v>
      </c>
      <c r="I1353" s="7">
        <v>5.0270000000000001</v>
      </c>
      <c r="J1353" s="7">
        <v>4.8890000000000002</v>
      </c>
      <c r="K1353" s="7">
        <v>4.5170000000000003</v>
      </c>
      <c r="L1353" s="7">
        <v>4.5279999999999996</v>
      </c>
      <c r="M1353" s="7">
        <v>4.7140000000000004</v>
      </c>
      <c r="N1353" s="7">
        <v>5.4930000000000003</v>
      </c>
      <c r="O1353" s="7">
        <v>5.1559999999999997</v>
      </c>
      <c r="P1353" s="7">
        <v>5.2489999999999997</v>
      </c>
      <c r="Q1353" s="7">
        <v>5.4119999999999999</v>
      </c>
      <c r="R1353" s="7">
        <v>5.4790000000000001</v>
      </c>
      <c r="S1353" s="7">
        <f t="shared" si="21"/>
        <v>5.0729999999999995</v>
      </c>
    </row>
    <row r="1354" spans="1:19">
      <c r="A1354" s="5" t="str">
        <f>B1354&amp;"-"&amp;COUNTIF($B$2:B1354,B1354)</f>
        <v>MATO GROSSO-8</v>
      </c>
      <c r="B1354" s="5" t="s">
        <v>991</v>
      </c>
      <c r="C1354" s="5" t="s">
        <v>998</v>
      </c>
      <c r="D1354" s="6">
        <v>-532824</v>
      </c>
      <c r="E1354" s="6">
        <v>-178302</v>
      </c>
      <c r="F1354" s="7">
        <v>5.0670000000000002</v>
      </c>
      <c r="G1354" s="7">
        <v>5.4260000000000002</v>
      </c>
      <c r="H1354" s="7">
        <v>5.5119999999999996</v>
      </c>
      <c r="I1354" s="7">
        <v>5.077</v>
      </c>
      <c r="J1354" s="7">
        <v>4.9119999999999999</v>
      </c>
      <c r="K1354" s="7">
        <v>4.492</v>
      </c>
      <c r="L1354" s="7">
        <v>4.2850000000000001</v>
      </c>
      <c r="M1354" s="7">
        <v>4.4349999999999996</v>
      </c>
      <c r="N1354" s="7">
        <v>5.3019999999999996</v>
      </c>
      <c r="O1354" s="7">
        <v>5.2220000000000004</v>
      </c>
      <c r="P1354" s="7">
        <v>5.1879999999999997</v>
      </c>
      <c r="Q1354" s="7">
        <v>5.351</v>
      </c>
      <c r="R1354" s="7">
        <v>5.6029999999999998</v>
      </c>
      <c r="S1354" s="7">
        <f t="shared" si="21"/>
        <v>5.0670833333333336</v>
      </c>
    </row>
    <row r="1355" spans="1:19">
      <c r="A1355" s="5" t="str">
        <f>B1355&amp;"-"&amp;COUNTIF($B$2:B1355,B1355)</f>
        <v>MATO GROSSO-9</v>
      </c>
      <c r="B1355" s="5" t="s">
        <v>991</v>
      </c>
      <c r="C1355" s="5" t="s">
        <v>5560</v>
      </c>
      <c r="D1355" s="6">
        <v>-574591</v>
      </c>
      <c r="E1355" s="6">
        <v>-95402</v>
      </c>
      <c r="F1355" s="7">
        <v>4.7080000000000002</v>
      </c>
      <c r="G1355" s="7">
        <v>4.5220000000000002</v>
      </c>
      <c r="H1355" s="7">
        <v>4.5549999999999997</v>
      </c>
      <c r="I1355" s="7">
        <v>4.4800000000000004</v>
      </c>
      <c r="J1355" s="7">
        <v>4.4359999999999999</v>
      </c>
      <c r="K1355" s="7">
        <v>4.3479999999999999</v>
      </c>
      <c r="L1355" s="7">
        <v>4.6079999999999997</v>
      </c>
      <c r="M1355" s="7">
        <v>4.7539999999999996</v>
      </c>
      <c r="N1355" s="7">
        <v>5.2140000000000004</v>
      </c>
      <c r="O1355" s="7">
        <v>4.9569999999999999</v>
      </c>
      <c r="P1355" s="7">
        <v>5.0439999999999996</v>
      </c>
      <c r="Q1355" s="7">
        <v>4.8239999999999998</v>
      </c>
      <c r="R1355" s="7">
        <v>4.7519999999999998</v>
      </c>
      <c r="S1355" s="7">
        <f t="shared" si="21"/>
        <v>4.7078333333333333</v>
      </c>
    </row>
    <row r="1356" spans="1:19">
      <c r="A1356" s="5" t="str">
        <f>B1356&amp;"-"&amp;COUNTIF($B$2:B1356,B1356)</f>
        <v>MATO GROSSO-10</v>
      </c>
      <c r="B1356" s="5" t="s">
        <v>991</v>
      </c>
      <c r="C1356" s="5" t="s">
        <v>999</v>
      </c>
      <c r="D1356" s="6">
        <v>-518378</v>
      </c>
      <c r="E1356" s="6">
        <v>-157241</v>
      </c>
      <c r="F1356" s="7">
        <v>5.2619999999999996</v>
      </c>
      <c r="G1356" s="7">
        <v>5.5880000000000001</v>
      </c>
      <c r="H1356" s="7">
        <v>5.7240000000000002</v>
      </c>
      <c r="I1356" s="7">
        <v>5.2549999999999999</v>
      </c>
      <c r="J1356" s="7">
        <v>5.3360000000000003</v>
      </c>
      <c r="K1356" s="7">
        <v>4.9039999999999999</v>
      </c>
      <c r="L1356" s="7">
        <v>4.5030000000000001</v>
      </c>
      <c r="M1356" s="7">
        <v>4.7169999999999996</v>
      </c>
      <c r="N1356" s="7">
        <v>5.2629999999999999</v>
      </c>
      <c r="O1356" s="7">
        <v>5.3579999999999997</v>
      </c>
      <c r="P1356" s="7">
        <v>5.5170000000000003</v>
      </c>
      <c r="Q1356" s="7">
        <v>5.4029999999999996</v>
      </c>
      <c r="R1356" s="7">
        <v>5.5780000000000003</v>
      </c>
      <c r="S1356" s="7">
        <f t="shared" si="21"/>
        <v>5.2621666666666664</v>
      </c>
    </row>
    <row r="1357" spans="1:19">
      <c r="A1357" s="5" t="str">
        <f>B1357&amp;"-"&amp;COUNTIF($B$2:B1357,B1357)</f>
        <v>MATO GROSSO-11</v>
      </c>
      <c r="B1357" s="5" t="s">
        <v>991</v>
      </c>
      <c r="C1357" s="5" t="s">
        <v>1000</v>
      </c>
      <c r="D1357" s="6">
        <v>-530317</v>
      </c>
      <c r="E1357" s="6">
        <v>-168569</v>
      </c>
      <c r="F1357" s="7">
        <v>5.2359999999999998</v>
      </c>
      <c r="G1357" s="7">
        <v>5.423</v>
      </c>
      <c r="H1357" s="7">
        <v>5.6230000000000002</v>
      </c>
      <c r="I1357" s="7">
        <v>5.2850000000000001</v>
      </c>
      <c r="J1357" s="7">
        <v>5.2089999999999996</v>
      </c>
      <c r="K1357" s="7">
        <v>4.7859999999999996</v>
      </c>
      <c r="L1357" s="7">
        <v>4.47</v>
      </c>
      <c r="M1357" s="7">
        <v>4.5979999999999999</v>
      </c>
      <c r="N1357" s="7">
        <v>5.4790000000000001</v>
      </c>
      <c r="O1357" s="7">
        <v>5.3719999999999999</v>
      </c>
      <c r="P1357" s="7">
        <v>5.3250000000000002</v>
      </c>
      <c r="Q1357" s="7">
        <v>5.5609999999999999</v>
      </c>
      <c r="R1357" s="7">
        <v>5.702</v>
      </c>
      <c r="S1357" s="7">
        <f t="shared" si="21"/>
        <v>5.2360833333333332</v>
      </c>
    </row>
    <row r="1358" spans="1:19">
      <c r="A1358" s="5" t="str">
        <f>B1358&amp;"-"&amp;COUNTIF($B$2:B1358,B1358)</f>
        <v>MATO GROSSO-12</v>
      </c>
      <c r="B1358" s="5" t="s">
        <v>991</v>
      </c>
      <c r="C1358" s="5" t="s">
        <v>1001</v>
      </c>
      <c r="D1358" s="6">
        <v>-583429</v>
      </c>
      <c r="E1358" s="6">
        <v>-154645</v>
      </c>
      <c r="F1358" s="7">
        <v>4.8929999999999998</v>
      </c>
      <c r="G1358" s="7">
        <v>5.3109999999999999</v>
      </c>
      <c r="H1358" s="7">
        <v>5.1029999999999998</v>
      </c>
      <c r="I1358" s="7">
        <v>4.9189999999999996</v>
      </c>
      <c r="J1358" s="7">
        <v>4.7009999999999996</v>
      </c>
      <c r="K1358" s="7">
        <v>4.0750000000000002</v>
      </c>
      <c r="L1358" s="7">
        <v>4.1879999999999997</v>
      </c>
      <c r="M1358" s="7">
        <v>4.298</v>
      </c>
      <c r="N1358" s="7">
        <v>5.1029999999999998</v>
      </c>
      <c r="O1358" s="7">
        <v>5.016</v>
      </c>
      <c r="P1358" s="7">
        <v>5.1749999999999998</v>
      </c>
      <c r="Q1358" s="7">
        <v>5.39</v>
      </c>
      <c r="R1358" s="7">
        <v>5.4370000000000003</v>
      </c>
      <c r="S1358" s="7">
        <f t="shared" si="21"/>
        <v>4.8929999999999998</v>
      </c>
    </row>
    <row r="1359" spans="1:19">
      <c r="A1359" s="5" t="str">
        <f>B1359&amp;"-"&amp;COUNTIF($B$2:B1359,B1359)</f>
        <v>MATO GROSSO-13</v>
      </c>
      <c r="B1359" s="5" t="s">
        <v>991</v>
      </c>
      <c r="C1359" s="5" t="s">
        <v>5561</v>
      </c>
      <c r="D1359" s="6">
        <v>-568417</v>
      </c>
      <c r="E1359" s="6">
        <v>-144628</v>
      </c>
      <c r="F1359" s="7">
        <v>5.0309999999999997</v>
      </c>
      <c r="G1359" s="7">
        <v>5.2720000000000002</v>
      </c>
      <c r="H1359" s="7">
        <v>5.2110000000000003</v>
      </c>
      <c r="I1359" s="7">
        <v>4.9630000000000001</v>
      </c>
      <c r="J1359" s="7">
        <v>4.8259999999999996</v>
      </c>
      <c r="K1359" s="7">
        <v>4.4950000000000001</v>
      </c>
      <c r="L1359" s="7">
        <v>4.47</v>
      </c>
      <c r="M1359" s="7">
        <v>4.6449999999999996</v>
      </c>
      <c r="N1359" s="7">
        <v>5.3680000000000003</v>
      </c>
      <c r="O1359" s="7">
        <v>5.1040000000000001</v>
      </c>
      <c r="P1359" s="7">
        <v>5.2469999999999999</v>
      </c>
      <c r="Q1359" s="7">
        <v>5.36</v>
      </c>
      <c r="R1359" s="7">
        <v>5.4139999999999997</v>
      </c>
      <c r="S1359" s="7">
        <f t="shared" si="21"/>
        <v>5.0312500000000009</v>
      </c>
    </row>
    <row r="1360" spans="1:19">
      <c r="A1360" s="5" t="str">
        <f>B1360&amp;"-"&amp;COUNTIF($B$2:B1360,B1360)</f>
        <v>MATO GROSSO-14</v>
      </c>
      <c r="B1360" s="5" t="s">
        <v>991</v>
      </c>
      <c r="C1360" s="5" t="s">
        <v>5360</v>
      </c>
      <c r="D1360" s="6">
        <v>-594573</v>
      </c>
      <c r="E1360" s="6">
        <v>-101727</v>
      </c>
      <c r="F1360" s="7">
        <v>4.6769999999999996</v>
      </c>
      <c r="G1360" s="7">
        <v>4.42</v>
      </c>
      <c r="H1360" s="7">
        <v>4.4279999999999999</v>
      </c>
      <c r="I1360" s="7">
        <v>4.5750000000000002</v>
      </c>
      <c r="J1360" s="7">
        <v>4.3970000000000002</v>
      </c>
      <c r="K1360" s="7">
        <v>4.2679999999999998</v>
      </c>
      <c r="L1360" s="7">
        <v>4.5780000000000003</v>
      </c>
      <c r="M1360" s="7">
        <v>4.6260000000000003</v>
      </c>
      <c r="N1360" s="7">
        <v>5.0720000000000001</v>
      </c>
      <c r="O1360" s="7">
        <v>5.0350000000000001</v>
      </c>
      <c r="P1360" s="7">
        <v>5.0860000000000003</v>
      </c>
      <c r="Q1360" s="7">
        <v>4.8680000000000003</v>
      </c>
      <c r="R1360" s="7">
        <v>4.7729999999999997</v>
      </c>
      <c r="S1360" s="7">
        <f t="shared" si="21"/>
        <v>4.6771666666666674</v>
      </c>
    </row>
    <row r="1361" spans="1:19">
      <c r="A1361" s="5" t="str">
        <f>B1361&amp;"-"&amp;COUNTIF($B$2:B1361,B1361)</f>
        <v>MATO GROSSO-15</v>
      </c>
      <c r="B1361" s="5" t="s">
        <v>991</v>
      </c>
      <c r="C1361" s="5" t="s">
        <v>4647</v>
      </c>
      <c r="D1361" s="6">
        <v>-559666</v>
      </c>
      <c r="E1361" s="6">
        <v>-161971</v>
      </c>
      <c r="F1361" s="7">
        <v>5.1749999999999998</v>
      </c>
      <c r="G1361" s="7">
        <v>5.6379999999999999</v>
      </c>
      <c r="H1361" s="7">
        <v>5.56</v>
      </c>
      <c r="I1361" s="7">
        <v>5.3449999999999998</v>
      </c>
      <c r="J1361" s="7">
        <v>5.1390000000000002</v>
      </c>
      <c r="K1361" s="7">
        <v>4.42</v>
      </c>
      <c r="L1361" s="7">
        <v>4.3689999999999998</v>
      </c>
      <c r="M1361" s="7">
        <v>4.4530000000000003</v>
      </c>
      <c r="N1361" s="7">
        <v>5.4279999999999999</v>
      </c>
      <c r="O1361" s="7">
        <v>5.0720000000000001</v>
      </c>
      <c r="P1361" s="7">
        <v>5.3179999999999996</v>
      </c>
      <c r="Q1361" s="7">
        <v>5.6109999999999998</v>
      </c>
      <c r="R1361" s="7">
        <v>5.7430000000000003</v>
      </c>
      <c r="S1361" s="7">
        <f t="shared" si="21"/>
        <v>5.1746666666666661</v>
      </c>
    </row>
    <row r="1362" spans="1:19">
      <c r="A1362" s="5" t="str">
        <f>B1362&amp;"-"&amp;COUNTIF($B$2:B1362,B1362)</f>
        <v>MATO GROSSO-16</v>
      </c>
      <c r="B1362" s="5" t="s">
        <v>991</v>
      </c>
      <c r="C1362" s="5" t="s">
        <v>1002</v>
      </c>
      <c r="D1362" s="6">
        <v>-571882</v>
      </c>
      <c r="E1362" s="6">
        <v>-150706</v>
      </c>
      <c r="F1362" s="7">
        <v>5.0629999999999997</v>
      </c>
      <c r="G1362" s="7">
        <v>5.3710000000000004</v>
      </c>
      <c r="H1362" s="7">
        <v>5.2759999999999998</v>
      </c>
      <c r="I1362" s="7">
        <v>5.09</v>
      </c>
      <c r="J1362" s="7">
        <v>4.9039999999999999</v>
      </c>
      <c r="K1362" s="7">
        <v>4.3979999999999997</v>
      </c>
      <c r="L1362" s="7">
        <v>4.42</v>
      </c>
      <c r="M1362" s="7">
        <v>4.5270000000000001</v>
      </c>
      <c r="N1362" s="7">
        <v>5.2229999999999999</v>
      </c>
      <c r="O1362" s="7">
        <v>5.1189999999999998</v>
      </c>
      <c r="P1362" s="7">
        <v>5.3289999999999997</v>
      </c>
      <c r="Q1362" s="7">
        <v>5.5229999999999997</v>
      </c>
      <c r="R1362" s="7">
        <v>5.5730000000000004</v>
      </c>
      <c r="S1362" s="7">
        <f t="shared" si="21"/>
        <v>5.0627499999999994</v>
      </c>
    </row>
    <row r="1363" spans="1:19">
      <c r="A1363" s="5" t="str">
        <f>B1363&amp;"-"&amp;COUNTIF($B$2:B1363,B1363)</f>
        <v>MATO GROSSO-17</v>
      </c>
      <c r="B1363" s="5" t="s">
        <v>991</v>
      </c>
      <c r="C1363" s="5" t="s">
        <v>4648</v>
      </c>
      <c r="D1363" s="6">
        <v>-52272</v>
      </c>
      <c r="E1363" s="6">
        <v>-158895</v>
      </c>
      <c r="F1363" s="7">
        <v>5.2560000000000002</v>
      </c>
      <c r="G1363" s="7">
        <v>5.4729999999999999</v>
      </c>
      <c r="H1363" s="7">
        <v>5.6029999999999998</v>
      </c>
      <c r="I1363" s="7">
        <v>5.2009999999999996</v>
      </c>
      <c r="J1363" s="7">
        <v>5.2939999999999996</v>
      </c>
      <c r="K1363" s="7">
        <v>4.9409999999999998</v>
      </c>
      <c r="L1363" s="7">
        <v>4.585</v>
      </c>
      <c r="M1363" s="7">
        <v>4.7210000000000001</v>
      </c>
      <c r="N1363" s="7">
        <v>5.4889999999999999</v>
      </c>
      <c r="O1363" s="7">
        <v>5.2919999999999998</v>
      </c>
      <c r="P1363" s="7">
        <v>5.4889999999999999</v>
      </c>
      <c r="Q1363" s="7">
        <v>5.43</v>
      </c>
      <c r="R1363" s="7">
        <v>5.5449999999999999</v>
      </c>
      <c r="S1363" s="7">
        <f t="shared" si="21"/>
        <v>5.2552499999999993</v>
      </c>
    </row>
    <row r="1364" spans="1:19">
      <c r="A1364" s="5" t="str">
        <f>B1364&amp;"-"&amp;COUNTIF($B$2:B1364,B1364)</f>
        <v>MATO GROSSO-18</v>
      </c>
      <c r="B1364" s="5" t="s">
        <v>991</v>
      </c>
      <c r="C1364" s="5" t="s">
        <v>1003</v>
      </c>
      <c r="D1364" s="6">
        <v>-515036</v>
      </c>
      <c r="E1364" s="6">
        <v>-12171</v>
      </c>
      <c r="F1364" s="7">
        <v>5.1630000000000003</v>
      </c>
      <c r="G1364" s="7">
        <v>5.1379999999999999</v>
      </c>
      <c r="H1364" s="7">
        <v>5.2169999999999996</v>
      </c>
      <c r="I1364" s="7">
        <v>4.9630000000000001</v>
      </c>
      <c r="J1364" s="7">
        <v>4.9370000000000003</v>
      </c>
      <c r="K1364" s="7">
        <v>4.9850000000000003</v>
      </c>
      <c r="L1364" s="7">
        <v>4.8579999999999997</v>
      </c>
      <c r="M1364" s="7">
        <v>5.1639999999999997</v>
      </c>
      <c r="N1364" s="7">
        <v>5.6120000000000001</v>
      </c>
      <c r="O1364" s="7">
        <v>5.3449999999999998</v>
      </c>
      <c r="P1364" s="7">
        <v>5.29</v>
      </c>
      <c r="Q1364" s="7">
        <v>5.2140000000000004</v>
      </c>
      <c r="R1364" s="7">
        <v>5.2370000000000001</v>
      </c>
      <c r="S1364" s="7">
        <f t="shared" si="21"/>
        <v>5.1633333333333331</v>
      </c>
    </row>
    <row r="1365" spans="1:19">
      <c r="A1365" s="5" t="str">
        <f>B1365&amp;"-"&amp;COUNTIF($B$2:B1365,B1365)</f>
        <v>MATO GROSSO-19</v>
      </c>
      <c r="B1365" s="5" t="s">
        <v>991</v>
      </c>
      <c r="C1365" s="5" t="s">
        <v>1004</v>
      </c>
      <c r="D1365" s="6">
        <v>-580029</v>
      </c>
      <c r="E1365" s="6">
        <v>-121211</v>
      </c>
      <c r="F1365" s="7">
        <v>4.899</v>
      </c>
      <c r="G1365" s="7">
        <v>4.8940000000000001</v>
      </c>
      <c r="H1365" s="7">
        <v>4.8410000000000002</v>
      </c>
      <c r="I1365" s="7">
        <v>4.8099999999999996</v>
      </c>
      <c r="J1365" s="7">
        <v>4.7220000000000004</v>
      </c>
      <c r="K1365" s="7">
        <v>4.5190000000000001</v>
      </c>
      <c r="L1365" s="7">
        <v>4.5259999999999998</v>
      </c>
      <c r="M1365" s="7">
        <v>4.6710000000000003</v>
      </c>
      <c r="N1365" s="7">
        <v>5.1909999999999998</v>
      </c>
      <c r="O1365" s="7">
        <v>5.069</v>
      </c>
      <c r="P1365" s="7">
        <v>5.2649999999999997</v>
      </c>
      <c r="Q1365" s="7">
        <v>5.0910000000000002</v>
      </c>
      <c r="R1365" s="7">
        <v>5.1870000000000003</v>
      </c>
      <c r="S1365" s="7">
        <f t="shared" si="21"/>
        <v>4.898833333333334</v>
      </c>
    </row>
    <row r="1366" spans="1:19">
      <c r="A1366" s="5" t="str">
        <f>B1366&amp;"-"&amp;COUNTIF($B$2:B1366,B1366)</f>
        <v>MATO GROSSO-20</v>
      </c>
      <c r="B1366" s="5" t="s">
        <v>991</v>
      </c>
      <c r="C1366" s="5" t="s">
        <v>5562</v>
      </c>
      <c r="D1366" s="6">
        <v>-576822</v>
      </c>
      <c r="E1366" s="6">
        <v>-160768</v>
      </c>
      <c r="F1366" s="7">
        <v>5.0629999999999997</v>
      </c>
      <c r="G1366" s="7">
        <v>5.5579999999999998</v>
      </c>
      <c r="H1366" s="7">
        <v>5.383</v>
      </c>
      <c r="I1366" s="7">
        <v>5.17</v>
      </c>
      <c r="J1366" s="7">
        <v>4.8360000000000003</v>
      </c>
      <c r="K1366" s="7">
        <v>4.2380000000000004</v>
      </c>
      <c r="L1366" s="7">
        <v>4.2359999999999998</v>
      </c>
      <c r="M1366" s="7">
        <v>4.3559999999999999</v>
      </c>
      <c r="N1366" s="7">
        <v>5.1589999999999998</v>
      </c>
      <c r="O1366" s="7">
        <v>5.1369999999999996</v>
      </c>
      <c r="P1366" s="7">
        <v>5.37</v>
      </c>
      <c r="Q1366" s="7">
        <v>5.5919999999999996</v>
      </c>
      <c r="R1366" s="7">
        <v>5.718</v>
      </c>
      <c r="S1366" s="7">
        <f t="shared" si="21"/>
        <v>5.0627499999999985</v>
      </c>
    </row>
    <row r="1367" spans="1:19">
      <c r="A1367" s="5" t="str">
        <f>B1367&amp;"-"&amp;COUNTIF($B$2:B1367,B1367)</f>
        <v>MATO GROSSO-21</v>
      </c>
      <c r="B1367" s="5" t="s">
        <v>991</v>
      </c>
      <c r="C1367" s="5" t="s">
        <v>5563</v>
      </c>
      <c r="D1367" s="6">
        <v>-52893</v>
      </c>
      <c r="E1367" s="6">
        <v>-145162</v>
      </c>
      <c r="F1367" s="7">
        <v>5.2949999999999999</v>
      </c>
      <c r="G1367" s="7">
        <v>5.4379999999999997</v>
      </c>
      <c r="H1367" s="7">
        <v>5.54</v>
      </c>
      <c r="I1367" s="7">
        <v>5.28</v>
      </c>
      <c r="J1367" s="7">
        <v>5.3129999999999997</v>
      </c>
      <c r="K1367" s="7">
        <v>4.9610000000000003</v>
      </c>
      <c r="L1367" s="7">
        <v>4.766</v>
      </c>
      <c r="M1367" s="7">
        <v>5.0549999999999997</v>
      </c>
      <c r="N1367" s="7">
        <v>5.601</v>
      </c>
      <c r="O1367" s="7">
        <v>5.3710000000000004</v>
      </c>
      <c r="P1367" s="7">
        <v>5.4109999999999996</v>
      </c>
      <c r="Q1367" s="7">
        <v>5.3380000000000001</v>
      </c>
      <c r="R1367" s="7">
        <v>5.4589999999999996</v>
      </c>
      <c r="S1367" s="7">
        <f t="shared" si="21"/>
        <v>5.2944166666666668</v>
      </c>
    </row>
    <row r="1368" spans="1:19">
      <c r="A1368" s="5" t="str">
        <f>B1368&amp;"-"&amp;COUNTIF($B$2:B1368,B1368)</f>
        <v>MATO GROSSO-22</v>
      </c>
      <c r="B1368" s="5" t="s">
        <v>991</v>
      </c>
      <c r="C1368" s="5" t="s">
        <v>1005</v>
      </c>
      <c r="D1368" s="6">
        <v>-578912</v>
      </c>
      <c r="E1368" s="6">
        <v>-136592</v>
      </c>
      <c r="F1368" s="7">
        <v>4.9039999999999999</v>
      </c>
      <c r="G1368" s="7">
        <v>5.0199999999999996</v>
      </c>
      <c r="H1368" s="7">
        <v>4.9820000000000002</v>
      </c>
      <c r="I1368" s="7">
        <v>4.7450000000000001</v>
      </c>
      <c r="J1368" s="7">
        <v>4.7279999999999998</v>
      </c>
      <c r="K1368" s="7">
        <v>4.4349999999999996</v>
      </c>
      <c r="L1368" s="7">
        <v>4.4459999999999997</v>
      </c>
      <c r="M1368" s="7">
        <v>4.5780000000000003</v>
      </c>
      <c r="N1368" s="7">
        <v>5.24</v>
      </c>
      <c r="O1368" s="7">
        <v>4.9989999999999997</v>
      </c>
      <c r="P1368" s="7">
        <v>5.1210000000000004</v>
      </c>
      <c r="Q1368" s="7">
        <v>5.1959999999999997</v>
      </c>
      <c r="R1368" s="7">
        <v>5.3540000000000001</v>
      </c>
      <c r="S1368" s="7">
        <f t="shared" si="21"/>
        <v>4.9036666666666671</v>
      </c>
    </row>
    <row r="1369" spans="1:19">
      <c r="A1369" s="5" t="str">
        <f>B1369&amp;"-"&amp;COUNTIF($B$2:B1369,B1369)</f>
        <v>MATO GROSSO-23</v>
      </c>
      <c r="B1369" s="5" t="s">
        <v>991</v>
      </c>
      <c r="C1369" s="5" t="s">
        <v>1006</v>
      </c>
      <c r="D1369" s="6">
        <v>-55163</v>
      </c>
      <c r="E1369" s="6">
        <v>-155454</v>
      </c>
      <c r="F1369" s="7">
        <v>5.0490000000000004</v>
      </c>
      <c r="G1369" s="7">
        <v>5.3150000000000004</v>
      </c>
      <c r="H1369" s="7">
        <v>5.1740000000000004</v>
      </c>
      <c r="I1369" s="7">
        <v>4.92</v>
      </c>
      <c r="J1369" s="7">
        <v>4.9420000000000002</v>
      </c>
      <c r="K1369" s="7">
        <v>4.649</v>
      </c>
      <c r="L1369" s="7">
        <v>4.5279999999999996</v>
      </c>
      <c r="M1369" s="7">
        <v>4.6829999999999998</v>
      </c>
      <c r="N1369" s="7">
        <v>5.4180000000000001</v>
      </c>
      <c r="O1369" s="7">
        <v>5.1130000000000004</v>
      </c>
      <c r="P1369" s="7">
        <v>5.0679999999999996</v>
      </c>
      <c r="Q1369" s="7">
        <v>5.3620000000000001</v>
      </c>
      <c r="R1369" s="7">
        <v>5.4160000000000004</v>
      </c>
      <c r="S1369" s="7">
        <f t="shared" si="21"/>
        <v>5.0489999999999995</v>
      </c>
    </row>
    <row r="1370" spans="1:19">
      <c r="A1370" s="5" t="str">
        <f>B1370&amp;"-"&amp;COUNTIF($B$2:B1370,B1370)</f>
        <v>MATO GROSSO-24</v>
      </c>
      <c r="B1370" s="5" t="s">
        <v>991</v>
      </c>
      <c r="C1370" s="5" t="s">
        <v>4835</v>
      </c>
      <c r="D1370" s="6">
        <v>-592572</v>
      </c>
      <c r="E1370" s="6">
        <v>-136918</v>
      </c>
      <c r="F1370" s="7">
        <v>4.7619999999999996</v>
      </c>
      <c r="G1370" s="7">
        <v>4.8710000000000004</v>
      </c>
      <c r="H1370" s="7">
        <v>4.7220000000000004</v>
      </c>
      <c r="I1370" s="7">
        <v>4.6660000000000004</v>
      </c>
      <c r="J1370" s="7">
        <v>4.6550000000000002</v>
      </c>
      <c r="K1370" s="7">
        <v>4.2699999999999996</v>
      </c>
      <c r="L1370" s="7">
        <v>4.3070000000000004</v>
      </c>
      <c r="M1370" s="7">
        <v>4.4340000000000002</v>
      </c>
      <c r="N1370" s="7">
        <v>4.9850000000000003</v>
      </c>
      <c r="O1370" s="7">
        <v>4.8620000000000001</v>
      </c>
      <c r="P1370" s="7">
        <v>5.0330000000000004</v>
      </c>
      <c r="Q1370" s="7">
        <v>5.1100000000000003</v>
      </c>
      <c r="R1370" s="7">
        <v>5.2249999999999996</v>
      </c>
      <c r="S1370" s="7">
        <f t="shared" si="21"/>
        <v>4.7616666666666676</v>
      </c>
    </row>
    <row r="1371" spans="1:19">
      <c r="A1371" s="5" t="str">
        <f>B1371&amp;"-"&amp;COUNTIF($B$2:B1371,B1371)</f>
        <v>MATO GROSSO-25</v>
      </c>
      <c r="B1371" s="5" t="s">
        <v>991</v>
      </c>
      <c r="C1371" s="5" t="s">
        <v>1007</v>
      </c>
      <c r="D1371" s="6">
        <v>-518265</v>
      </c>
      <c r="E1371" s="5" t="s">
        <v>1008</v>
      </c>
      <c r="F1371" s="7">
        <v>5.109</v>
      </c>
      <c r="G1371" s="7">
        <v>5.09</v>
      </c>
      <c r="H1371" s="7">
        <v>5.1840000000000002</v>
      </c>
      <c r="I1371" s="7">
        <v>4.9800000000000004</v>
      </c>
      <c r="J1371" s="7">
        <v>4.84</v>
      </c>
      <c r="K1371" s="7">
        <v>4.883</v>
      </c>
      <c r="L1371" s="7">
        <v>4.8570000000000002</v>
      </c>
      <c r="M1371" s="7">
        <v>4.9960000000000004</v>
      </c>
      <c r="N1371" s="7">
        <v>5.6379999999999999</v>
      </c>
      <c r="O1371" s="7">
        <v>5.2610000000000001</v>
      </c>
      <c r="P1371" s="7">
        <v>5.2060000000000004</v>
      </c>
      <c r="Q1371" s="7">
        <v>5.1260000000000003</v>
      </c>
      <c r="R1371" s="7">
        <v>5.242</v>
      </c>
      <c r="S1371" s="7">
        <f t="shared" si="21"/>
        <v>5.1085833333333328</v>
      </c>
    </row>
    <row r="1372" spans="1:19">
      <c r="A1372" s="5" t="str">
        <f>B1372&amp;"-"&amp;COUNTIF($B$2:B1372,B1372)</f>
        <v>MATO GROSSO-26</v>
      </c>
      <c r="B1372" s="5" t="s">
        <v>991</v>
      </c>
      <c r="C1372" s="5" t="s">
        <v>350</v>
      </c>
      <c r="D1372" s="5" t="s">
        <v>1009</v>
      </c>
      <c r="E1372" s="6">
        <v>-135524</v>
      </c>
      <c r="F1372" s="7">
        <v>5.2329999999999997</v>
      </c>
      <c r="G1372" s="7">
        <v>5.3319999999999999</v>
      </c>
      <c r="H1372" s="7">
        <v>5.4189999999999996</v>
      </c>
      <c r="I1372" s="7">
        <v>5.09</v>
      </c>
      <c r="J1372" s="7">
        <v>5.1509999999999998</v>
      </c>
      <c r="K1372" s="7">
        <v>4.9210000000000003</v>
      </c>
      <c r="L1372" s="7">
        <v>4.7629999999999999</v>
      </c>
      <c r="M1372" s="7">
        <v>5.1669999999999998</v>
      </c>
      <c r="N1372" s="7">
        <v>5.6920000000000002</v>
      </c>
      <c r="O1372" s="7">
        <v>5.3680000000000003</v>
      </c>
      <c r="P1372" s="7">
        <v>5.3280000000000003</v>
      </c>
      <c r="Q1372" s="7">
        <v>5.1769999999999996</v>
      </c>
      <c r="R1372" s="7">
        <v>5.3929999999999998</v>
      </c>
      <c r="S1372" s="7">
        <f t="shared" si="21"/>
        <v>5.2334166666666668</v>
      </c>
    </row>
    <row r="1373" spans="1:19">
      <c r="A1373" s="5" t="str">
        <f>B1373&amp;"-"&amp;COUNTIF($B$2:B1373,B1373)</f>
        <v>MATO GROSSO-27</v>
      </c>
      <c r="B1373" s="5" t="s">
        <v>991</v>
      </c>
      <c r="C1373" s="5" t="s">
        <v>1010</v>
      </c>
      <c r="D1373" s="6">
        <v>-558421</v>
      </c>
      <c r="E1373" s="6">
        <v>-99495</v>
      </c>
      <c r="F1373" s="7">
        <v>4.8860000000000001</v>
      </c>
      <c r="G1373" s="7">
        <v>4.8239999999999998</v>
      </c>
      <c r="H1373" s="7">
        <v>4.7910000000000004</v>
      </c>
      <c r="I1373" s="7">
        <v>4.6639999999999997</v>
      </c>
      <c r="J1373" s="7">
        <v>4.6289999999999996</v>
      </c>
      <c r="K1373" s="7">
        <v>4.6159999999999997</v>
      </c>
      <c r="L1373" s="7">
        <v>4.673</v>
      </c>
      <c r="M1373" s="7">
        <v>4.8310000000000004</v>
      </c>
      <c r="N1373" s="7">
        <v>5.2839999999999998</v>
      </c>
      <c r="O1373" s="7">
        <v>5.0970000000000004</v>
      </c>
      <c r="P1373" s="7">
        <v>5.1840000000000002</v>
      </c>
      <c r="Q1373" s="7">
        <v>5.0579999999999998</v>
      </c>
      <c r="R1373" s="7">
        <v>4.9800000000000004</v>
      </c>
      <c r="S1373" s="7">
        <f t="shared" si="21"/>
        <v>4.8859166666666667</v>
      </c>
    </row>
    <row r="1374" spans="1:19">
      <c r="A1374" s="5" t="str">
        <f>B1374&amp;"-"&amp;COUNTIF($B$2:B1374,B1374)</f>
        <v>MATO GROSSO-28</v>
      </c>
      <c r="B1374" s="5" t="s">
        <v>991</v>
      </c>
      <c r="C1374" s="5" t="s">
        <v>1011</v>
      </c>
      <c r="D1374" s="6">
        <v>-586081</v>
      </c>
      <c r="E1374" s="6">
        <v>-111404</v>
      </c>
      <c r="F1374" s="7">
        <v>4.7859999999999996</v>
      </c>
      <c r="G1374" s="7">
        <v>4.5919999999999996</v>
      </c>
      <c r="H1374" s="7">
        <v>4.6150000000000002</v>
      </c>
      <c r="I1374" s="7">
        <v>4.6310000000000002</v>
      </c>
      <c r="J1374" s="7">
        <v>4.5460000000000003</v>
      </c>
      <c r="K1374" s="7">
        <v>4.3849999999999998</v>
      </c>
      <c r="L1374" s="7">
        <v>4.5650000000000004</v>
      </c>
      <c r="M1374" s="7">
        <v>4.7039999999999997</v>
      </c>
      <c r="N1374" s="7">
        <v>5.2460000000000004</v>
      </c>
      <c r="O1374" s="7">
        <v>5.0449999999999999</v>
      </c>
      <c r="P1374" s="7">
        <v>5.1909999999999998</v>
      </c>
      <c r="Q1374" s="7">
        <v>4.9290000000000003</v>
      </c>
      <c r="R1374" s="7">
        <v>4.9829999999999997</v>
      </c>
      <c r="S1374" s="7">
        <f t="shared" si="21"/>
        <v>4.7860000000000005</v>
      </c>
    </row>
    <row r="1375" spans="1:19">
      <c r="A1375" s="5" t="str">
        <f>B1375&amp;"-"&amp;COUNTIF($B$2:B1375,B1375)</f>
        <v>MATO GROSSO-29</v>
      </c>
      <c r="B1375" s="5" t="s">
        <v>991</v>
      </c>
      <c r="C1375" s="5" t="s">
        <v>5361</v>
      </c>
      <c r="D1375" s="6">
        <v>-557503</v>
      </c>
      <c r="E1375" s="6">
        <v>-154648</v>
      </c>
      <c r="F1375" s="7">
        <v>4.9619999999999997</v>
      </c>
      <c r="G1375" s="7">
        <v>5.1159999999999997</v>
      </c>
      <c r="H1375" s="7">
        <v>5.016</v>
      </c>
      <c r="I1375" s="7">
        <v>4.8490000000000002</v>
      </c>
      <c r="J1375" s="7">
        <v>4.774</v>
      </c>
      <c r="K1375" s="7">
        <v>4.4459999999999997</v>
      </c>
      <c r="L1375" s="7">
        <v>4.4589999999999996</v>
      </c>
      <c r="M1375" s="7">
        <v>4.6390000000000002</v>
      </c>
      <c r="N1375" s="7">
        <v>5.4649999999999999</v>
      </c>
      <c r="O1375" s="7">
        <v>5.0869999999999997</v>
      </c>
      <c r="P1375" s="7">
        <v>5.0940000000000003</v>
      </c>
      <c r="Q1375" s="7">
        <v>5.2450000000000001</v>
      </c>
      <c r="R1375" s="7">
        <v>5.3529999999999998</v>
      </c>
      <c r="S1375" s="7">
        <f t="shared" si="21"/>
        <v>4.9619166666666663</v>
      </c>
    </row>
    <row r="1376" spans="1:19">
      <c r="A1376" s="5" t="str">
        <f>B1376&amp;"-"&amp;COUNTIF($B$2:B1376,B1376)</f>
        <v>MATO GROSSO-30</v>
      </c>
      <c r="B1376" s="5" t="s">
        <v>991</v>
      </c>
      <c r="C1376" s="5" t="s">
        <v>5564</v>
      </c>
      <c r="D1376" s="6">
        <v>-548777</v>
      </c>
      <c r="E1376" s="6">
        <v>-11507</v>
      </c>
      <c r="F1376" s="7">
        <v>5.0110000000000001</v>
      </c>
      <c r="G1376" s="7">
        <v>5.05</v>
      </c>
      <c r="H1376" s="7">
        <v>5.056</v>
      </c>
      <c r="I1376" s="7">
        <v>4.867</v>
      </c>
      <c r="J1376" s="7">
        <v>4.87</v>
      </c>
      <c r="K1376" s="7">
        <v>4.7430000000000003</v>
      </c>
      <c r="L1376" s="7">
        <v>4.6529999999999996</v>
      </c>
      <c r="M1376" s="7">
        <v>5.0140000000000002</v>
      </c>
      <c r="N1376" s="7">
        <v>5.3090000000000002</v>
      </c>
      <c r="O1376" s="7">
        <v>5.12</v>
      </c>
      <c r="P1376" s="7">
        <v>5.2160000000000002</v>
      </c>
      <c r="Q1376" s="7">
        <v>5.1159999999999997</v>
      </c>
      <c r="R1376" s="7">
        <v>5.12</v>
      </c>
      <c r="S1376" s="7">
        <f t="shared" si="21"/>
        <v>5.0111666666666661</v>
      </c>
    </row>
    <row r="1377" spans="1:19">
      <c r="A1377" s="5" t="str">
        <f>B1377&amp;"-"&amp;COUNTIF($B$2:B1377,B1377)</f>
        <v>MATO GROSSO-31</v>
      </c>
      <c r="B1377" s="5" t="s">
        <v>991</v>
      </c>
      <c r="C1377" s="5" t="s">
        <v>1012</v>
      </c>
      <c r="D1377" s="6">
        <v>-510049</v>
      </c>
      <c r="E1377" s="6">
        <v>-14391</v>
      </c>
      <c r="F1377" s="7">
        <v>5.28</v>
      </c>
      <c r="G1377" s="7">
        <v>5.4260000000000002</v>
      </c>
      <c r="H1377" s="7">
        <v>5.6609999999999996</v>
      </c>
      <c r="I1377" s="7">
        <v>5.3010000000000002</v>
      </c>
      <c r="J1377" s="7">
        <v>5.2729999999999997</v>
      </c>
      <c r="K1377" s="7">
        <v>4.88</v>
      </c>
      <c r="L1377" s="7">
        <v>4.617</v>
      </c>
      <c r="M1377" s="7">
        <v>4.931</v>
      </c>
      <c r="N1377" s="7">
        <v>5.4710000000000001</v>
      </c>
      <c r="O1377" s="7">
        <v>5.49</v>
      </c>
      <c r="P1377" s="7">
        <v>5.5229999999999997</v>
      </c>
      <c r="Q1377" s="7">
        <v>5.34</v>
      </c>
      <c r="R1377" s="7">
        <v>5.4429999999999996</v>
      </c>
      <c r="S1377" s="7">
        <f t="shared" si="21"/>
        <v>5.2796666666666674</v>
      </c>
    </row>
    <row r="1378" spans="1:19">
      <c r="A1378" s="5" t="str">
        <f>B1378&amp;"-"&amp;COUNTIF($B$2:B1378,B1378)</f>
        <v>MATO GROSSO-32</v>
      </c>
      <c r="B1378" s="5" t="s">
        <v>991</v>
      </c>
      <c r="C1378" s="5" t="s">
        <v>1013</v>
      </c>
      <c r="D1378" s="6">
        <v>-554614</v>
      </c>
      <c r="E1378" s="6">
        <v>-108139</v>
      </c>
      <c r="F1378" s="7">
        <v>4.984</v>
      </c>
      <c r="G1378" s="7">
        <v>4.9980000000000002</v>
      </c>
      <c r="H1378" s="7">
        <v>4.9400000000000004</v>
      </c>
      <c r="I1378" s="7">
        <v>4.8179999999999996</v>
      </c>
      <c r="J1378" s="7">
        <v>4.7380000000000004</v>
      </c>
      <c r="K1378" s="7">
        <v>4.6689999999999996</v>
      </c>
      <c r="L1378" s="7">
        <v>4.68</v>
      </c>
      <c r="M1378" s="7">
        <v>4.9779999999999998</v>
      </c>
      <c r="N1378" s="7">
        <v>5.4809999999999999</v>
      </c>
      <c r="O1378" s="7">
        <v>5.1360000000000001</v>
      </c>
      <c r="P1378" s="7">
        <v>5.2130000000000001</v>
      </c>
      <c r="Q1378" s="7">
        <v>5.0949999999999998</v>
      </c>
      <c r="R1378" s="7">
        <v>5.0629999999999997</v>
      </c>
      <c r="S1378" s="7">
        <f t="shared" si="21"/>
        <v>4.9840833333333334</v>
      </c>
    </row>
    <row r="1379" spans="1:19">
      <c r="A1379" s="5" t="str">
        <f>B1379&amp;"-"&amp;COUNTIF($B$2:B1379,B1379)</f>
        <v>MATO GROSSO-33</v>
      </c>
      <c r="B1379" s="5" t="s">
        <v>991</v>
      </c>
      <c r="C1379" s="5" t="s">
        <v>1014</v>
      </c>
      <c r="D1379" s="6">
        <v>-592256</v>
      </c>
      <c r="E1379" s="6">
        <v>-94616</v>
      </c>
      <c r="F1379" s="7">
        <v>4.6120000000000001</v>
      </c>
      <c r="G1379" s="7">
        <v>4.383</v>
      </c>
      <c r="H1379" s="7">
        <v>4.4400000000000004</v>
      </c>
      <c r="I1379" s="7">
        <v>4.4020000000000001</v>
      </c>
      <c r="J1379" s="7">
        <v>4.2990000000000004</v>
      </c>
      <c r="K1379" s="7">
        <v>4.194</v>
      </c>
      <c r="L1379" s="7">
        <v>4.5279999999999996</v>
      </c>
      <c r="M1379" s="7">
        <v>4.6420000000000003</v>
      </c>
      <c r="N1379" s="7">
        <v>5.0010000000000003</v>
      </c>
      <c r="O1379" s="7">
        <v>4.8929999999999998</v>
      </c>
      <c r="P1379" s="7">
        <v>5.0330000000000004</v>
      </c>
      <c r="Q1379" s="7">
        <v>4.859</v>
      </c>
      <c r="R1379" s="7">
        <v>4.6680000000000001</v>
      </c>
      <c r="S1379" s="7">
        <f t="shared" si="21"/>
        <v>4.6118333333333332</v>
      </c>
    </row>
    <row r="1380" spans="1:19">
      <c r="A1380" s="5" t="str">
        <f>B1380&amp;"-"&amp;COUNTIF($B$2:B1380,B1380)</f>
        <v>MATO GROSSO-34</v>
      </c>
      <c r="B1380" s="5" t="s">
        <v>991</v>
      </c>
      <c r="C1380" s="5" t="s">
        <v>1015</v>
      </c>
      <c r="D1380" s="6">
        <v>-597852</v>
      </c>
      <c r="E1380" s="6">
        <v>-136619</v>
      </c>
      <c r="F1380" s="7">
        <v>4.6900000000000004</v>
      </c>
      <c r="G1380" s="7">
        <v>4.71</v>
      </c>
      <c r="H1380" s="7">
        <v>4.5469999999999997</v>
      </c>
      <c r="I1380" s="7">
        <v>4.4779999999999998</v>
      </c>
      <c r="J1380" s="7">
        <v>4.4770000000000003</v>
      </c>
      <c r="K1380" s="7">
        <v>4.2140000000000004</v>
      </c>
      <c r="L1380" s="7">
        <v>4.29</v>
      </c>
      <c r="M1380" s="7">
        <v>4.5599999999999996</v>
      </c>
      <c r="N1380" s="7">
        <v>5.0380000000000003</v>
      </c>
      <c r="O1380" s="7">
        <v>4.891</v>
      </c>
      <c r="P1380" s="7">
        <v>5.0469999999999997</v>
      </c>
      <c r="Q1380" s="7">
        <v>5.0149999999999997</v>
      </c>
      <c r="R1380" s="7">
        <v>5.0060000000000002</v>
      </c>
      <c r="S1380" s="7">
        <f t="shared" si="21"/>
        <v>4.6894166666666663</v>
      </c>
    </row>
    <row r="1381" spans="1:19">
      <c r="A1381" s="5" t="str">
        <f>B1381&amp;"-"&amp;COUNTIF($B$2:B1381,B1381)</f>
        <v>MATO GROSSO-35</v>
      </c>
      <c r="B1381" s="5" t="s">
        <v>991</v>
      </c>
      <c r="C1381" s="5" t="s">
        <v>1016</v>
      </c>
      <c r="D1381" s="6">
        <v>-515703</v>
      </c>
      <c r="E1381" s="6">
        <v>-106441</v>
      </c>
      <c r="F1381" s="7">
        <v>5.0129999999999999</v>
      </c>
      <c r="G1381" s="7">
        <v>4.8860000000000001</v>
      </c>
      <c r="H1381" s="7">
        <v>5.0110000000000001</v>
      </c>
      <c r="I1381" s="7">
        <v>4.7939999999999996</v>
      </c>
      <c r="J1381" s="7">
        <v>4.641</v>
      </c>
      <c r="K1381" s="7">
        <v>4.8680000000000003</v>
      </c>
      <c r="L1381" s="7">
        <v>4.8659999999999997</v>
      </c>
      <c r="M1381" s="7">
        <v>5.0430000000000001</v>
      </c>
      <c r="N1381" s="7">
        <v>5.6630000000000003</v>
      </c>
      <c r="O1381" s="7">
        <v>5.2249999999999996</v>
      </c>
      <c r="P1381" s="7">
        <v>5.0860000000000003</v>
      </c>
      <c r="Q1381" s="7">
        <v>5.0039999999999996</v>
      </c>
      <c r="R1381" s="7">
        <v>5.0739999999999998</v>
      </c>
      <c r="S1381" s="7">
        <f t="shared" si="21"/>
        <v>5.0134166666666671</v>
      </c>
    </row>
    <row r="1382" spans="1:19">
      <c r="A1382" s="5" t="str">
        <f>B1382&amp;"-"&amp;COUNTIF($B$2:B1382,B1382)</f>
        <v>MATO GROSSO-36</v>
      </c>
      <c r="B1382" s="5" t="s">
        <v>991</v>
      </c>
      <c r="C1382" s="5" t="s">
        <v>1017</v>
      </c>
      <c r="D1382" s="6">
        <v>-595413</v>
      </c>
      <c r="E1382" s="6">
        <v>-145413</v>
      </c>
      <c r="F1382" s="7">
        <v>4.8929999999999998</v>
      </c>
      <c r="G1382" s="7">
        <v>5.0359999999999996</v>
      </c>
      <c r="H1382" s="7">
        <v>4.8390000000000004</v>
      </c>
      <c r="I1382" s="7">
        <v>4.7389999999999999</v>
      </c>
      <c r="J1382" s="7">
        <v>4.68</v>
      </c>
      <c r="K1382" s="7">
        <v>4.2850000000000001</v>
      </c>
      <c r="L1382" s="7">
        <v>4.3390000000000004</v>
      </c>
      <c r="M1382" s="7">
        <v>4.5359999999999996</v>
      </c>
      <c r="N1382" s="7">
        <v>5.0949999999999998</v>
      </c>
      <c r="O1382" s="7">
        <v>5.0350000000000001</v>
      </c>
      <c r="P1382" s="7">
        <v>5.274</v>
      </c>
      <c r="Q1382" s="7">
        <v>5.444</v>
      </c>
      <c r="R1382" s="7">
        <v>5.4160000000000004</v>
      </c>
      <c r="S1382" s="7">
        <f t="shared" si="21"/>
        <v>4.8931666666666667</v>
      </c>
    </row>
    <row r="1383" spans="1:19">
      <c r="A1383" s="5" t="str">
        <f>B1383&amp;"-"&amp;COUNTIF($B$2:B1383,B1383)</f>
        <v>MATO GROSSO-37</v>
      </c>
      <c r="B1383" s="5" t="s">
        <v>991</v>
      </c>
      <c r="C1383" s="5" t="s">
        <v>4649</v>
      </c>
      <c r="D1383" s="6">
        <v>-585719</v>
      </c>
      <c r="E1383" s="6">
        <v>-99006</v>
      </c>
      <c r="F1383" s="7">
        <v>4.6619999999999999</v>
      </c>
      <c r="G1383" s="7">
        <v>4.3780000000000001</v>
      </c>
      <c r="H1383" s="7">
        <v>4.4669999999999996</v>
      </c>
      <c r="I1383" s="7">
        <v>4.46</v>
      </c>
      <c r="J1383" s="7">
        <v>4.3970000000000002</v>
      </c>
      <c r="K1383" s="7">
        <v>4.2140000000000004</v>
      </c>
      <c r="L1383" s="7">
        <v>4.609</v>
      </c>
      <c r="M1383" s="7">
        <v>4.6879999999999997</v>
      </c>
      <c r="N1383" s="7">
        <v>5.1369999999999996</v>
      </c>
      <c r="O1383" s="7">
        <v>4.9210000000000003</v>
      </c>
      <c r="P1383" s="7">
        <v>5.1269999999999998</v>
      </c>
      <c r="Q1383" s="7">
        <v>4.8239999999999998</v>
      </c>
      <c r="R1383" s="7">
        <v>4.7240000000000002</v>
      </c>
      <c r="S1383" s="7">
        <f t="shared" si="21"/>
        <v>4.6621666666666668</v>
      </c>
    </row>
    <row r="1384" spans="1:19">
      <c r="A1384" s="5" t="str">
        <f>B1384&amp;"-"&amp;COUNTIF($B$2:B1384,B1384)</f>
        <v>MATO GROSSO-38</v>
      </c>
      <c r="B1384" s="5" t="s">
        <v>991</v>
      </c>
      <c r="C1384" s="5" t="s">
        <v>5565</v>
      </c>
      <c r="D1384" s="6">
        <v>-560983</v>
      </c>
      <c r="E1384" s="6">
        <v>-156018</v>
      </c>
      <c r="F1384" s="7">
        <v>5.1059999999999999</v>
      </c>
      <c r="G1384" s="7">
        <v>5.4560000000000004</v>
      </c>
      <c r="H1384" s="7">
        <v>5.3330000000000002</v>
      </c>
      <c r="I1384" s="7">
        <v>5.17</v>
      </c>
      <c r="J1384" s="7">
        <v>4.907</v>
      </c>
      <c r="K1384" s="7">
        <v>4.4139999999999997</v>
      </c>
      <c r="L1384" s="7">
        <v>4.3639999999999999</v>
      </c>
      <c r="M1384" s="7">
        <v>4.5220000000000002</v>
      </c>
      <c r="N1384" s="7">
        <v>5.3979999999999997</v>
      </c>
      <c r="O1384" s="7">
        <v>5.1340000000000003</v>
      </c>
      <c r="P1384" s="7">
        <v>5.3129999999999997</v>
      </c>
      <c r="Q1384" s="7">
        <v>5.5549999999999997</v>
      </c>
      <c r="R1384" s="7">
        <v>5.7089999999999996</v>
      </c>
      <c r="S1384" s="7">
        <f t="shared" si="21"/>
        <v>5.1062500000000002</v>
      </c>
    </row>
    <row r="1385" spans="1:19">
      <c r="A1385" s="5" t="str">
        <f>B1385&amp;"-"&amp;COUNTIF($B$2:B1385,B1385)</f>
        <v>MATO GROSSO-39</v>
      </c>
      <c r="B1385" s="5" t="s">
        <v>991</v>
      </c>
      <c r="C1385" s="5" t="s">
        <v>4947</v>
      </c>
      <c r="D1385" s="6">
        <v>-579137</v>
      </c>
      <c r="E1385" s="6">
        <v>-156088</v>
      </c>
      <c r="F1385" s="7">
        <v>4.9509999999999996</v>
      </c>
      <c r="G1385" s="7">
        <v>5.3959999999999999</v>
      </c>
      <c r="H1385" s="7">
        <v>5.1879999999999997</v>
      </c>
      <c r="I1385" s="7">
        <v>5.0209999999999999</v>
      </c>
      <c r="J1385" s="7">
        <v>4.7770000000000001</v>
      </c>
      <c r="K1385" s="7">
        <v>4.1870000000000003</v>
      </c>
      <c r="L1385" s="7">
        <v>4.2320000000000002</v>
      </c>
      <c r="M1385" s="7">
        <v>4.3390000000000004</v>
      </c>
      <c r="N1385" s="7">
        <v>5.0910000000000002</v>
      </c>
      <c r="O1385" s="7">
        <v>5.056</v>
      </c>
      <c r="P1385" s="7">
        <v>5.1870000000000003</v>
      </c>
      <c r="Q1385" s="7">
        <v>5.4109999999999996</v>
      </c>
      <c r="R1385" s="7">
        <v>5.5270000000000001</v>
      </c>
      <c r="S1385" s="7">
        <f t="shared" si="21"/>
        <v>4.9509999999999996</v>
      </c>
    </row>
    <row r="1386" spans="1:19">
      <c r="A1386" s="5" t="str">
        <f>B1386&amp;"-"&amp;COUNTIF($B$2:B1386,B1386)</f>
        <v>MATO GROSSO-40</v>
      </c>
      <c r="B1386" s="5" t="s">
        <v>991</v>
      </c>
      <c r="C1386" s="5" t="s">
        <v>1018</v>
      </c>
      <c r="D1386" s="6">
        <v>-570507</v>
      </c>
      <c r="E1386" s="6">
        <v>-14729</v>
      </c>
      <c r="F1386" s="7">
        <v>4.9779999999999998</v>
      </c>
      <c r="G1386" s="7">
        <v>5.1929999999999996</v>
      </c>
      <c r="H1386" s="7">
        <v>5.202</v>
      </c>
      <c r="I1386" s="7">
        <v>4.9880000000000004</v>
      </c>
      <c r="J1386" s="7">
        <v>4.7779999999999996</v>
      </c>
      <c r="K1386" s="7">
        <v>4.359</v>
      </c>
      <c r="L1386" s="7">
        <v>4.4139999999999997</v>
      </c>
      <c r="M1386" s="7">
        <v>4.5640000000000001</v>
      </c>
      <c r="N1386" s="7">
        <v>5.2469999999999999</v>
      </c>
      <c r="O1386" s="7">
        <v>4.9930000000000003</v>
      </c>
      <c r="P1386" s="7">
        <v>5.2190000000000003</v>
      </c>
      <c r="Q1386" s="7">
        <v>5.36</v>
      </c>
      <c r="R1386" s="7">
        <v>5.4260000000000002</v>
      </c>
      <c r="S1386" s="7">
        <f t="shared" si="21"/>
        <v>4.9785833333333338</v>
      </c>
    </row>
    <row r="1387" spans="1:19">
      <c r="A1387" s="5" t="str">
        <f>B1387&amp;"-"&amp;COUNTIF($B$2:B1387,B1387)</f>
        <v>MATO GROSSO-41</v>
      </c>
      <c r="B1387" s="5" t="s">
        <v>991</v>
      </c>
      <c r="C1387" s="5" t="s">
        <v>1019</v>
      </c>
      <c r="D1387" s="6">
        <v>-564375</v>
      </c>
      <c r="E1387" s="6">
        <v>-144008</v>
      </c>
      <c r="F1387" s="7">
        <v>5.0519999999999996</v>
      </c>
      <c r="G1387" s="7">
        <v>5.2389999999999999</v>
      </c>
      <c r="H1387" s="7">
        <v>5.1449999999999996</v>
      </c>
      <c r="I1387" s="7">
        <v>4.9420000000000002</v>
      </c>
      <c r="J1387" s="7">
        <v>4.8479999999999999</v>
      </c>
      <c r="K1387" s="7">
        <v>4.5570000000000004</v>
      </c>
      <c r="L1387" s="7">
        <v>4.516</v>
      </c>
      <c r="M1387" s="7">
        <v>4.7279999999999998</v>
      </c>
      <c r="N1387" s="7">
        <v>5.4980000000000002</v>
      </c>
      <c r="O1387" s="7">
        <v>5.1589999999999998</v>
      </c>
      <c r="P1387" s="7">
        <v>5.2389999999999999</v>
      </c>
      <c r="Q1387" s="7">
        <v>5.3019999999999996</v>
      </c>
      <c r="R1387" s="7">
        <v>5.4530000000000003</v>
      </c>
      <c r="S1387" s="7">
        <f t="shared" si="21"/>
        <v>5.0521666666666665</v>
      </c>
    </row>
    <row r="1388" spans="1:19">
      <c r="A1388" s="5" t="str">
        <f>B1388&amp;"-"&amp;COUNTIF($B$2:B1388,B1388)</f>
        <v>MATO GROSSO-42</v>
      </c>
      <c r="B1388" s="5" t="s">
        <v>991</v>
      </c>
      <c r="C1388" s="5" t="s">
        <v>1020</v>
      </c>
      <c r="D1388" s="6">
        <v>-549222</v>
      </c>
      <c r="E1388" s="6">
        <v>-158099</v>
      </c>
      <c r="F1388" s="7">
        <v>5.1059999999999999</v>
      </c>
      <c r="G1388" s="7">
        <v>5.3280000000000003</v>
      </c>
      <c r="H1388" s="7">
        <v>5.2629999999999999</v>
      </c>
      <c r="I1388" s="7">
        <v>5.0730000000000004</v>
      </c>
      <c r="J1388" s="7">
        <v>5.0979999999999999</v>
      </c>
      <c r="K1388" s="7">
        <v>4.6589999999999998</v>
      </c>
      <c r="L1388" s="7">
        <v>4.5750000000000002</v>
      </c>
      <c r="M1388" s="7">
        <v>4.6669999999999998</v>
      </c>
      <c r="N1388" s="7">
        <v>5.5890000000000004</v>
      </c>
      <c r="O1388" s="7">
        <v>5.1239999999999997</v>
      </c>
      <c r="P1388" s="7">
        <v>5.09</v>
      </c>
      <c r="Q1388" s="7">
        <v>5.3259999999999996</v>
      </c>
      <c r="R1388" s="7">
        <v>5.4770000000000003</v>
      </c>
      <c r="S1388" s="7">
        <f t="shared" si="21"/>
        <v>5.1057499999999996</v>
      </c>
    </row>
    <row r="1389" spans="1:19">
      <c r="A1389" s="5" t="str">
        <f>B1389&amp;"-"&amp;COUNTIF($B$2:B1389,B1389)</f>
        <v>MATO GROSSO-43</v>
      </c>
      <c r="B1389" s="5" t="s">
        <v>991</v>
      </c>
      <c r="C1389" s="5" t="s">
        <v>1021</v>
      </c>
      <c r="D1389" s="6">
        <v>-549389</v>
      </c>
      <c r="E1389" s="6">
        <v>-123822</v>
      </c>
      <c r="F1389" s="7">
        <v>5.0830000000000002</v>
      </c>
      <c r="G1389" s="7">
        <v>5.141</v>
      </c>
      <c r="H1389" s="7">
        <v>5.1529999999999996</v>
      </c>
      <c r="I1389" s="7">
        <v>4.9790000000000001</v>
      </c>
      <c r="J1389" s="7">
        <v>4.9829999999999997</v>
      </c>
      <c r="K1389" s="7">
        <v>4.9109999999999996</v>
      </c>
      <c r="L1389" s="7">
        <v>4.7039999999999997</v>
      </c>
      <c r="M1389" s="7">
        <v>4.9809999999999999</v>
      </c>
      <c r="N1389" s="7">
        <v>5.306</v>
      </c>
      <c r="O1389" s="7">
        <v>5.1520000000000001</v>
      </c>
      <c r="P1389" s="7">
        <v>5.2869999999999999</v>
      </c>
      <c r="Q1389" s="7">
        <v>5.1379999999999999</v>
      </c>
      <c r="R1389" s="7">
        <v>5.258</v>
      </c>
      <c r="S1389" s="7">
        <f t="shared" si="21"/>
        <v>5.0827499999999999</v>
      </c>
    </row>
    <row r="1390" spans="1:19">
      <c r="A1390" s="5" t="str">
        <f>B1390&amp;"-"&amp;COUNTIF($B$2:B1390,B1390)</f>
        <v>MATO GROSSO-44</v>
      </c>
      <c r="B1390" s="5" t="s">
        <v>991</v>
      </c>
      <c r="C1390" s="5" t="s">
        <v>5098</v>
      </c>
      <c r="D1390" s="6">
        <v>-587382</v>
      </c>
      <c r="E1390" s="6">
        <v>-15449</v>
      </c>
      <c r="F1390" s="7">
        <v>4.8710000000000004</v>
      </c>
      <c r="G1390" s="7">
        <v>5.2</v>
      </c>
      <c r="H1390" s="7">
        <v>5.0389999999999997</v>
      </c>
      <c r="I1390" s="7">
        <v>4.8499999999999996</v>
      </c>
      <c r="J1390" s="7">
        <v>4.6559999999999997</v>
      </c>
      <c r="K1390" s="7">
        <v>4.0590000000000002</v>
      </c>
      <c r="L1390" s="7">
        <v>4.194</v>
      </c>
      <c r="M1390" s="7">
        <v>4.3109999999999999</v>
      </c>
      <c r="N1390" s="7">
        <v>5.0620000000000003</v>
      </c>
      <c r="O1390" s="7">
        <v>5.0179999999999998</v>
      </c>
      <c r="P1390" s="7">
        <v>5.2149999999999999</v>
      </c>
      <c r="Q1390" s="7">
        <v>5.4459999999999997</v>
      </c>
      <c r="R1390" s="7">
        <v>5.4029999999999996</v>
      </c>
      <c r="S1390" s="7">
        <f t="shared" si="21"/>
        <v>4.871083333333333</v>
      </c>
    </row>
    <row r="1391" spans="1:19">
      <c r="A1391" s="5" t="str">
        <f>B1391&amp;"-"&amp;COUNTIF($B$2:B1391,B1391)</f>
        <v>MATO GROSSO-45</v>
      </c>
      <c r="B1391" s="5" t="s">
        <v>991</v>
      </c>
      <c r="C1391" s="5" t="s">
        <v>4836</v>
      </c>
      <c r="D1391" s="6">
        <v>-532624</v>
      </c>
      <c r="E1391" s="6">
        <v>-131773</v>
      </c>
      <c r="F1391" s="7">
        <v>5.1749999999999998</v>
      </c>
      <c r="G1391" s="7">
        <v>5.2480000000000002</v>
      </c>
      <c r="H1391" s="7">
        <v>5.3719999999999999</v>
      </c>
      <c r="I1391" s="7">
        <v>5.1100000000000003</v>
      </c>
      <c r="J1391" s="7">
        <v>5.1680000000000001</v>
      </c>
      <c r="K1391" s="7">
        <v>4.8949999999999996</v>
      </c>
      <c r="L1391" s="7">
        <v>4.7160000000000002</v>
      </c>
      <c r="M1391" s="7">
        <v>5.08</v>
      </c>
      <c r="N1391" s="7">
        <v>5.5549999999999997</v>
      </c>
      <c r="O1391" s="7">
        <v>5.2560000000000002</v>
      </c>
      <c r="P1391" s="7">
        <v>5.2809999999999997</v>
      </c>
      <c r="Q1391" s="7">
        <v>5.1859999999999999</v>
      </c>
      <c r="R1391" s="7">
        <v>5.2359999999999998</v>
      </c>
      <c r="S1391" s="7">
        <f t="shared" si="21"/>
        <v>5.1752499999999992</v>
      </c>
    </row>
    <row r="1392" spans="1:19">
      <c r="A1392" s="5" t="str">
        <f>B1392&amp;"-"&amp;COUNTIF($B$2:B1392,B1392)</f>
        <v>MATO GROSSO-46</v>
      </c>
      <c r="B1392" s="5" t="s">
        <v>991</v>
      </c>
      <c r="C1392" s="5" t="s">
        <v>1022</v>
      </c>
      <c r="D1392" s="6">
        <v>-527578</v>
      </c>
      <c r="E1392" s="6">
        <v>-157099</v>
      </c>
      <c r="F1392" s="7">
        <v>5.2690000000000001</v>
      </c>
      <c r="G1392" s="7">
        <v>5.4420000000000002</v>
      </c>
      <c r="H1392" s="7">
        <v>5.5650000000000004</v>
      </c>
      <c r="I1392" s="7">
        <v>5.2569999999999997</v>
      </c>
      <c r="J1392" s="7">
        <v>5.3419999999999996</v>
      </c>
      <c r="K1392" s="7">
        <v>4.9690000000000003</v>
      </c>
      <c r="L1392" s="7">
        <v>4.609</v>
      </c>
      <c r="M1392" s="7">
        <v>4.8070000000000004</v>
      </c>
      <c r="N1392" s="7">
        <v>5.5190000000000001</v>
      </c>
      <c r="O1392" s="7">
        <v>5.3869999999999996</v>
      </c>
      <c r="P1392" s="7">
        <v>5.431</v>
      </c>
      <c r="Q1392" s="7">
        <v>5.3840000000000003</v>
      </c>
      <c r="R1392" s="7">
        <v>5.52</v>
      </c>
      <c r="S1392" s="7">
        <f t="shared" si="21"/>
        <v>5.269333333333333</v>
      </c>
    </row>
    <row r="1393" spans="1:19">
      <c r="A1393" s="5" t="str">
        <f>B1393&amp;"-"&amp;COUNTIF($B$2:B1393,B1393)</f>
        <v>MATO GROSSO-47</v>
      </c>
      <c r="B1393" s="5" t="s">
        <v>991</v>
      </c>
      <c r="C1393" s="5" t="s">
        <v>5099</v>
      </c>
      <c r="D1393" s="6">
        <v>-583085</v>
      </c>
      <c r="E1393" s="6">
        <v>-157684</v>
      </c>
      <c r="F1393" s="7">
        <v>4.9749999999999996</v>
      </c>
      <c r="G1393" s="7">
        <v>5.4489999999999998</v>
      </c>
      <c r="H1393" s="7">
        <v>5.2969999999999997</v>
      </c>
      <c r="I1393" s="7">
        <v>5.0449999999999999</v>
      </c>
      <c r="J1393" s="7">
        <v>4.7770000000000001</v>
      </c>
      <c r="K1393" s="7">
        <v>4.0759999999999996</v>
      </c>
      <c r="L1393" s="7">
        <v>4.1189999999999998</v>
      </c>
      <c r="M1393" s="7">
        <v>4.2809999999999997</v>
      </c>
      <c r="N1393" s="7">
        <v>5.0049999999999999</v>
      </c>
      <c r="O1393" s="7">
        <v>5.0750000000000002</v>
      </c>
      <c r="P1393" s="7">
        <v>5.359</v>
      </c>
      <c r="Q1393" s="7">
        <v>5.5529999999999999</v>
      </c>
      <c r="R1393" s="7">
        <v>5.67</v>
      </c>
      <c r="S1393" s="7">
        <f t="shared" si="21"/>
        <v>4.9755000000000003</v>
      </c>
    </row>
    <row r="1394" spans="1:19">
      <c r="A1394" s="5" t="str">
        <f>B1394&amp;"-"&amp;COUNTIF($B$2:B1394,B1394)</f>
        <v>MATO GROSSO-48</v>
      </c>
      <c r="B1394" s="5" t="s">
        <v>991</v>
      </c>
      <c r="C1394" s="5" t="s">
        <v>5362</v>
      </c>
      <c r="D1394" s="6">
        <v>-549125</v>
      </c>
      <c r="E1394" s="6">
        <v>-99626</v>
      </c>
      <c r="F1394" s="7">
        <v>4.8840000000000003</v>
      </c>
      <c r="G1394" s="7">
        <v>4.8010000000000002</v>
      </c>
      <c r="H1394" s="7">
        <v>4.7590000000000003</v>
      </c>
      <c r="I1394" s="7">
        <v>4.726</v>
      </c>
      <c r="J1394" s="7">
        <v>4.6120000000000001</v>
      </c>
      <c r="K1394" s="7">
        <v>4.6619999999999999</v>
      </c>
      <c r="L1394" s="7">
        <v>4.7</v>
      </c>
      <c r="M1394" s="7">
        <v>4.8929999999999998</v>
      </c>
      <c r="N1394" s="7">
        <v>5.431</v>
      </c>
      <c r="O1394" s="7">
        <v>5.016</v>
      </c>
      <c r="P1394" s="7">
        <v>5.1369999999999996</v>
      </c>
      <c r="Q1394" s="7">
        <v>4.9450000000000003</v>
      </c>
      <c r="R1394" s="7">
        <v>4.9269999999999996</v>
      </c>
      <c r="S1394" s="7">
        <f t="shared" si="21"/>
        <v>4.8840833333333329</v>
      </c>
    </row>
    <row r="1395" spans="1:19">
      <c r="A1395" s="5" t="str">
        <f>B1395&amp;"-"&amp;COUNTIF($B$2:B1395,B1395)</f>
        <v>MATO GROSSO-49</v>
      </c>
      <c r="B1395" s="5" t="s">
        <v>991</v>
      </c>
      <c r="C1395" s="5" t="s">
        <v>1023</v>
      </c>
      <c r="D1395" s="6">
        <v>-537642</v>
      </c>
      <c r="E1395" s="6">
        <v>-163466</v>
      </c>
      <c r="F1395" s="7">
        <v>5.23</v>
      </c>
      <c r="G1395" s="7">
        <v>5.4370000000000003</v>
      </c>
      <c r="H1395" s="7">
        <v>5.4409999999999998</v>
      </c>
      <c r="I1395" s="7">
        <v>5.23</v>
      </c>
      <c r="J1395" s="7">
        <v>5.1219999999999999</v>
      </c>
      <c r="K1395" s="7">
        <v>4.7539999999999996</v>
      </c>
      <c r="L1395" s="7">
        <v>4.569</v>
      </c>
      <c r="M1395" s="7">
        <v>4.742</v>
      </c>
      <c r="N1395" s="7">
        <v>5.5949999999999998</v>
      </c>
      <c r="O1395" s="7">
        <v>5.3760000000000003</v>
      </c>
      <c r="P1395" s="7">
        <v>5.3689999999999998</v>
      </c>
      <c r="Q1395" s="7">
        <v>5.5309999999999997</v>
      </c>
      <c r="R1395" s="7">
        <v>5.5940000000000003</v>
      </c>
      <c r="S1395" s="7">
        <f t="shared" si="21"/>
        <v>5.2299999999999995</v>
      </c>
    </row>
    <row r="1396" spans="1:19">
      <c r="A1396" s="5" t="str">
        <f>B1396&amp;"-"&amp;COUNTIF($B$2:B1396,B1396)</f>
        <v>MATO GROSSO-50</v>
      </c>
      <c r="B1396" s="5" t="s">
        <v>991</v>
      </c>
      <c r="C1396" s="5" t="s">
        <v>1024</v>
      </c>
      <c r="D1396" s="6">
        <v>-585787</v>
      </c>
      <c r="E1396" s="6">
        <v>-154962</v>
      </c>
      <c r="F1396" s="7">
        <v>4.8860000000000001</v>
      </c>
      <c r="G1396" s="7">
        <v>5.2539999999999996</v>
      </c>
      <c r="H1396" s="7">
        <v>5.0910000000000002</v>
      </c>
      <c r="I1396" s="7">
        <v>4.9169999999999998</v>
      </c>
      <c r="J1396" s="7">
        <v>4.6970000000000001</v>
      </c>
      <c r="K1396" s="7">
        <v>4.069</v>
      </c>
      <c r="L1396" s="7">
        <v>4.1749999999999998</v>
      </c>
      <c r="M1396" s="7">
        <v>4.258</v>
      </c>
      <c r="N1396" s="7">
        <v>5.0579999999999998</v>
      </c>
      <c r="O1396" s="7">
        <v>4.99</v>
      </c>
      <c r="P1396" s="7">
        <v>5.2469999999999999</v>
      </c>
      <c r="Q1396" s="7">
        <v>5.4649999999999999</v>
      </c>
      <c r="R1396" s="7">
        <v>5.4160000000000004</v>
      </c>
      <c r="S1396" s="7">
        <f t="shared" si="21"/>
        <v>4.8864166666666664</v>
      </c>
    </row>
    <row r="1397" spans="1:19">
      <c r="A1397" s="5" t="str">
        <f>B1397&amp;"-"&amp;COUNTIF($B$2:B1397,B1397)</f>
        <v>MATO GROSSO-51</v>
      </c>
      <c r="B1397" s="5" t="s">
        <v>991</v>
      </c>
      <c r="C1397" s="5" t="s">
        <v>1025</v>
      </c>
      <c r="D1397" s="6">
        <v>-561464</v>
      </c>
      <c r="E1397" s="6">
        <v>-122406</v>
      </c>
      <c r="F1397" s="7">
        <v>4.9630000000000001</v>
      </c>
      <c r="G1397" s="7">
        <v>5.1310000000000002</v>
      </c>
      <c r="H1397" s="7">
        <v>4.9880000000000004</v>
      </c>
      <c r="I1397" s="7">
        <v>4.851</v>
      </c>
      <c r="J1397" s="7">
        <v>4.7969999999999997</v>
      </c>
      <c r="K1397" s="7">
        <v>4.6639999999999997</v>
      </c>
      <c r="L1397" s="7">
        <v>4.5540000000000003</v>
      </c>
      <c r="M1397" s="7">
        <v>4.7329999999999997</v>
      </c>
      <c r="N1397" s="7">
        <v>5.2220000000000004</v>
      </c>
      <c r="O1397" s="7">
        <v>5.0640000000000001</v>
      </c>
      <c r="P1397" s="7">
        <v>5.2380000000000004</v>
      </c>
      <c r="Q1397" s="7">
        <v>5.0720000000000001</v>
      </c>
      <c r="R1397" s="7">
        <v>5.2370000000000001</v>
      </c>
      <c r="S1397" s="7">
        <f t="shared" si="21"/>
        <v>4.9625833333333338</v>
      </c>
    </row>
    <row r="1398" spans="1:19">
      <c r="A1398" s="5" t="str">
        <f>B1398&amp;"-"&amp;COUNTIF($B$2:B1398,B1398)</f>
        <v>MATO GROSSO-52</v>
      </c>
      <c r="B1398" s="5" t="s">
        <v>991</v>
      </c>
      <c r="C1398" s="5" t="s">
        <v>4837</v>
      </c>
      <c r="D1398" s="6">
        <v>-552435</v>
      </c>
      <c r="E1398" s="6">
        <v>-110075</v>
      </c>
      <c r="F1398" s="7">
        <v>4.9119999999999999</v>
      </c>
      <c r="G1398" s="7">
        <v>4.9320000000000004</v>
      </c>
      <c r="H1398" s="7">
        <v>4.8150000000000004</v>
      </c>
      <c r="I1398" s="7">
        <v>4.71</v>
      </c>
      <c r="J1398" s="7">
        <v>4.6310000000000002</v>
      </c>
      <c r="K1398" s="7">
        <v>4.665</v>
      </c>
      <c r="L1398" s="7">
        <v>4.6970000000000001</v>
      </c>
      <c r="M1398" s="7">
        <v>5.0490000000000004</v>
      </c>
      <c r="N1398" s="7">
        <v>5.4409999999999998</v>
      </c>
      <c r="O1398" s="7">
        <v>5.0380000000000003</v>
      </c>
      <c r="P1398" s="7">
        <v>5.07</v>
      </c>
      <c r="Q1398" s="7">
        <v>4.9539999999999997</v>
      </c>
      <c r="R1398" s="7">
        <v>4.9470000000000001</v>
      </c>
      <c r="S1398" s="7">
        <f t="shared" si="21"/>
        <v>4.912416666666668</v>
      </c>
    </row>
    <row r="1399" spans="1:19">
      <c r="A1399" s="5" t="str">
        <f>B1399&amp;"-"&amp;COUNTIF($B$2:B1399,B1399)</f>
        <v>MATO GROSSO-53</v>
      </c>
      <c r="B1399" s="5" t="s">
        <v>991</v>
      </c>
      <c r="C1399" s="5" t="s">
        <v>5566</v>
      </c>
      <c r="D1399" s="6">
        <v>-566425</v>
      </c>
      <c r="E1399" s="6">
        <v>-122363</v>
      </c>
      <c r="F1399" s="7">
        <v>4.9720000000000004</v>
      </c>
      <c r="G1399" s="7">
        <v>5.0670000000000002</v>
      </c>
      <c r="H1399" s="7">
        <v>4.8769999999999998</v>
      </c>
      <c r="I1399" s="7">
        <v>4.8140000000000001</v>
      </c>
      <c r="J1399" s="7">
        <v>4.7480000000000002</v>
      </c>
      <c r="K1399" s="7">
        <v>4.6420000000000003</v>
      </c>
      <c r="L1399" s="7">
        <v>4.6920000000000002</v>
      </c>
      <c r="M1399" s="7">
        <v>4.9089999999999998</v>
      </c>
      <c r="N1399" s="7">
        <v>5.298</v>
      </c>
      <c r="O1399" s="7">
        <v>5.1050000000000004</v>
      </c>
      <c r="P1399" s="7">
        <v>5.2930000000000001</v>
      </c>
      <c r="Q1399" s="7">
        <v>5.0750000000000002</v>
      </c>
      <c r="R1399" s="7">
        <v>5.14</v>
      </c>
      <c r="S1399" s="7">
        <f t="shared" si="21"/>
        <v>4.9716666666666667</v>
      </c>
    </row>
    <row r="1400" spans="1:19">
      <c r="A1400" s="5" t="str">
        <f>B1400&amp;"-"&amp;COUNTIF($B$2:B1400,B1400)</f>
        <v>MATO GROSSO-54</v>
      </c>
      <c r="B1400" s="5" t="s">
        <v>991</v>
      </c>
      <c r="C1400" s="5" t="s">
        <v>1026</v>
      </c>
      <c r="D1400" s="6">
        <v>-54146</v>
      </c>
      <c r="E1400" s="6">
        <v>-172049</v>
      </c>
      <c r="F1400" s="7">
        <v>5.1680000000000001</v>
      </c>
      <c r="G1400" s="7">
        <v>5.5810000000000004</v>
      </c>
      <c r="H1400" s="7">
        <v>5.5129999999999999</v>
      </c>
      <c r="I1400" s="7">
        <v>5.2169999999999996</v>
      </c>
      <c r="J1400" s="7">
        <v>4.9909999999999997</v>
      </c>
      <c r="K1400" s="7">
        <v>4.5419999999999998</v>
      </c>
      <c r="L1400" s="7">
        <v>4.3630000000000004</v>
      </c>
      <c r="M1400" s="7">
        <v>4.5640000000000001</v>
      </c>
      <c r="N1400" s="7">
        <v>5.4059999999999997</v>
      </c>
      <c r="O1400" s="7">
        <v>5.2190000000000003</v>
      </c>
      <c r="P1400" s="7">
        <v>5.2750000000000004</v>
      </c>
      <c r="Q1400" s="7">
        <v>5.6</v>
      </c>
      <c r="R1400" s="7">
        <v>5.7380000000000004</v>
      </c>
      <c r="S1400" s="7">
        <f t="shared" si="21"/>
        <v>5.167416666666667</v>
      </c>
    </row>
    <row r="1401" spans="1:19">
      <c r="A1401" s="5" t="str">
        <f>B1401&amp;"-"&amp;COUNTIF($B$2:B1401,B1401)</f>
        <v>MATO GROSSO-55</v>
      </c>
      <c r="B1401" s="5" t="s">
        <v>991</v>
      </c>
      <c r="C1401" s="5" t="s">
        <v>1027</v>
      </c>
      <c r="D1401" s="6">
        <v>-549738</v>
      </c>
      <c r="E1401" s="6">
        <v>-159552</v>
      </c>
      <c r="F1401" s="7">
        <v>5.1280000000000001</v>
      </c>
      <c r="G1401" s="7">
        <v>5.3730000000000002</v>
      </c>
      <c r="H1401" s="7">
        <v>5.3609999999999998</v>
      </c>
      <c r="I1401" s="7">
        <v>5.1189999999999998</v>
      </c>
      <c r="J1401" s="7">
        <v>5.0940000000000003</v>
      </c>
      <c r="K1401" s="7">
        <v>4.6459999999999999</v>
      </c>
      <c r="L1401" s="7">
        <v>4.5359999999999996</v>
      </c>
      <c r="M1401" s="7">
        <v>4.6269999999999998</v>
      </c>
      <c r="N1401" s="7">
        <v>5.5609999999999999</v>
      </c>
      <c r="O1401" s="7">
        <v>5.165</v>
      </c>
      <c r="P1401" s="7">
        <v>5.14</v>
      </c>
      <c r="Q1401" s="7">
        <v>5.41</v>
      </c>
      <c r="R1401" s="7">
        <v>5.4980000000000002</v>
      </c>
      <c r="S1401" s="7">
        <f t="shared" si="21"/>
        <v>5.1274999999999995</v>
      </c>
    </row>
    <row r="1402" spans="1:19">
      <c r="A1402" s="5" t="str">
        <f>B1402&amp;"-"&amp;COUNTIF($B$2:B1402,B1402)</f>
        <v>MATO GROSSO-56</v>
      </c>
      <c r="B1402" s="5" t="s">
        <v>991</v>
      </c>
      <c r="C1402" s="5" t="s">
        <v>1028</v>
      </c>
      <c r="D1402" s="6">
        <v>-564921</v>
      </c>
      <c r="E1402" s="6">
        <v>-152355</v>
      </c>
      <c r="F1402" s="7">
        <v>5.1289999999999996</v>
      </c>
      <c r="G1402" s="7">
        <v>5.4020000000000001</v>
      </c>
      <c r="H1402" s="7">
        <v>5.375</v>
      </c>
      <c r="I1402" s="7">
        <v>5.173</v>
      </c>
      <c r="J1402" s="7">
        <v>4.9509999999999996</v>
      </c>
      <c r="K1402" s="7">
        <v>4.4790000000000001</v>
      </c>
      <c r="L1402" s="7">
        <v>4.4770000000000003</v>
      </c>
      <c r="M1402" s="7">
        <v>4.6040000000000001</v>
      </c>
      <c r="N1402" s="7">
        <v>5.4080000000000004</v>
      </c>
      <c r="O1402" s="7">
        <v>5.1239999999999997</v>
      </c>
      <c r="P1402" s="7">
        <v>5.2809999999999997</v>
      </c>
      <c r="Q1402" s="7">
        <v>5.58</v>
      </c>
      <c r="R1402" s="7">
        <v>5.69</v>
      </c>
      <c r="S1402" s="7">
        <f t="shared" si="21"/>
        <v>5.1286666666666667</v>
      </c>
    </row>
    <row r="1403" spans="1:19">
      <c r="A1403" s="5" t="str">
        <f>B1403&amp;"-"&amp;COUNTIF($B$2:B1403,B1403)</f>
        <v>MATO GROSSO-57</v>
      </c>
      <c r="B1403" s="5" t="s">
        <v>991</v>
      </c>
      <c r="C1403" s="5" t="s">
        <v>1029</v>
      </c>
      <c r="D1403" s="6">
        <v>-588728</v>
      </c>
      <c r="E1403" s="6">
        <v>-153384</v>
      </c>
      <c r="F1403" s="7">
        <v>4.8769999999999998</v>
      </c>
      <c r="G1403" s="7">
        <v>5.1970000000000001</v>
      </c>
      <c r="H1403" s="7">
        <v>4.9809999999999999</v>
      </c>
      <c r="I1403" s="7">
        <v>4.8019999999999996</v>
      </c>
      <c r="J1403" s="7">
        <v>4.6440000000000001</v>
      </c>
      <c r="K1403" s="7">
        <v>4.0789999999999997</v>
      </c>
      <c r="L1403" s="7">
        <v>4.2190000000000003</v>
      </c>
      <c r="M1403" s="7">
        <v>4.319</v>
      </c>
      <c r="N1403" s="7">
        <v>5.1139999999999999</v>
      </c>
      <c r="O1403" s="7">
        <v>5.0259999999999998</v>
      </c>
      <c r="P1403" s="7">
        <v>5.2279999999999998</v>
      </c>
      <c r="Q1403" s="7">
        <v>5.4880000000000004</v>
      </c>
      <c r="R1403" s="7">
        <v>5.4320000000000004</v>
      </c>
      <c r="S1403" s="7">
        <f t="shared" si="21"/>
        <v>4.877416666666667</v>
      </c>
    </row>
    <row r="1404" spans="1:19">
      <c r="A1404" s="5" t="str">
        <f>B1404&amp;"-"&amp;COUNTIF($B$2:B1404,B1404)</f>
        <v>MATO GROSSO-58</v>
      </c>
      <c r="B1404" s="5" t="s">
        <v>991</v>
      </c>
      <c r="C1404" s="5" t="s">
        <v>1030</v>
      </c>
      <c r="D1404" s="6">
        <v>-587705</v>
      </c>
      <c r="E1404" s="6">
        <v>-11425</v>
      </c>
      <c r="F1404" s="7">
        <v>4.7759999999999998</v>
      </c>
      <c r="G1404" s="7">
        <v>4.6459999999999999</v>
      </c>
      <c r="H1404" s="7">
        <v>4.5919999999999996</v>
      </c>
      <c r="I1404" s="7">
        <v>4.6390000000000002</v>
      </c>
      <c r="J1404" s="7">
        <v>4.5170000000000003</v>
      </c>
      <c r="K1404" s="7">
        <v>4.3550000000000004</v>
      </c>
      <c r="L1404" s="7">
        <v>4.5430000000000001</v>
      </c>
      <c r="M1404" s="7">
        <v>4.6929999999999996</v>
      </c>
      <c r="N1404" s="7">
        <v>5.234</v>
      </c>
      <c r="O1404" s="7">
        <v>5.0069999999999997</v>
      </c>
      <c r="P1404" s="7">
        <v>5.1879999999999997</v>
      </c>
      <c r="Q1404" s="7">
        <v>4.915</v>
      </c>
      <c r="R1404" s="7">
        <v>4.9770000000000003</v>
      </c>
      <c r="S1404" s="7">
        <f t="shared" si="21"/>
        <v>4.7755000000000001</v>
      </c>
    </row>
    <row r="1405" spans="1:19">
      <c r="A1405" s="5" t="str">
        <f>B1405&amp;"-"&amp;COUNTIF($B$2:B1405,B1405)</f>
        <v>MATO GROSSO-59</v>
      </c>
      <c r="B1405" s="5" t="s">
        <v>991</v>
      </c>
      <c r="C1405" s="5" t="s">
        <v>1031</v>
      </c>
      <c r="D1405" s="6">
        <v>-575083</v>
      </c>
      <c r="E1405" s="6">
        <v>-112535</v>
      </c>
      <c r="F1405" s="7">
        <v>4.8600000000000003</v>
      </c>
      <c r="G1405" s="7">
        <v>4.7960000000000003</v>
      </c>
      <c r="H1405" s="7">
        <v>4.7649999999999997</v>
      </c>
      <c r="I1405" s="7">
        <v>4.6909999999999998</v>
      </c>
      <c r="J1405" s="7">
        <v>4.609</v>
      </c>
      <c r="K1405" s="7">
        <v>4.5170000000000003</v>
      </c>
      <c r="L1405" s="7">
        <v>4.5970000000000004</v>
      </c>
      <c r="M1405" s="7">
        <v>4.8010000000000002</v>
      </c>
      <c r="N1405" s="7">
        <v>5.2270000000000003</v>
      </c>
      <c r="O1405" s="7">
        <v>5.0510000000000002</v>
      </c>
      <c r="P1405" s="7">
        <v>5.2370000000000001</v>
      </c>
      <c r="Q1405" s="7">
        <v>5.0149999999999997</v>
      </c>
      <c r="R1405" s="7">
        <v>5.0170000000000003</v>
      </c>
      <c r="S1405" s="7">
        <f t="shared" si="21"/>
        <v>4.8602500000000006</v>
      </c>
    </row>
    <row r="1406" spans="1:19">
      <c r="A1406" s="5" t="str">
        <f>B1406&amp;"-"&amp;COUNTIF($B$2:B1406,B1406)</f>
        <v>MATO GROSSO-60</v>
      </c>
      <c r="B1406" s="5" t="s">
        <v>991</v>
      </c>
      <c r="C1406" s="5" t="s">
        <v>1032</v>
      </c>
      <c r="D1406" s="6">
        <v>-584985</v>
      </c>
      <c r="E1406" s="6">
        <v>-103377</v>
      </c>
      <c r="F1406" s="7">
        <v>4.71</v>
      </c>
      <c r="G1406" s="7">
        <v>4.4710000000000001</v>
      </c>
      <c r="H1406" s="7">
        <v>4.5060000000000002</v>
      </c>
      <c r="I1406" s="7">
        <v>4.577</v>
      </c>
      <c r="J1406" s="7">
        <v>4.4189999999999996</v>
      </c>
      <c r="K1406" s="7">
        <v>4.3780000000000001</v>
      </c>
      <c r="L1406" s="7">
        <v>4.6449999999999996</v>
      </c>
      <c r="M1406" s="7">
        <v>4.7880000000000003</v>
      </c>
      <c r="N1406" s="7">
        <v>5.1150000000000002</v>
      </c>
      <c r="O1406" s="7">
        <v>4.931</v>
      </c>
      <c r="P1406" s="7">
        <v>5.1539999999999999</v>
      </c>
      <c r="Q1406" s="7">
        <v>4.7720000000000002</v>
      </c>
      <c r="R1406" s="7">
        <v>4.7670000000000003</v>
      </c>
      <c r="S1406" s="7">
        <f t="shared" si="21"/>
        <v>4.7102499999999994</v>
      </c>
    </row>
    <row r="1407" spans="1:19">
      <c r="A1407" s="5" t="str">
        <f>B1407&amp;"-"&amp;COUNTIF($B$2:B1407,B1407)</f>
        <v>MATO GROSSO-61</v>
      </c>
      <c r="B1407" s="5" t="s">
        <v>991</v>
      </c>
      <c r="C1407" s="5" t="s">
        <v>1033</v>
      </c>
      <c r="D1407" s="6">
        <v>-548874</v>
      </c>
      <c r="E1407" s="6">
        <v>-160538</v>
      </c>
      <c r="F1407" s="7">
        <v>5.157</v>
      </c>
      <c r="G1407" s="7">
        <v>5.4649999999999999</v>
      </c>
      <c r="H1407" s="7">
        <v>5.4710000000000001</v>
      </c>
      <c r="I1407" s="7">
        <v>5.1760000000000002</v>
      </c>
      <c r="J1407" s="7">
        <v>5.0709999999999997</v>
      </c>
      <c r="K1407" s="7">
        <v>4.6319999999999997</v>
      </c>
      <c r="L1407" s="7">
        <v>4.5010000000000003</v>
      </c>
      <c r="M1407" s="7">
        <v>4.6100000000000003</v>
      </c>
      <c r="N1407" s="7">
        <v>5.5460000000000003</v>
      </c>
      <c r="O1407" s="7">
        <v>5.1779999999999999</v>
      </c>
      <c r="P1407" s="7">
        <v>5.1989999999999998</v>
      </c>
      <c r="Q1407" s="7">
        <v>5.4539999999999997</v>
      </c>
      <c r="R1407" s="7">
        <v>5.577</v>
      </c>
      <c r="S1407" s="7">
        <f t="shared" si="21"/>
        <v>5.1566666666666663</v>
      </c>
    </row>
    <row r="1408" spans="1:19">
      <c r="A1408" s="5" t="str">
        <f>B1408&amp;"-"&amp;COUNTIF($B$2:B1408,B1408)</f>
        <v>MATO GROSSO-62</v>
      </c>
      <c r="B1408" s="5" t="s">
        <v>991</v>
      </c>
      <c r="C1408" s="5" t="s">
        <v>1034</v>
      </c>
      <c r="D1408" s="6">
        <v>-580049</v>
      </c>
      <c r="E1408" s="6">
        <v>-153186</v>
      </c>
      <c r="F1408" s="7">
        <v>4.8760000000000003</v>
      </c>
      <c r="G1408" s="7">
        <v>5.1159999999999997</v>
      </c>
      <c r="H1408" s="7">
        <v>5.0490000000000004</v>
      </c>
      <c r="I1408" s="7">
        <v>4.8979999999999997</v>
      </c>
      <c r="J1408" s="7">
        <v>4.7240000000000002</v>
      </c>
      <c r="K1408" s="7">
        <v>4.2089999999999996</v>
      </c>
      <c r="L1408" s="7">
        <v>4.2839999999999998</v>
      </c>
      <c r="M1408" s="7">
        <v>4.3860000000000001</v>
      </c>
      <c r="N1408" s="7">
        <v>5.1769999999999996</v>
      </c>
      <c r="O1408" s="7">
        <v>5.0030000000000001</v>
      </c>
      <c r="P1408" s="7">
        <v>5.0970000000000004</v>
      </c>
      <c r="Q1408" s="7">
        <v>5.306</v>
      </c>
      <c r="R1408" s="7">
        <v>5.2629999999999999</v>
      </c>
      <c r="S1408" s="7">
        <f t="shared" si="21"/>
        <v>4.8759999999999994</v>
      </c>
    </row>
    <row r="1409" spans="1:19">
      <c r="A1409" s="5" t="str">
        <f>B1409&amp;"-"&amp;COUNTIF($B$2:B1409,B1409)</f>
        <v>MATO GROSSO-63</v>
      </c>
      <c r="B1409" s="5" t="s">
        <v>991</v>
      </c>
      <c r="C1409" s="5" t="s">
        <v>1035</v>
      </c>
      <c r="D1409" s="6">
        <v>-559135</v>
      </c>
      <c r="E1409" s="6">
        <v>-130717</v>
      </c>
      <c r="F1409" s="7">
        <v>5.0090000000000003</v>
      </c>
      <c r="G1409" s="7">
        <v>5.1820000000000004</v>
      </c>
      <c r="H1409" s="7">
        <v>5.0019999999999998</v>
      </c>
      <c r="I1409" s="7">
        <v>4.9489999999999998</v>
      </c>
      <c r="J1409" s="7">
        <v>4.9610000000000003</v>
      </c>
      <c r="K1409" s="7">
        <v>4.67</v>
      </c>
      <c r="L1409" s="7">
        <v>4.4969999999999999</v>
      </c>
      <c r="M1409" s="7">
        <v>4.6769999999999996</v>
      </c>
      <c r="N1409" s="7">
        <v>5.1760000000000002</v>
      </c>
      <c r="O1409" s="7">
        <v>5.13</v>
      </c>
      <c r="P1409" s="7">
        <v>5.2750000000000004</v>
      </c>
      <c r="Q1409" s="7">
        <v>5.2590000000000003</v>
      </c>
      <c r="R1409" s="7">
        <v>5.3230000000000004</v>
      </c>
      <c r="S1409" s="7">
        <f t="shared" si="21"/>
        <v>5.0084166666666672</v>
      </c>
    </row>
    <row r="1410" spans="1:19">
      <c r="A1410" s="5" t="str">
        <f>B1410&amp;"-"&amp;COUNTIF($B$2:B1410,B1410)</f>
        <v>MATO GROSSO-64</v>
      </c>
      <c r="B1410" s="5" t="s">
        <v>991</v>
      </c>
      <c r="C1410" s="5" t="s">
        <v>1036</v>
      </c>
      <c r="D1410" s="6">
        <v>-50668</v>
      </c>
      <c r="E1410" s="6">
        <v>-112224</v>
      </c>
      <c r="F1410" s="7">
        <v>5.18</v>
      </c>
      <c r="G1410" s="7">
        <v>5.0880000000000001</v>
      </c>
      <c r="H1410" s="7">
        <v>5.2750000000000004</v>
      </c>
      <c r="I1410" s="7">
        <v>4.9809999999999999</v>
      </c>
      <c r="J1410" s="7">
        <v>4.8419999999999996</v>
      </c>
      <c r="K1410" s="7">
        <v>4.9400000000000004</v>
      </c>
      <c r="L1410" s="7">
        <v>5.0110000000000001</v>
      </c>
      <c r="M1410" s="7">
        <v>5.2130000000000001</v>
      </c>
      <c r="N1410" s="7">
        <v>5.694</v>
      </c>
      <c r="O1410" s="7">
        <v>5.4580000000000002</v>
      </c>
      <c r="P1410" s="7">
        <v>5.2789999999999999</v>
      </c>
      <c r="Q1410" s="7">
        <v>5.1289999999999996</v>
      </c>
      <c r="R1410" s="7">
        <v>5.2469999999999999</v>
      </c>
      <c r="S1410" s="7">
        <f t="shared" si="21"/>
        <v>5.1797500000000003</v>
      </c>
    </row>
    <row r="1411" spans="1:19">
      <c r="A1411" s="5" t="str">
        <f>B1411&amp;"-"&amp;COUNTIF($B$2:B1411,B1411)</f>
        <v>MATO GROSSO-65</v>
      </c>
      <c r="B1411" s="5" t="s">
        <v>991</v>
      </c>
      <c r="C1411" s="5" t="s">
        <v>4948</v>
      </c>
      <c r="D1411" s="6">
        <v>-54521</v>
      </c>
      <c r="E1411" s="6">
        <v>-110835</v>
      </c>
      <c r="F1411" s="7">
        <v>5.0060000000000002</v>
      </c>
      <c r="G1411" s="7">
        <v>5.0380000000000003</v>
      </c>
      <c r="H1411" s="7">
        <v>4.9749999999999996</v>
      </c>
      <c r="I1411" s="7">
        <v>4.8109999999999999</v>
      </c>
      <c r="J1411" s="7">
        <v>4.83</v>
      </c>
      <c r="K1411" s="7">
        <v>4.7569999999999997</v>
      </c>
      <c r="L1411" s="7">
        <v>4.6619999999999999</v>
      </c>
      <c r="M1411" s="7">
        <v>5.1210000000000004</v>
      </c>
      <c r="N1411" s="7">
        <v>5.53</v>
      </c>
      <c r="O1411" s="7">
        <v>5.1150000000000002</v>
      </c>
      <c r="P1411" s="7">
        <v>5.1470000000000002</v>
      </c>
      <c r="Q1411" s="7">
        <v>5.0389999999999997</v>
      </c>
      <c r="R1411" s="7">
        <v>5.0529999999999999</v>
      </c>
      <c r="S1411" s="7">
        <f t="shared" ref="S1411:S1474" si="22">(G1411+H1411+I1411+J1411+K1411+L1411+M1411+N1411+O1411+P1411+Q1411+R1411)/12</f>
        <v>5.0065</v>
      </c>
    </row>
    <row r="1412" spans="1:19">
      <c r="A1412" s="5" t="str">
        <f>B1412&amp;"-"&amp;COUNTIF($B$2:B1412,B1412)</f>
        <v>MATO GROSSO-66</v>
      </c>
      <c r="B1412" s="5" t="s">
        <v>991</v>
      </c>
      <c r="C1412" s="5" t="s">
        <v>5567</v>
      </c>
      <c r="D1412" s="6">
        <v>-549471</v>
      </c>
      <c r="E1412" s="6">
        <v>-101825</v>
      </c>
      <c r="F1412" s="7">
        <v>4.9290000000000003</v>
      </c>
      <c r="G1412" s="7">
        <v>4.9400000000000004</v>
      </c>
      <c r="H1412" s="7">
        <v>4.8929999999999998</v>
      </c>
      <c r="I1412" s="7">
        <v>4.7590000000000003</v>
      </c>
      <c r="J1412" s="7">
        <v>4.6740000000000004</v>
      </c>
      <c r="K1412" s="7">
        <v>4.7320000000000002</v>
      </c>
      <c r="L1412" s="7">
        <v>4.5460000000000003</v>
      </c>
      <c r="M1412" s="7">
        <v>4.8479999999999999</v>
      </c>
      <c r="N1412" s="7">
        <v>5.36</v>
      </c>
      <c r="O1412" s="7">
        <v>5.0960000000000001</v>
      </c>
      <c r="P1412" s="7">
        <v>5.2510000000000003</v>
      </c>
      <c r="Q1412" s="7">
        <v>5.0250000000000004</v>
      </c>
      <c r="R1412" s="7">
        <v>5.0179999999999998</v>
      </c>
      <c r="S1412" s="7">
        <f t="shared" si="22"/>
        <v>4.9284999999999997</v>
      </c>
    </row>
    <row r="1413" spans="1:19">
      <c r="A1413" s="5" t="str">
        <f>B1413&amp;"-"&amp;COUNTIF($B$2:B1413,B1413)</f>
        <v>MATO GROSSO-67</v>
      </c>
      <c r="B1413" s="5" t="s">
        <v>991</v>
      </c>
      <c r="C1413" s="5" t="s">
        <v>1037</v>
      </c>
      <c r="D1413" s="6">
        <v>-580896</v>
      </c>
      <c r="E1413" s="6">
        <v>-156746</v>
      </c>
      <c r="F1413" s="7">
        <v>4.9400000000000004</v>
      </c>
      <c r="G1413" s="7">
        <v>5.423</v>
      </c>
      <c r="H1413" s="7">
        <v>5.1989999999999998</v>
      </c>
      <c r="I1413" s="7">
        <v>5.01</v>
      </c>
      <c r="J1413" s="7">
        <v>4.7480000000000002</v>
      </c>
      <c r="K1413" s="7">
        <v>4.1349999999999998</v>
      </c>
      <c r="L1413" s="7">
        <v>4.1909999999999998</v>
      </c>
      <c r="M1413" s="7">
        <v>4.298</v>
      </c>
      <c r="N1413" s="7">
        <v>5.0519999999999996</v>
      </c>
      <c r="O1413" s="7">
        <v>5.0380000000000003</v>
      </c>
      <c r="P1413" s="7">
        <v>5.2439999999999998</v>
      </c>
      <c r="Q1413" s="7">
        <v>5.4080000000000004</v>
      </c>
      <c r="R1413" s="7">
        <v>5.532</v>
      </c>
      <c r="S1413" s="7">
        <f t="shared" si="22"/>
        <v>4.9398333333333326</v>
      </c>
    </row>
    <row r="1414" spans="1:19">
      <c r="A1414" s="5" t="str">
        <f>B1414&amp;"-"&amp;COUNTIF($B$2:B1414,B1414)</f>
        <v>MATO GROSSO-68</v>
      </c>
      <c r="B1414" s="5" t="s">
        <v>991</v>
      </c>
      <c r="C1414" s="5" t="s">
        <v>1038</v>
      </c>
      <c r="D1414" s="6">
        <v>-563288</v>
      </c>
      <c r="E1414" s="6">
        <v>-147196</v>
      </c>
      <c r="F1414" s="7">
        <v>5.0640000000000001</v>
      </c>
      <c r="G1414" s="7">
        <v>5.2</v>
      </c>
      <c r="H1414" s="7">
        <v>5.1840000000000002</v>
      </c>
      <c r="I1414" s="7">
        <v>5.032</v>
      </c>
      <c r="J1414" s="7">
        <v>4.8230000000000004</v>
      </c>
      <c r="K1414" s="7">
        <v>4.4989999999999997</v>
      </c>
      <c r="L1414" s="7">
        <v>4.4889999999999999</v>
      </c>
      <c r="M1414" s="7">
        <v>4.7080000000000002</v>
      </c>
      <c r="N1414" s="7">
        <v>5.4690000000000003</v>
      </c>
      <c r="O1414" s="7">
        <v>5.18</v>
      </c>
      <c r="P1414" s="7">
        <v>5.23</v>
      </c>
      <c r="Q1414" s="7">
        <v>5.4359999999999999</v>
      </c>
      <c r="R1414" s="7">
        <v>5.524</v>
      </c>
      <c r="S1414" s="7">
        <f t="shared" si="22"/>
        <v>5.0645000000000007</v>
      </c>
    </row>
    <row r="1415" spans="1:19">
      <c r="A1415" s="5" t="str">
        <f>B1415&amp;"-"&amp;COUNTIF($B$2:B1415,B1415)</f>
        <v>MATO GROSSO-69</v>
      </c>
      <c r="B1415" s="5" t="s">
        <v>991</v>
      </c>
      <c r="C1415" s="5" t="s">
        <v>4949</v>
      </c>
      <c r="D1415" s="6">
        <v>-568023</v>
      </c>
      <c r="E1415" s="6">
        <v>-144537</v>
      </c>
      <c r="F1415" s="7">
        <v>5.0309999999999997</v>
      </c>
      <c r="G1415" s="7">
        <v>5.2720000000000002</v>
      </c>
      <c r="H1415" s="7">
        <v>5.2110000000000003</v>
      </c>
      <c r="I1415" s="7">
        <v>4.9630000000000001</v>
      </c>
      <c r="J1415" s="7">
        <v>4.8259999999999996</v>
      </c>
      <c r="K1415" s="7">
        <v>4.4950000000000001</v>
      </c>
      <c r="L1415" s="7">
        <v>4.47</v>
      </c>
      <c r="M1415" s="7">
        <v>4.6449999999999996</v>
      </c>
      <c r="N1415" s="7">
        <v>5.3680000000000003</v>
      </c>
      <c r="O1415" s="7">
        <v>5.1040000000000001</v>
      </c>
      <c r="P1415" s="7">
        <v>5.2469999999999999</v>
      </c>
      <c r="Q1415" s="7">
        <v>5.36</v>
      </c>
      <c r="R1415" s="7">
        <v>5.4139999999999997</v>
      </c>
      <c r="S1415" s="7">
        <f t="shared" si="22"/>
        <v>5.0312500000000009</v>
      </c>
    </row>
    <row r="1416" spans="1:19">
      <c r="A1416" s="5" t="str">
        <f>B1416&amp;"-"&amp;COUNTIF($B$2:B1416,B1416)</f>
        <v>MATO GROSSO-70</v>
      </c>
      <c r="B1416" s="5" t="s">
        <v>991</v>
      </c>
      <c r="C1416" s="5" t="s">
        <v>1039</v>
      </c>
      <c r="D1416" s="6">
        <v>-563437</v>
      </c>
      <c r="E1416" s="6">
        <v>-157725</v>
      </c>
      <c r="F1416" s="7">
        <v>5.0990000000000002</v>
      </c>
      <c r="G1416" s="7">
        <v>5.484</v>
      </c>
      <c r="H1416" s="7">
        <v>5.4109999999999996</v>
      </c>
      <c r="I1416" s="7">
        <v>5.1639999999999997</v>
      </c>
      <c r="J1416" s="7">
        <v>4.923</v>
      </c>
      <c r="K1416" s="7">
        <v>4.3739999999999997</v>
      </c>
      <c r="L1416" s="7">
        <v>4.3520000000000003</v>
      </c>
      <c r="M1416" s="7">
        <v>4.5030000000000001</v>
      </c>
      <c r="N1416" s="7">
        <v>5.37</v>
      </c>
      <c r="O1416" s="7">
        <v>5.0979999999999999</v>
      </c>
      <c r="P1416" s="7">
        <v>5.23</v>
      </c>
      <c r="Q1416" s="7">
        <v>5.5679999999999996</v>
      </c>
      <c r="R1416" s="7">
        <v>5.7130000000000001</v>
      </c>
      <c r="S1416" s="7">
        <f t="shared" si="22"/>
        <v>5.0991666666666662</v>
      </c>
    </row>
    <row r="1417" spans="1:19">
      <c r="A1417" s="5" t="str">
        <f>B1417&amp;"-"&amp;COUNTIF($B$2:B1417,B1417)</f>
        <v>MATO GROSSO-71</v>
      </c>
      <c r="B1417" s="5" t="s">
        <v>991</v>
      </c>
      <c r="C1417" s="5" t="s">
        <v>1040</v>
      </c>
      <c r="D1417" s="6">
        <v>-578252</v>
      </c>
      <c r="E1417" s="6">
        <v>-98457</v>
      </c>
      <c r="F1417" s="7">
        <v>4.7210000000000001</v>
      </c>
      <c r="G1417" s="7">
        <v>4.5640000000000001</v>
      </c>
      <c r="H1417" s="7">
        <v>4.5780000000000003</v>
      </c>
      <c r="I1417" s="7">
        <v>4.4770000000000003</v>
      </c>
      <c r="J1417" s="7">
        <v>4.4189999999999996</v>
      </c>
      <c r="K1417" s="7">
        <v>4.3840000000000003</v>
      </c>
      <c r="L1417" s="7">
        <v>4.5629999999999997</v>
      </c>
      <c r="M1417" s="7">
        <v>4.7510000000000003</v>
      </c>
      <c r="N1417" s="7">
        <v>5.2270000000000003</v>
      </c>
      <c r="O1417" s="7">
        <v>4.9240000000000004</v>
      </c>
      <c r="P1417" s="7">
        <v>5.1120000000000001</v>
      </c>
      <c r="Q1417" s="7">
        <v>4.8360000000000003</v>
      </c>
      <c r="R1417" s="7">
        <v>4.82</v>
      </c>
      <c r="S1417" s="7">
        <f t="shared" si="22"/>
        <v>4.7212500000000004</v>
      </c>
    </row>
    <row r="1418" spans="1:19">
      <c r="A1418" s="5" t="str">
        <f>B1418&amp;"-"&amp;COUNTIF($B$2:B1418,B1418)</f>
        <v>MATO GROSSO-72</v>
      </c>
      <c r="B1418" s="5" t="s">
        <v>991</v>
      </c>
      <c r="C1418" s="5" t="s">
        <v>4950</v>
      </c>
      <c r="D1418" s="6">
        <v>-549736</v>
      </c>
      <c r="E1418" s="6">
        <v>-149292</v>
      </c>
      <c r="F1418" s="7">
        <v>5.1749999999999998</v>
      </c>
      <c r="G1418" s="7">
        <v>5.4029999999999996</v>
      </c>
      <c r="H1418" s="7">
        <v>5.2850000000000001</v>
      </c>
      <c r="I1418" s="7">
        <v>5.1580000000000004</v>
      </c>
      <c r="J1418" s="7">
        <v>5.157</v>
      </c>
      <c r="K1418" s="7">
        <v>4.7960000000000003</v>
      </c>
      <c r="L1418" s="7">
        <v>4.665</v>
      </c>
      <c r="M1418" s="7">
        <v>4.7510000000000003</v>
      </c>
      <c r="N1418" s="7">
        <v>5.51</v>
      </c>
      <c r="O1418" s="7">
        <v>5.2709999999999999</v>
      </c>
      <c r="P1418" s="7">
        <v>5.2789999999999999</v>
      </c>
      <c r="Q1418" s="7">
        <v>5.3710000000000004</v>
      </c>
      <c r="R1418" s="7">
        <v>5.46</v>
      </c>
      <c r="S1418" s="7">
        <f t="shared" si="22"/>
        <v>5.1754999999999995</v>
      </c>
    </row>
    <row r="1419" spans="1:19">
      <c r="A1419" s="5" t="str">
        <f>B1419&amp;"-"&amp;COUNTIF($B$2:B1419,B1419)</f>
        <v>MATO GROSSO-73</v>
      </c>
      <c r="B1419" s="5" t="s">
        <v>991</v>
      </c>
      <c r="C1419" s="5" t="s">
        <v>5363</v>
      </c>
      <c r="D1419" s="6">
        <v>-559534</v>
      </c>
      <c r="E1419" s="6">
        <v>-105584</v>
      </c>
      <c r="F1419" s="7">
        <v>4.9080000000000004</v>
      </c>
      <c r="G1419" s="7">
        <v>4.8819999999999997</v>
      </c>
      <c r="H1419" s="7">
        <v>4.8579999999999997</v>
      </c>
      <c r="I1419" s="7">
        <v>4.7590000000000003</v>
      </c>
      <c r="J1419" s="7">
        <v>4.6689999999999996</v>
      </c>
      <c r="K1419" s="7">
        <v>4.6440000000000001</v>
      </c>
      <c r="L1419" s="7">
        <v>4.641</v>
      </c>
      <c r="M1419" s="7">
        <v>4.8419999999999996</v>
      </c>
      <c r="N1419" s="7">
        <v>5.3360000000000003</v>
      </c>
      <c r="O1419" s="7">
        <v>5.0570000000000004</v>
      </c>
      <c r="P1419" s="7">
        <v>5.1619999999999999</v>
      </c>
      <c r="Q1419" s="7">
        <v>5</v>
      </c>
      <c r="R1419" s="7">
        <v>5.0469999999999997</v>
      </c>
      <c r="S1419" s="7">
        <f t="shared" si="22"/>
        <v>4.9080833333333329</v>
      </c>
    </row>
    <row r="1420" spans="1:19">
      <c r="A1420" s="5" t="str">
        <f>B1420&amp;"-"&amp;COUNTIF($B$2:B1420,B1420)</f>
        <v>MATO GROSSO-74</v>
      </c>
      <c r="B1420" s="5" t="s">
        <v>991</v>
      </c>
      <c r="C1420" s="5" t="s">
        <v>1041</v>
      </c>
      <c r="D1420" s="6">
        <v>-554065</v>
      </c>
      <c r="E1420" s="6">
        <v>-103124</v>
      </c>
      <c r="F1420" s="7">
        <v>4.95</v>
      </c>
      <c r="G1420" s="7">
        <v>4.9219999999999997</v>
      </c>
      <c r="H1420" s="7">
        <v>4.8899999999999997</v>
      </c>
      <c r="I1420" s="7">
        <v>4.8159999999999998</v>
      </c>
      <c r="J1420" s="7">
        <v>4.7160000000000002</v>
      </c>
      <c r="K1420" s="7">
        <v>4.6849999999999996</v>
      </c>
      <c r="L1420" s="7">
        <v>4.6269999999999998</v>
      </c>
      <c r="M1420" s="7">
        <v>4.9139999999999997</v>
      </c>
      <c r="N1420" s="7">
        <v>5.319</v>
      </c>
      <c r="O1420" s="7">
        <v>5.1520000000000001</v>
      </c>
      <c r="P1420" s="7">
        <v>5.2629999999999999</v>
      </c>
      <c r="Q1420" s="7">
        <v>5.0359999999999996</v>
      </c>
      <c r="R1420" s="7">
        <v>5.0599999999999996</v>
      </c>
      <c r="S1420" s="7">
        <f t="shared" si="22"/>
        <v>4.95</v>
      </c>
    </row>
    <row r="1421" spans="1:19">
      <c r="A1421" s="5" t="str">
        <f>B1421&amp;"-"&amp;COUNTIF($B$2:B1421,B1421)</f>
        <v>MATO GROSSO-75</v>
      </c>
      <c r="B1421" s="5" t="s">
        <v>991</v>
      </c>
      <c r="C1421" s="5" t="s">
        <v>1042</v>
      </c>
      <c r="D1421" s="6">
        <v>-595885</v>
      </c>
      <c r="E1421" s="6">
        <v>-144771</v>
      </c>
      <c r="F1421" s="7">
        <v>4.8929999999999998</v>
      </c>
      <c r="G1421" s="7">
        <v>5.0359999999999996</v>
      </c>
      <c r="H1421" s="7">
        <v>4.8390000000000004</v>
      </c>
      <c r="I1421" s="7">
        <v>4.7389999999999999</v>
      </c>
      <c r="J1421" s="7">
        <v>4.68</v>
      </c>
      <c r="K1421" s="7">
        <v>4.2850000000000001</v>
      </c>
      <c r="L1421" s="7">
        <v>4.3390000000000004</v>
      </c>
      <c r="M1421" s="7">
        <v>4.5359999999999996</v>
      </c>
      <c r="N1421" s="7">
        <v>5.0949999999999998</v>
      </c>
      <c r="O1421" s="7">
        <v>5.0350000000000001</v>
      </c>
      <c r="P1421" s="7">
        <v>5.274</v>
      </c>
      <c r="Q1421" s="7">
        <v>5.444</v>
      </c>
      <c r="R1421" s="7">
        <v>5.4160000000000004</v>
      </c>
      <c r="S1421" s="7">
        <f t="shared" si="22"/>
        <v>4.8931666666666667</v>
      </c>
    </row>
    <row r="1422" spans="1:19">
      <c r="A1422" s="5" t="str">
        <f>B1422&amp;"-"&amp;COUNTIF($B$2:B1422,B1422)</f>
        <v>MATO GROSSO-76</v>
      </c>
      <c r="B1422" s="5" t="s">
        <v>991</v>
      </c>
      <c r="C1422" s="5" t="s">
        <v>4951</v>
      </c>
      <c r="D1422" s="6">
        <v>-569753</v>
      </c>
      <c r="E1422" s="6">
        <v>-143684</v>
      </c>
      <c r="F1422" s="7">
        <v>5.0259999999999998</v>
      </c>
      <c r="G1422" s="7">
        <v>5.1760000000000002</v>
      </c>
      <c r="H1422" s="7">
        <v>5.1539999999999999</v>
      </c>
      <c r="I1422" s="7">
        <v>4.9669999999999996</v>
      </c>
      <c r="J1422" s="7">
        <v>4.843</v>
      </c>
      <c r="K1422" s="7">
        <v>4.4829999999999997</v>
      </c>
      <c r="L1422" s="7">
        <v>4.49</v>
      </c>
      <c r="M1422" s="7">
        <v>4.6660000000000004</v>
      </c>
      <c r="N1422" s="7">
        <v>5.4489999999999998</v>
      </c>
      <c r="O1422" s="7">
        <v>5.1219999999999999</v>
      </c>
      <c r="P1422" s="7">
        <v>5.23</v>
      </c>
      <c r="Q1422" s="7">
        <v>5.3230000000000004</v>
      </c>
      <c r="R1422" s="7">
        <v>5.4059999999999997</v>
      </c>
      <c r="S1422" s="7">
        <f t="shared" si="22"/>
        <v>5.0257499999999995</v>
      </c>
    </row>
    <row r="1423" spans="1:19">
      <c r="A1423" s="5" t="str">
        <f>B1423&amp;"-"&amp;COUNTIF($B$2:B1423,B1423)</f>
        <v>MATO GROSSO-77</v>
      </c>
      <c r="B1423" s="5" t="s">
        <v>991</v>
      </c>
      <c r="C1423" s="5" t="s">
        <v>5568</v>
      </c>
      <c r="D1423" s="6">
        <v>-570922</v>
      </c>
      <c r="E1423" s="6">
        <v>-130307</v>
      </c>
      <c r="F1423" s="7">
        <v>5.0019999999999998</v>
      </c>
      <c r="G1423" s="7">
        <v>5.1189999999999998</v>
      </c>
      <c r="H1423" s="7">
        <v>4.9870000000000001</v>
      </c>
      <c r="I1423" s="7">
        <v>4.8949999999999996</v>
      </c>
      <c r="J1423" s="7">
        <v>4.84</v>
      </c>
      <c r="K1423" s="7">
        <v>4.6280000000000001</v>
      </c>
      <c r="L1423" s="7">
        <v>4.6189999999999998</v>
      </c>
      <c r="M1423" s="7">
        <v>4.7619999999999996</v>
      </c>
      <c r="N1423" s="7">
        <v>5.1970000000000001</v>
      </c>
      <c r="O1423" s="7">
        <v>5.1749999999999998</v>
      </c>
      <c r="P1423" s="7">
        <v>5.3259999999999996</v>
      </c>
      <c r="Q1423" s="7">
        <v>5.1909999999999998</v>
      </c>
      <c r="R1423" s="7">
        <v>5.2809999999999997</v>
      </c>
      <c r="S1423" s="7">
        <f t="shared" si="22"/>
        <v>5.0016666666666669</v>
      </c>
    </row>
    <row r="1424" spans="1:19">
      <c r="A1424" s="5" t="str">
        <f>B1424&amp;"-"&amp;COUNTIF($B$2:B1424,B1424)</f>
        <v>MATO GROSSO-78</v>
      </c>
      <c r="B1424" s="5" t="s">
        <v>991</v>
      </c>
      <c r="C1424" s="5" t="s">
        <v>1043</v>
      </c>
      <c r="D1424" s="6">
        <v>-575265</v>
      </c>
      <c r="E1424" s="6">
        <v>-100004</v>
      </c>
      <c r="F1424" s="7">
        <v>4.7649999999999997</v>
      </c>
      <c r="G1424" s="7">
        <v>4.6260000000000003</v>
      </c>
      <c r="H1424" s="7">
        <v>4.6100000000000003</v>
      </c>
      <c r="I1424" s="7">
        <v>4.5199999999999996</v>
      </c>
      <c r="J1424" s="7">
        <v>4.4850000000000003</v>
      </c>
      <c r="K1424" s="7">
        <v>4.4400000000000004</v>
      </c>
      <c r="L1424" s="7">
        <v>4.593</v>
      </c>
      <c r="M1424" s="7">
        <v>4.7290000000000001</v>
      </c>
      <c r="N1424" s="7">
        <v>5.2590000000000003</v>
      </c>
      <c r="O1424" s="7">
        <v>4.9550000000000001</v>
      </c>
      <c r="P1424" s="7">
        <v>5.1349999999999998</v>
      </c>
      <c r="Q1424" s="7">
        <v>4.9390000000000001</v>
      </c>
      <c r="R1424" s="7">
        <v>4.8869999999999996</v>
      </c>
      <c r="S1424" s="7">
        <f t="shared" si="22"/>
        <v>4.7648333333333328</v>
      </c>
    </row>
    <row r="1425" spans="1:19">
      <c r="A1425" s="5" t="str">
        <f>B1425&amp;"-"&amp;COUNTIF($B$2:B1425,B1425)</f>
        <v>MATO GROSSO-79</v>
      </c>
      <c r="B1425" s="5" t="s">
        <v>991</v>
      </c>
      <c r="C1425" s="5" t="s">
        <v>1044</v>
      </c>
      <c r="D1425" s="6">
        <v>-560802</v>
      </c>
      <c r="E1425" s="6">
        <v>-138196</v>
      </c>
      <c r="F1425" s="7">
        <v>5.0419999999999998</v>
      </c>
      <c r="G1425" s="7">
        <v>5.2069999999999999</v>
      </c>
      <c r="H1425" s="7">
        <v>5.0730000000000004</v>
      </c>
      <c r="I1425" s="7">
        <v>4.9210000000000003</v>
      </c>
      <c r="J1425" s="7">
        <v>4.8529999999999998</v>
      </c>
      <c r="K1425" s="7">
        <v>4.5819999999999999</v>
      </c>
      <c r="L1425" s="7">
        <v>4.5410000000000004</v>
      </c>
      <c r="M1425" s="7">
        <v>4.8090000000000002</v>
      </c>
      <c r="N1425" s="7">
        <v>5.3730000000000002</v>
      </c>
      <c r="O1425" s="7">
        <v>5.18</v>
      </c>
      <c r="P1425" s="7">
        <v>5.2729999999999997</v>
      </c>
      <c r="Q1425" s="7">
        <v>5.29</v>
      </c>
      <c r="R1425" s="7">
        <v>5.4050000000000002</v>
      </c>
      <c r="S1425" s="7">
        <f t="shared" si="22"/>
        <v>5.0422500000000001</v>
      </c>
    </row>
    <row r="1426" spans="1:19">
      <c r="A1426" s="5" t="str">
        <f>B1426&amp;"-"&amp;COUNTIF($B$2:B1426,B1426)</f>
        <v>MATO GROSSO-80</v>
      </c>
      <c r="B1426" s="5" t="s">
        <v>991</v>
      </c>
      <c r="C1426" s="5" t="s">
        <v>4317</v>
      </c>
      <c r="D1426" s="6">
        <v>-517949</v>
      </c>
      <c r="E1426" s="6">
        <v>-13955</v>
      </c>
      <c r="F1426" s="7">
        <v>5.3170000000000002</v>
      </c>
      <c r="G1426" s="7">
        <v>5.4029999999999996</v>
      </c>
      <c r="H1426" s="7">
        <v>5.5949999999999998</v>
      </c>
      <c r="I1426" s="7">
        <v>5.2850000000000001</v>
      </c>
      <c r="J1426" s="7">
        <v>5.2949999999999999</v>
      </c>
      <c r="K1426" s="7">
        <v>5.0030000000000001</v>
      </c>
      <c r="L1426" s="7">
        <v>4.7539999999999996</v>
      </c>
      <c r="M1426" s="7">
        <v>5.0839999999999996</v>
      </c>
      <c r="N1426" s="7">
        <v>5.6550000000000002</v>
      </c>
      <c r="O1426" s="7">
        <v>5.5069999999999997</v>
      </c>
      <c r="P1426" s="7">
        <v>5.4939999999999998</v>
      </c>
      <c r="Q1426" s="7">
        <v>5.3280000000000003</v>
      </c>
      <c r="R1426" s="7">
        <v>5.399</v>
      </c>
      <c r="S1426" s="7">
        <f t="shared" si="22"/>
        <v>5.3168333333333333</v>
      </c>
    </row>
    <row r="1427" spans="1:19">
      <c r="A1427" s="5" t="str">
        <f>B1427&amp;"-"&amp;COUNTIF($B$2:B1427,B1427)</f>
        <v>MATO GROSSO-81</v>
      </c>
      <c r="B1427" s="5" t="s">
        <v>991</v>
      </c>
      <c r="C1427" s="5" t="s">
        <v>1045</v>
      </c>
      <c r="D1427" s="6">
        <v>-572849</v>
      </c>
      <c r="E1427" s="6">
        <v>-147803</v>
      </c>
      <c r="F1427" s="7">
        <v>4.968</v>
      </c>
      <c r="G1427" s="7">
        <v>5.2320000000000002</v>
      </c>
      <c r="H1427" s="7">
        <v>5.1550000000000002</v>
      </c>
      <c r="I1427" s="7">
        <v>4.9630000000000001</v>
      </c>
      <c r="J1427" s="7">
        <v>4.774</v>
      </c>
      <c r="K1427" s="7">
        <v>4.3360000000000003</v>
      </c>
      <c r="L1427" s="7">
        <v>4.351</v>
      </c>
      <c r="M1427" s="7">
        <v>4.51</v>
      </c>
      <c r="N1427" s="7">
        <v>5.1929999999999996</v>
      </c>
      <c r="O1427" s="7">
        <v>4.9939999999999998</v>
      </c>
      <c r="P1427" s="7">
        <v>5.2279999999999998</v>
      </c>
      <c r="Q1427" s="7">
        <v>5.423</v>
      </c>
      <c r="R1427" s="7">
        <v>5.4539999999999997</v>
      </c>
      <c r="S1427" s="7">
        <f t="shared" si="22"/>
        <v>4.9677499999999997</v>
      </c>
    </row>
    <row r="1428" spans="1:19">
      <c r="A1428" s="5" t="str">
        <f>B1428&amp;"-"&amp;COUNTIF($B$2:B1428,B1428)</f>
        <v>MATO GROSSO-82</v>
      </c>
      <c r="B1428" s="5" t="s">
        <v>991</v>
      </c>
      <c r="C1428" s="5" t="s">
        <v>1046</v>
      </c>
      <c r="D1428" s="6">
        <v>-551826</v>
      </c>
      <c r="E1428" s="6">
        <v>-10848</v>
      </c>
      <c r="F1428" s="7">
        <v>4.968</v>
      </c>
      <c r="G1428" s="7">
        <v>4.9850000000000003</v>
      </c>
      <c r="H1428" s="7">
        <v>4.9080000000000004</v>
      </c>
      <c r="I1428" s="7">
        <v>4.7439999999999998</v>
      </c>
      <c r="J1428" s="7">
        <v>4.694</v>
      </c>
      <c r="K1428" s="7">
        <v>4.7300000000000004</v>
      </c>
      <c r="L1428" s="7">
        <v>4.6900000000000004</v>
      </c>
      <c r="M1428" s="7">
        <v>5.0090000000000003</v>
      </c>
      <c r="N1428" s="7">
        <v>5.508</v>
      </c>
      <c r="O1428" s="7">
        <v>5.1159999999999997</v>
      </c>
      <c r="P1428" s="7">
        <v>5.1269999999999998</v>
      </c>
      <c r="Q1428" s="7">
        <v>5.0540000000000003</v>
      </c>
      <c r="R1428" s="7">
        <v>5.0469999999999997</v>
      </c>
      <c r="S1428" s="7">
        <f t="shared" si="22"/>
        <v>4.9676666666666671</v>
      </c>
    </row>
    <row r="1429" spans="1:19">
      <c r="A1429" s="5" t="str">
        <f>B1429&amp;"-"&amp;COUNTIF($B$2:B1429,B1429)</f>
        <v>MATO GROSSO-83</v>
      </c>
      <c r="B1429" s="5" t="s">
        <v>991</v>
      </c>
      <c r="C1429" s="5" t="s">
        <v>5364</v>
      </c>
      <c r="D1429" s="6">
        <v>-552504</v>
      </c>
      <c r="E1429" s="6">
        <v>-130356</v>
      </c>
      <c r="F1429" s="7">
        <v>5.0599999999999996</v>
      </c>
      <c r="G1429" s="7">
        <v>5.1580000000000004</v>
      </c>
      <c r="H1429" s="7">
        <v>5.1340000000000003</v>
      </c>
      <c r="I1429" s="7">
        <v>4.9909999999999997</v>
      </c>
      <c r="J1429" s="7">
        <v>5.0119999999999996</v>
      </c>
      <c r="K1429" s="7">
        <v>4.7709999999999999</v>
      </c>
      <c r="L1429" s="7">
        <v>4.5599999999999996</v>
      </c>
      <c r="M1429" s="7">
        <v>4.8419999999999996</v>
      </c>
      <c r="N1429" s="7">
        <v>5.3019999999999996</v>
      </c>
      <c r="O1429" s="7">
        <v>5.1539999999999999</v>
      </c>
      <c r="P1429" s="7">
        <v>5.2789999999999999</v>
      </c>
      <c r="Q1429" s="7">
        <v>5.2220000000000004</v>
      </c>
      <c r="R1429" s="7">
        <v>5.2939999999999996</v>
      </c>
      <c r="S1429" s="7">
        <f t="shared" si="22"/>
        <v>5.0599166666666671</v>
      </c>
    </row>
    <row r="1430" spans="1:19">
      <c r="A1430" s="5" t="str">
        <f>B1430&amp;"-"&amp;COUNTIF($B$2:B1430,B1430)</f>
        <v>MATO GROSSO-84</v>
      </c>
      <c r="B1430" s="5" t="s">
        <v>991</v>
      </c>
      <c r="C1430" s="5" t="s">
        <v>1047</v>
      </c>
      <c r="D1430" s="6">
        <v>-523525</v>
      </c>
      <c r="E1430" s="6">
        <v>-146746</v>
      </c>
      <c r="F1430" s="7">
        <v>5.306</v>
      </c>
      <c r="G1430" s="7">
        <v>5.4850000000000003</v>
      </c>
      <c r="H1430" s="7">
        <v>5.6340000000000003</v>
      </c>
      <c r="I1430" s="7">
        <v>5.3259999999999996</v>
      </c>
      <c r="J1430" s="7">
        <v>5.3079999999999998</v>
      </c>
      <c r="K1430" s="7">
        <v>4.9550000000000001</v>
      </c>
      <c r="L1430" s="7">
        <v>4.6420000000000003</v>
      </c>
      <c r="M1430" s="7">
        <v>4.9029999999999996</v>
      </c>
      <c r="N1430" s="7">
        <v>5.4880000000000004</v>
      </c>
      <c r="O1430" s="7">
        <v>5.4779999999999998</v>
      </c>
      <c r="P1430" s="7">
        <v>5.5259999999999998</v>
      </c>
      <c r="Q1430" s="7">
        <v>5.4219999999999997</v>
      </c>
      <c r="R1430" s="7">
        <v>5.5090000000000003</v>
      </c>
      <c r="S1430" s="7">
        <f t="shared" si="22"/>
        <v>5.3063333333333338</v>
      </c>
    </row>
    <row r="1431" spans="1:19">
      <c r="A1431" s="5" t="str">
        <f>B1431&amp;"-"&amp;COUNTIF($B$2:B1431,B1431)</f>
        <v>MATO GROSSO-85</v>
      </c>
      <c r="B1431" s="5" t="s">
        <v>991</v>
      </c>
      <c r="C1431" s="5" t="s">
        <v>1048</v>
      </c>
      <c r="D1431" s="6">
        <v>-573177</v>
      </c>
      <c r="E1431" s="6">
        <v>-113902</v>
      </c>
      <c r="F1431" s="7">
        <v>4.8810000000000002</v>
      </c>
      <c r="G1431" s="7">
        <v>4.9169999999999998</v>
      </c>
      <c r="H1431" s="7">
        <v>4.7930000000000001</v>
      </c>
      <c r="I1431" s="7">
        <v>4.7030000000000003</v>
      </c>
      <c r="J1431" s="7">
        <v>4.6219999999999999</v>
      </c>
      <c r="K1431" s="7">
        <v>4.5220000000000002</v>
      </c>
      <c r="L1431" s="7">
        <v>4.6109999999999998</v>
      </c>
      <c r="M1431" s="7">
        <v>4.8810000000000002</v>
      </c>
      <c r="N1431" s="7">
        <v>5.2069999999999999</v>
      </c>
      <c r="O1431" s="7">
        <v>5.0570000000000004</v>
      </c>
      <c r="P1431" s="7">
        <v>5.218</v>
      </c>
      <c r="Q1431" s="7">
        <v>5.01</v>
      </c>
      <c r="R1431" s="7">
        <v>5.0359999999999996</v>
      </c>
      <c r="S1431" s="7">
        <f t="shared" si="22"/>
        <v>4.8814166666666674</v>
      </c>
    </row>
    <row r="1432" spans="1:19">
      <c r="A1432" s="5" t="str">
        <f>B1432&amp;"-"&amp;COUNTIF($B$2:B1432,B1432)</f>
        <v>MATO GROSSO-86</v>
      </c>
      <c r="B1432" s="5" t="s">
        <v>991</v>
      </c>
      <c r="C1432" s="5" t="s">
        <v>1049</v>
      </c>
      <c r="D1432" s="6">
        <v>-551791</v>
      </c>
      <c r="E1432" s="6">
        <v>-99746</v>
      </c>
      <c r="F1432" s="7">
        <v>4.8979999999999997</v>
      </c>
      <c r="G1432" s="7">
        <v>4.8410000000000002</v>
      </c>
      <c r="H1432" s="7">
        <v>4.782</v>
      </c>
      <c r="I1432" s="7">
        <v>4.7469999999999999</v>
      </c>
      <c r="J1432" s="7">
        <v>4.6310000000000002</v>
      </c>
      <c r="K1432" s="7">
        <v>4.6760000000000002</v>
      </c>
      <c r="L1432" s="7">
        <v>4.6180000000000003</v>
      </c>
      <c r="M1432" s="7">
        <v>4.8719999999999999</v>
      </c>
      <c r="N1432" s="7">
        <v>5.4420000000000002</v>
      </c>
      <c r="O1432" s="7">
        <v>5.077</v>
      </c>
      <c r="P1432" s="7">
        <v>5.1639999999999997</v>
      </c>
      <c r="Q1432" s="7">
        <v>4.9790000000000001</v>
      </c>
      <c r="R1432" s="7">
        <v>4.9509999999999996</v>
      </c>
      <c r="S1432" s="7">
        <f t="shared" si="22"/>
        <v>4.8983333333333334</v>
      </c>
    </row>
    <row r="1433" spans="1:19">
      <c r="A1433" s="5" t="str">
        <f>B1433&amp;"-"&amp;COUNTIF($B$2:B1433,B1433)</f>
        <v>MATO GROSSO-87</v>
      </c>
      <c r="B1433" s="5" t="s">
        <v>991</v>
      </c>
      <c r="C1433" s="5" t="s">
        <v>3984</v>
      </c>
      <c r="D1433" s="6">
        <v>-530274</v>
      </c>
      <c r="E1433" s="6">
        <v>-149112</v>
      </c>
      <c r="F1433" s="7">
        <v>5.2850000000000001</v>
      </c>
      <c r="G1433" s="7">
        <v>5.4550000000000001</v>
      </c>
      <c r="H1433" s="7">
        <v>5.5309999999999997</v>
      </c>
      <c r="I1433" s="7">
        <v>5.29</v>
      </c>
      <c r="J1433" s="7">
        <v>5.3970000000000002</v>
      </c>
      <c r="K1433" s="7">
        <v>4.9779999999999998</v>
      </c>
      <c r="L1433" s="7">
        <v>4.6890000000000001</v>
      </c>
      <c r="M1433" s="7">
        <v>4.9429999999999996</v>
      </c>
      <c r="N1433" s="7">
        <v>5.4809999999999999</v>
      </c>
      <c r="O1433" s="7">
        <v>5.36</v>
      </c>
      <c r="P1433" s="7">
        <v>5.444</v>
      </c>
      <c r="Q1433" s="7">
        <v>5.3380000000000001</v>
      </c>
      <c r="R1433" s="7">
        <v>5.5110000000000001</v>
      </c>
      <c r="S1433" s="7">
        <f t="shared" si="22"/>
        <v>5.2847500000000007</v>
      </c>
    </row>
    <row r="1434" spans="1:19">
      <c r="A1434" s="5" t="str">
        <f>B1434&amp;"-"&amp;COUNTIF($B$2:B1434,B1434)</f>
        <v>MATO GROSSO-88</v>
      </c>
      <c r="B1434" s="5" t="s">
        <v>991</v>
      </c>
      <c r="C1434" s="5" t="s">
        <v>4546</v>
      </c>
      <c r="D1434" s="6">
        <v>-509683</v>
      </c>
      <c r="E1434" s="6">
        <v>-122915</v>
      </c>
      <c r="F1434" s="7">
        <v>5.2720000000000002</v>
      </c>
      <c r="G1434" s="7">
        <v>5.1630000000000003</v>
      </c>
      <c r="H1434" s="7">
        <v>5.3979999999999997</v>
      </c>
      <c r="I1434" s="7">
        <v>5.1870000000000003</v>
      </c>
      <c r="J1434" s="7">
        <v>5.09</v>
      </c>
      <c r="K1434" s="7">
        <v>5.0430000000000001</v>
      </c>
      <c r="L1434" s="7">
        <v>4.7779999999999996</v>
      </c>
      <c r="M1434" s="7">
        <v>5.234</v>
      </c>
      <c r="N1434" s="7">
        <v>5.851</v>
      </c>
      <c r="O1434" s="7">
        <v>5.58</v>
      </c>
      <c r="P1434" s="7">
        <v>5.399</v>
      </c>
      <c r="Q1434" s="7">
        <v>5.2450000000000001</v>
      </c>
      <c r="R1434" s="7">
        <v>5.2880000000000003</v>
      </c>
      <c r="S1434" s="7">
        <f t="shared" si="22"/>
        <v>5.2713333333333336</v>
      </c>
    </row>
    <row r="1435" spans="1:19">
      <c r="A1435" s="5" t="str">
        <f>B1435&amp;"-"&amp;COUNTIF($B$2:B1435,B1435)</f>
        <v>MATO GROSSO-89</v>
      </c>
      <c r="B1435" s="5" t="s">
        <v>991</v>
      </c>
      <c r="C1435" s="5" t="s">
        <v>1050</v>
      </c>
      <c r="D1435" s="6">
        <v>-564791</v>
      </c>
      <c r="E1435" s="6">
        <v>-96588</v>
      </c>
      <c r="F1435" s="7">
        <v>4.8070000000000004</v>
      </c>
      <c r="G1435" s="7">
        <v>4.7290000000000001</v>
      </c>
      <c r="H1435" s="7">
        <v>4.7039999999999997</v>
      </c>
      <c r="I1435" s="7">
        <v>4.577</v>
      </c>
      <c r="J1435" s="7">
        <v>4.4459999999999997</v>
      </c>
      <c r="K1435" s="7">
        <v>4.4800000000000004</v>
      </c>
      <c r="L1435" s="7">
        <v>4.6630000000000003</v>
      </c>
      <c r="M1435" s="7">
        <v>4.7889999999999997</v>
      </c>
      <c r="N1435" s="7">
        <v>5.2889999999999997</v>
      </c>
      <c r="O1435" s="7">
        <v>5.056</v>
      </c>
      <c r="P1435" s="7">
        <v>5.133</v>
      </c>
      <c r="Q1435" s="7">
        <v>4.9249999999999998</v>
      </c>
      <c r="R1435" s="7">
        <v>4.8890000000000002</v>
      </c>
      <c r="S1435" s="7">
        <f t="shared" si="22"/>
        <v>4.8066666666666666</v>
      </c>
    </row>
    <row r="1436" spans="1:19">
      <c r="A1436" s="5" t="str">
        <f>B1436&amp;"-"&amp;COUNTIF($B$2:B1436,B1436)</f>
        <v>MATO GROSSO-90</v>
      </c>
      <c r="B1436" s="5" t="s">
        <v>991</v>
      </c>
      <c r="C1436" s="5" t="s">
        <v>1051</v>
      </c>
      <c r="D1436" s="6">
        <v>-540528</v>
      </c>
      <c r="E1436" s="6">
        <v>-144269</v>
      </c>
      <c r="F1436" s="7">
        <v>5.1760000000000002</v>
      </c>
      <c r="G1436" s="7">
        <v>5.3040000000000003</v>
      </c>
      <c r="H1436" s="7">
        <v>5.34</v>
      </c>
      <c r="I1436" s="7">
        <v>5.077</v>
      </c>
      <c r="J1436" s="7">
        <v>5.1829999999999998</v>
      </c>
      <c r="K1436" s="7">
        <v>4.8090000000000002</v>
      </c>
      <c r="L1436" s="7">
        <v>4.694</v>
      </c>
      <c r="M1436" s="7">
        <v>4.907</v>
      </c>
      <c r="N1436" s="7">
        <v>5.5270000000000001</v>
      </c>
      <c r="O1436" s="7">
        <v>5.242</v>
      </c>
      <c r="P1436" s="7">
        <v>5.3639999999999999</v>
      </c>
      <c r="Q1436" s="7">
        <v>5.2850000000000001</v>
      </c>
      <c r="R1436" s="7">
        <v>5.38</v>
      </c>
      <c r="S1436" s="7">
        <f t="shared" si="22"/>
        <v>5.1760000000000002</v>
      </c>
    </row>
    <row r="1437" spans="1:19">
      <c r="A1437" s="5" t="str">
        <f>B1437&amp;"-"&amp;COUNTIF($B$2:B1437,B1437)</f>
        <v>MATO GROSSO-91</v>
      </c>
      <c r="B1437" s="5" t="s">
        <v>991</v>
      </c>
      <c r="C1437" s="5" t="s">
        <v>1052</v>
      </c>
      <c r="D1437" s="6">
        <v>-544764</v>
      </c>
      <c r="E1437" s="6">
        <v>-16622</v>
      </c>
      <c r="F1437" s="7">
        <v>5.2619999999999996</v>
      </c>
      <c r="G1437" s="7">
        <v>5.6509999999999998</v>
      </c>
      <c r="H1437" s="7">
        <v>5.6459999999999999</v>
      </c>
      <c r="I1437" s="7">
        <v>5.3959999999999999</v>
      </c>
      <c r="J1437" s="7">
        <v>5.1639999999999997</v>
      </c>
      <c r="K1437" s="7">
        <v>4.6840000000000002</v>
      </c>
      <c r="L1437" s="7">
        <v>4.4790000000000001</v>
      </c>
      <c r="M1437" s="7">
        <v>4.6139999999999999</v>
      </c>
      <c r="N1437" s="7">
        <v>5.4669999999999996</v>
      </c>
      <c r="O1437" s="7">
        <v>5.2370000000000001</v>
      </c>
      <c r="P1437" s="7">
        <v>5.3769999999999998</v>
      </c>
      <c r="Q1437" s="7">
        <v>5.67</v>
      </c>
      <c r="R1437" s="7">
        <v>5.766</v>
      </c>
      <c r="S1437" s="7">
        <f t="shared" si="22"/>
        <v>5.2625833333333336</v>
      </c>
    </row>
    <row r="1438" spans="1:19">
      <c r="A1438" s="5" t="str">
        <f>B1438&amp;"-"&amp;COUNTIF($B$2:B1438,B1438)</f>
        <v>MATO GROSSO-92</v>
      </c>
      <c r="B1438" s="5" t="s">
        <v>991</v>
      </c>
      <c r="C1438" s="5" t="s">
        <v>1053</v>
      </c>
      <c r="D1438" s="6">
        <v>-549798</v>
      </c>
      <c r="E1438" s="6">
        <v>-102266</v>
      </c>
      <c r="F1438" s="7">
        <v>4.9290000000000003</v>
      </c>
      <c r="G1438" s="7">
        <v>4.9400000000000004</v>
      </c>
      <c r="H1438" s="7">
        <v>4.8929999999999998</v>
      </c>
      <c r="I1438" s="7">
        <v>4.7590000000000003</v>
      </c>
      <c r="J1438" s="7">
        <v>4.6740000000000004</v>
      </c>
      <c r="K1438" s="7">
        <v>4.7320000000000002</v>
      </c>
      <c r="L1438" s="7">
        <v>4.5460000000000003</v>
      </c>
      <c r="M1438" s="7">
        <v>4.8479999999999999</v>
      </c>
      <c r="N1438" s="7">
        <v>5.36</v>
      </c>
      <c r="O1438" s="7">
        <v>5.0960000000000001</v>
      </c>
      <c r="P1438" s="7">
        <v>5.2510000000000003</v>
      </c>
      <c r="Q1438" s="7">
        <v>5.0250000000000004</v>
      </c>
      <c r="R1438" s="7">
        <v>5.0179999999999998</v>
      </c>
      <c r="S1438" s="7">
        <f t="shared" si="22"/>
        <v>4.9284999999999997</v>
      </c>
    </row>
    <row r="1439" spans="1:19">
      <c r="A1439" s="5" t="str">
        <f>B1439&amp;"-"&amp;COUNTIF($B$2:B1439,B1439)</f>
        <v>MATO GROSSO-93</v>
      </c>
      <c r="B1439" s="5" t="s">
        <v>991</v>
      </c>
      <c r="C1439" s="5" t="s">
        <v>1054</v>
      </c>
      <c r="D1439" s="6">
        <v>-547762</v>
      </c>
      <c r="E1439" s="6">
        <v>-146616</v>
      </c>
      <c r="F1439" s="7">
        <v>5.1779999999999999</v>
      </c>
      <c r="G1439" s="7">
        <v>5.3140000000000001</v>
      </c>
      <c r="H1439" s="7">
        <v>5.3109999999999999</v>
      </c>
      <c r="I1439" s="7">
        <v>5.1429999999999998</v>
      </c>
      <c r="J1439" s="7">
        <v>5.2119999999999997</v>
      </c>
      <c r="K1439" s="7">
        <v>4.8109999999999999</v>
      </c>
      <c r="L1439" s="7">
        <v>4.6929999999999996</v>
      </c>
      <c r="M1439" s="7">
        <v>4.8239999999999998</v>
      </c>
      <c r="N1439" s="7">
        <v>5.5369999999999999</v>
      </c>
      <c r="O1439" s="7">
        <v>5.2130000000000001</v>
      </c>
      <c r="P1439" s="7">
        <v>5.3150000000000004</v>
      </c>
      <c r="Q1439" s="7">
        <v>5.3789999999999996</v>
      </c>
      <c r="R1439" s="7">
        <v>5.3890000000000002</v>
      </c>
      <c r="S1439" s="7">
        <f t="shared" si="22"/>
        <v>5.1784166666666662</v>
      </c>
    </row>
    <row r="1440" spans="1:19">
      <c r="A1440" s="5" t="str">
        <f>B1440&amp;"-"&amp;COUNTIF($B$2:B1440,B1440)</f>
        <v>MATO GROSSO-94</v>
      </c>
      <c r="B1440" s="5" t="s">
        <v>991</v>
      </c>
      <c r="C1440" s="5" t="s">
        <v>4318</v>
      </c>
      <c r="D1440" s="6">
        <v>-566265</v>
      </c>
      <c r="E1440" s="6">
        <v>-162665</v>
      </c>
      <c r="F1440" s="7">
        <v>5.0609999999999999</v>
      </c>
      <c r="G1440" s="7">
        <v>5.5590000000000002</v>
      </c>
      <c r="H1440" s="7">
        <v>5.4290000000000003</v>
      </c>
      <c r="I1440" s="7">
        <v>5.1589999999999998</v>
      </c>
      <c r="J1440" s="7">
        <v>4.8369999999999997</v>
      </c>
      <c r="K1440" s="7">
        <v>4.2409999999999997</v>
      </c>
      <c r="L1440" s="7">
        <v>4.1840000000000002</v>
      </c>
      <c r="M1440" s="7">
        <v>4.3680000000000003</v>
      </c>
      <c r="N1440" s="7">
        <v>5.2249999999999996</v>
      </c>
      <c r="O1440" s="7">
        <v>5.0369999999999999</v>
      </c>
      <c r="P1440" s="7">
        <v>5.3419999999999996</v>
      </c>
      <c r="Q1440" s="7">
        <v>5.54</v>
      </c>
      <c r="R1440" s="7">
        <v>5.8079999999999998</v>
      </c>
      <c r="S1440" s="7">
        <f t="shared" si="22"/>
        <v>5.0607499999999996</v>
      </c>
    </row>
    <row r="1441" spans="1:19">
      <c r="A1441" s="5" t="str">
        <f>B1441&amp;"-"&amp;COUNTIF($B$2:B1441,B1441)</f>
        <v>MATO GROSSO-95</v>
      </c>
      <c r="B1441" s="5" t="s">
        <v>991</v>
      </c>
      <c r="C1441" s="5" t="s">
        <v>1055</v>
      </c>
      <c r="D1441" s="6">
        <v>-522584</v>
      </c>
      <c r="E1441" s="6">
        <v>-15906</v>
      </c>
      <c r="F1441" s="7">
        <v>5.2560000000000002</v>
      </c>
      <c r="G1441" s="7">
        <v>5.4729999999999999</v>
      </c>
      <c r="H1441" s="7">
        <v>5.6029999999999998</v>
      </c>
      <c r="I1441" s="7">
        <v>5.2009999999999996</v>
      </c>
      <c r="J1441" s="7">
        <v>5.2939999999999996</v>
      </c>
      <c r="K1441" s="7">
        <v>4.9409999999999998</v>
      </c>
      <c r="L1441" s="7">
        <v>4.585</v>
      </c>
      <c r="M1441" s="7">
        <v>4.7210000000000001</v>
      </c>
      <c r="N1441" s="7">
        <v>5.4889999999999999</v>
      </c>
      <c r="O1441" s="7">
        <v>5.2919999999999998</v>
      </c>
      <c r="P1441" s="7">
        <v>5.4889999999999999</v>
      </c>
      <c r="Q1441" s="7">
        <v>5.43</v>
      </c>
      <c r="R1441" s="7">
        <v>5.5449999999999999</v>
      </c>
      <c r="S1441" s="7">
        <f t="shared" si="22"/>
        <v>5.2552499999999993</v>
      </c>
    </row>
    <row r="1442" spans="1:19">
      <c r="A1442" s="5" t="str">
        <f>B1442&amp;"-"&amp;COUNTIF($B$2:B1442,B1442)</f>
        <v>MATO GROSSO-96</v>
      </c>
      <c r="B1442" s="5" t="s">
        <v>991</v>
      </c>
      <c r="C1442" s="5" t="s">
        <v>1056</v>
      </c>
      <c r="D1442" s="6">
        <v>-528353</v>
      </c>
      <c r="E1442" s="6">
        <v>-167665</v>
      </c>
      <c r="F1442" s="7">
        <v>5.2430000000000003</v>
      </c>
      <c r="G1442" s="7">
        <v>5.5060000000000002</v>
      </c>
      <c r="H1442" s="7">
        <v>5.6959999999999997</v>
      </c>
      <c r="I1442" s="7">
        <v>5.2210000000000001</v>
      </c>
      <c r="J1442" s="7">
        <v>5.2119999999999997</v>
      </c>
      <c r="K1442" s="7">
        <v>4.8179999999999996</v>
      </c>
      <c r="L1442" s="7">
        <v>4.4660000000000002</v>
      </c>
      <c r="M1442" s="7">
        <v>4.5430000000000001</v>
      </c>
      <c r="N1442" s="7">
        <v>5.4809999999999999</v>
      </c>
      <c r="O1442" s="7">
        <v>5.3760000000000003</v>
      </c>
      <c r="P1442" s="7">
        <v>5.3630000000000004</v>
      </c>
      <c r="Q1442" s="7">
        <v>5.524</v>
      </c>
      <c r="R1442" s="7">
        <v>5.7130000000000001</v>
      </c>
      <c r="S1442" s="7">
        <f t="shared" si="22"/>
        <v>5.2432500000000006</v>
      </c>
    </row>
    <row r="1443" spans="1:19">
      <c r="A1443" s="5" t="str">
        <f>B1443&amp;"-"&amp;COUNTIF($B$2:B1443,B1443)</f>
        <v>MATO GROSSO-97</v>
      </c>
      <c r="B1443" s="5" t="s">
        <v>991</v>
      </c>
      <c r="C1443" s="5" t="s">
        <v>1057</v>
      </c>
      <c r="D1443" s="6">
        <v>-593368</v>
      </c>
      <c r="E1443" s="6">
        <v>-152309</v>
      </c>
      <c r="F1443" s="7">
        <v>4.9379999999999997</v>
      </c>
      <c r="G1443" s="7">
        <v>5.2060000000000004</v>
      </c>
      <c r="H1443" s="7">
        <v>5.0149999999999997</v>
      </c>
      <c r="I1443" s="7">
        <v>4.8659999999999997</v>
      </c>
      <c r="J1443" s="7">
        <v>4.7880000000000003</v>
      </c>
      <c r="K1443" s="7">
        <v>4.2130000000000001</v>
      </c>
      <c r="L1443" s="7">
        <v>4.29</v>
      </c>
      <c r="M1443" s="7">
        <v>4.4219999999999997</v>
      </c>
      <c r="N1443" s="7">
        <v>5.0339999999999998</v>
      </c>
      <c r="O1443" s="7">
        <v>5.0819999999999999</v>
      </c>
      <c r="P1443" s="7">
        <v>5.3230000000000004</v>
      </c>
      <c r="Q1443" s="7">
        <v>5.5350000000000001</v>
      </c>
      <c r="R1443" s="7">
        <v>5.4829999999999997</v>
      </c>
      <c r="S1443" s="7">
        <f t="shared" si="22"/>
        <v>4.9380833333333332</v>
      </c>
    </row>
    <row r="1444" spans="1:19">
      <c r="A1444" s="5" t="str">
        <f>B1444&amp;"-"&amp;COUNTIF($B$2:B1444,B1444)</f>
        <v>MATO GROSSO-98</v>
      </c>
      <c r="B1444" s="5" t="s">
        <v>991</v>
      </c>
      <c r="C1444" s="5" t="s">
        <v>1058</v>
      </c>
      <c r="D1444" s="6">
        <v>-516361</v>
      </c>
      <c r="E1444" s="6">
        <v>-108765</v>
      </c>
      <c r="F1444" s="7">
        <v>5.0579999999999998</v>
      </c>
      <c r="G1444" s="7">
        <v>5.0010000000000003</v>
      </c>
      <c r="H1444" s="7">
        <v>5.1449999999999996</v>
      </c>
      <c r="I1444" s="7">
        <v>4.931</v>
      </c>
      <c r="J1444" s="7">
        <v>4.7380000000000004</v>
      </c>
      <c r="K1444" s="7">
        <v>4.8890000000000002</v>
      </c>
      <c r="L1444" s="7">
        <v>4.681</v>
      </c>
      <c r="M1444" s="7">
        <v>4.9960000000000004</v>
      </c>
      <c r="N1444" s="7">
        <v>5.5090000000000003</v>
      </c>
      <c r="O1444" s="7">
        <v>5.2679999999999998</v>
      </c>
      <c r="P1444" s="7">
        <v>5.218</v>
      </c>
      <c r="Q1444" s="7">
        <v>5.1280000000000001</v>
      </c>
      <c r="R1444" s="7">
        <v>5.1989999999999998</v>
      </c>
      <c r="S1444" s="7">
        <f t="shared" si="22"/>
        <v>5.0585833333333339</v>
      </c>
    </row>
    <row r="1445" spans="1:19">
      <c r="A1445" s="5" t="str">
        <f>B1445&amp;"-"&amp;COUNTIF($B$2:B1445,B1445)</f>
        <v>MATO GROSSO-99</v>
      </c>
      <c r="B1445" s="5" t="s">
        <v>991</v>
      </c>
      <c r="C1445" s="5" t="s">
        <v>4838</v>
      </c>
      <c r="D1445" s="6">
        <v>-574137</v>
      </c>
      <c r="E1445" s="6">
        <v>-115334</v>
      </c>
      <c r="F1445" s="7">
        <v>4.8730000000000002</v>
      </c>
      <c r="G1445" s="7">
        <v>4.8920000000000003</v>
      </c>
      <c r="H1445" s="7">
        <v>4.766</v>
      </c>
      <c r="I1445" s="7">
        <v>4.6779999999999999</v>
      </c>
      <c r="J1445" s="7">
        <v>4.6589999999999998</v>
      </c>
      <c r="K1445" s="7">
        <v>4.5369999999999999</v>
      </c>
      <c r="L1445" s="7">
        <v>4.6500000000000004</v>
      </c>
      <c r="M1445" s="7">
        <v>4.8330000000000002</v>
      </c>
      <c r="N1445" s="7">
        <v>5.2249999999999996</v>
      </c>
      <c r="O1445" s="7">
        <v>5.0389999999999997</v>
      </c>
      <c r="P1445" s="7">
        <v>5.1840000000000002</v>
      </c>
      <c r="Q1445" s="7">
        <v>4.984</v>
      </c>
      <c r="R1445" s="7">
        <v>5.0359999999999996</v>
      </c>
      <c r="S1445" s="7">
        <f t="shared" si="22"/>
        <v>4.8735833333333334</v>
      </c>
    </row>
    <row r="1446" spans="1:19">
      <c r="A1446" s="5" t="str">
        <f>B1446&amp;"-"&amp;COUNTIF($B$2:B1446,B1446)</f>
        <v>MATO GROSSO-100</v>
      </c>
      <c r="B1446" s="5" t="s">
        <v>991</v>
      </c>
      <c r="C1446" s="5" t="s">
        <v>3985</v>
      </c>
      <c r="D1446" s="6">
        <v>-584624</v>
      </c>
      <c r="E1446" s="6">
        <v>-158575</v>
      </c>
      <c r="F1446" s="7">
        <v>4.9770000000000003</v>
      </c>
      <c r="G1446" s="7">
        <v>5.4690000000000003</v>
      </c>
      <c r="H1446" s="7">
        <v>5.3220000000000001</v>
      </c>
      <c r="I1446" s="7">
        <v>5.0599999999999996</v>
      </c>
      <c r="J1446" s="7">
        <v>4.7720000000000002</v>
      </c>
      <c r="K1446" s="7">
        <v>4.0640000000000001</v>
      </c>
      <c r="L1446" s="7">
        <v>4.117</v>
      </c>
      <c r="M1446" s="7">
        <v>4.2690000000000001</v>
      </c>
      <c r="N1446" s="7">
        <v>4.9630000000000001</v>
      </c>
      <c r="O1446" s="7">
        <v>5.0880000000000001</v>
      </c>
      <c r="P1446" s="7">
        <v>5.37</v>
      </c>
      <c r="Q1446" s="7">
        <v>5.5810000000000004</v>
      </c>
      <c r="R1446" s="7">
        <v>5.649</v>
      </c>
      <c r="S1446" s="7">
        <f t="shared" si="22"/>
        <v>4.9770000000000003</v>
      </c>
    </row>
    <row r="1447" spans="1:19">
      <c r="A1447" s="5" t="str">
        <f>B1447&amp;"-"&amp;COUNTIF($B$2:B1447,B1447)</f>
        <v>MATO GROSSO-101</v>
      </c>
      <c r="B1447" s="5" t="s">
        <v>991</v>
      </c>
      <c r="C1447" s="5" t="s">
        <v>1059</v>
      </c>
      <c r="D1447" s="6">
        <v>-572045</v>
      </c>
      <c r="E1447" s="6">
        <v>-153333</v>
      </c>
      <c r="F1447" s="7">
        <v>5.0609999999999999</v>
      </c>
      <c r="G1447" s="7">
        <v>5.3940000000000001</v>
      </c>
      <c r="H1447" s="7">
        <v>5.2709999999999999</v>
      </c>
      <c r="I1447" s="7">
        <v>5.1340000000000003</v>
      </c>
      <c r="J1447" s="7">
        <v>4.8639999999999999</v>
      </c>
      <c r="K1447" s="7">
        <v>4.399</v>
      </c>
      <c r="L1447" s="7">
        <v>4.3890000000000002</v>
      </c>
      <c r="M1447" s="7">
        <v>4.5209999999999999</v>
      </c>
      <c r="N1447" s="7">
        <v>5.125</v>
      </c>
      <c r="O1447" s="7">
        <v>5.1289999999999996</v>
      </c>
      <c r="P1447" s="7">
        <v>5.3339999999999996</v>
      </c>
      <c r="Q1447" s="7">
        <v>5.5380000000000003</v>
      </c>
      <c r="R1447" s="7">
        <v>5.633</v>
      </c>
      <c r="S1447" s="7">
        <f t="shared" si="22"/>
        <v>5.0609166666666665</v>
      </c>
    </row>
    <row r="1448" spans="1:19">
      <c r="A1448" s="5" t="str">
        <f>B1448&amp;"-"&amp;COUNTIF($B$2:B1448,B1448)</f>
        <v>MATO GROSSO-102</v>
      </c>
      <c r="B1448" s="5" t="s">
        <v>991</v>
      </c>
      <c r="C1448" s="5" t="s">
        <v>4319</v>
      </c>
      <c r="D1448" s="6">
        <v>-543953</v>
      </c>
      <c r="E1448" s="6">
        <v>-158282</v>
      </c>
      <c r="F1448" s="7">
        <v>5.1379999999999999</v>
      </c>
      <c r="G1448" s="7">
        <v>5.33</v>
      </c>
      <c r="H1448" s="7">
        <v>5.3129999999999997</v>
      </c>
      <c r="I1448" s="7">
        <v>5.1239999999999997</v>
      </c>
      <c r="J1448" s="7">
        <v>5.07</v>
      </c>
      <c r="K1448" s="7">
        <v>4.7149999999999999</v>
      </c>
      <c r="L1448" s="7">
        <v>4.5780000000000003</v>
      </c>
      <c r="M1448" s="7">
        <v>4.7409999999999997</v>
      </c>
      <c r="N1448" s="7">
        <v>5.6529999999999996</v>
      </c>
      <c r="O1448" s="7">
        <v>5.1849999999999996</v>
      </c>
      <c r="P1448" s="7">
        <v>5.1760000000000002</v>
      </c>
      <c r="Q1448" s="7">
        <v>5.4080000000000004</v>
      </c>
      <c r="R1448" s="7">
        <v>5.3609999999999998</v>
      </c>
      <c r="S1448" s="7">
        <f t="shared" si="22"/>
        <v>5.137833333333333</v>
      </c>
    </row>
    <row r="1449" spans="1:19">
      <c r="A1449" s="5" t="str">
        <f>B1449&amp;"-"&amp;COUNTIF($B$2:B1449,B1449)</f>
        <v>MATO GROSSO-103</v>
      </c>
      <c r="B1449" s="5" t="s">
        <v>991</v>
      </c>
      <c r="C1449" s="5" t="s">
        <v>1060</v>
      </c>
      <c r="D1449" s="6">
        <v>-543031</v>
      </c>
      <c r="E1449" s="6">
        <v>-155526</v>
      </c>
      <c r="F1449" s="7">
        <v>5.0880000000000001</v>
      </c>
      <c r="G1449" s="7">
        <v>5.4029999999999996</v>
      </c>
      <c r="H1449" s="7">
        <v>5.2619999999999996</v>
      </c>
      <c r="I1449" s="7">
        <v>4.9939999999999998</v>
      </c>
      <c r="J1449" s="7">
        <v>5.032</v>
      </c>
      <c r="K1449" s="7">
        <v>4.7249999999999996</v>
      </c>
      <c r="L1449" s="7">
        <v>4.5119999999999996</v>
      </c>
      <c r="M1449" s="7">
        <v>4.7060000000000004</v>
      </c>
      <c r="N1449" s="7">
        <v>5.4779999999999998</v>
      </c>
      <c r="O1449" s="7">
        <v>5.133</v>
      </c>
      <c r="P1449" s="7">
        <v>5.1230000000000002</v>
      </c>
      <c r="Q1449" s="7">
        <v>5.2930000000000001</v>
      </c>
      <c r="R1449" s="7">
        <v>5.3890000000000002</v>
      </c>
      <c r="S1449" s="7">
        <f t="shared" si="22"/>
        <v>5.0875000000000004</v>
      </c>
    </row>
    <row r="1450" spans="1:19">
      <c r="A1450" s="5" t="str">
        <f>B1450&amp;"-"&amp;COUNTIF($B$2:B1450,B1450)</f>
        <v>MATO GROSSO-104</v>
      </c>
      <c r="B1450" s="5" t="s">
        <v>991</v>
      </c>
      <c r="C1450" s="5" t="s">
        <v>5288</v>
      </c>
      <c r="D1450" s="6">
        <v>-522079</v>
      </c>
      <c r="E1450" s="6">
        <v>-125942</v>
      </c>
      <c r="F1450" s="7">
        <v>5.14</v>
      </c>
      <c r="G1450" s="7">
        <v>5.1790000000000003</v>
      </c>
      <c r="H1450" s="7">
        <v>5.3840000000000003</v>
      </c>
      <c r="I1450" s="7">
        <v>4.9450000000000003</v>
      </c>
      <c r="J1450" s="7">
        <v>4.9539999999999997</v>
      </c>
      <c r="K1450" s="7">
        <v>4.9080000000000004</v>
      </c>
      <c r="L1450" s="7">
        <v>4.7190000000000003</v>
      </c>
      <c r="M1450" s="7">
        <v>5.1689999999999996</v>
      </c>
      <c r="N1450" s="7">
        <v>5.4539999999999997</v>
      </c>
      <c r="O1450" s="7">
        <v>5.2729999999999997</v>
      </c>
      <c r="P1450" s="7">
        <v>5.2949999999999999</v>
      </c>
      <c r="Q1450" s="7">
        <v>5.1429999999999998</v>
      </c>
      <c r="R1450" s="7">
        <v>5.2549999999999999</v>
      </c>
      <c r="S1450" s="7">
        <f t="shared" si="22"/>
        <v>5.1398333333333337</v>
      </c>
    </row>
    <row r="1451" spans="1:19">
      <c r="A1451" s="5" t="str">
        <f>B1451&amp;"-"&amp;COUNTIF($B$2:B1451,B1451)</f>
        <v>MATO GROSSO-105</v>
      </c>
      <c r="B1451" s="5" t="s">
        <v>991</v>
      </c>
      <c r="C1451" s="5" t="s">
        <v>4650</v>
      </c>
      <c r="D1451" s="6">
        <v>-583821</v>
      </c>
      <c r="E1451" s="6">
        <v>-151209</v>
      </c>
      <c r="F1451" s="7">
        <v>4.726</v>
      </c>
      <c r="G1451" s="7">
        <v>4.8819999999999997</v>
      </c>
      <c r="H1451" s="7">
        <v>4.7679999999999998</v>
      </c>
      <c r="I1451" s="7">
        <v>4.6079999999999997</v>
      </c>
      <c r="J1451" s="7">
        <v>4.532</v>
      </c>
      <c r="K1451" s="7">
        <v>4.0659999999999998</v>
      </c>
      <c r="L1451" s="7">
        <v>4.2409999999999997</v>
      </c>
      <c r="M1451" s="7">
        <v>4.3600000000000003</v>
      </c>
      <c r="N1451" s="7">
        <v>5.1790000000000003</v>
      </c>
      <c r="O1451" s="7">
        <v>4.8819999999999997</v>
      </c>
      <c r="P1451" s="7">
        <v>4.9569999999999999</v>
      </c>
      <c r="Q1451" s="7">
        <v>5.1429999999999998</v>
      </c>
      <c r="R1451" s="7">
        <v>5.0990000000000002</v>
      </c>
      <c r="S1451" s="7">
        <f t="shared" si="22"/>
        <v>4.7264166666666663</v>
      </c>
    </row>
    <row r="1452" spans="1:19">
      <c r="A1452" s="5" t="str">
        <f>B1452&amp;"-"&amp;COUNTIF($B$2:B1452,B1452)</f>
        <v>MATO GROSSO-106</v>
      </c>
      <c r="B1452" s="5" t="s">
        <v>991</v>
      </c>
      <c r="C1452" s="5" t="s">
        <v>3986</v>
      </c>
      <c r="D1452" s="6">
        <v>-518248</v>
      </c>
      <c r="E1452" s="6">
        <v>-129372</v>
      </c>
      <c r="F1452" s="7">
        <v>5.194</v>
      </c>
      <c r="G1452" s="7">
        <v>5.117</v>
      </c>
      <c r="H1452" s="7">
        <v>5.3090000000000002</v>
      </c>
      <c r="I1452" s="7">
        <v>5.0650000000000004</v>
      </c>
      <c r="J1452" s="7">
        <v>5.0510000000000002</v>
      </c>
      <c r="K1452" s="7">
        <v>4.9450000000000003</v>
      </c>
      <c r="L1452" s="7">
        <v>4.8390000000000004</v>
      </c>
      <c r="M1452" s="7">
        <v>5.2210000000000001</v>
      </c>
      <c r="N1452" s="7">
        <v>5.6849999999999996</v>
      </c>
      <c r="O1452" s="7">
        <v>5.4119999999999999</v>
      </c>
      <c r="P1452" s="7">
        <v>5.2889999999999997</v>
      </c>
      <c r="Q1452" s="7">
        <v>5.1379999999999999</v>
      </c>
      <c r="R1452" s="7">
        <v>5.2549999999999999</v>
      </c>
      <c r="S1452" s="7">
        <f t="shared" si="22"/>
        <v>5.1938333333333331</v>
      </c>
    </row>
    <row r="1453" spans="1:19">
      <c r="A1453" s="5" t="str">
        <f>B1453&amp;"-"&amp;COUNTIF($B$2:B1453,B1453)</f>
        <v>MATO GROSSO-107</v>
      </c>
      <c r="B1453" s="5" t="s">
        <v>991</v>
      </c>
      <c r="C1453" s="5" t="s">
        <v>3987</v>
      </c>
      <c r="D1453" s="6">
        <v>-526929</v>
      </c>
      <c r="E1453" s="6">
        <v>-164861</v>
      </c>
      <c r="F1453" s="7">
        <v>5.2619999999999996</v>
      </c>
      <c r="G1453" s="7">
        <v>5.6180000000000003</v>
      </c>
      <c r="H1453" s="7">
        <v>5.6689999999999996</v>
      </c>
      <c r="I1453" s="7">
        <v>5.2629999999999999</v>
      </c>
      <c r="J1453" s="7">
        <v>5.2640000000000002</v>
      </c>
      <c r="K1453" s="7">
        <v>4.82</v>
      </c>
      <c r="L1453" s="7">
        <v>4.5049999999999999</v>
      </c>
      <c r="M1453" s="7">
        <v>4.5490000000000004</v>
      </c>
      <c r="N1453" s="7">
        <v>5.367</v>
      </c>
      <c r="O1453" s="7">
        <v>5.3769999999999998</v>
      </c>
      <c r="P1453" s="7">
        <v>5.39</v>
      </c>
      <c r="Q1453" s="7">
        <v>5.609</v>
      </c>
      <c r="R1453" s="7">
        <v>5.7119999999999997</v>
      </c>
      <c r="S1453" s="7">
        <f t="shared" si="22"/>
        <v>5.261916666666667</v>
      </c>
    </row>
    <row r="1454" spans="1:19">
      <c r="A1454" s="5" t="str">
        <f>B1454&amp;"-"&amp;COUNTIF($B$2:B1454,B1454)</f>
        <v>MATO GROSSO-108</v>
      </c>
      <c r="B1454" s="5" t="s">
        <v>991</v>
      </c>
      <c r="C1454" s="5" t="s">
        <v>90</v>
      </c>
      <c r="D1454" s="6">
        <v>-581267</v>
      </c>
      <c r="E1454" s="6">
        <v>-152471</v>
      </c>
      <c r="F1454" s="7">
        <v>4.7889999999999997</v>
      </c>
      <c r="G1454" s="7">
        <v>5.01</v>
      </c>
      <c r="H1454" s="7">
        <v>4.8940000000000001</v>
      </c>
      <c r="I1454" s="7">
        <v>4.7240000000000002</v>
      </c>
      <c r="J1454" s="7">
        <v>4.6399999999999997</v>
      </c>
      <c r="K1454" s="7">
        <v>4.1310000000000002</v>
      </c>
      <c r="L1454" s="7">
        <v>4.2610000000000001</v>
      </c>
      <c r="M1454" s="7">
        <v>4.3739999999999997</v>
      </c>
      <c r="N1454" s="7">
        <v>5.1639999999999997</v>
      </c>
      <c r="O1454" s="7">
        <v>4.9249999999999998</v>
      </c>
      <c r="P1454" s="7">
        <v>5.0010000000000003</v>
      </c>
      <c r="Q1454" s="7">
        <v>5.2210000000000001</v>
      </c>
      <c r="R1454" s="7">
        <v>5.1180000000000003</v>
      </c>
      <c r="S1454" s="7">
        <f t="shared" si="22"/>
        <v>4.7885833333333334</v>
      </c>
    </row>
    <row r="1455" spans="1:19">
      <c r="A1455" s="5" t="str">
        <f>B1455&amp;"-"&amp;COUNTIF($B$2:B1455,B1455)</f>
        <v>MATO GROSSO-109</v>
      </c>
      <c r="B1455" s="5" t="s">
        <v>991</v>
      </c>
      <c r="C1455" s="5" t="s">
        <v>4952</v>
      </c>
      <c r="D1455" s="6">
        <v>-614702</v>
      </c>
      <c r="E1455" s="6">
        <v>-10838</v>
      </c>
      <c r="F1455" s="7">
        <v>4.5940000000000003</v>
      </c>
      <c r="G1455" s="7">
        <v>4.4000000000000004</v>
      </c>
      <c r="H1455" s="7">
        <v>4.2590000000000003</v>
      </c>
      <c r="I1455" s="7">
        <v>4.3819999999999997</v>
      </c>
      <c r="J1455" s="7">
        <v>4.42</v>
      </c>
      <c r="K1455" s="7">
        <v>4.0640000000000001</v>
      </c>
      <c r="L1455" s="7">
        <v>4.4880000000000004</v>
      </c>
      <c r="M1455" s="7">
        <v>4.62</v>
      </c>
      <c r="N1455" s="7">
        <v>5.0220000000000002</v>
      </c>
      <c r="O1455" s="7">
        <v>4.95</v>
      </c>
      <c r="P1455" s="7">
        <v>5.0990000000000002</v>
      </c>
      <c r="Q1455" s="7">
        <v>4.8129999999999997</v>
      </c>
      <c r="R1455" s="7">
        <v>4.6159999999999997</v>
      </c>
      <c r="S1455" s="7">
        <f t="shared" si="22"/>
        <v>4.5944166666666675</v>
      </c>
    </row>
    <row r="1456" spans="1:19">
      <c r="A1456" s="5" t="str">
        <f>B1456&amp;"-"&amp;COUNTIF($B$2:B1456,B1456)</f>
        <v>MATO GROSSO-110</v>
      </c>
      <c r="B1456" s="5" t="s">
        <v>991</v>
      </c>
      <c r="C1456" s="5" t="s">
        <v>5100</v>
      </c>
      <c r="D1456" s="6">
        <v>-546376</v>
      </c>
      <c r="E1456" s="6">
        <v>-164677</v>
      </c>
      <c r="F1456" s="7">
        <v>5.1680000000000001</v>
      </c>
      <c r="G1456" s="7">
        <v>5.5410000000000004</v>
      </c>
      <c r="H1456" s="7">
        <v>5.5149999999999997</v>
      </c>
      <c r="I1456" s="7">
        <v>5.26</v>
      </c>
      <c r="J1456" s="7">
        <v>5.0609999999999999</v>
      </c>
      <c r="K1456" s="7">
        <v>4.6050000000000004</v>
      </c>
      <c r="L1456" s="7">
        <v>4.4080000000000004</v>
      </c>
      <c r="M1456" s="7">
        <v>4.5549999999999997</v>
      </c>
      <c r="N1456" s="7">
        <v>5.45</v>
      </c>
      <c r="O1456" s="7">
        <v>5.2080000000000002</v>
      </c>
      <c r="P1456" s="7">
        <v>5.2759999999999998</v>
      </c>
      <c r="Q1456" s="7">
        <v>5.4909999999999997</v>
      </c>
      <c r="R1456" s="7">
        <v>5.6390000000000002</v>
      </c>
      <c r="S1456" s="7">
        <f t="shared" si="22"/>
        <v>5.167416666666667</v>
      </c>
    </row>
    <row r="1457" spans="1:19">
      <c r="A1457" s="5" t="str">
        <f>B1457&amp;"-"&amp;COUNTIF($B$2:B1457,B1457)</f>
        <v>MATO GROSSO-111</v>
      </c>
      <c r="B1457" s="5" t="s">
        <v>991</v>
      </c>
      <c r="C1457" s="5" t="s">
        <v>5569</v>
      </c>
      <c r="D1457" s="6">
        <v>-56424</v>
      </c>
      <c r="E1457" s="6">
        <v>-148264</v>
      </c>
      <c r="F1457" s="7">
        <v>5.05</v>
      </c>
      <c r="G1457" s="7">
        <v>5.1459999999999999</v>
      </c>
      <c r="H1457" s="7">
        <v>5.1959999999999997</v>
      </c>
      <c r="I1457" s="7">
        <v>5.0110000000000001</v>
      </c>
      <c r="J1457" s="7">
        <v>4.8419999999999996</v>
      </c>
      <c r="K1457" s="7">
        <v>4.4779999999999998</v>
      </c>
      <c r="L1457" s="7">
        <v>4.4569999999999999</v>
      </c>
      <c r="M1457" s="7">
        <v>4.6500000000000004</v>
      </c>
      <c r="N1457" s="7">
        <v>5.4279999999999999</v>
      </c>
      <c r="O1457" s="7">
        <v>5.15</v>
      </c>
      <c r="P1457" s="7">
        <v>5.2190000000000003</v>
      </c>
      <c r="Q1457" s="7">
        <v>5.4749999999999996</v>
      </c>
      <c r="R1457" s="7">
        <v>5.5490000000000004</v>
      </c>
      <c r="S1457" s="7">
        <f t="shared" si="22"/>
        <v>5.0500833333333324</v>
      </c>
    </row>
    <row r="1458" spans="1:19">
      <c r="A1458" s="5" t="str">
        <f>B1458&amp;"-"&amp;COUNTIF($B$2:B1458,B1458)</f>
        <v>MATO GROSSO-112</v>
      </c>
      <c r="B1458" s="5" t="s">
        <v>991</v>
      </c>
      <c r="C1458" s="5" t="s">
        <v>4320</v>
      </c>
      <c r="D1458" s="6">
        <v>-506782</v>
      </c>
      <c r="E1458" s="6">
        <v>-116209</v>
      </c>
      <c r="F1458" s="7">
        <v>5.21</v>
      </c>
      <c r="G1458" s="7">
        <v>5.1429999999999998</v>
      </c>
      <c r="H1458" s="7">
        <v>5.2530000000000001</v>
      </c>
      <c r="I1458" s="7">
        <v>5.0679999999999996</v>
      </c>
      <c r="J1458" s="7">
        <v>4.91</v>
      </c>
      <c r="K1458" s="7">
        <v>4.9580000000000002</v>
      </c>
      <c r="L1458" s="7">
        <v>4.899</v>
      </c>
      <c r="M1458" s="7">
        <v>5.2789999999999999</v>
      </c>
      <c r="N1458" s="7">
        <v>5.76</v>
      </c>
      <c r="O1458" s="7">
        <v>5.4809999999999999</v>
      </c>
      <c r="P1458" s="7">
        <v>5.2960000000000003</v>
      </c>
      <c r="Q1458" s="7">
        <v>5.1879999999999997</v>
      </c>
      <c r="R1458" s="7">
        <v>5.2880000000000003</v>
      </c>
      <c r="S1458" s="7">
        <f t="shared" si="22"/>
        <v>5.2102500000000012</v>
      </c>
    </row>
    <row r="1459" spans="1:19">
      <c r="A1459" s="5" t="str">
        <f>B1459&amp;"-"&amp;COUNTIF($B$2:B1459,B1459)</f>
        <v>MATO GROSSO-113</v>
      </c>
      <c r="B1459" s="5" t="s">
        <v>991</v>
      </c>
      <c r="C1459" s="5" t="s">
        <v>4321</v>
      </c>
      <c r="D1459" s="6">
        <v>-542542</v>
      </c>
      <c r="E1459" s="6">
        <v>-164657</v>
      </c>
      <c r="F1459" s="7">
        <v>5.2859999999999996</v>
      </c>
      <c r="G1459" s="7">
        <v>5.6479999999999997</v>
      </c>
      <c r="H1459" s="7">
        <v>5.6349999999999998</v>
      </c>
      <c r="I1459" s="7">
        <v>5.3959999999999999</v>
      </c>
      <c r="J1459" s="7">
        <v>5.1849999999999996</v>
      </c>
      <c r="K1459" s="7">
        <v>4.7249999999999996</v>
      </c>
      <c r="L1459" s="7">
        <v>4.516</v>
      </c>
      <c r="M1459" s="7">
        <v>4.6710000000000003</v>
      </c>
      <c r="N1459" s="7">
        <v>5.5060000000000002</v>
      </c>
      <c r="O1459" s="7">
        <v>5.2729999999999997</v>
      </c>
      <c r="P1459" s="7">
        <v>5.42</v>
      </c>
      <c r="Q1459" s="7">
        <v>5.6710000000000003</v>
      </c>
      <c r="R1459" s="7">
        <v>5.782</v>
      </c>
      <c r="S1459" s="7">
        <f t="shared" si="22"/>
        <v>5.2856666666666667</v>
      </c>
    </row>
    <row r="1460" spans="1:19">
      <c r="A1460" s="5" t="str">
        <f>B1460&amp;"-"&amp;COUNTIF($B$2:B1460,B1460)</f>
        <v>MATO GROSSO-114</v>
      </c>
      <c r="B1460" s="5" t="s">
        <v>991</v>
      </c>
      <c r="C1460" s="5" t="s">
        <v>4322</v>
      </c>
      <c r="D1460" s="6">
        <v>-56721</v>
      </c>
      <c r="E1460" s="6">
        <v>-134502</v>
      </c>
      <c r="F1460" s="7">
        <v>5.0620000000000003</v>
      </c>
      <c r="G1460" s="7">
        <v>5.1559999999999997</v>
      </c>
      <c r="H1460" s="7">
        <v>5.0110000000000001</v>
      </c>
      <c r="I1460" s="7">
        <v>4.9850000000000003</v>
      </c>
      <c r="J1460" s="7">
        <v>4.8970000000000002</v>
      </c>
      <c r="K1460" s="7">
        <v>4.7089999999999996</v>
      </c>
      <c r="L1460" s="7">
        <v>4.6159999999999997</v>
      </c>
      <c r="M1460" s="7">
        <v>4.7770000000000001</v>
      </c>
      <c r="N1460" s="7">
        <v>5.3410000000000002</v>
      </c>
      <c r="O1460" s="7">
        <v>5.2190000000000003</v>
      </c>
      <c r="P1460" s="7">
        <v>5.4329999999999998</v>
      </c>
      <c r="Q1460" s="7">
        <v>5.2969999999999997</v>
      </c>
      <c r="R1460" s="7">
        <v>5.3010000000000002</v>
      </c>
      <c r="S1460" s="7">
        <f t="shared" si="22"/>
        <v>5.0618333333333334</v>
      </c>
    </row>
    <row r="1461" spans="1:19">
      <c r="A1461" s="5" t="str">
        <f>B1461&amp;"-"&amp;COUNTIF($B$2:B1461,B1461)</f>
        <v>MATO GROSSO-115</v>
      </c>
      <c r="B1461" s="5" t="s">
        <v>991</v>
      </c>
      <c r="C1461" s="5" t="s">
        <v>4323</v>
      </c>
      <c r="D1461" s="6">
        <v>-527351</v>
      </c>
      <c r="E1461" s="6">
        <v>-108019</v>
      </c>
      <c r="F1461" s="7">
        <v>5.0549999999999997</v>
      </c>
      <c r="G1461" s="7">
        <v>4.9770000000000003</v>
      </c>
      <c r="H1461" s="7">
        <v>5.0750000000000002</v>
      </c>
      <c r="I1461" s="7">
        <v>4.8369999999999997</v>
      </c>
      <c r="J1461" s="7">
        <v>4.7699999999999996</v>
      </c>
      <c r="K1461" s="7">
        <v>4.8470000000000004</v>
      </c>
      <c r="L1461" s="7">
        <v>4.8730000000000002</v>
      </c>
      <c r="M1461" s="7">
        <v>5.1479999999999997</v>
      </c>
      <c r="N1461" s="7">
        <v>5.62</v>
      </c>
      <c r="O1461" s="7">
        <v>5.2290000000000001</v>
      </c>
      <c r="P1461" s="7">
        <v>5.0739999999999998</v>
      </c>
      <c r="Q1461" s="7">
        <v>5.0229999999999997</v>
      </c>
      <c r="R1461" s="7">
        <v>5.18</v>
      </c>
      <c r="S1461" s="7">
        <f t="shared" si="22"/>
        <v>5.0544166666666666</v>
      </c>
    </row>
    <row r="1462" spans="1:19">
      <c r="A1462" s="5" t="str">
        <f>B1462&amp;"-"&amp;COUNTIF($B$2:B1462,B1462)</f>
        <v>MATO GROSSO-116</v>
      </c>
      <c r="B1462" s="5" t="s">
        <v>991</v>
      </c>
      <c r="C1462" s="5" t="s">
        <v>4324</v>
      </c>
      <c r="D1462" s="6">
        <v>-581777</v>
      </c>
      <c r="E1462" s="6">
        <v>-15628</v>
      </c>
      <c r="F1462" s="7">
        <v>4.9340000000000002</v>
      </c>
      <c r="G1462" s="7">
        <v>5.37</v>
      </c>
      <c r="H1462" s="7">
        <v>5.2140000000000004</v>
      </c>
      <c r="I1462" s="7">
        <v>4.9870000000000001</v>
      </c>
      <c r="J1462" s="7">
        <v>4.7409999999999997</v>
      </c>
      <c r="K1462" s="7">
        <v>4.1189999999999998</v>
      </c>
      <c r="L1462" s="7">
        <v>4.2060000000000004</v>
      </c>
      <c r="M1462" s="7">
        <v>4.2889999999999997</v>
      </c>
      <c r="N1462" s="7">
        <v>5.0460000000000003</v>
      </c>
      <c r="O1462" s="7">
        <v>5.0519999999999996</v>
      </c>
      <c r="P1462" s="7">
        <v>5.2270000000000003</v>
      </c>
      <c r="Q1462" s="7">
        <v>5.4160000000000004</v>
      </c>
      <c r="R1462" s="7">
        <v>5.5359999999999996</v>
      </c>
      <c r="S1462" s="7">
        <f t="shared" si="22"/>
        <v>4.9335833333333321</v>
      </c>
    </row>
    <row r="1463" spans="1:19">
      <c r="A1463" s="5" t="str">
        <f>B1463&amp;"-"&amp;COUNTIF($B$2:B1463,B1463)</f>
        <v>MATO GROSSO-117</v>
      </c>
      <c r="B1463" s="5" t="s">
        <v>991</v>
      </c>
      <c r="C1463" s="5" t="s">
        <v>3988</v>
      </c>
      <c r="D1463" s="6">
        <v>-549191</v>
      </c>
      <c r="E1463" s="6">
        <v>-160014</v>
      </c>
      <c r="F1463" s="7">
        <v>5.1280000000000001</v>
      </c>
      <c r="G1463" s="7">
        <v>5.3730000000000002</v>
      </c>
      <c r="H1463" s="7">
        <v>5.3609999999999998</v>
      </c>
      <c r="I1463" s="7">
        <v>5.1189999999999998</v>
      </c>
      <c r="J1463" s="7">
        <v>5.0940000000000003</v>
      </c>
      <c r="K1463" s="7">
        <v>4.6459999999999999</v>
      </c>
      <c r="L1463" s="7">
        <v>4.5359999999999996</v>
      </c>
      <c r="M1463" s="7">
        <v>4.6269999999999998</v>
      </c>
      <c r="N1463" s="7">
        <v>5.5609999999999999</v>
      </c>
      <c r="O1463" s="7">
        <v>5.165</v>
      </c>
      <c r="P1463" s="7">
        <v>5.14</v>
      </c>
      <c r="Q1463" s="7">
        <v>5.41</v>
      </c>
      <c r="R1463" s="7">
        <v>5.4980000000000002</v>
      </c>
      <c r="S1463" s="7">
        <f t="shared" si="22"/>
        <v>5.1274999999999995</v>
      </c>
    </row>
    <row r="1464" spans="1:19">
      <c r="A1464" s="5" t="str">
        <f>B1464&amp;"-"&amp;COUNTIF($B$2:B1464,B1464)</f>
        <v>MATO GROSSO-118</v>
      </c>
      <c r="B1464" s="5" t="s">
        <v>991</v>
      </c>
      <c r="C1464" s="5" t="s">
        <v>4325</v>
      </c>
      <c r="D1464" s="6">
        <v>-581322</v>
      </c>
      <c r="E1464" s="6">
        <v>-151308</v>
      </c>
      <c r="F1464" s="7">
        <v>4.7910000000000004</v>
      </c>
      <c r="G1464" s="7">
        <v>4.9219999999999997</v>
      </c>
      <c r="H1464" s="7">
        <v>4.8550000000000004</v>
      </c>
      <c r="I1464" s="7">
        <v>4.7279999999999998</v>
      </c>
      <c r="J1464" s="7">
        <v>4.6619999999999999</v>
      </c>
      <c r="K1464" s="7">
        <v>4.181</v>
      </c>
      <c r="L1464" s="7">
        <v>4.2910000000000004</v>
      </c>
      <c r="M1464" s="7">
        <v>4.4080000000000004</v>
      </c>
      <c r="N1464" s="7">
        <v>5.1820000000000004</v>
      </c>
      <c r="O1464" s="7">
        <v>4.9329999999999998</v>
      </c>
      <c r="P1464" s="7">
        <v>5.0129999999999999</v>
      </c>
      <c r="Q1464" s="7">
        <v>5.2149999999999999</v>
      </c>
      <c r="R1464" s="7">
        <v>5.0999999999999996</v>
      </c>
      <c r="S1464" s="7">
        <f t="shared" si="22"/>
        <v>4.7908333333333335</v>
      </c>
    </row>
    <row r="1465" spans="1:19">
      <c r="A1465" s="5" t="str">
        <f>B1465&amp;"-"&amp;COUNTIF($B$2:B1465,B1465)</f>
        <v>MATO GROSSO-119</v>
      </c>
      <c r="B1465" s="5" t="s">
        <v>991</v>
      </c>
      <c r="C1465" s="5" t="s">
        <v>1061</v>
      </c>
      <c r="D1465" s="6">
        <v>-552774</v>
      </c>
      <c r="E1465" s="6">
        <v>-119777</v>
      </c>
      <c r="F1465" s="7">
        <v>5.0359999999999996</v>
      </c>
      <c r="G1465" s="7">
        <v>5.1529999999999996</v>
      </c>
      <c r="H1465" s="7">
        <v>5.0359999999999996</v>
      </c>
      <c r="I1465" s="7">
        <v>4.9420000000000002</v>
      </c>
      <c r="J1465" s="7">
        <v>4.8840000000000003</v>
      </c>
      <c r="K1465" s="7">
        <v>4.7590000000000003</v>
      </c>
      <c r="L1465" s="7">
        <v>4.6239999999999997</v>
      </c>
      <c r="M1465" s="7">
        <v>4.9509999999999996</v>
      </c>
      <c r="N1465" s="7">
        <v>5.258</v>
      </c>
      <c r="O1465" s="7">
        <v>5.1319999999999997</v>
      </c>
      <c r="P1465" s="7">
        <v>5.2969999999999997</v>
      </c>
      <c r="Q1465" s="7">
        <v>5.1449999999999996</v>
      </c>
      <c r="R1465" s="7">
        <v>5.2510000000000003</v>
      </c>
      <c r="S1465" s="7">
        <f t="shared" si="22"/>
        <v>5.0359999999999996</v>
      </c>
    </row>
    <row r="1466" spans="1:19">
      <c r="A1466" s="5" t="str">
        <f>B1466&amp;"-"&amp;COUNTIF($B$2:B1466,B1466)</f>
        <v>MATO GROSSO-120</v>
      </c>
      <c r="B1466" s="5" t="s">
        <v>991</v>
      </c>
      <c r="C1466" s="5" t="s">
        <v>1062</v>
      </c>
      <c r="D1466" s="6">
        <v>-523958</v>
      </c>
      <c r="E1466" s="6">
        <v>-101536</v>
      </c>
      <c r="F1466" s="7">
        <v>4.9710000000000001</v>
      </c>
      <c r="G1466" s="7">
        <v>4.8460000000000001</v>
      </c>
      <c r="H1466" s="7">
        <v>4.9989999999999997</v>
      </c>
      <c r="I1466" s="7">
        <v>4.7889999999999997</v>
      </c>
      <c r="J1466" s="7">
        <v>4.5990000000000002</v>
      </c>
      <c r="K1466" s="7">
        <v>4.7409999999999997</v>
      </c>
      <c r="L1466" s="7">
        <v>4.7480000000000002</v>
      </c>
      <c r="M1466" s="7">
        <v>4.9279999999999999</v>
      </c>
      <c r="N1466" s="7">
        <v>5.56</v>
      </c>
      <c r="O1466" s="7">
        <v>5.2069999999999999</v>
      </c>
      <c r="P1466" s="7">
        <v>5.141</v>
      </c>
      <c r="Q1466" s="7">
        <v>5.0339999999999998</v>
      </c>
      <c r="R1466" s="7">
        <v>5.0620000000000003</v>
      </c>
      <c r="S1466" s="7">
        <f t="shared" si="22"/>
        <v>4.9711666666666661</v>
      </c>
    </row>
    <row r="1467" spans="1:19">
      <c r="A1467" s="5" t="str">
        <f>B1467&amp;"-"&amp;COUNTIF($B$2:B1467,B1467)</f>
        <v>MATO GROSSO-121</v>
      </c>
      <c r="B1467" s="5" t="s">
        <v>991</v>
      </c>
      <c r="C1467" s="5" t="s">
        <v>1063</v>
      </c>
      <c r="D1467" s="6">
        <v>-552741</v>
      </c>
      <c r="E1467" s="6">
        <v>-138162</v>
      </c>
      <c r="F1467" s="7">
        <v>5.0919999999999996</v>
      </c>
      <c r="G1467" s="7">
        <v>5.2009999999999996</v>
      </c>
      <c r="H1467" s="7">
        <v>5.1859999999999999</v>
      </c>
      <c r="I1467" s="7">
        <v>4.9710000000000001</v>
      </c>
      <c r="J1467" s="7">
        <v>5.04</v>
      </c>
      <c r="K1467" s="7">
        <v>4.782</v>
      </c>
      <c r="L1467" s="7">
        <v>4.6760000000000002</v>
      </c>
      <c r="M1467" s="7">
        <v>4.8369999999999997</v>
      </c>
      <c r="N1467" s="7">
        <v>5.4080000000000004</v>
      </c>
      <c r="O1467" s="7">
        <v>5.1470000000000002</v>
      </c>
      <c r="P1467" s="7">
        <v>5.2889999999999997</v>
      </c>
      <c r="Q1467" s="7">
        <v>5.2430000000000003</v>
      </c>
      <c r="R1467" s="7">
        <v>5.3289999999999997</v>
      </c>
      <c r="S1467" s="7">
        <f t="shared" si="22"/>
        <v>5.0924166666666668</v>
      </c>
    </row>
    <row r="1468" spans="1:19">
      <c r="A1468" s="5" t="str">
        <f>B1468&amp;"-"&amp;COUNTIF($B$2:B1468,B1468)</f>
        <v>MATO GROSSO-122</v>
      </c>
      <c r="B1468" s="5" t="s">
        <v>991</v>
      </c>
      <c r="C1468" s="5" t="s">
        <v>1064</v>
      </c>
      <c r="D1468" s="6">
        <v>-505108</v>
      </c>
      <c r="E1468" s="6">
        <v>-10469</v>
      </c>
      <c r="F1468" s="7">
        <v>5.1159999999999997</v>
      </c>
      <c r="G1468" s="7">
        <v>5.032</v>
      </c>
      <c r="H1468" s="7">
        <v>5.141</v>
      </c>
      <c r="I1468" s="7">
        <v>4.8819999999999997</v>
      </c>
      <c r="J1468" s="7">
        <v>4.7770000000000001</v>
      </c>
      <c r="K1468" s="7">
        <v>4.9029999999999996</v>
      </c>
      <c r="L1468" s="7">
        <v>4.9429999999999996</v>
      </c>
      <c r="M1468" s="7">
        <v>5.2279999999999998</v>
      </c>
      <c r="N1468" s="7">
        <v>5.7160000000000002</v>
      </c>
      <c r="O1468" s="7">
        <v>5.4119999999999999</v>
      </c>
      <c r="P1468" s="7">
        <v>5.1749999999999998</v>
      </c>
      <c r="Q1468" s="7">
        <v>5.0629999999999997</v>
      </c>
      <c r="R1468" s="7">
        <v>5.1180000000000003</v>
      </c>
      <c r="S1468" s="7">
        <f t="shared" si="22"/>
        <v>5.1158333333333337</v>
      </c>
    </row>
    <row r="1469" spans="1:19">
      <c r="A1469" s="5" t="str">
        <f>B1469&amp;"-"&amp;COUNTIF($B$2:B1469,B1469)</f>
        <v>MATO GROSSO-123</v>
      </c>
      <c r="B1469" s="5" t="s">
        <v>991</v>
      </c>
      <c r="C1469" s="5" t="s">
        <v>1065</v>
      </c>
      <c r="D1469" s="6">
        <v>-570095</v>
      </c>
      <c r="E1469" s="6">
        <v>-144949</v>
      </c>
      <c r="F1469" s="7">
        <v>4.9989999999999997</v>
      </c>
      <c r="G1469" s="7">
        <v>5.13</v>
      </c>
      <c r="H1469" s="7">
        <v>5.1470000000000002</v>
      </c>
      <c r="I1469" s="7">
        <v>4.9770000000000003</v>
      </c>
      <c r="J1469" s="7">
        <v>4.827</v>
      </c>
      <c r="K1469" s="7">
        <v>4.4139999999999997</v>
      </c>
      <c r="L1469" s="7">
        <v>4.4400000000000004</v>
      </c>
      <c r="M1469" s="7">
        <v>4.6070000000000002</v>
      </c>
      <c r="N1469" s="7">
        <v>5.3140000000000001</v>
      </c>
      <c r="O1469" s="7">
        <v>5.109</v>
      </c>
      <c r="P1469" s="7">
        <v>5.2370000000000001</v>
      </c>
      <c r="Q1469" s="7">
        <v>5.3460000000000001</v>
      </c>
      <c r="R1469" s="7">
        <v>5.4429999999999996</v>
      </c>
      <c r="S1469" s="7">
        <f t="shared" si="22"/>
        <v>4.9992500000000009</v>
      </c>
    </row>
    <row r="1470" spans="1:19">
      <c r="A1470" s="5" t="str">
        <f>B1470&amp;"-"&amp;COUNTIF($B$2:B1470,B1470)</f>
        <v>MATO GROSSO-124</v>
      </c>
      <c r="B1470" s="5" t="s">
        <v>991</v>
      </c>
      <c r="C1470" s="5" t="s">
        <v>4547</v>
      </c>
      <c r="D1470" s="6">
        <v>-536074</v>
      </c>
      <c r="E1470" s="6">
        <v>-148087</v>
      </c>
      <c r="F1470" s="7">
        <v>5.1959999999999997</v>
      </c>
      <c r="G1470" s="7">
        <v>5.3789999999999996</v>
      </c>
      <c r="H1470" s="7">
        <v>5.4489999999999998</v>
      </c>
      <c r="I1470" s="7">
        <v>5.1449999999999996</v>
      </c>
      <c r="J1470" s="7">
        <v>5.1619999999999999</v>
      </c>
      <c r="K1470" s="7">
        <v>4.83</v>
      </c>
      <c r="L1470" s="7">
        <v>4.6580000000000004</v>
      </c>
      <c r="M1470" s="7">
        <v>4.8920000000000003</v>
      </c>
      <c r="N1470" s="7">
        <v>5.5</v>
      </c>
      <c r="O1470" s="7">
        <v>5.27</v>
      </c>
      <c r="P1470" s="7">
        <v>5.298</v>
      </c>
      <c r="Q1470" s="7">
        <v>5.3360000000000003</v>
      </c>
      <c r="R1470" s="7">
        <v>5.4320000000000004</v>
      </c>
      <c r="S1470" s="7">
        <f t="shared" si="22"/>
        <v>5.1959166666666663</v>
      </c>
    </row>
    <row r="1471" spans="1:19">
      <c r="A1471" s="5" t="str">
        <f>B1471&amp;"-"&amp;COUNTIF($B$2:B1471,B1471)</f>
        <v>MATO GROSSO-125</v>
      </c>
      <c r="B1471" s="5" t="s">
        <v>991</v>
      </c>
      <c r="C1471" s="5" t="s">
        <v>4548</v>
      </c>
      <c r="D1471" s="6">
        <v>-560792</v>
      </c>
      <c r="E1471" s="6">
        <v>-158628</v>
      </c>
      <c r="F1471" s="7">
        <v>5.1479999999999997</v>
      </c>
      <c r="G1471" s="7">
        <v>5.5490000000000004</v>
      </c>
      <c r="H1471" s="7">
        <v>5.4710000000000001</v>
      </c>
      <c r="I1471" s="7">
        <v>5.2720000000000002</v>
      </c>
      <c r="J1471" s="7">
        <v>5.0389999999999997</v>
      </c>
      <c r="K1471" s="7">
        <v>4.4589999999999996</v>
      </c>
      <c r="L1471" s="7">
        <v>4.3529999999999998</v>
      </c>
      <c r="M1471" s="7">
        <v>4.4870000000000001</v>
      </c>
      <c r="N1471" s="7">
        <v>5.4370000000000003</v>
      </c>
      <c r="O1471" s="7">
        <v>5.085</v>
      </c>
      <c r="P1471" s="7">
        <v>5.2910000000000004</v>
      </c>
      <c r="Q1471" s="7">
        <v>5.5650000000000004</v>
      </c>
      <c r="R1471" s="7">
        <v>5.77</v>
      </c>
      <c r="S1471" s="7">
        <f t="shared" si="22"/>
        <v>5.1481666666666657</v>
      </c>
    </row>
    <row r="1472" spans="1:19">
      <c r="A1472" s="5" t="str">
        <f>B1472&amp;"-"&amp;COUNTIF($B$2:B1472,B1472)</f>
        <v>MATO GROSSO-126</v>
      </c>
      <c r="B1472" s="5" t="s">
        <v>991</v>
      </c>
      <c r="C1472" s="5" t="s">
        <v>1066</v>
      </c>
      <c r="D1472" s="6">
        <v>-588193</v>
      </c>
      <c r="E1472" s="6">
        <v>-135454</v>
      </c>
      <c r="F1472" s="7">
        <v>4.8120000000000003</v>
      </c>
      <c r="G1472" s="7">
        <v>4.9340000000000002</v>
      </c>
      <c r="H1472" s="7">
        <v>4.79</v>
      </c>
      <c r="I1472" s="7">
        <v>4.8029999999999999</v>
      </c>
      <c r="J1472" s="7">
        <v>4.681</v>
      </c>
      <c r="K1472" s="7">
        <v>4.2889999999999997</v>
      </c>
      <c r="L1472" s="7">
        <v>4.3479999999999999</v>
      </c>
      <c r="M1472" s="7">
        <v>4.4859999999999998</v>
      </c>
      <c r="N1472" s="7">
        <v>5.0309999999999997</v>
      </c>
      <c r="O1472" s="7">
        <v>4.8780000000000001</v>
      </c>
      <c r="P1472" s="7">
        <v>5.056</v>
      </c>
      <c r="Q1472" s="7">
        <v>5.1909999999999998</v>
      </c>
      <c r="R1472" s="7">
        <v>5.2519999999999998</v>
      </c>
      <c r="S1472" s="7">
        <f t="shared" si="22"/>
        <v>4.8115833333333331</v>
      </c>
    </row>
    <row r="1473" spans="1:19">
      <c r="A1473" s="5" t="str">
        <f>B1473&amp;"-"&amp;COUNTIF($B$2:B1473,B1473)</f>
        <v>MATO GROSSO-127</v>
      </c>
      <c r="B1473" s="5" t="s">
        <v>991</v>
      </c>
      <c r="C1473" s="5" t="s">
        <v>1067</v>
      </c>
      <c r="D1473" s="6">
        <v>-514029</v>
      </c>
      <c r="E1473" s="6">
        <v>-120901</v>
      </c>
      <c r="F1473" s="7">
        <v>5.1639999999999997</v>
      </c>
      <c r="G1473" s="7">
        <v>5.08</v>
      </c>
      <c r="H1473" s="7">
        <v>5.1929999999999996</v>
      </c>
      <c r="I1473" s="7">
        <v>4.9809999999999999</v>
      </c>
      <c r="J1473" s="7">
        <v>4.9219999999999997</v>
      </c>
      <c r="K1473" s="7">
        <v>4.9779999999999998</v>
      </c>
      <c r="L1473" s="7">
        <v>4.8499999999999996</v>
      </c>
      <c r="M1473" s="7">
        <v>5.1849999999999996</v>
      </c>
      <c r="N1473" s="7">
        <v>5.7510000000000003</v>
      </c>
      <c r="O1473" s="7">
        <v>5.367</v>
      </c>
      <c r="P1473" s="7">
        <v>5.2850000000000001</v>
      </c>
      <c r="Q1473" s="7">
        <v>5.1680000000000001</v>
      </c>
      <c r="R1473" s="7">
        <v>5.2149999999999999</v>
      </c>
      <c r="S1473" s="7">
        <f t="shared" si="22"/>
        <v>5.1645833333333329</v>
      </c>
    </row>
    <row r="1474" spans="1:19">
      <c r="A1474" s="5" t="str">
        <f>B1474&amp;"-"&amp;COUNTIF($B$2:B1474,B1474)</f>
        <v>MATO GROSSO-128</v>
      </c>
      <c r="B1474" s="5" t="s">
        <v>991</v>
      </c>
      <c r="C1474" s="5" t="s">
        <v>1068</v>
      </c>
      <c r="D1474" s="6">
        <v>-555095</v>
      </c>
      <c r="E1474" s="6">
        <v>-118609</v>
      </c>
      <c r="F1474" s="7">
        <v>4.9740000000000002</v>
      </c>
      <c r="G1474" s="7">
        <v>5.0490000000000004</v>
      </c>
      <c r="H1474" s="7">
        <v>4.9809999999999999</v>
      </c>
      <c r="I1474" s="7">
        <v>4.9420000000000002</v>
      </c>
      <c r="J1474" s="7">
        <v>4.8209999999999997</v>
      </c>
      <c r="K1474" s="7">
        <v>4.6130000000000004</v>
      </c>
      <c r="L1474" s="7">
        <v>4.5890000000000004</v>
      </c>
      <c r="M1474" s="7">
        <v>4.8730000000000002</v>
      </c>
      <c r="N1474" s="7">
        <v>5.1970000000000001</v>
      </c>
      <c r="O1474" s="7">
        <v>5.0679999999999996</v>
      </c>
      <c r="P1474" s="7">
        <v>5.2910000000000004</v>
      </c>
      <c r="Q1474" s="7">
        <v>5.056</v>
      </c>
      <c r="R1474" s="7">
        <v>5.2119999999999997</v>
      </c>
      <c r="S1474" s="7">
        <f t="shared" si="22"/>
        <v>4.9743333333333331</v>
      </c>
    </row>
    <row r="1475" spans="1:19">
      <c r="A1475" s="5" t="str">
        <f>B1475&amp;"-"&amp;COUNTIF($B$2:B1475,B1475)</f>
        <v>MATO GROSSO-129</v>
      </c>
      <c r="B1475" s="5" t="s">
        <v>991</v>
      </c>
      <c r="C1475" s="5" t="s">
        <v>1069</v>
      </c>
      <c r="D1475" s="6">
        <v>-557215</v>
      </c>
      <c r="E1475" s="6">
        <v>-12543</v>
      </c>
      <c r="F1475" s="7">
        <v>5.04</v>
      </c>
      <c r="G1475" s="7">
        <v>5.1840000000000002</v>
      </c>
      <c r="H1475" s="7">
        <v>5.05</v>
      </c>
      <c r="I1475" s="7">
        <v>4.9889999999999999</v>
      </c>
      <c r="J1475" s="7">
        <v>4.92</v>
      </c>
      <c r="K1475" s="7">
        <v>4.7530000000000001</v>
      </c>
      <c r="L1475" s="7">
        <v>4.6269999999999998</v>
      </c>
      <c r="M1475" s="7">
        <v>4.8819999999999997</v>
      </c>
      <c r="N1475" s="7">
        <v>5.2309999999999999</v>
      </c>
      <c r="O1475" s="7">
        <v>5.1079999999999997</v>
      </c>
      <c r="P1475" s="7">
        <v>5.3090000000000002</v>
      </c>
      <c r="Q1475" s="7">
        <v>5.1559999999999997</v>
      </c>
      <c r="R1475" s="7">
        <v>5.2649999999999997</v>
      </c>
      <c r="S1475" s="7">
        <f t="shared" ref="S1475:S1538" si="23">(G1475+H1475+I1475+J1475+K1475+L1475+M1475+N1475+O1475+P1475+Q1475+R1475)/12</f>
        <v>5.0394999999999994</v>
      </c>
    </row>
    <row r="1476" spans="1:19">
      <c r="A1476" s="5" t="str">
        <f>B1476&amp;"-"&amp;COUNTIF($B$2:B1476,B1476)</f>
        <v>MATO GROSSO-130</v>
      </c>
      <c r="B1476" s="5" t="s">
        <v>991</v>
      </c>
      <c r="C1476" s="5" t="s">
        <v>5365</v>
      </c>
      <c r="D1476" s="6">
        <v>-568233</v>
      </c>
      <c r="E1476" s="6">
        <v>-113089</v>
      </c>
      <c r="F1476" s="7">
        <v>4.867</v>
      </c>
      <c r="G1476" s="7">
        <v>4.8410000000000002</v>
      </c>
      <c r="H1476" s="7">
        <v>4.8220000000000001</v>
      </c>
      <c r="I1476" s="7">
        <v>4.6870000000000003</v>
      </c>
      <c r="J1476" s="7">
        <v>4.5759999999999996</v>
      </c>
      <c r="K1476" s="7">
        <v>4.5579999999999998</v>
      </c>
      <c r="L1476" s="7">
        <v>4.6319999999999997</v>
      </c>
      <c r="M1476" s="7">
        <v>4.8760000000000003</v>
      </c>
      <c r="N1476" s="7">
        <v>5.359</v>
      </c>
      <c r="O1476" s="7">
        <v>5.0380000000000003</v>
      </c>
      <c r="P1476" s="7">
        <v>5.1189999999999998</v>
      </c>
      <c r="Q1476" s="7">
        <v>4.8819999999999997</v>
      </c>
      <c r="R1476" s="7">
        <v>5.0190000000000001</v>
      </c>
      <c r="S1476" s="7">
        <f t="shared" si="23"/>
        <v>4.8674166666666663</v>
      </c>
    </row>
    <row r="1477" spans="1:19">
      <c r="A1477" s="5" t="str">
        <f>B1477&amp;"-"&amp;COUNTIF($B$2:B1477,B1477)</f>
        <v>MATO GROSSO-131</v>
      </c>
      <c r="B1477" s="5" t="s">
        <v>991</v>
      </c>
      <c r="C1477" s="5" t="s">
        <v>5570</v>
      </c>
      <c r="D1477" s="6">
        <v>-574937</v>
      </c>
      <c r="E1477" s="6">
        <v>-146233</v>
      </c>
      <c r="F1477" s="7">
        <v>4.96</v>
      </c>
      <c r="G1477" s="7">
        <v>5.1150000000000002</v>
      </c>
      <c r="H1477" s="7">
        <v>5.0990000000000002</v>
      </c>
      <c r="I1477" s="7">
        <v>4.9640000000000004</v>
      </c>
      <c r="J1477" s="7">
        <v>4.7649999999999997</v>
      </c>
      <c r="K1477" s="7">
        <v>4.3479999999999999</v>
      </c>
      <c r="L1477" s="7">
        <v>4.3879999999999999</v>
      </c>
      <c r="M1477" s="7">
        <v>4.5609999999999999</v>
      </c>
      <c r="N1477" s="7">
        <v>5.2839999999999998</v>
      </c>
      <c r="O1477" s="7">
        <v>5.0629999999999997</v>
      </c>
      <c r="P1477" s="7">
        <v>5.2249999999999996</v>
      </c>
      <c r="Q1477" s="7">
        <v>5.3019999999999996</v>
      </c>
      <c r="R1477" s="7">
        <v>5.4089999999999998</v>
      </c>
      <c r="S1477" s="7">
        <f t="shared" si="23"/>
        <v>4.9602500000000003</v>
      </c>
    </row>
    <row r="1478" spans="1:19">
      <c r="A1478" s="5" t="str">
        <f>B1478&amp;"-"&amp;COUNTIF($B$2:B1478,B1478)</f>
        <v>MATO GROSSO-132</v>
      </c>
      <c r="B1478" s="5" t="s">
        <v>991</v>
      </c>
      <c r="C1478" s="5" t="s">
        <v>1070</v>
      </c>
      <c r="D1478" s="6">
        <v>-565143</v>
      </c>
      <c r="E1478" s="6">
        <v>-127377</v>
      </c>
      <c r="F1478" s="7">
        <v>5.0190000000000001</v>
      </c>
      <c r="G1478" s="7">
        <v>5.1390000000000002</v>
      </c>
      <c r="H1478" s="7">
        <v>5.01</v>
      </c>
      <c r="I1478" s="7">
        <v>4.9189999999999996</v>
      </c>
      <c r="J1478" s="7">
        <v>4.8070000000000004</v>
      </c>
      <c r="K1478" s="7">
        <v>4.6559999999999997</v>
      </c>
      <c r="L1478" s="7">
        <v>4.6539999999999999</v>
      </c>
      <c r="M1478" s="7">
        <v>4.84</v>
      </c>
      <c r="N1478" s="7">
        <v>5.2389999999999999</v>
      </c>
      <c r="O1478" s="7">
        <v>5.1580000000000004</v>
      </c>
      <c r="P1478" s="7">
        <v>5.3650000000000002</v>
      </c>
      <c r="Q1478" s="7">
        <v>5.1660000000000004</v>
      </c>
      <c r="R1478" s="7">
        <v>5.2690000000000001</v>
      </c>
      <c r="S1478" s="7">
        <f t="shared" si="23"/>
        <v>5.0185000000000004</v>
      </c>
    </row>
    <row r="1479" spans="1:19">
      <c r="A1479" s="5" t="str">
        <f>B1479&amp;"-"&amp;COUNTIF($B$2:B1479,B1479)</f>
        <v>MATO GROSSO-133</v>
      </c>
      <c r="B1479" s="5" t="s">
        <v>991</v>
      </c>
      <c r="C1479" s="5" t="s">
        <v>1071</v>
      </c>
      <c r="D1479" s="6">
        <v>-551161</v>
      </c>
      <c r="E1479" s="6">
        <v>-105952</v>
      </c>
      <c r="F1479" s="7">
        <v>4.9829999999999997</v>
      </c>
      <c r="G1479" s="7">
        <v>5.0229999999999997</v>
      </c>
      <c r="H1479" s="7">
        <v>4.923</v>
      </c>
      <c r="I1479" s="7">
        <v>4.7880000000000003</v>
      </c>
      <c r="J1479" s="7">
        <v>4.7190000000000003</v>
      </c>
      <c r="K1479" s="7">
        <v>4.6879999999999997</v>
      </c>
      <c r="L1479" s="7">
        <v>4.6820000000000004</v>
      </c>
      <c r="M1479" s="7">
        <v>5.0199999999999996</v>
      </c>
      <c r="N1479" s="7">
        <v>5.4829999999999997</v>
      </c>
      <c r="O1479" s="7">
        <v>5.1159999999999997</v>
      </c>
      <c r="P1479" s="7">
        <v>5.194</v>
      </c>
      <c r="Q1479" s="7">
        <v>5.0869999999999997</v>
      </c>
      <c r="R1479" s="7">
        <v>5.0759999999999996</v>
      </c>
      <c r="S1479" s="7">
        <f t="shared" si="23"/>
        <v>4.98325</v>
      </c>
    </row>
    <row r="1480" spans="1:19">
      <c r="A1480" s="5" t="str">
        <f>B1480&amp;"-"&amp;COUNTIF($B$2:B1480,B1480)</f>
        <v>MATO GROSSO-134</v>
      </c>
      <c r="B1480" s="5" t="s">
        <v>991</v>
      </c>
      <c r="C1480" s="5" t="s">
        <v>1072</v>
      </c>
      <c r="D1480" s="6">
        <v>-535544</v>
      </c>
      <c r="E1480" s="6">
        <v>-160816</v>
      </c>
      <c r="F1480" s="7">
        <v>5.2480000000000002</v>
      </c>
      <c r="G1480" s="7">
        <v>5.53</v>
      </c>
      <c r="H1480" s="7">
        <v>5.5250000000000004</v>
      </c>
      <c r="I1480" s="7">
        <v>5.194</v>
      </c>
      <c r="J1480" s="7">
        <v>5.2350000000000003</v>
      </c>
      <c r="K1480" s="7">
        <v>4.8310000000000004</v>
      </c>
      <c r="L1480" s="7">
        <v>4.5860000000000003</v>
      </c>
      <c r="M1480" s="7">
        <v>4.7450000000000001</v>
      </c>
      <c r="N1480" s="7">
        <v>5.5389999999999997</v>
      </c>
      <c r="O1480" s="7">
        <v>5.3979999999999997</v>
      </c>
      <c r="P1480" s="7">
        <v>5.3559999999999999</v>
      </c>
      <c r="Q1480" s="7">
        <v>5.4850000000000003</v>
      </c>
      <c r="R1480" s="7">
        <v>5.5510000000000002</v>
      </c>
      <c r="S1480" s="7">
        <f t="shared" si="23"/>
        <v>5.2479166666666668</v>
      </c>
    </row>
    <row r="1481" spans="1:19">
      <c r="A1481" s="5" t="str">
        <f>B1481&amp;"-"&amp;COUNTIF($B$2:B1481,B1481)</f>
        <v>MATO GROSSO-135</v>
      </c>
      <c r="B1481" s="5" t="s">
        <v>991</v>
      </c>
      <c r="C1481" s="5" t="s">
        <v>4326</v>
      </c>
      <c r="D1481" s="6">
        <v>-525575</v>
      </c>
      <c r="E1481" s="6">
        <v>-16201</v>
      </c>
      <c r="F1481" s="7">
        <v>5.2759999999999998</v>
      </c>
      <c r="G1481" s="7">
        <v>5.5220000000000002</v>
      </c>
      <c r="H1481" s="7">
        <v>5.633</v>
      </c>
      <c r="I1481" s="7">
        <v>5.2489999999999997</v>
      </c>
      <c r="J1481" s="7">
        <v>5.319</v>
      </c>
      <c r="K1481" s="7">
        <v>4.8810000000000002</v>
      </c>
      <c r="L1481" s="7">
        <v>4.5490000000000004</v>
      </c>
      <c r="M1481" s="7">
        <v>4.67</v>
      </c>
      <c r="N1481" s="7">
        <v>5.4379999999999997</v>
      </c>
      <c r="O1481" s="7">
        <v>5.4240000000000004</v>
      </c>
      <c r="P1481" s="7">
        <v>5.4619999999999997</v>
      </c>
      <c r="Q1481" s="7">
        <v>5.5339999999999998</v>
      </c>
      <c r="R1481" s="7">
        <v>5.6289999999999996</v>
      </c>
      <c r="S1481" s="7">
        <f t="shared" si="23"/>
        <v>5.2758333333333338</v>
      </c>
    </row>
    <row r="1482" spans="1:19">
      <c r="A1482" s="5" t="str">
        <f>B1482&amp;"-"&amp;COUNTIF($B$2:B1482,B1482)</f>
        <v>MATO GROSSO-136</v>
      </c>
      <c r="B1482" s="5" t="s">
        <v>991</v>
      </c>
      <c r="C1482" s="5" t="s">
        <v>3989</v>
      </c>
      <c r="D1482" s="6">
        <v>-543686</v>
      </c>
      <c r="E1482" s="6">
        <v>-115302</v>
      </c>
      <c r="F1482" s="7">
        <v>5.0460000000000003</v>
      </c>
      <c r="G1482" s="7">
        <v>5.0430000000000001</v>
      </c>
      <c r="H1482" s="7">
        <v>5.0679999999999996</v>
      </c>
      <c r="I1482" s="7">
        <v>4.8520000000000003</v>
      </c>
      <c r="J1482" s="7">
        <v>4.9020000000000001</v>
      </c>
      <c r="K1482" s="7">
        <v>4.8390000000000004</v>
      </c>
      <c r="L1482" s="7">
        <v>4.7409999999999997</v>
      </c>
      <c r="M1482" s="7">
        <v>5.0999999999999996</v>
      </c>
      <c r="N1482" s="7">
        <v>5.4690000000000003</v>
      </c>
      <c r="O1482" s="7">
        <v>5.1630000000000003</v>
      </c>
      <c r="P1482" s="7">
        <v>5.1710000000000003</v>
      </c>
      <c r="Q1482" s="7">
        <v>5.07</v>
      </c>
      <c r="R1482" s="7">
        <v>5.1289999999999996</v>
      </c>
      <c r="S1482" s="7">
        <f t="shared" si="23"/>
        <v>5.045583333333334</v>
      </c>
    </row>
    <row r="1483" spans="1:19">
      <c r="A1483" s="5" t="str">
        <f>B1483&amp;"-"&amp;COUNTIF($B$2:B1483,B1483)</f>
        <v>MATO GROSSO-137</v>
      </c>
      <c r="B1483" s="5" t="s">
        <v>991</v>
      </c>
      <c r="C1483" s="5" t="s">
        <v>5571</v>
      </c>
      <c r="D1483" s="6">
        <v>-561327</v>
      </c>
      <c r="E1483" s="6">
        <v>-156462</v>
      </c>
      <c r="F1483" s="7">
        <v>5.1319999999999997</v>
      </c>
      <c r="G1483" s="7">
        <v>5.4969999999999999</v>
      </c>
      <c r="H1483" s="7">
        <v>5.3769999999999998</v>
      </c>
      <c r="I1483" s="7">
        <v>5.202</v>
      </c>
      <c r="J1483" s="7">
        <v>4.9429999999999996</v>
      </c>
      <c r="K1483" s="7">
        <v>4.4409999999999998</v>
      </c>
      <c r="L1483" s="7">
        <v>4.37</v>
      </c>
      <c r="M1483" s="7">
        <v>4.5279999999999996</v>
      </c>
      <c r="N1483" s="7">
        <v>5.4119999999999999</v>
      </c>
      <c r="O1483" s="7">
        <v>5.133</v>
      </c>
      <c r="P1483" s="7">
        <v>5.3170000000000002</v>
      </c>
      <c r="Q1483" s="7">
        <v>5.5839999999999996</v>
      </c>
      <c r="R1483" s="7">
        <v>5.7770000000000001</v>
      </c>
      <c r="S1483" s="7">
        <f t="shared" si="23"/>
        <v>5.1317500000000003</v>
      </c>
    </row>
    <row r="1484" spans="1:19">
      <c r="A1484" s="5" t="str">
        <f>B1484&amp;"-"&amp;COUNTIF($B$2:B1484,B1484)</f>
        <v>MATO GROSSO-138</v>
      </c>
      <c r="B1484" s="5" t="s">
        <v>991</v>
      </c>
      <c r="C1484" s="5" t="s">
        <v>3990</v>
      </c>
      <c r="D1484" s="6">
        <v>-590624</v>
      </c>
      <c r="E1484" s="6">
        <v>-152954</v>
      </c>
      <c r="F1484" s="7">
        <v>4.93</v>
      </c>
      <c r="G1484" s="7">
        <v>5.2729999999999997</v>
      </c>
      <c r="H1484" s="7">
        <v>5.0339999999999998</v>
      </c>
      <c r="I1484" s="7">
        <v>4.806</v>
      </c>
      <c r="J1484" s="7">
        <v>4.7290000000000001</v>
      </c>
      <c r="K1484" s="7">
        <v>4.1420000000000003</v>
      </c>
      <c r="L1484" s="7">
        <v>4.2720000000000002</v>
      </c>
      <c r="M1484" s="7">
        <v>4.3760000000000003</v>
      </c>
      <c r="N1484" s="7">
        <v>5.0419999999999998</v>
      </c>
      <c r="O1484" s="7">
        <v>5.0839999999999996</v>
      </c>
      <c r="P1484" s="7">
        <v>5.34</v>
      </c>
      <c r="Q1484" s="7">
        <v>5.5359999999999996</v>
      </c>
      <c r="R1484" s="7">
        <v>5.5209999999999999</v>
      </c>
      <c r="S1484" s="7">
        <f t="shared" si="23"/>
        <v>4.9295833333333334</v>
      </c>
    </row>
    <row r="1485" spans="1:19">
      <c r="A1485" s="5" t="str">
        <f>B1485&amp;"-"&amp;COUNTIF($B$2:B1485,B1485)</f>
        <v>MATO GROSSO-139</v>
      </c>
      <c r="B1485" s="5" t="s">
        <v>991</v>
      </c>
      <c r="C1485" s="5" t="s">
        <v>1073</v>
      </c>
      <c r="D1485" s="6">
        <v>-552969</v>
      </c>
      <c r="E1485" s="6">
        <v>-122891</v>
      </c>
      <c r="F1485" s="7">
        <v>5.0529999999999999</v>
      </c>
      <c r="G1485" s="7">
        <v>5.1369999999999996</v>
      </c>
      <c r="H1485" s="7">
        <v>5.0759999999999996</v>
      </c>
      <c r="I1485" s="7">
        <v>4.9409999999999998</v>
      </c>
      <c r="J1485" s="7">
        <v>4.9119999999999999</v>
      </c>
      <c r="K1485" s="7">
        <v>4.8129999999999997</v>
      </c>
      <c r="L1485" s="7">
        <v>4.6890000000000001</v>
      </c>
      <c r="M1485" s="7">
        <v>4.968</v>
      </c>
      <c r="N1485" s="7">
        <v>5.2969999999999997</v>
      </c>
      <c r="O1485" s="7">
        <v>5.0990000000000002</v>
      </c>
      <c r="P1485" s="7">
        <v>5.2640000000000002</v>
      </c>
      <c r="Q1485" s="7">
        <v>5.1440000000000001</v>
      </c>
      <c r="R1485" s="7">
        <v>5.298</v>
      </c>
      <c r="S1485" s="7">
        <f t="shared" si="23"/>
        <v>5.0531666666666668</v>
      </c>
    </row>
    <row r="1486" spans="1:19">
      <c r="A1486" s="5" t="str">
        <f>B1486&amp;"-"&amp;COUNTIF($B$2:B1486,B1486)</f>
        <v>MATO GROSSO-140</v>
      </c>
      <c r="B1486" s="5" t="s">
        <v>991</v>
      </c>
      <c r="C1486" s="5" t="s">
        <v>1074</v>
      </c>
      <c r="D1486" s="6">
        <v>-599477</v>
      </c>
      <c r="E1486" s="6">
        <v>-150044</v>
      </c>
      <c r="F1486" s="7">
        <v>4.8929999999999998</v>
      </c>
      <c r="G1486" s="7">
        <v>5.1210000000000004</v>
      </c>
      <c r="H1486" s="7">
        <v>4.9119999999999999</v>
      </c>
      <c r="I1486" s="7">
        <v>4.9029999999999996</v>
      </c>
      <c r="J1486" s="7">
        <v>4.7789999999999999</v>
      </c>
      <c r="K1486" s="7">
        <v>4.1890000000000001</v>
      </c>
      <c r="L1486" s="7">
        <v>4.2880000000000003</v>
      </c>
      <c r="M1486" s="7">
        <v>4.4370000000000003</v>
      </c>
      <c r="N1486" s="7">
        <v>5.0999999999999996</v>
      </c>
      <c r="O1486" s="7">
        <v>5.0309999999999997</v>
      </c>
      <c r="P1486" s="7">
        <v>5.2770000000000001</v>
      </c>
      <c r="Q1486" s="7">
        <v>5.39</v>
      </c>
      <c r="R1486" s="7">
        <v>5.2830000000000004</v>
      </c>
      <c r="S1486" s="7">
        <f t="shared" si="23"/>
        <v>4.8925000000000001</v>
      </c>
    </row>
    <row r="1487" spans="1:19">
      <c r="A1487" s="5" t="str">
        <f>B1487&amp;"-"&amp;COUNTIF($B$2:B1487,B1487)</f>
        <v>MATO GROSSO-141</v>
      </c>
      <c r="B1487" s="5" t="s">
        <v>991</v>
      </c>
      <c r="C1487" s="5" t="s">
        <v>1075</v>
      </c>
      <c r="D1487" s="6">
        <v>-51119</v>
      </c>
      <c r="E1487" s="6">
        <v>-100141</v>
      </c>
      <c r="F1487" s="7">
        <v>5.04</v>
      </c>
      <c r="G1487" s="7">
        <v>4.9509999999999996</v>
      </c>
      <c r="H1487" s="7">
        <v>4.9859999999999998</v>
      </c>
      <c r="I1487" s="7">
        <v>4.8209999999999997</v>
      </c>
      <c r="J1487" s="7">
        <v>4.7439999999999998</v>
      </c>
      <c r="K1487" s="7">
        <v>4.7569999999999997</v>
      </c>
      <c r="L1487" s="7">
        <v>4.9119999999999999</v>
      </c>
      <c r="M1487" s="7">
        <v>5.1379999999999999</v>
      </c>
      <c r="N1487" s="7">
        <v>5.6820000000000004</v>
      </c>
      <c r="O1487" s="7">
        <v>5.274</v>
      </c>
      <c r="P1487" s="7">
        <v>5.09</v>
      </c>
      <c r="Q1487" s="7">
        <v>4.9980000000000002</v>
      </c>
      <c r="R1487" s="7">
        <v>5.1239999999999997</v>
      </c>
      <c r="S1487" s="7">
        <f t="shared" si="23"/>
        <v>5.0397500000000006</v>
      </c>
    </row>
    <row r="1488" spans="1:19">
      <c r="A1488" s="5" t="str">
        <f>B1488&amp;"-"&amp;COUNTIF($B$2:B1488,B1488)</f>
        <v>MATO GROSSO DO SUL-1</v>
      </c>
      <c r="B1488" s="5" t="s">
        <v>1076</v>
      </c>
      <c r="C1488" s="5" t="s">
        <v>1077</v>
      </c>
      <c r="D1488" s="6">
        <v>-528794</v>
      </c>
      <c r="E1488" s="6">
        <v>-204457</v>
      </c>
      <c r="F1488" s="7">
        <v>5.0979999999999999</v>
      </c>
      <c r="G1488" s="7">
        <v>5.718</v>
      </c>
      <c r="H1488" s="7">
        <v>5.8849999999999998</v>
      </c>
      <c r="I1488" s="7">
        <v>5.4459999999999997</v>
      </c>
      <c r="J1488" s="7">
        <v>4.8460000000000001</v>
      </c>
      <c r="K1488" s="7">
        <v>4.0970000000000004</v>
      </c>
      <c r="L1488" s="7">
        <v>3.8140000000000001</v>
      </c>
      <c r="M1488" s="7">
        <v>4.016</v>
      </c>
      <c r="N1488" s="7">
        <v>4.8659999999999997</v>
      </c>
      <c r="O1488" s="7">
        <v>4.984</v>
      </c>
      <c r="P1488" s="7">
        <v>5.4269999999999996</v>
      </c>
      <c r="Q1488" s="7">
        <v>5.843</v>
      </c>
      <c r="R1488" s="7">
        <v>6.2309999999999999</v>
      </c>
      <c r="S1488" s="7">
        <f t="shared" si="23"/>
        <v>5.0977500000000004</v>
      </c>
    </row>
    <row r="1489" spans="1:19">
      <c r="A1489" s="5" t="str">
        <f>B1489&amp;"-"&amp;COUNTIF($B$2:B1489,B1489)</f>
        <v>MATO GROSSO DO SUL-2</v>
      </c>
      <c r="B1489" s="5" t="s">
        <v>1076</v>
      </c>
      <c r="C1489" s="5" t="s">
        <v>5101</v>
      </c>
      <c r="D1489" s="6">
        <v>-537047</v>
      </c>
      <c r="E1489" s="6">
        <v>-18326</v>
      </c>
      <c r="F1489" s="7">
        <v>5.2309999999999999</v>
      </c>
      <c r="G1489" s="7">
        <v>5.6449999999999996</v>
      </c>
      <c r="H1489" s="7">
        <v>5.7850000000000001</v>
      </c>
      <c r="I1489" s="7">
        <v>5.4470000000000001</v>
      </c>
      <c r="J1489" s="7">
        <v>5.093</v>
      </c>
      <c r="K1489" s="7">
        <v>4.5060000000000002</v>
      </c>
      <c r="L1489" s="7">
        <v>4.2149999999999999</v>
      </c>
      <c r="M1489" s="7">
        <v>4.3659999999999997</v>
      </c>
      <c r="N1489" s="7">
        <v>5.2069999999999999</v>
      </c>
      <c r="O1489" s="7">
        <v>5.2350000000000003</v>
      </c>
      <c r="P1489" s="7">
        <v>5.5049999999999999</v>
      </c>
      <c r="Q1489" s="7">
        <v>5.8070000000000004</v>
      </c>
      <c r="R1489" s="7">
        <v>5.96</v>
      </c>
      <c r="S1489" s="7">
        <f t="shared" si="23"/>
        <v>5.2309166666666673</v>
      </c>
    </row>
    <row r="1490" spans="1:19">
      <c r="A1490" s="5" t="str">
        <f>B1490&amp;"-"&amp;COUNTIF($B$2:B1490,B1490)</f>
        <v>MATO GROSSO DO SUL-3</v>
      </c>
      <c r="B1490" s="5" t="s">
        <v>1076</v>
      </c>
      <c r="C1490" s="5" t="s">
        <v>1078</v>
      </c>
      <c r="D1490" s="6">
        <v>-552258</v>
      </c>
      <c r="E1490" s="6">
        <v>-231062</v>
      </c>
      <c r="F1490" s="7">
        <v>4.7949999999999999</v>
      </c>
      <c r="G1490" s="7">
        <v>5.915</v>
      </c>
      <c r="H1490" s="7">
        <v>5.5839999999999996</v>
      </c>
      <c r="I1490" s="7">
        <v>5.2270000000000003</v>
      </c>
      <c r="J1490" s="7">
        <v>4.3639999999999999</v>
      </c>
      <c r="K1490" s="7">
        <v>3.4769999999999999</v>
      </c>
      <c r="L1490" s="7">
        <v>3.1709999999999998</v>
      </c>
      <c r="M1490" s="7">
        <v>3.3069999999999999</v>
      </c>
      <c r="N1490" s="7">
        <v>4.3360000000000003</v>
      </c>
      <c r="O1490" s="7">
        <v>4.5890000000000004</v>
      </c>
      <c r="P1490" s="7">
        <v>5.2910000000000004</v>
      </c>
      <c r="Q1490" s="7">
        <v>5.87</v>
      </c>
      <c r="R1490" s="7">
        <v>6.4139999999999997</v>
      </c>
      <c r="S1490" s="7">
        <f t="shared" si="23"/>
        <v>4.7954166666666662</v>
      </c>
    </row>
    <row r="1491" spans="1:19">
      <c r="A1491" s="5" t="str">
        <f>B1491&amp;"-"&amp;COUNTIF($B$2:B1491,B1491)</f>
        <v>MATO GROSSO DO SUL-4</v>
      </c>
      <c r="B1491" s="5" t="s">
        <v>1076</v>
      </c>
      <c r="C1491" s="5" t="s">
        <v>5572</v>
      </c>
      <c r="D1491" s="6">
        <v>-558108</v>
      </c>
      <c r="E1491" s="6">
        <v>-204827</v>
      </c>
      <c r="F1491" s="7">
        <v>5.0629999999999997</v>
      </c>
      <c r="G1491" s="7">
        <v>5.82</v>
      </c>
      <c r="H1491" s="7">
        <v>5.851</v>
      </c>
      <c r="I1491" s="7">
        <v>5.4029999999999996</v>
      </c>
      <c r="J1491" s="7">
        <v>4.8159999999999998</v>
      </c>
      <c r="K1491" s="7">
        <v>3.923</v>
      </c>
      <c r="L1491" s="7">
        <v>3.6579999999999999</v>
      </c>
      <c r="M1491" s="7">
        <v>3.8170000000000002</v>
      </c>
      <c r="N1491" s="7">
        <v>4.6589999999999998</v>
      </c>
      <c r="O1491" s="7">
        <v>4.8470000000000004</v>
      </c>
      <c r="P1491" s="7">
        <v>5.5579999999999998</v>
      </c>
      <c r="Q1491" s="7">
        <v>6.0640000000000001</v>
      </c>
      <c r="R1491" s="7">
        <v>6.34</v>
      </c>
      <c r="S1491" s="7">
        <f t="shared" si="23"/>
        <v>5.0629999999999997</v>
      </c>
    </row>
    <row r="1492" spans="1:19">
      <c r="A1492" s="5" t="str">
        <f>B1492&amp;"-"&amp;COUNTIF($B$2:B1492,B1492)</f>
        <v>MATO GROSSO DO SUL-5</v>
      </c>
      <c r="B1492" s="5" t="s">
        <v>1076</v>
      </c>
      <c r="C1492" s="5" t="s">
        <v>4953</v>
      </c>
      <c r="D1492" s="6">
        <v>-527195</v>
      </c>
      <c r="E1492" s="6">
        <v>-221856</v>
      </c>
      <c r="F1492" s="7">
        <v>5.0030000000000001</v>
      </c>
      <c r="G1492" s="7">
        <v>5.9020000000000001</v>
      </c>
      <c r="H1492" s="7">
        <v>5.8380000000000001</v>
      </c>
      <c r="I1492" s="7">
        <v>5.41</v>
      </c>
      <c r="J1492" s="7">
        <v>4.7370000000000001</v>
      </c>
      <c r="K1492" s="7">
        <v>3.8250000000000002</v>
      </c>
      <c r="L1492" s="7">
        <v>3.44</v>
      </c>
      <c r="M1492" s="7">
        <v>3.64</v>
      </c>
      <c r="N1492" s="7">
        <v>4.5449999999999999</v>
      </c>
      <c r="O1492" s="7">
        <v>4.798</v>
      </c>
      <c r="P1492" s="7">
        <v>5.4539999999999997</v>
      </c>
      <c r="Q1492" s="7">
        <v>6.032</v>
      </c>
      <c r="R1492" s="7">
        <v>6.4180000000000001</v>
      </c>
      <c r="S1492" s="7">
        <f t="shared" si="23"/>
        <v>5.0032500000000004</v>
      </c>
    </row>
    <row r="1493" spans="1:19">
      <c r="A1493" s="5" t="str">
        <f>B1493&amp;"-"&amp;COUNTIF($B$2:B1493,B1493)</f>
        <v>MATO GROSSO DO SUL-6</v>
      </c>
      <c r="B1493" s="5" t="s">
        <v>1076</v>
      </c>
      <c r="C1493" s="5" t="s">
        <v>4327</v>
      </c>
      <c r="D1493" s="6">
        <v>-537712</v>
      </c>
      <c r="E1493" s="6">
        <v>-221531</v>
      </c>
      <c r="F1493" s="7">
        <v>4.976</v>
      </c>
      <c r="G1493" s="7">
        <v>5.8479999999999999</v>
      </c>
      <c r="H1493" s="7">
        <v>5.8330000000000002</v>
      </c>
      <c r="I1493" s="7">
        <v>5.3940000000000001</v>
      </c>
      <c r="J1493" s="7">
        <v>4.6619999999999999</v>
      </c>
      <c r="K1493" s="7">
        <v>3.76</v>
      </c>
      <c r="L1493" s="7">
        <v>3.4140000000000001</v>
      </c>
      <c r="M1493" s="7">
        <v>3.5960000000000001</v>
      </c>
      <c r="N1493" s="7">
        <v>4.5350000000000001</v>
      </c>
      <c r="O1493" s="7">
        <v>4.7640000000000002</v>
      </c>
      <c r="P1493" s="7">
        <v>5.423</v>
      </c>
      <c r="Q1493" s="7">
        <v>6.0279999999999996</v>
      </c>
      <c r="R1493" s="7">
        <v>6.4539999999999997</v>
      </c>
      <c r="S1493" s="7">
        <f t="shared" si="23"/>
        <v>4.9759166666666674</v>
      </c>
    </row>
    <row r="1494" spans="1:19">
      <c r="A1494" s="5" t="str">
        <f>B1494&amp;"-"&amp;COUNTIF($B$2:B1494,B1494)</f>
        <v>MATO GROSSO DO SUL-7</v>
      </c>
      <c r="B1494" s="5" t="s">
        <v>1076</v>
      </c>
      <c r="C1494" s="5" t="s">
        <v>4549</v>
      </c>
      <c r="D1494" s="6">
        <v>-559479</v>
      </c>
      <c r="E1494" s="6">
        <v>-22191</v>
      </c>
      <c r="F1494" s="7">
        <v>4.8840000000000003</v>
      </c>
      <c r="G1494" s="7">
        <v>6.0010000000000003</v>
      </c>
      <c r="H1494" s="7">
        <v>5.6589999999999998</v>
      </c>
      <c r="I1494" s="7">
        <v>5.3150000000000004</v>
      </c>
      <c r="J1494" s="7">
        <v>4.5380000000000003</v>
      </c>
      <c r="K1494" s="7">
        <v>3.6160000000000001</v>
      </c>
      <c r="L1494" s="7">
        <v>3.3439999999999999</v>
      </c>
      <c r="M1494" s="7">
        <v>3.423</v>
      </c>
      <c r="N1494" s="7">
        <v>4.452</v>
      </c>
      <c r="O1494" s="7">
        <v>4.7050000000000001</v>
      </c>
      <c r="P1494" s="7">
        <v>5.3920000000000003</v>
      </c>
      <c r="Q1494" s="7">
        <v>5.8810000000000002</v>
      </c>
      <c r="R1494" s="7">
        <v>6.282</v>
      </c>
      <c r="S1494" s="7">
        <f t="shared" si="23"/>
        <v>4.8840000000000003</v>
      </c>
    </row>
    <row r="1495" spans="1:19">
      <c r="A1495" s="5" t="str">
        <f>B1495&amp;"-"&amp;COUNTIF($B$2:B1495,B1495)</f>
        <v>MATO GROSSO DO SUL-8</v>
      </c>
      <c r="B1495" s="5" t="s">
        <v>1076</v>
      </c>
      <c r="C1495" s="5" t="s">
        <v>1079</v>
      </c>
      <c r="D1495" s="6">
        <v>-510966</v>
      </c>
      <c r="E1495" s="6">
        <v>-200877</v>
      </c>
      <c r="F1495" s="7">
        <v>5.1859999999999999</v>
      </c>
      <c r="G1495" s="7">
        <v>5.7649999999999997</v>
      </c>
      <c r="H1495" s="7">
        <v>5.9669999999999996</v>
      </c>
      <c r="I1495" s="7">
        <v>5.4329999999999998</v>
      </c>
      <c r="J1495" s="7">
        <v>4.976</v>
      </c>
      <c r="K1495" s="7">
        <v>4.2279999999999998</v>
      </c>
      <c r="L1495" s="7">
        <v>3.9049999999999998</v>
      </c>
      <c r="M1495" s="7">
        <v>4.0970000000000004</v>
      </c>
      <c r="N1495" s="7">
        <v>4.9829999999999997</v>
      </c>
      <c r="O1495" s="7">
        <v>4.9669999999999996</v>
      </c>
      <c r="P1495" s="7">
        <v>5.6219999999999999</v>
      </c>
      <c r="Q1495" s="7">
        <v>5.9930000000000003</v>
      </c>
      <c r="R1495" s="7">
        <v>6.2880000000000003</v>
      </c>
      <c r="S1495" s="7">
        <f t="shared" si="23"/>
        <v>5.1853333333333333</v>
      </c>
    </row>
    <row r="1496" spans="1:19">
      <c r="A1496" s="5" t="str">
        <f>B1496&amp;"-"&amp;COUNTIF($B$2:B1496,B1496)</f>
        <v>MATO GROSSO DO SUL-9</v>
      </c>
      <c r="B1496" s="5" t="s">
        <v>1076</v>
      </c>
      <c r="C1496" s="5" t="s">
        <v>1080</v>
      </c>
      <c r="D1496" s="6">
        <v>-557872</v>
      </c>
      <c r="E1496" s="6">
        <v>-20467</v>
      </c>
      <c r="F1496" s="7">
        <v>5.0529999999999999</v>
      </c>
      <c r="G1496" s="7">
        <v>5.82</v>
      </c>
      <c r="H1496" s="7">
        <v>5.7320000000000002</v>
      </c>
      <c r="I1496" s="7">
        <v>5.4059999999999997</v>
      </c>
      <c r="J1496" s="7">
        <v>4.82</v>
      </c>
      <c r="K1496" s="7">
        <v>3.9049999999999998</v>
      </c>
      <c r="L1496" s="7">
        <v>3.6640000000000001</v>
      </c>
      <c r="M1496" s="7">
        <v>3.8180000000000001</v>
      </c>
      <c r="N1496" s="7">
        <v>4.6769999999999996</v>
      </c>
      <c r="O1496" s="7">
        <v>4.8630000000000004</v>
      </c>
      <c r="P1496" s="7">
        <v>5.53</v>
      </c>
      <c r="Q1496" s="7">
        <v>6.069</v>
      </c>
      <c r="R1496" s="7">
        <v>6.335</v>
      </c>
      <c r="S1496" s="7">
        <f t="shared" si="23"/>
        <v>5.0532500000000002</v>
      </c>
    </row>
    <row r="1497" spans="1:19">
      <c r="A1497" s="5" t="str">
        <f>B1497&amp;"-"&amp;COUNTIF($B$2:B1497,B1497)</f>
        <v>MATO GROSSO DO SUL-10</v>
      </c>
      <c r="B1497" s="5" t="s">
        <v>1076</v>
      </c>
      <c r="C1497" s="5" t="s">
        <v>1081</v>
      </c>
      <c r="D1497" s="6">
        <v>-556322</v>
      </c>
      <c r="E1497" s="6">
        <v>-229427</v>
      </c>
      <c r="F1497" s="7">
        <v>4.8010000000000002</v>
      </c>
      <c r="G1497" s="7">
        <v>5.9740000000000002</v>
      </c>
      <c r="H1497" s="7">
        <v>5.6210000000000004</v>
      </c>
      <c r="I1497" s="7">
        <v>5.2969999999999997</v>
      </c>
      <c r="J1497" s="7">
        <v>4.3840000000000003</v>
      </c>
      <c r="K1497" s="7">
        <v>3.45</v>
      </c>
      <c r="L1497" s="7">
        <v>3.157</v>
      </c>
      <c r="M1497" s="7">
        <v>3.2589999999999999</v>
      </c>
      <c r="N1497" s="7">
        <v>4.3040000000000003</v>
      </c>
      <c r="O1497" s="7">
        <v>4.6029999999999998</v>
      </c>
      <c r="P1497" s="7">
        <v>5.3170000000000002</v>
      </c>
      <c r="Q1497" s="7">
        <v>5.9039999999999999</v>
      </c>
      <c r="R1497" s="7">
        <v>6.3470000000000004</v>
      </c>
      <c r="S1497" s="7">
        <f t="shared" si="23"/>
        <v>4.8014166666666664</v>
      </c>
    </row>
    <row r="1498" spans="1:19">
      <c r="A1498" s="5" t="str">
        <f>B1498&amp;"-"&amp;COUNTIF($B$2:B1498,B1498)</f>
        <v>MATO GROSSO DO SUL-11</v>
      </c>
      <c r="B1498" s="5" t="s">
        <v>1076</v>
      </c>
      <c r="C1498" s="5" t="s">
        <v>1082</v>
      </c>
      <c r="D1498" s="6">
        <v>-54364</v>
      </c>
      <c r="E1498" s="6">
        <v>-199214</v>
      </c>
      <c r="F1498" s="7">
        <v>5.03</v>
      </c>
      <c r="G1498" s="7">
        <v>5.6349999999999998</v>
      </c>
      <c r="H1498" s="7">
        <v>5.5759999999999996</v>
      </c>
      <c r="I1498" s="7">
        <v>5.2549999999999999</v>
      </c>
      <c r="J1498" s="7">
        <v>4.8250000000000002</v>
      </c>
      <c r="K1498" s="7">
        <v>4.1079999999999997</v>
      </c>
      <c r="L1498" s="7">
        <v>3.8679999999999999</v>
      </c>
      <c r="M1498" s="7">
        <v>4.0549999999999997</v>
      </c>
      <c r="N1498" s="7">
        <v>4.8410000000000002</v>
      </c>
      <c r="O1498" s="7">
        <v>4.968</v>
      </c>
      <c r="P1498" s="7">
        <v>5.4119999999999999</v>
      </c>
      <c r="Q1498" s="7">
        <v>5.7750000000000004</v>
      </c>
      <c r="R1498" s="7">
        <v>6.0449999999999999</v>
      </c>
      <c r="S1498" s="7">
        <f t="shared" si="23"/>
        <v>5.0302499999999997</v>
      </c>
    </row>
    <row r="1499" spans="1:19">
      <c r="A1499" s="5" t="str">
        <f>B1499&amp;"-"&amp;COUNTIF($B$2:B1499,B1499)</f>
        <v>MATO GROSSO DO SUL-12</v>
      </c>
      <c r="B1499" s="5" t="s">
        <v>1076</v>
      </c>
      <c r="C1499" s="5" t="s">
        <v>1083</v>
      </c>
      <c r="D1499" s="6">
        <v>-524225</v>
      </c>
      <c r="E1499" s="6">
        <v>-217164</v>
      </c>
      <c r="F1499" s="7">
        <v>5.0670000000000002</v>
      </c>
      <c r="G1499" s="7">
        <v>5.83</v>
      </c>
      <c r="H1499" s="7">
        <v>5.9169999999999998</v>
      </c>
      <c r="I1499" s="7">
        <v>5.4429999999999996</v>
      </c>
      <c r="J1499" s="7">
        <v>4.798</v>
      </c>
      <c r="K1499" s="7">
        <v>3.964</v>
      </c>
      <c r="L1499" s="7">
        <v>3.5870000000000002</v>
      </c>
      <c r="M1499" s="7">
        <v>3.7490000000000001</v>
      </c>
      <c r="N1499" s="7">
        <v>4.726</v>
      </c>
      <c r="O1499" s="7">
        <v>4.8170000000000002</v>
      </c>
      <c r="P1499" s="7">
        <v>5.4589999999999996</v>
      </c>
      <c r="Q1499" s="7">
        <v>6.1040000000000001</v>
      </c>
      <c r="R1499" s="7">
        <v>6.41</v>
      </c>
      <c r="S1499" s="7">
        <f t="shared" si="23"/>
        <v>5.0669999999999993</v>
      </c>
    </row>
    <row r="1500" spans="1:19">
      <c r="A1500" s="5" t="str">
        <f>B1500&amp;"-"&amp;COUNTIF($B$2:B1500,B1500)</f>
        <v>MATO GROSSO DO SUL-13</v>
      </c>
      <c r="B1500" s="5" t="s">
        <v>1076</v>
      </c>
      <c r="C1500" s="5" t="s">
        <v>5366</v>
      </c>
      <c r="D1500" s="6">
        <v>-532709</v>
      </c>
      <c r="E1500" s="6">
        <v>-222949</v>
      </c>
      <c r="F1500" s="7">
        <v>4.9809999999999999</v>
      </c>
      <c r="G1500" s="7">
        <v>5.9050000000000002</v>
      </c>
      <c r="H1500" s="7">
        <v>5.8250000000000002</v>
      </c>
      <c r="I1500" s="7">
        <v>5.37</v>
      </c>
      <c r="J1500" s="7">
        <v>4.681</v>
      </c>
      <c r="K1500" s="7">
        <v>3.774</v>
      </c>
      <c r="L1500" s="7">
        <v>3.4159999999999999</v>
      </c>
      <c r="M1500" s="7">
        <v>3.59</v>
      </c>
      <c r="N1500" s="7">
        <v>4.5309999999999997</v>
      </c>
      <c r="O1500" s="7">
        <v>4.7869999999999999</v>
      </c>
      <c r="P1500" s="7">
        <v>5.4390000000000001</v>
      </c>
      <c r="Q1500" s="7">
        <v>6.0570000000000004</v>
      </c>
      <c r="R1500" s="7">
        <v>6.3940000000000001</v>
      </c>
      <c r="S1500" s="7">
        <f t="shared" si="23"/>
        <v>4.9807500000000005</v>
      </c>
    </row>
    <row r="1501" spans="1:19">
      <c r="A1501" s="5" t="str">
        <f>B1501&amp;"-"&amp;COUNTIF($B$2:B1501,B1501)</f>
        <v>MATO GROSSO DO SUL-14</v>
      </c>
      <c r="B1501" s="5" t="s">
        <v>1076</v>
      </c>
      <c r="C1501" s="5" t="s">
        <v>1084</v>
      </c>
      <c r="D1501" s="6">
        <v>-565267</v>
      </c>
      <c r="E1501" s="6">
        <v>-221078</v>
      </c>
      <c r="F1501" s="7">
        <v>4.87</v>
      </c>
      <c r="G1501" s="7">
        <v>6.0970000000000004</v>
      </c>
      <c r="H1501" s="7">
        <v>5.71</v>
      </c>
      <c r="I1501" s="7">
        <v>5.2949999999999999</v>
      </c>
      <c r="J1501" s="7">
        <v>4.55</v>
      </c>
      <c r="K1501" s="7">
        <v>3.5579999999999998</v>
      </c>
      <c r="L1501" s="7">
        <v>3.2229999999999999</v>
      </c>
      <c r="M1501" s="7">
        <v>3.32</v>
      </c>
      <c r="N1501" s="7">
        <v>4.3129999999999997</v>
      </c>
      <c r="O1501" s="7">
        <v>4.6379999999999999</v>
      </c>
      <c r="P1501" s="7">
        <v>5.3819999999999997</v>
      </c>
      <c r="Q1501" s="7">
        <v>5.9550000000000001</v>
      </c>
      <c r="R1501" s="7">
        <v>6.4009999999999998</v>
      </c>
      <c r="S1501" s="7">
        <f t="shared" si="23"/>
        <v>4.8701666666666661</v>
      </c>
    </row>
    <row r="1502" spans="1:19">
      <c r="A1502" s="5" t="str">
        <f>B1502&amp;"-"&amp;COUNTIF($B$2:B1502,B1502)</f>
        <v>MATO GROSSO DO SUL-15</v>
      </c>
      <c r="B1502" s="5" t="s">
        <v>1076</v>
      </c>
      <c r="C1502" s="5" t="s">
        <v>1085</v>
      </c>
      <c r="D1502" s="6">
        <v>-566749</v>
      </c>
      <c r="E1502" s="6">
        <v>-205519</v>
      </c>
      <c r="F1502" s="7">
        <v>4.9450000000000003</v>
      </c>
      <c r="G1502" s="7">
        <v>5.7850000000000001</v>
      </c>
      <c r="H1502" s="7">
        <v>5.5759999999999996</v>
      </c>
      <c r="I1502" s="7">
        <v>5.3209999999999997</v>
      </c>
      <c r="J1502" s="7">
        <v>4.7670000000000003</v>
      </c>
      <c r="K1502" s="7">
        <v>3.7650000000000001</v>
      </c>
      <c r="L1502" s="7">
        <v>3.5590000000000002</v>
      </c>
      <c r="M1502" s="7">
        <v>3.702</v>
      </c>
      <c r="N1502" s="7">
        <v>4.5819999999999999</v>
      </c>
      <c r="O1502" s="7">
        <v>4.798</v>
      </c>
      <c r="P1502" s="7">
        <v>5.4489999999999998</v>
      </c>
      <c r="Q1502" s="7">
        <v>5.8780000000000001</v>
      </c>
      <c r="R1502" s="7">
        <v>6.1589999999999998</v>
      </c>
      <c r="S1502" s="7">
        <f t="shared" si="23"/>
        <v>4.9450833333333337</v>
      </c>
    </row>
    <row r="1503" spans="1:19">
      <c r="A1503" s="5" t="str">
        <f>B1503&amp;"-"&amp;COUNTIF($B$2:B1503,B1503)</f>
        <v>MATO GROSSO DO SUL-16</v>
      </c>
      <c r="B1503" s="5" t="s">
        <v>1076</v>
      </c>
      <c r="C1503" s="5" t="s">
        <v>335</v>
      </c>
      <c r="D1503" s="6">
        <v>-56484</v>
      </c>
      <c r="E1503" s="6">
        <v>-211265</v>
      </c>
      <c r="F1503" s="7">
        <v>4.9249999999999998</v>
      </c>
      <c r="G1503" s="7">
        <v>5.819</v>
      </c>
      <c r="H1503" s="7">
        <v>5.63</v>
      </c>
      <c r="I1503" s="7">
        <v>5.3049999999999997</v>
      </c>
      <c r="J1503" s="7">
        <v>4.694</v>
      </c>
      <c r="K1503" s="7">
        <v>3.7370000000000001</v>
      </c>
      <c r="L1503" s="7">
        <v>3.4649999999999999</v>
      </c>
      <c r="M1503" s="7">
        <v>3.633</v>
      </c>
      <c r="N1503" s="7">
        <v>4.5369999999999999</v>
      </c>
      <c r="O1503" s="7">
        <v>4.766</v>
      </c>
      <c r="P1503" s="7">
        <v>5.4</v>
      </c>
      <c r="Q1503" s="7">
        <v>5.9560000000000004</v>
      </c>
      <c r="R1503" s="7">
        <v>6.16</v>
      </c>
      <c r="S1503" s="7">
        <f t="shared" si="23"/>
        <v>4.9251666666666658</v>
      </c>
    </row>
    <row r="1504" spans="1:19">
      <c r="A1504" s="5" t="str">
        <f>B1504&amp;"-"&amp;COUNTIF($B$2:B1504,B1504)</f>
        <v>MATO GROSSO DO SUL-17</v>
      </c>
      <c r="B1504" s="5" t="s">
        <v>1076</v>
      </c>
      <c r="C1504" s="5" t="s">
        <v>4954</v>
      </c>
      <c r="D1504" s="6">
        <v>-520369</v>
      </c>
      <c r="E1504" s="6">
        <v>-212549</v>
      </c>
      <c r="F1504" s="7">
        <v>5.1180000000000003</v>
      </c>
      <c r="G1504" s="7">
        <v>5.8470000000000004</v>
      </c>
      <c r="H1504" s="7">
        <v>5.9560000000000004</v>
      </c>
      <c r="I1504" s="7">
        <v>5.4240000000000004</v>
      </c>
      <c r="J1504" s="7">
        <v>4.851</v>
      </c>
      <c r="K1504" s="7">
        <v>4.0629999999999997</v>
      </c>
      <c r="L1504" s="7">
        <v>3.72</v>
      </c>
      <c r="M1504" s="7">
        <v>3.875</v>
      </c>
      <c r="N1504" s="7">
        <v>4.8099999999999996</v>
      </c>
      <c r="O1504" s="7">
        <v>4.93</v>
      </c>
      <c r="P1504" s="7">
        <v>5.5759999999999996</v>
      </c>
      <c r="Q1504" s="7">
        <v>6.0209999999999999</v>
      </c>
      <c r="R1504" s="7">
        <v>6.3410000000000002</v>
      </c>
      <c r="S1504" s="7">
        <f t="shared" si="23"/>
        <v>5.1178333333333335</v>
      </c>
    </row>
    <row r="1505" spans="1:19">
      <c r="A1505" s="5" t="str">
        <f>B1505&amp;"-"&amp;COUNTIF($B$2:B1505,B1505)</f>
        <v>MATO GROSSO DO SUL-18</v>
      </c>
      <c r="B1505" s="5" t="s">
        <v>1076</v>
      </c>
      <c r="C1505" s="5" t="s">
        <v>5102</v>
      </c>
      <c r="D1505" s="6">
        <v>-548214</v>
      </c>
      <c r="E1505" s="6">
        <v>-226372</v>
      </c>
      <c r="F1505" s="7">
        <v>4.88</v>
      </c>
      <c r="G1505" s="7">
        <v>5.899</v>
      </c>
      <c r="H1505" s="7">
        <v>5.726</v>
      </c>
      <c r="I1505" s="7">
        <v>5.31</v>
      </c>
      <c r="J1505" s="7">
        <v>4.4779999999999998</v>
      </c>
      <c r="K1505" s="7">
        <v>3.6349999999999998</v>
      </c>
      <c r="L1505" s="7">
        <v>3.3130000000000002</v>
      </c>
      <c r="M1505" s="7">
        <v>3.4279999999999999</v>
      </c>
      <c r="N1505" s="7">
        <v>4.4210000000000003</v>
      </c>
      <c r="O1505" s="7">
        <v>4.6820000000000004</v>
      </c>
      <c r="P1505" s="7">
        <v>5.343</v>
      </c>
      <c r="Q1505" s="7">
        <v>5.9459999999999997</v>
      </c>
      <c r="R1505" s="7">
        <v>6.3730000000000002</v>
      </c>
      <c r="S1505" s="7">
        <f t="shared" si="23"/>
        <v>4.8794999999999993</v>
      </c>
    </row>
    <row r="1506" spans="1:19">
      <c r="A1506" s="5" t="str">
        <f>B1506&amp;"-"&amp;COUNTIF($B$2:B1506,B1506)</f>
        <v>MATO GROSSO DO SUL-19</v>
      </c>
      <c r="B1506" s="5" t="s">
        <v>1076</v>
      </c>
      <c r="C1506" s="5" t="s">
        <v>5367</v>
      </c>
      <c r="D1506" s="6">
        <v>-540435</v>
      </c>
      <c r="E1506" s="6">
        <v>-195351</v>
      </c>
      <c r="F1506" s="7">
        <v>5.15</v>
      </c>
      <c r="G1506" s="7">
        <v>5.6840000000000002</v>
      </c>
      <c r="H1506" s="7">
        <v>5.8250000000000002</v>
      </c>
      <c r="I1506" s="7">
        <v>5.4180000000000001</v>
      </c>
      <c r="J1506" s="7">
        <v>4.9349999999999996</v>
      </c>
      <c r="K1506" s="7">
        <v>4.2039999999999997</v>
      </c>
      <c r="L1506" s="7">
        <v>4.0419999999999998</v>
      </c>
      <c r="M1506" s="7">
        <v>4.1689999999999996</v>
      </c>
      <c r="N1506" s="7">
        <v>4.952</v>
      </c>
      <c r="O1506" s="7">
        <v>5.0949999999999998</v>
      </c>
      <c r="P1506" s="7">
        <v>5.5369999999999999</v>
      </c>
      <c r="Q1506" s="7">
        <v>5.8639999999999999</v>
      </c>
      <c r="R1506" s="7">
        <v>6.069</v>
      </c>
      <c r="S1506" s="7">
        <f t="shared" si="23"/>
        <v>5.1494999999999989</v>
      </c>
    </row>
    <row r="1507" spans="1:19">
      <c r="A1507" s="5" t="str">
        <f>B1507&amp;"-"&amp;COUNTIF($B$2:B1507,B1507)</f>
        <v>MATO GROSSO DO SUL-20</v>
      </c>
      <c r="B1507" s="5" t="s">
        <v>1076</v>
      </c>
      <c r="C1507" s="5" t="s">
        <v>113</v>
      </c>
      <c r="D1507" s="6">
        <v>-546303</v>
      </c>
      <c r="E1507" s="6">
        <v>-204495</v>
      </c>
      <c r="F1507" s="7">
        <v>5.0309999999999997</v>
      </c>
      <c r="G1507" s="7">
        <v>5.6520000000000001</v>
      </c>
      <c r="H1507" s="7">
        <v>5.6740000000000004</v>
      </c>
      <c r="I1507" s="7">
        <v>5.3440000000000003</v>
      </c>
      <c r="J1507" s="7">
        <v>4.8179999999999996</v>
      </c>
      <c r="K1507" s="7">
        <v>4.0270000000000001</v>
      </c>
      <c r="L1507" s="7">
        <v>3.7650000000000001</v>
      </c>
      <c r="M1507" s="7">
        <v>3.92</v>
      </c>
      <c r="N1507" s="7">
        <v>4.8109999999999999</v>
      </c>
      <c r="O1507" s="7">
        <v>4.9169999999999998</v>
      </c>
      <c r="P1507" s="7">
        <v>5.423</v>
      </c>
      <c r="Q1507" s="7">
        <v>5.9180000000000001</v>
      </c>
      <c r="R1507" s="7">
        <v>6.1020000000000003</v>
      </c>
      <c r="S1507" s="7">
        <f t="shared" si="23"/>
        <v>5.0309166666666671</v>
      </c>
    </row>
    <row r="1508" spans="1:19">
      <c r="A1508" s="5" t="str">
        <f>B1508&amp;"-"&amp;COUNTIF($B$2:B1508,B1508)</f>
        <v>MATO GROSSO DO SUL-21</v>
      </c>
      <c r="B1508" s="5" t="s">
        <v>1076</v>
      </c>
      <c r="C1508" s="5" t="s">
        <v>1086</v>
      </c>
      <c r="D1508" s="6">
        <v>-570281</v>
      </c>
      <c r="E1508" s="6">
        <v>-220115</v>
      </c>
      <c r="F1508" s="7">
        <v>4.8730000000000002</v>
      </c>
      <c r="G1508" s="7">
        <v>6.07</v>
      </c>
      <c r="H1508" s="7">
        <v>5.6740000000000004</v>
      </c>
      <c r="I1508" s="7">
        <v>5.2930000000000001</v>
      </c>
      <c r="J1508" s="7">
        <v>4.5650000000000004</v>
      </c>
      <c r="K1508" s="7">
        <v>3.5640000000000001</v>
      </c>
      <c r="L1508" s="7">
        <v>3.1890000000000001</v>
      </c>
      <c r="M1508" s="7">
        <v>3.3090000000000002</v>
      </c>
      <c r="N1508" s="7">
        <v>4.3220000000000001</v>
      </c>
      <c r="O1508" s="7">
        <v>4.6589999999999998</v>
      </c>
      <c r="P1508" s="7">
        <v>5.3979999999999997</v>
      </c>
      <c r="Q1508" s="7">
        <v>5.9980000000000002</v>
      </c>
      <c r="R1508" s="7">
        <v>6.4349999999999996</v>
      </c>
      <c r="S1508" s="7">
        <f t="shared" si="23"/>
        <v>4.8730000000000002</v>
      </c>
    </row>
    <row r="1509" spans="1:19">
      <c r="A1509" s="5" t="str">
        <f>B1509&amp;"-"&amp;COUNTIF($B$2:B1509,B1509)</f>
        <v>MATO GROSSO DO SUL-22</v>
      </c>
      <c r="B1509" s="5" t="s">
        <v>1076</v>
      </c>
      <c r="C1509" s="5" t="s">
        <v>4955</v>
      </c>
      <c r="D1509" s="6">
        <v>-517317</v>
      </c>
      <c r="E1509" s="6">
        <v>-191183</v>
      </c>
      <c r="F1509" s="7">
        <v>5.226</v>
      </c>
      <c r="G1509" s="7">
        <v>5.6749999999999998</v>
      </c>
      <c r="H1509" s="7">
        <v>5.8559999999999999</v>
      </c>
      <c r="I1509" s="7">
        <v>5.3659999999999997</v>
      </c>
      <c r="J1509" s="7">
        <v>5.08</v>
      </c>
      <c r="K1509" s="7">
        <v>4.43</v>
      </c>
      <c r="L1509" s="7">
        <v>4.1769999999999996</v>
      </c>
      <c r="M1509" s="7">
        <v>4.3810000000000002</v>
      </c>
      <c r="N1509" s="7">
        <v>5.24</v>
      </c>
      <c r="O1509" s="7">
        <v>5.1479999999999997</v>
      </c>
      <c r="P1509" s="7">
        <v>5.5620000000000003</v>
      </c>
      <c r="Q1509" s="7">
        <v>5.74</v>
      </c>
      <c r="R1509" s="7">
        <v>6.0510000000000002</v>
      </c>
      <c r="S1509" s="7">
        <f t="shared" si="23"/>
        <v>5.2254999999999994</v>
      </c>
    </row>
    <row r="1510" spans="1:19">
      <c r="A1510" s="5" t="str">
        <f>B1510&amp;"-"&amp;COUNTIF($B$2:B1510,B1510)</f>
        <v>MATO GROSSO DO SUL-23</v>
      </c>
      <c r="B1510" s="5" t="s">
        <v>1076</v>
      </c>
      <c r="C1510" s="5" t="s">
        <v>3991</v>
      </c>
      <c r="D1510" s="6">
        <v>-526268</v>
      </c>
      <c r="E1510" s="6">
        <v>-187885</v>
      </c>
      <c r="F1510" s="7">
        <v>5.0730000000000004</v>
      </c>
      <c r="G1510" s="7">
        <v>5.6609999999999996</v>
      </c>
      <c r="H1510" s="7">
        <v>5.64</v>
      </c>
      <c r="I1510" s="7">
        <v>5.0670000000000002</v>
      </c>
      <c r="J1510" s="7">
        <v>4.8949999999999996</v>
      </c>
      <c r="K1510" s="7">
        <v>4.3879999999999999</v>
      </c>
      <c r="L1510" s="7">
        <v>4.1239999999999997</v>
      </c>
      <c r="M1510" s="7">
        <v>4.3209999999999997</v>
      </c>
      <c r="N1510" s="7">
        <v>5.1459999999999999</v>
      </c>
      <c r="O1510" s="7">
        <v>5.0590000000000002</v>
      </c>
      <c r="P1510" s="7">
        <v>5.2149999999999999</v>
      </c>
      <c r="Q1510" s="7">
        <v>5.4329999999999998</v>
      </c>
      <c r="R1510" s="7">
        <v>5.9320000000000004</v>
      </c>
      <c r="S1510" s="7">
        <f t="shared" si="23"/>
        <v>5.0734166666666658</v>
      </c>
    </row>
    <row r="1511" spans="1:19">
      <c r="A1511" s="5" t="str">
        <f>B1511&amp;"-"&amp;COUNTIF($B$2:B1511,B1511)</f>
        <v>MATO GROSSO DO SUL-24</v>
      </c>
      <c r="B1511" s="5" t="s">
        <v>1076</v>
      </c>
      <c r="C1511" s="5" t="s">
        <v>1087</v>
      </c>
      <c r="D1511" s="6">
        <v>-548316</v>
      </c>
      <c r="E1511" s="6">
        <v>-198301</v>
      </c>
      <c r="F1511" s="7">
        <v>5.0810000000000004</v>
      </c>
      <c r="G1511" s="7">
        <v>5.6669999999999998</v>
      </c>
      <c r="H1511" s="7">
        <v>5.6669999999999998</v>
      </c>
      <c r="I1511" s="7">
        <v>5.4089999999999998</v>
      </c>
      <c r="J1511" s="7">
        <v>4.8860000000000001</v>
      </c>
      <c r="K1511" s="7">
        <v>4.0839999999999996</v>
      </c>
      <c r="L1511" s="7">
        <v>3.8580000000000001</v>
      </c>
      <c r="M1511" s="7">
        <v>4.04</v>
      </c>
      <c r="N1511" s="7">
        <v>4.8630000000000004</v>
      </c>
      <c r="O1511" s="7">
        <v>5.0060000000000002</v>
      </c>
      <c r="P1511" s="7">
        <v>5.4870000000000001</v>
      </c>
      <c r="Q1511" s="7">
        <v>5.9029999999999996</v>
      </c>
      <c r="R1511" s="7">
        <v>6.1070000000000002</v>
      </c>
      <c r="S1511" s="7">
        <f t="shared" si="23"/>
        <v>5.0814166666666667</v>
      </c>
    </row>
    <row r="1512" spans="1:19">
      <c r="A1512" s="5" t="str">
        <f>B1512&amp;"-"&amp;COUNTIF($B$2:B1512,B1512)</f>
        <v>MATO GROSSO DO SUL-25</v>
      </c>
      <c r="B1512" s="5" t="s">
        <v>1076</v>
      </c>
      <c r="C1512" s="5" t="s">
        <v>1088</v>
      </c>
      <c r="D1512" s="6">
        <v>-555283</v>
      </c>
      <c r="E1512" s="6">
        <v>-232729</v>
      </c>
      <c r="F1512" s="7">
        <v>4.8079999999999998</v>
      </c>
      <c r="G1512" s="7">
        <v>6.0410000000000004</v>
      </c>
      <c r="H1512" s="7">
        <v>5.6379999999999999</v>
      </c>
      <c r="I1512" s="7">
        <v>5.2770000000000001</v>
      </c>
      <c r="J1512" s="7">
        <v>4.3609999999999998</v>
      </c>
      <c r="K1512" s="7">
        <v>3.4510000000000001</v>
      </c>
      <c r="L1512" s="7">
        <v>3.133</v>
      </c>
      <c r="M1512" s="7">
        <v>3.2679999999999998</v>
      </c>
      <c r="N1512" s="7">
        <v>4.2329999999999997</v>
      </c>
      <c r="O1512" s="7">
        <v>4.5999999999999996</v>
      </c>
      <c r="P1512" s="7">
        <v>5.3159999999999998</v>
      </c>
      <c r="Q1512" s="7">
        <v>5.8869999999999996</v>
      </c>
      <c r="R1512" s="7">
        <v>6.4939999999999998</v>
      </c>
      <c r="S1512" s="7">
        <f t="shared" si="23"/>
        <v>4.8082500000000001</v>
      </c>
    </row>
    <row r="1513" spans="1:19">
      <c r="A1513" s="5" t="str">
        <f>B1513&amp;"-"&amp;COUNTIF($B$2:B1513,B1513)</f>
        <v>MATO GROSSO DO SUL-26</v>
      </c>
      <c r="B1513" s="5" t="s">
        <v>1076</v>
      </c>
      <c r="C1513" s="5" t="s">
        <v>5573</v>
      </c>
      <c r="D1513" s="6">
        <v>-576515</v>
      </c>
      <c r="E1513" s="6">
        <v>-190082</v>
      </c>
      <c r="F1513" s="7">
        <v>4.9710000000000001</v>
      </c>
      <c r="G1513" s="7">
        <v>5.726</v>
      </c>
      <c r="H1513" s="7">
        <v>5.6120000000000001</v>
      </c>
      <c r="I1513" s="7">
        <v>5.274</v>
      </c>
      <c r="J1513" s="7">
        <v>4.9320000000000004</v>
      </c>
      <c r="K1513" s="7">
        <v>3.8460000000000001</v>
      </c>
      <c r="L1513" s="7">
        <v>3.6480000000000001</v>
      </c>
      <c r="M1513" s="7">
        <v>3.847</v>
      </c>
      <c r="N1513" s="7">
        <v>4.6289999999999996</v>
      </c>
      <c r="O1513" s="7">
        <v>4.7949999999999999</v>
      </c>
      <c r="P1513" s="7">
        <v>5.452</v>
      </c>
      <c r="Q1513" s="7">
        <v>5.758</v>
      </c>
      <c r="R1513" s="7">
        <v>6.1369999999999996</v>
      </c>
      <c r="S1513" s="7">
        <f t="shared" si="23"/>
        <v>4.9713333333333338</v>
      </c>
    </row>
    <row r="1514" spans="1:19">
      <c r="A1514" s="5" t="str">
        <f>B1514&amp;"-"&amp;COUNTIF($B$2:B1514,B1514)</f>
        <v>MATO GROSSO DO SUL-27</v>
      </c>
      <c r="B1514" s="5" t="s">
        <v>1076</v>
      </c>
      <c r="C1514" s="5" t="s">
        <v>1089</v>
      </c>
      <c r="D1514" s="6">
        <v>-531292</v>
      </c>
      <c r="E1514" s="6">
        <v>-185437</v>
      </c>
      <c r="F1514" s="7">
        <v>5.0990000000000002</v>
      </c>
      <c r="G1514" s="7">
        <v>5.5579999999999998</v>
      </c>
      <c r="H1514" s="7">
        <v>5.609</v>
      </c>
      <c r="I1514" s="7">
        <v>5.1879999999999997</v>
      </c>
      <c r="J1514" s="7">
        <v>4.915</v>
      </c>
      <c r="K1514" s="7">
        <v>4.4050000000000002</v>
      </c>
      <c r="L1514" s="7">
        <v>4.1769999999999996</v>
      </c>
      <c r="M1514" s="7">
        <v>4.3559999999999999</v>
      </c>
      <c r="N1514" s="7">
        <v>5.2030000000000003</v>
      </c>
      <c r="O1514" s="7">
        <v>5.1390000000000002</v>
      </c>
      <c r="P1514" s="7">
        <v>5.3490000000000002</v>
      </c>
      <c r="Q1514" s="7">
        <v>5.5510000000000002</v>
      </c>
      <c r="R1514" s="7">
        <v>5.7380000000000004</v>
      </c>
      <c r="S1514" s="7">
        <f t="shared" si="23"/>
        <v>5.0990000000000002</v>
      </c>
    </row>
    <row r="1515" spans="1:19">
      <c r="A1515" s="5" t="str">
        <f>B1515&amp;"-"&amp;COUNTIF($B$2:B1515,B1515)</f>
        <v>MATO GROSSO DO SUL-28</v>
      </c>
      <c r="B1515" s="5" t="s">
        <v>1076</v>
      </c>
      <c r="C1515" s="5" t="s">
        <v>1090</v>
      </c>
      <c r="D1515" s="6">
        <v>-547514</v>
      </c>
      <c r="E1515" s="6">
        <v>-185017</v>
      </c>
      <c r="F1515" s="7">
        <v>5.1660000000000004</v>
      </c>
      <c r="G1515" s="7">
        <v>5.5919999999999996</v>
      </c>
      <c r="H1515" s="7">
        <v>5.7220000000000004</v>
      </c>
      <c r="I1515" s="7">
        <v>5.4569999999999999</v>
      </c>
      <c r="J1515" s="7">
        <v>4.9720000000000004</v>
      </c>
      <c r="K1515" s="7">
        <v>4.2709999999999999</v>
      </c>
      <c r="L1515" s="7">
        <v>4.1369999999999996</v>
      </c>
      <c r="M1515" s="7">
        <v>4.2249999999999996</v>
      </c>
      <c r="N1515" s="7">
        <v>5.1139999999999999</v>
      </c>
      <c r="O1515" s="7">
        <v>5.1280000000000001</v>
      </c>
      <c r="P1515" s="7">
        <v>5.5359999999999996</v>
      </c>
      <c r="Q1515" s="7">
        <v>5.84</v>
      </c>
      <c r="R1515" s="7">
        <v>6.0049999999999999</v>
      </c>
      <c r="S1515" s="7">
        <f t="shared" si="23"/>
        <v>5.1665833333333335</v>
      </c>
    </row>
    <row r="1516" spans="1:19">
      <c r="A1516" s="5" t="str">
        <f>B1516&amp;"-"&amp;COUNTIF($B$2:B1516,B1516)</f>
        <v>MATO GROSSO DO SUL-29</v>
      </c>
      <c r="B1516" s="5" t="s">
        <v>1076</v>
      </c>
      <c r="C1516" s="5" t="s">
        <v>5574</v>
      </c>
      <c r="D1516" s="6">
        <v>-541686</v>
      </c>
      <c r="E1516" s="6">
        <v>-222767</v>
      </c>
      <c r="F1516" s="7">
        <v>4.9790000000000001</v>
      </c>
      <c r="G1516" s="7">
        <v>5.9630000000000001</v>
      </c>
      <c r="H1516" s="7">
        <v>5.8570000000000002</v>
      </c>
      <c r="I1516" s="7">
        <v>5.3840000000000003</v>
      </c>
      <c r="J1516" s="7">
        <v>4.59</v>
      </c>
      <c r="K1516" s="7">
        <v>3.734</v>
      </c>
      <c r="L1516" s="7">
        <v>3.39</v>
      </c>
      <c r="M1516" s="7">
        <v>3.5760000000000001</v>
      </c>
      <c r="N1516" s="7">
        <v>4.5069999999999997</v>
      </c>
      <c r="O1516" s="7">
        <v>4.7699999999999996</v>
      </c>
      <c r="P1516" s="7">
        <v>5.444</v>
      </c>
      <c r="Q1516" s="7">
        <v>6.0759999999999996</v>
      </c>
      <c r="R1516" s="7">
        <v>6.4589999999999996</v>
      </c>
      <c r="S1516" s="7">
        <f t="shared" si="23"/>
        <v>4.979166666666667</v>
      </c>
    </row>
    <row r="1517" spans="1:19">
      <c r="A1517" s="5" t="str">
        <f>B1517&amp;"-"&amp;COUNTIF($B$2:B1517,B1517)</f>
        <v>MATO GROSSO DO SUL-30</v>
      </c>
      <c r="B1517" s="5" t="s">
        <v>1076</v>
      </c>
      <c r="C1517" s="5" t="s">
        <v>3992</v>
      </c>
      <c r="D1517" s="6">
        <v>-552824</v>
      </c>
      <c r="E1517" s="6">
        <v>-206902</v>
      </c>
      <c r="F1517" s="7">
        <v>5.04</v>
      </c>
      <c r="G1517" s="7">
        <v>5.7590000000000003</v>
      </c>
      <c r="H1517" s="7">
        <v>5.7919999999999998</v>
      </c>
      <c r="I1517" s="7">
        <v>5.4130000000000003</v>
      </c>
      <c r="J1517" s="7">
        <v>4.79</v>
      </c>
      <c r="K1517" s="7">
        <v>3.9209999999999998</v>
      </c>
      <c r="L1517" s="7">
        <v>3.677</v>
      </c>
      <c r="M1517" s="7">
        <v>3.8130000000000002</v>
      </c>
      <c r="N1517" s="7">
        <v>4.6559999999999997</v>
      </c>
      <c r="O1517" s="7">
        <v>4.9029999999999996</v>
      </c>
      <c r="P1517" s="7">
        <v>5.5019999999999998</v>
      </c>
      <c r="Q1517" s="7">
        <v>6.0119999999999996</v>
      </c>
      <c r="R1517" s="7">
        <v>6.2469999999999999</v>
      </c>
      <c r="S1517" s="7">
        <f t="shared" si="23"/>
        <v>5.0404166666666663</v>
      </c>
    </row>
    <row r="1518" spans="1:19">
      <c r="A1518" s="5" t="str">
        <f>B1518&amp;"-"&amp;COUNTIF($B$2:B1518,B1518)</f>
        <v>MATO GROSSO DO SUL-31</v>
      </c>
      <c r="B1518" s="5" t="s">
        <v>1076</v>
      </c>
      <c r="C1518" s="5" t="s">
        <v>1091</v>
      </c>
      <c r="D1518" s="6">
        <v>-546129</v>
      </c>
      <c r="E1518" s="5" t="s">
        <v>1092</v>
      </c>
      <c r="F1518" s="7">
        <v>4.9560000000000004</v>
      </c>
      <c r="G1518" s="7">
        <v>5.9619999999999997</v>
      </c>
      <c r="H1518" s="7">
        <v>5.8070000000000004</v>
      </c>
      <c r="I1518" s="7">
        <v>5.3559999999999999</v>
      </c>
      <c r="J1518" s="7">
        <v>4.5880000000000001</v>
      </c>
      <c r="K1518" s="7">
        <v>3.7509999999999999</v>
      </c>
      <c r="L1518" s="7">
        <v>3.4140000000000001</v>
      </c>
      <c r="M1518" s="7">
        <v>3.5449999999999999</v>
      </c>
      <c r="N1518" s="7">
        <v>4.4720000000000004</v>
      </c>
      <c r="O1518" s="7">
        <v>4.7720000000000002</v>
      </c>
      <c r="P1518" s="7">
        <v>5.399</v>
      </c>
      <c r="Q1518" s="7">
        <v>5.9939999999999998</v>
      </c>
      <c r="R1518" s="7">
        <v>6.4139999999999997</v>
      </c>
      <c r="S1518" s="7">
        <f t="shared" si="23"/>
        <v>4.9561666666666673</v>
      </c>
    </row>
    <row r="1519" spans="1:19">
      <c r="A1519" s="5" t="str">
        <f>B1519&amp;"-"&amp;COUNTIF($B$2:B1519,B1519)</f>
        <v>MATO GROSSO DO SUL-32</v>
      </c>
      <c r="B1519" s="5" t="s">
        <v>1076</v>
      </c>
      <c r="C1519" s="5" t="s">
        <v>1093</v>
      </c>
      <c r="D1519" s="6">
        <v>-548125</v>
      </c>
      <c r="E1519" s="6">
        <v>-222236</v>
      </c>
      <c r="F1519" s="7">
        <v>4.8979999999999997</v>
      </c>
      <c r="G1519" s="7">
        <v>5.9249999999999998</v>
      </c>
      <c r="H1519" s="7">
        <v>5.7220000000000004</v>
      </c>
      <c r="I1519" s="7">
        <v>5.2649999999999997</v>
      </c>
      <c r="J1519" s="7">
        <v>4.5069999999999997</v>
      </c>
      <c r="K1519" s="7">
        <v>3.6909999999999998</v>
      </c>
      <c r="L1519" s="7">
        <v>3.3530000000000002</v>
      </c>
      <c r="M1519" s="7">
        <v>3.4889999999999999</v>
      </c>
      <c r="N1519" s="7">
        <v>4.4640000000000004</v>
      </c>
      <c r="O1519" s="7">
        <v>4.7430000000000003</v>
      </c>
      <c r="P1519" s="7">
        <v>5.3170000000000002</v>
      </c>
      <c r="Q1519" s="7">
        <v>5.91</v>
      </c>
      <c r="R1519" s="7">
        <v>6.39</v>
      </c>
      <c r="S1519" s="7">
        <f t="shared" si="23"/>
        <v>4.8979999999999997</v>
      </c>
    </row>
    <row r="1520" spans="1:19">
      <c r="A1520" s="5" t="str">
        <f>B1520&amp;"-"&amp;COUNTIF($B$2:B1520,B1520)</f>
        <v>MATO GROSSO DO SUL-33</v>
      </c>
      <c r="B1520" s="5" t="s">
        <v>1076</v>
      </c>
      <c r="C1520" s="5" t="s">
        <v>1094</v>
      </c>
      <c r="D1520" s="6">
        <v>-542842</v>
      </c>
      <c r="E1520" s="6">
        <v>-237873</v>
      </c>
      <c r="F1520" s="7">
        <v>4.8479999999999999</v>
      </c>
      <c r="G1520" s="7">
        <v>6.109</v>
      </c>
      <c r="H1520" s="7">
        <v>5.7910000000000004</v>
      </c>
      <c r="I1520" s="7">
        <v>5.34</v>
      </c>
      <c r="J1520" s="7">
        <v>4.3959999999999999</v>
      </c>
      <c r="K1520" s="7">
        <v>3.4710000000000001</v>
      </c>
      <c r="L1520" s="7">
        <v>3.056</v>
      </c>
      <c r="M1520" s="7">
        <v>3.2639999999999998</v>
      </c>
      <c r="N1520" s="7">
        <v>4.2640000000000002</v>
      </c>
      <c r="O1520" s="7">
        <v>4.5490000000000004</v>
      </c>
      <c r="P1520" s="7">
        <v>5.3609999999999998</v>
      </c>
      <c r="Q1520" s="7">
        <v>6.07</v>
      </c>
      <c r="R1520" s="7">
        <v>6.5019999999999998</v>
      </c>
      <c r="S1520" s="7">
        <f t="shared" si="23"/>
        <v>4.8477500000000004</v>
      </c>
    </row>
    <row r="1521" spans="1:19">
      <c r="A1521" s="5" t="str">
        <f>B1521&amp;"-"&amp;COUNTIF($B$2:B1521,B1521)</f>
        <v>MATO GROSSO DO SUL-34</v>
      </c>
      <c r="B1521" s="5" t="s">
        <v>1076</v>
      </c>
      <c r="C1521" s="5" t="s">
        <v>5575</v>
      </c>
      <c r="D1521" s="6">
        <v>-545135</v>
      </c>
      <c r="E1521" s="6">
        <v>-223794</v>
      </c>
      <c r="F1521" s="7">
        <v>4.9160000000000004</v>
      </c>
      <c r="G1521" s="7">
        <v>5.9260000000000002</v>
      </c>
      <c r="H1521" s="7">
        <v>5.77</v>
      </c>
      <c r="I1521" s="7">
        <v>5.306</v>
      </c>
      <c r="J1521" s="7">
        <v>4.5449999999999999</v>
      </c>
      <c r="K1521" s="7">
        <v>3.669</v>
      </c>
      <c r="L1521" s="7">
        <v>3.3439999999999999</v>
      </c>
      <c r="M1521" s="7">
        <v>3.4990000000000001</v>
      </c>
      <c r="N1521" s="7">
        <v>4.45</v>
      </c>
      <c r="O1521" s="7">
        <v>4.7359999999999998</v>
      </c>
      <c r="P1521" s="7">
        <v>5.3470000000000004</v>
      </c>
      <c r="Q1521" s="7">
        <v>5.9619999999999997</v>
      </c>
      <c r="R1521" s="7">
        <v>6.44</v>
      </c>
      <c r="S1521" s="7">
        <f t="shared" si="23"/>
        <v>4.9161666666666664</v>
      </c>
    </row>
    <row r="1522" spans="1:19">
      <c r="A1522" s="5" t="str">
        <f>B1522&amp;"-"&amp;COUNTIF($B$2:B1522,B1522)</f>
        <v>MATO GROSSO DO SUL-35</v>
      </c>
      <c r="B1522" s="5" t="s">
        <v>1076</v>
      </c>
      <c r="C1522" s="5" t="s">
        <v>3993</v>
      </c>
      <c r="D1522" s="6">
        <v>-536417</v>
      </c>
      <c r="E1522" s="6">
        <v>-186833</v>
      </c>
      <c r="F1522" s="7">
        <v>5.2329999999999997</v>
      </c>
      <c r="G1522" s="7">
        <v>5.6749999999999998</v>
      </c>
      <c r="H1522" s="7">
        <v>5.8540000000000001</v>
      </c>
      <c r="I1522" s="7">
        <v>5.4409999999999998</v>
      </c>
      <c r="J1522" s="7">
        <v>5.08</v>
      </c>
      <c r="K1522" s="7">
        <v>4.4420000000000002</v>
      </c>
      <c r="L1522" s="7">
        <v>4.157</v>
      </c>
      <c r="M1522" s="7">
        <v>4.3049999999999997</v>
      </c>
      <c r="N1522" s="7">
        <v>5.1360000000000001</v>
      </c>
      <c r="O1522" s="7">
        <v>5.2149999999999999</v>
      </c>
      <c r="P1522" s="7">
        <v>5.5449999999999999</v>
      </c>
      <c r="Q1522" s="7">
        <v>5.9210000000000003</v>
      </c>
      <c r="R1522" s="7">
        <v>6.0289999999999999</v>
      </c>
      <c r="S1522" s="7">
        <f t="shared" si="23"/>
        <v>5.2333333333333334</v>
      </c>
    </row>
    <row r="1523" spans="1:19">
      <c r="A1523" s="5" t="str">
        <f>B1523&amp;"-"&amp;COUNTIF($B$2:B1523,B1523)</f>
        <v>MATO GROSSO DO SUL-36</v>
      </c>
      <c r="B1523" s="5" t="s">
        <v>1076</v>
      </c>
      <c r="C1523" s="5" t="s">
        <v>5103</v>
      </c>
      <c r="D1523" s="6">
        <v>-542329</v>
      </c>
      <c r="E1523" s="6">
        <v>-22418</v>
      </c>
      <c r="F1523" s="7">
        <v>4.9690000000000003</v>
      </c>
      <c r="G1523" s="7">
        <v>5.9720000000000004</v>
      </c>
      <c r="H1523" s="7">
        <v>5.8689999999999998</v>
      </c>
      <c r="I1523" s="7">
        <v>5.3949999999999996</v>
      </c>
      <c r="J1523" s="7">
        <v>4.5789999999999997</v>
      </c>
      <c r="K1523" s="7">
        <v>3.698</v>
      </c>
      <c r="L1523" s="7">
        <v>3.363</v>
      </c>
      <c r="M1523" s="7">
        <v>3.5449999999999999</v>
      </c>
      <c r="N1523" s="7">
        <v>4.508</v>
      </c>
      <c r="O1523" s="7">
        <v>4.7619999999999996</v>
      </c>
      <c r="P1523" s="7">
        <v>5.423</v>
      </c>
      <c r="Q1523" s="7">
        <v>6.069</v>
      </c>
      <c r="R1523" s="7">
        <v>6.444</v>
      </c>
      <c r="S1523" s="7">
        <f t="shared" si="23"/>
        <v>4.9689166666666678</v>
      </c>
    </row>
    <row r="1524" spans="1:19">
      <c r="A1524" s="5" t="str">
        <f>B1524&amp;"-"&amp;COUNTIF($B$2:B1524,B1524)</f>
        <v>MATO GROSSO DO SUL-37</v>
      </c>
      <c r="B1524" s="5" t="s">
        <v>1076</v>
      </c>
      <c r="C1524" s="5" t="s">
        <v>1095</v>
      </c>
      <c r="D1524" s="6">
        <v>-561122</v>
      </c>
      <c r="E1524" s="6">
        <v>-214588</v>
      </c>
      <c r="F1524" s="7">
        <v>4.9560000000000004</v>
      </c>
      <c r="G1524" s="7">
        <v>5.9180000000000001</v>
      </c>
      <c r="H1524" s="7">
        <v>5.7430000000000003</v>
      </c>
      <c r="I1524" s="7">
        <v>5.4329999999999998</v>
      </c>
      <c r="J1524" s="7">
        <v>4.7</v>
      </c>
      <c r="K1524" s="7">
        <v>3.7120000000000002</v>
      </c>
      <c r="L1524" s="7">
        <v>3.42</v>
      </c>
      <c r="M1524" s="7">
        <v>3.589</v>
      </c>
      <c r="N1524" s="7">
        <v>4.5229999999999997</v>
      </c>
      <c r="O1524" s="7">
        <v>4.7439999999999998</v>
      </c>
      <c r="P1524" s="7">
        <v>5.4450000000000003</v>
      </c>
      <c r="Q1524" s="7">
        <v>5.9720000000000004</v>
      </c>
      <c r="R1524" s="7">
        <v>6.28</v>
      </c>
      <c r="S1524" s="7">
        <f t="shared" si="23"/>
        <v>4.9565833333333336</v>
      </c>
    </row>
    <row r="1525" spans="1:19">
      <c r="A1525" s="5" t="str">
        <f>B1525&amp;"-"&amp;COUNTIF($B$2:B1525,B1525)</f>
        <v>MATO GROSSO DO SUL-38</v>
      </c>
      <c r="B1525" s="5" t="s">
        <v>1076</v>
      </c>
      <c r="C1525" s="5" t="s">
        <v>1096</v>
      </c>
      <c r="D1525" s="6">
        <v>-545642</v>
      </c>
      <c r="E1525" s="6">
        <v>-23674</v>
      </c>
      <c r="F1525" s="7">
        <v>4.82</v>
      </c>
      <c r="G1525" s="7">
        <v>6.0419999999999998</v>
      </c>
      <c r="H1525" s="7">
        <v>5.7880000000000003</v>
      </c>
      <c r="I1525" s="7">
        <v>5.3010000000000002</v>
      </c>
      <c r="J1525" s="7">
        <v>4.3460000000000001</v>
      </c>
      <c r="K1525" s="7">
        <v>3.4649999999999999</v>
      </c>
      <c r="L1525" s="7">
        <v>3.036</v>
      </c>
      <c r="M1525" s="7">
        <v>3.2650000000000001</v>
      </c>
      <c r="N1525" s="7">
        <v>4.2460000000000004</v>
      </c>
      <c r="O1525" s="7">
        <v>4.5549999999999997</v>
      </c>
      <c r="P1525" s="7">
        <v>5.3390000000000004</v>
      </c>
      <c r="Q1525" s="7">
        <v>6.0090000000000003</v>
      </c>
      <c r="R1525" s="7">
        <v>6.444</v>
      </c>
      <c r="S1525" s="7">
        <f t="shared" si="23"/>
        <v>4.8196666666666674</v>
      </c>
    </row>
    <row r="1526" spans="1:19">
      <c r="A1526" s="5" t="str">
        <f>B1526&amp;"-"&amp;COUNTIF($B$2:B1526,B1526)</f>
        <v>MATO GROSSO DO SUL-39</v>
      </c>
      <c r="B1526" s="5" t="s">
        <v>1076</v>
      </c>
      <c r="C1526" s="5" t="s">
        <v>5289</v>
      </c>
      <c r="D1526" s="6">
        <v>-519285</v>
      </c>
      <c r="E1526" s="6">
        <v>-197282</v>
      </c>
      <c r="F1526" s="7">
        <v>5.1689999999999996</v>
      </c>
      <c r="G1526" s="7">
        <v>5.6669999999999998</v>
      </c>
      <c r="H1526" s="7">
        <v>5.8440000000000003</v>
      </c>
      <c r="I1526" s="7">
        <v>5.3449999999999998</v>
      </c>
      <c r="J1526" s="7">
        <v>4.9580000000000002</v>
      </c>
      <c r="K1526" s="7">
        <v>4.3070000000000004</v>
      </c>
      <c r="L1526" s="7">
        <v>4.0279999999999996</v>
      </c>
      <c r="M1526" s="7">
        <v>4.202</v>
      </c>
      <c r="N1526" s="7">
        <v>5.0960000000000001</v>
      </c>
      <c r="O1526" s="7">
        <v>5.0990000000000002</v>
      </c>
      <c r="P1526" s="7">
        <v>5.4880000000000004</v>
      </c>
      <c r="Q1526" s="7">
        <v>5.8179999999999996</v>
      </c>
      <c r="R1526" s="7">
        <v>6.1760000000000002</v>
      </c>
      <c r="S1526" s="7">
        <f t="shared" si="23"/>
        <v>5.1690000000000005</v>
      </c>
    </row>
    <row r="1527" spans="1:19">
      <c r="A1527" s="5" t="str">
        <f>B1527&amp;"-"&amp;COUNTIF($B$2:B1527,B1527)</f>
        <v>MATO GROSSO DO SUL-40</v>
      </c>
      <c r="B1527" s="5" t="s">
        <v>1076</v>
      </c>
      <c r="C1527" s="5" t="s">
        <v>5368</v>
      </c>
      <c r="D1527" s="6">
        <v>-547938</v>
      </c>
      <c r="E1527" s="6">
        <v>-220805</v>
      </c>
      <c r="F1527" s="7">
        <v>4.9269999999999996</v>
      </c>
      <c r="G1527" s="7">
        <v>5.9630000000000001</v>
      </c>
      <c r="H1527" s="7">
        <v>5.7380000000000004</v>
      </c>
      <c r="I1527" s="7">
        <v>5.2880000000000003</v>
      </c>
      <c r="J1527" s="7">
        <v>4.569</v>
      </c>
      <c r="K1527" s="7">
        <v>3.74</v>
      </c>
      <c r="L1527" s="7">
        <v>3.4</v>
      </c>
      <c r="M1527" s="7">
        <v>3.5150000000000001</v>
      </c>
      <c r="N1527" s="7">
        <v>4.4379999999999997</v>
      </c>
      <c r="O1527" s="7">
        <v>4.7670000000000003</v>
      </c>
      <c r="P1527" s="7">
        <v>5.3440000000000003</v>
      </c>
      <c r="Q1527" s="7">
        <v>5.9589999999999996</v>
      </c>
      <c r="R1527" s="7">
        <v>6.4020000000000001</v>
      </c>
      <c r="S1527" s="7">
        <f t="shared" si="23"/>
        <v>4.9269166666666671</v>
      </c>
    </row>
    <row r="1528" spans="1:19">
      <c r="A1528" s="5" t="str">
        <f>B1528&amp;"-"&amp;COUNTIF($B$2:B1528,B1528)</f>
        <v>MATO GROSSO DO SUL-41</v>
      </c>
      <c r="B1528" s="5" t="s">
        <v>1076</v>
      </c>
      <c r="C1528" s="5" t="s">
        <v>1097</v>
      </c>
      <c r="D1528" s="6">
        <v>-541874</v>
      </c>
      <c r="E1528" s="6">
        <v>-234783</v>
      </c>
      <c r="F1528" s="7">
        <v>4.8630000000000004</v>
      </c>
      <c r="G1528" s="7">
        <v>6.024</v>
      </c>
      <c r="H1528" s="7">
        <v>5.77</v>
      </c>
      <c r="I1528" s="7">
        <v>5.2990000000000004</v>
      </c>
      <c r="J1528" s="7">
        <v>4.4089999999999998</v>
      </c>
      <c r="K1528" s="7">
        <v>3.4990000000000001</v>
      </c>
      <c r="L1528" s="7">
        <v>3.1269999999999998</v>
      </c>
      <c r="M1528" s="7">
        <v>3.3519999999999999</v>
      </c>
      <c r="N1528" s="7">
        <v>4.3070000000000004</v>
      </c>
      <c r="O1528" s="7">
        <v>4.5919999999999996</v>
      </c>
      <c r="P1528" s="7">
        <v>5.3609999999999998</v>
      </c>
      <c r="Q1528" s="7">
        <v>6.069</v>
      </c>
      <c r="R1528" s="7">
        <v>6.548</v>
      </c>
      <c r="S1528" s="7">
        <f t="shared" si="23"/>
        <v>4.863083333333333</v>
      </c>
    </row>
    <row r="1529" spans="1:19">
      <c r="A1529" s="5" t="str">
        <f>B1529&amp;"-"&amp;COUNTIF($B$2:B1529,B1529)</f>
        <v>MATO GROSSO DO SUL-42</v>
      </c>
      <c r="B1529" s="5" t="s">
        <v>1076</v>
      </c>
      <c r="C1529" s="5" t="s">
        <v>1098</v>
      </c>
      <c r="D1529" s="6">
        <v>-538189</v>
      </c>
      <c r="E1529" s="6">
        <v>-22305</v>
      </c>
      <c r="F1529" s="7">
        <v>4.9569999999999999</v>
      </c>
      <c r="G1529" s="7">
        <v>5.8650000000000002</v>
      </c>
      <c r="H1529" s="7">
        <v>5.8010000000000002</v>
      </c>
      <c r="I1529" s="7">
        <v>5.3860000000000001</v>
      </c>
      <c r="J1529" s="7">
        <v>4.6120000000000001</v>
      </c>
      <c r="K1529" s="7">
        <v>3.7309999999999999</v>
      </c>
      <c r="L1529" s="7">
        <v>3.3780000000000001</v>
      </c>
      <c r="M1529" s="7">
        <v>3.5619999999999998</v>
      </c>
      <c r="N1529" s="7">
        <v>4.5190000000000001</v>
      </c>
      <c r="O1529" s="7">
        <v>4.7619999999999996</v>
      </c>
      <c r="P1529" s="7">
        <v>5.45</v>
      </c>
      <c r="Q1529" s="7">
        <v>5.9939999999999998</v>
      </c>
      <c r="R1529" s="7">
        <v>6.4260000000000002</v>
      </c>
      <c r="S1529" s="7">
        <f t="shared" si="23"/>
        <v>4.9571666666666667</v>
      </c>
    </row>
    <row r="1530" spans="1:19">
      <c r="A1530" s="5" t="str">
        <f>B1530&amp;"-"&amp;COUNTIF($B$2:B1530,B1530)</f>
        <v>MATO GROSSO DO SUL-43</v>
      </c>
      <c r="B1530" s="5" t="s">
        <v>1076</v>
      </c>
      <c r="C1530" s="5" t="s">
        <v>5369</v>
      </c>
      <c r="D1530" s="6">
        <v>-544064</v>
      </c>
      <c r="E1530" s="6">
        <v>-238908</v>
      </c>
      <c r="F1530" s="7">
        <v>4.827</v>
      </c>
      <c r="G1530" s="7">
        <v>6.1020000000000003</v>
      </c>
      <c r="H1530" s="7">
        <v>5.7850000000000001</v>
      </c>
      <c r="I1530" s="7">
        <v>5.3179999999999996</v>
      </c>
      <c r="J1530" s="7">
        <v>4.3769999999999998</v>
      </c>
      <c r="K1530" s="7">
        <v>3.4529999999999998</v>
      </c>
      <c r="L1530" s="7">
        <v>3.0190000000000001</v>
      </c>
      <c r="M1530" s="7">
        <v>3.25</v>
      </c>
      <c r="N1530" s="7">
        <v>4.2510000000000003</v>
      </c>
      <c r="O1530" s="7">
        <v>4.54</v>
      </c>
      <c r="P1530" s="7">
        <v>5.3239999999999998</v>
      </c>
      <c r="Q1530" s="7">
        <v>6.0540000000000003</v>
      </c>
      <c r="R1530" s="7">
        <v>6.4589999999999996</v>
      </c>
      <c r="S1530" s="7">
        <f t="shared" si="23"/>
        <v>4.8276666666666657</v>
      </c>
    </row>
    <row r="1531" spans="1:19">
      <c r="A1531" s="5" t="str">
        <f>B1531&amp;"-"&amp;COUNTIF($B$2:B1531,B1531)</f>
        <v>MATO GROSSO DO SUL-44</v>
      </c>
      <c r="B1531" s="5" t="s">
        <v>1076</v>
      </c>
      <c r="C1531" s="5" t="s">
        <v>1099</v>
      </c>
      <c r="D1531" s="6">
        <v>-544001</v>
      </c>
      <c r="E1531" s="6">
        <v>-201391</v>
      </c>
      <c r="F1531" s="7">
        <v>5.05</v>
      </c>
      <c r="G1531" s="7">
        <v>5.6159999999999997</v>
      </c>
      <c r="H1531" s="7">
        <v>5.6580000000000004</v>
      </c>
      <c r="I1531" s="7">
        <v>5.335</v>
      </c>
      <c r="J1531" s="7">
        <v>4.8579999999999997</v>
      </c>
      <c r="K1531" s="7">
        <v>4.0780000000000003</v>
      </c>
      <c r="L1531" s="7">
        <v>3.83</v>
      </c>
      <c r="M1531" s="7">
        <v>4.024</v>
      </c>
      <c r="N1531" s="7">
        <v>4.827</v>
      </c>
      <c r="O1531" s="7">
        <v>4.9509999999999996</v>
      </c>
      <c r="P1531" s="7">
        <v>5.4660000000000002</v>
      </c>
      <c r="Q1531" s="7">
        <v>5.8760000000000003</v>
      </c>
      <c r="R1531" s="7">
        <v>6.0810000000000004</v>
      </c>
      <c r="S1531" s="7">
        <f t="shared" si="23"/>
        <v>5.05</v>
      </c>
    </row>
    <row r="1532" spans="1:19">
      <c r="A1532" s="5" t="str">
        <f>B1532&amp;"-"&amp;COUNTIF($B$2:B1532,B1532)</f>
        <v>MATO GROSSO DO SUL-45</v>
      </c>
      <c r="B1532" s="5" t="s">
        <v>1076</v>
      </c>
      <c r="C1532" s="5" t="s">
        <v>629</v>
      </c>
      <c r="D1532" s="6">
        <v>-561494</v>
      </c>
      <c r="E1532" s="6">
        <v>-214804</v>
      </c>
      <c r="F1532" s="7">
        <v>4.9560000000000004</v>
      </c>
      <c r="G1532" s="7">
        <v>5.9180000000000001</v>
      </c>
      <c r="H1532" s="7">
        <v>5.7430000000000003</v>
      </c>
      <c r="I1532" s="7">
        <v>5.4329999999999998</v>
      </c>
      <c r="J1532" s="7">
        <v>4.7</v>
      </c>
      <c r="K1532" s="7">
        <v>3.7120000000000002</v>
      </c>
      <c r="L1532" s="7">
        <v>3.42</v>
      </c>
      <c r="M1532" s="7">
        <v>3.589</v>
      </c>
      <c r="N1532" s="7">
        <v>4.5229999999999997</v>
      </c>
      <c r="O1532" s="7">
        <v>4.7439999999999998</v>
      </c>
      <c r="P1532" s="7">
        <v>5.4450000000000003</v>
      </c>
      <c r="Q1532" s="7">
        <v>5.9720000000000004</v>
      </c>
      <c r="R1532" s="7">
        <v>6.28</v>
      </c>
      <c r="S1532" s="7">
        <f t="shared" si="23"/>
        <v>4.9565833333333336</v>
      </c>
    </row>
    <row r="1533" spans="1:19">
      <c r="A1533" s="5" t="str">
        <f>B1533&amp;"-"&amp;COUNTIF($B$2:B1533,B1533)</f>
        <v>MATO GROSSO DO SUL-46</v>
      </c>
      <c r="B1533" s="5" t="s">
        <v>1076</v>
      </c>
      <c r="C1533" s="5" t="s">
        <v>1100</v>
      </c>
      <c r="D1533" s="6">
        <v>-543084</v>
      </c>
      <c r="E1533" s="6">
        <v>-224811</v>
      </c>
      <c r="F1533" s="7">
        <v>4.95</v>
      </c>
      <c r="G1533" s="7">
        <v>5.9489999999999998</v>
      </c>
      <c r="H1533" s="7">
        <v>5.87</v>
      </c>
      <c r="I1533" s="7">
        <v>5.3689999999999998</v>
      </c>
      <c r="J1533" s="7">
        <v>4.5439999999999996</v>
      </c>
      <c r="K1533" s="7">
        <v>3.6720000000000002</v>
      </c>
      <c r="L1533" s="7">
        <v>3.36</v>
      </c>
      <c r="M1533" s="7">
        <v>3.512</v>
      </c>
      <c r="N1533" s="7">
        <v>4.492</v>
      </c>
      <c r="O1533" s="7">
        <v>4.7610000000000001</v>
      </c>
      <c r="P1533" s="7">
        <v>5.3819999999999997</v>
      </c>
      <c r="Q1533" s="7">
        <v>6.0330000000000004</v>
      </c>
      <c r="R1533" s="7">
        <v>6.4580000000000002</v>
      </c>
      <c r="S1533" s="7">
        <f t="shared" si="23"/>
        <v>4.9501666666666662</v>
      </c>
    </row>
    <row r="1534" spans="1:19">
      <c r="A1534" s="5" t="str">
        <f>B1534&amp;"-"&amp;COUNTIF($B$2:B1534,B1534)</f>
        <v>MATO GROSSO DO SUL-47</v>
      </c>
      <c r="B1534" s="5" t="s">
        <v>1076</v>
      </c>
      <c r="C1534" s="5" t="s">
        <v>1101</v>
      </c>
      <c r="D1534" s="6">
        <v>-546066</v>
      </c>
      <c r="E1534" s="6">
        <v>-228601</v>
      </c>
      <c r="F1534" s="7">
        <v>4.8680000000000003</v>
      </c>
      <c r="G1534" s="7">
        <v>5.94</v>
      </c>
      <c r="H1534" s="7">
        <v>5.7519999999999998</v>
      </c>
      <c r="I1534" s="7">
        <v>5.335</v>
      </c>
      <c r="J1534" s="7">
        <v>4.4260000000000002</v>
      </c>
      <c r="K1534" s="7">
        <v>3.5529999999999999</v>
      </c>
      <c r="L1534" s="7">
        <v>3.2309999999999999</v>
      </c>
      <c r="M1534" s="7">
        <v>3.4020000000000001</v>
      </c>
      <c r="N1534" s="7">
        <v>4.3860000000000001</v>
      </c>
      <c r="O1534" s="7">
        <v>4.649</v>
      </c>
      <c r="P1534" s="7">
        <v>5.3440000000000003</v>
      </c>
      <c r="Q1534" s="7">
        <v>5.9880000000000004</v>
      </c>
      <c r="R1534" s="7">
        <v>6.4119999999999999</v>
      </c>
      <c r="S1534" s="7">
        <f t="shared" si="23"/>
        <v>4.8681666666666672</v>
      </c>
    </row>
    <row r="1535" spans="1:19">
      <c r="A1535" s="5" t="str">
        <f>B1535&amp;"-"&amp;COUNTIF($B$2:B1535,B1535)</f>
        <v>MATO GROSSO DO SUL-48</v>
      </c>
      <c r="B1535" s="5" t="s">
        <v>1076</v>
      </c>
      <c r="C1535" s="5" t="s">
        <v>5576</v>
      </c>
      <c r="D1535" s="6">
        <v>-575977</v>
      </c>
      <c r="E1535" s="6">
        <v>-190093</v>
      </c>
      <c r="F1535" s="7">
        <v>4.9880000000000004</v>
      </c>
      <c r="G1535" s="7">
        <v>5.7519999999999998</v>
      </c>
      <c r="H1535" s="7">
        <v>5.5709999999999997</v>
      </c>
      <c r="I1535" s="7">
        <v>5.2370000000000001</v>
      </c>
      <c r="J1535" s="7">
        <v>4.9459999999999997</v>
      </c>
      <c r="K1535" s="7">
        <v>3.8530000000000002</v>
      </c>
      <c r="L1535" s="7">
        <v>3.6869999999999998</v>
      </c>
      <c r="M1535" s="7">
        <v>3.9209999999999998</v>
      </c>
      <c r="N1535" s="7">
        <v>4.6890000000000001</v>
      </c>
      <c r="O1535" s="7">
        <v>4.798</v>
      </c>
      <c r="P1535" s="7">
        <v>5.4790000000000001</v>
      </c>
      <c r="Q1535" s="7">
        <v>5.7729999999999997</v>
      </c>
      <c r="R1535" s="7">
        <v>6.1470000000000002</v>
      </c>
      <c r="S1535" s="7">
        <f t="shared" si="23"/>
        <v>4.9877500000000001</v>
      </c>
    </row>
    <row r="1536" spans="1:19">
      <c r="A1536" s="5" t="str">
        <f>B1536&amp;"-"&amp;COUNTIF($B$2:B1536,B1536)</f>
        <v>MATO GROSSO DO SUL-49</v>
      </c>
      <c r="B1536" s="5" t="s">
        <v>1076</v>
      </c>
      <c r="C1536" s="5" t="s">
        <v>5370</v>
      </c>
      <c r="D1536" s="6">
        <v>-551506</v>
      </c>
      <c r="E1536" s="6">
        <v>-225486</v>
      </c>
      <c r="F1536" s="7">
        <v>4.8499999999999996</v>
      </c>
      <c r="G1536" s="7">
        <v>5.8819999999999997</v>
      </c>
      <c r="H1536" s="7">
        <v>5.7050000000000001</v>
      </c>
      <c r="I1536" s="7">
        <v>5.2409999999999997</v>
      </c>
      <c r="J1536" s="7">
        <v>4.4480000000000004</v>
      </c>
      <c r="K1536" s="7">
        <v>3.5880000000000001</v>
      </c>
      <c r="L1536" s="7">
        <v>3.2970000000000002</v>
      </c>
      <c r="M1536" s="7">
        <v>3.4079999999999999</v>
      </c>
      <c r="N1536" s="7">
        <v>4.42</v>
      </c>
      <c r="O1536" s="7">
        <v>4.7030000000000003</v>
      </c>
      <c r="P1536" s="7">
        <v>5.3339999999999996</v>
      </c>
      <c r="Q1536" s="7">
        <v>5.8860000000000001</v>
      </c>
      <c r="R1536" s="7">
        <v>6.2889999999999997</v>
      </c>
      <c r="S1536" s="7">
        <f t="shared" si="23"/>
        <v>4.8500833333333349</v>
      </c>
    </row>
    <row r="1537" spans="1:19">
      <c r="A1537" s="5" t="str">
        <f>B1537&amp;"-"&amp;COUNTIF($B$2:B1537,B1537)</f>
        <v>MATO GROSSO DO SUL-50</v>
      </c>
      <c r="B1537" s="5" t="s">
        <v>1076</v>
      </c>
      <c r="C1537" s="5" t="s">
        <v>1102</v>
      </c>
      <c r="D1537" s="6">
        <v>-551682</v>
      </c>
      <c r="E1537" s="6">
        <v>-21611</v>
      </c>
      <c r="F1537" s="7">
        <v>4.9269999999999996</v>
      </c>
      <c r="G1537" s="7">
        <v>5.91</v>
      </c>
      <c r="H1537" s="7">
        <v>5.69</v>
      </c>
      <c r="I1537" s="7">
        <v>5.2480000000000002</v>
      </c>
      <c r="J1537" s="7">
        <v>4.6050000000000004</v>
      </c>
      <c r="K1537" s="7">
        <v>3.7650000000000001</v>
      </c>
      <c r="L1537" s="7">
        <v>3.4329999999999998</v>
      </c>
      <c r="M1537" s="7">
        <v>3.6059999999999999</v>
      </c>
      <c r="N1537" s="7">
        <v>4.5</v>
      </c>
      <c r="O1537" s="7">
        <v>4.774</v>
      </c>
      <c r="P1537" s="7">
        <v>5.3650000000000002</v>
      </c>
      <c r="Q1537" s="7">
        <v>5.8719999999999999</v>
      </c>
      <c r="R1537" s="7">
        <v>6.3550000000000004</v>
      </c>
      <c r="S1537" s="7">
        <f t="shared" si="23"/>
        <v>4.9269166666666671</v>
      </c>
    </row>
    <row r="1538" spans="1:19">
      <c r="A1538" s="5" t="str">
        <f>B1538&amp;"-"&amp;COUNTIF($B$2:B1538,B1538)</f>
        <v>MATO GROSSO DO SUL-51</v>
      </c>
      <c r="B1538" s="5" t="s">
        <v>1076</v>
      </c>
      <c r="C1538" s="5" t="s">
        <v>1103</v>
      </c>
      <c r="D1538" s="6">
        <v>-56375</v>
      </c>
      <c r="E1538" s="6">
        <v>-20236</v>
      </c>
      <c r="F1538" s="7">
        <v>5.0069999999999997</v>
      </c>
      <c r="G1538" s="7">
        <v>5.8330000000000002</v>
      </c>
      <c r="H1538" s="7">
        <v>5.7169999999999996</v>
      </c>
      <c r="I1538" s="7">
        <v>5.3159999999999998</v>
      </c>
      <c r="J1538" s="7">
        <v>4.8289999999999997</v>
      </c>
      <c r="K1538" s="7">
        <v>3.88</v>
      </c>
      <c r="L1538" s="7">
        <v>3.6429999999999998</v>
      </c>
      <c r="M1538" s="7">
        <v>3.8</v>
      </c>
      <c r="N1538" s="7">
        <v>4.593</v>
      </c>
      <c r="O1538" s="7">
        <v>4.8609999999999998</v>
      </c>
      <c r="P1538" s="7">
        <v>5.4770000000000003</v>
      </c>
      <c r="Q1538" s="7">
        <v>5.915</v>
      </c>
      <c r="R1538" s="7">
        <v>6.2249999999999996</v>
      </c>
      <c r="S1538" s="7">
        <f t="shared" si="23"/>
        <v>5.0074166666666668</v>
      </c>
    </row>
    <row r="1539" spans="1:19">
      <c r="A1539" s="5" t="str">
        <f>B1539&amp;"-"&amp;COUNTIF($B$2:B1539,B1539)</f>
        <v>MATO GROSSO DO SUL-52</v>
      </c>
      <c r="B1539" s="5" t="s">
        <v>1076</v>
      </c>
      <c r="C1539" s="5" t="s">
        <v>473</v>
      </c>
      <c r="D1539" s="6">
        <v>-542815</v>
      </c>
      <c r="E1539" s="6">
        <v>-23936</v>
      </c>
      <c r="F1539" s="7">
        <v>4.8360000000000003</v>
      </c>
      <c r="G1539" s="7">
        <v>6.1529999999999996</v>
      </c>
      <c r="H1539" s="7">
        <v>5.7880000000000003</v>
      </c>
      <c r="I1539" s="7">
        <v>5.3280000000000003</v>
      </c>
      <c r="J1539" s="7">
        <v>4.4000000000000004</v>
      </c>
      <c r="K1539" s="7">
        <v>3.4510000000000001</v>
      </c>
      <c r="L1539" s="7">
        <v>3.0310000000000001</v>
      </c>
      <c r="M1539" s="7">
        <v>3.2519999999999998</v>
      </c>
      <c r="N1539" s="7">
        <v>4.234</v>
      </c>
      <c r="O1539" s="7">
        <v>4.5250000000000004</v>
      </c>
      <c r="P1539" s="7">
        <v>5.3319999999999999</v>
      </c>
      <c r="Q1539" s="7">
        <v>6.0570000000000004</v>
      </c>
      <c r="R1539" s="7">
        <v>6.4889999999999999</v>
      </c>
      <c r="S1539" s="7">
        <f t="shared" ref="S1539:S1602" si="24">(G1539+H1539+I1539+J1539+K1539+L1539+M1539+N1539+O1539+P1539+Q1539+R1539)/12</f>
        <v>4.836666666666666</v>
      </c>
    </row>
    <row r="1540" spans="1:19">
      <c r="A1540" s="5" t="str">
        <f>B1540&amp;"-"&amp;COUNTIF($B$2:B1540,B1540)</f>
        <v>MATO GROSSO DO SUL-53</v>
      </c>
      <c r="B1540" s="5" t="s">
        <v>1076</v>
      </c>
      <c r="C1540" s="5" t="s">
        <v>1104</v>
      </c>
      <c r="D1540" s="6">
        <v>-541999</v>
      </c>
      <c r="E1540" s="6">
        <v>-230623</v>
      </c>
      <c r="F1540" s="7">
        <v>4.867</v>
      </c>
      <c r="G1540" s="7">
        <v>5.9640000000000004</v>
      </c>
      <c r="H1540" s="7">
        <v>5.7759999999999998</v>
      </c>
      <c r="I1540" s="7">
        <v>5.31</v>
      </c>
      <c r="J1540" s="7">
        <v>4.4420000000000002</v>
      </c>
      <c r="K1540" s="7">
        <v>3.53</v>
      </c>
      <c r="L1540" s="7">
        <v>3.1819999999999999</v>
      </c>
      <c r="M1540" s="7">
        <v>3.3919999999999999</v>
      </c>
      <c r="N1540" s="7">
        <v>4.3330000000000002</v>
      </c>
      <c r="O1540" s="7">
        <v>4.6150000000000002</v>
      </c>
      <c r="P1540" s="7">
        <v>5.3689999999999998</v>
      </c>
      <c r="Q1540" s="7">
        <v>6.056</v>
      </c>
      <c r="R1540" s="7">
        <v>6.4269999999999996</v>
      </c>
      <c r="S1540" s="7">
        <f t="shared" si="24"/>
        <v>4.8663333333333334</v>
      </c>
    </row>
    <row r="1541" spans="1:19">
      <c r="A1541" s="5" t="str">
        <f>B1541&amp;"-"&amp;COUNTIF($B$2:B1541,B1541)</f>
        <v>MATO GROSSO DO SUL-54</v>
      </c>
      <c r="B1541" s="5" t="s">
        <v>1076</v>
      </c>
      <c r="C1541" s="5" t="s">
        <v>1105</v>
      </c>
      <c r="D1541" s="6">
        <v>-558283</v>
      </c>
      <c r="E1541" s="6">
        <v>-211581</v>
      </c>
      <c r="F1541" s="7">
        <v>4.9930000000000003</v>
      </c>
      <c r="G1541" s="7">
        <v>5.8810000000000002</v>
      </c>
      <c r="H1541" s="7">
        <v>5.7460000000000004</v>
      </c>
      <c r="I1541" s="7">
        <v>5.4080000000000004</v>
      </c>
      <c r="J1541" s="7">
        <v>4.7229999999999999</v>
      </c>
      <c r="K1541" s="7">
        <v>3.794</v>
      </c>
      <c r="L1541" s="7">
        <v>3.4990000000000001</v>
      </c>
      <c r="M1541" s="7">
        <v>3.6589999999999998</v>
      </c>
      <c r="N1541" s="7">
        <v>4.5679999999999996</v>
      </c>
      <c r="O1541" s="7">
        <v>4.7969999999999997</v>
      </c>
      <c r="P1541" s="7">
        <v>5.4870000000000001</v>
      </c>
      <c r="Q1541" s="7">
        <v>6.024</v>
      </c>
      <c r="R1541" s="7">
        <v>6.3310000000000004</v>
      </c>
      <c r="S1541" s="7">
        <f t="shared" si="24"/>
        <v>4.9930833333333338</v>
      </c>
    </row>
    <row r="1542" spans="1:19">
      <c r="A1542" s="5" t="str">
        <f>B1542&amp;"-"&amp;COUNTIF($B$2:B1542,B1542)</f>
        <v>MATO GROSSO DO SUL-55</v>
      </c>
      <c r="B1542" s="5" t="s">
        <v>1076</v>
      </c>
      <c r="C1542" s="5" t="s">
        <v>1106</v>
      </c>
      <c r="D1542" s="6">
        <v>-543829</v>
      </c>
      <c r="E1542" s="6">
        <v>-214661</v>
      </c>
      <c r="F1542" s="7">
        <v>4.952</v>
      </c>
      <c r="G1542" s="7">
        <v>5.7910000000000004</v>
      </c>
      <c r="H1542" s="7">
        <v>5.7389999999999999</v>
      </c>
      <c r="I1542" s="7">
        <v>5.3310000000000004</v>
      </c>
      <c r="J1542" s="7">
        <v>4.6719999999999997</v>
      </c>
      <c r="K1542" s="7">
        <v>3.8380000000000001</v>
      </c>
      <c r="L1542" s="7">
        <v>3.512</v>
      </c>
      <c r="M1542" s="7">
        <v>3.64</v>
      </c>
      <c r="N1542" s="7">
        <v>4.5730000000000004</v>
      </c>
      <c r="O1542" s="7">
        <v>4.8</v>
      </c>
      <c r="P1542" s="7">
        <v>5.399</v>
      </c>
      <c r="Q1542" s="7">
        <v>5.9039999999999999</v>
      </c>
      <c r="R1542" s="7">
        <v>6.2279999999999998</v>
      </c>
      <c r="S1542" s="7">
        <f t="shared" si="24"/>
        <v>4.9522500000000003</v>
      </c>
    </row>
    <row r="1543" spans="1:19">
      <c r="A1543" s="5" t="str">
        <f>B1543&amp;"-"&amp;COUNTIF($B$2:B1543,B1543)</f>
        <v>MATO GROSSO DO SUL-56</v>
      </c>
      <c r="B1543" s="5" t="s">
        <v>1076</v>
      </c>
      <c r="C1543" s="5" t="s">
        <v>1107</v>
      </c>
      <c r="D1543" s="6">
        <v>-533442</v>
      </c>
      <c r="E1543" s="6">
        <v>-222384</v>
      </c>
      <c r="F1543" s="7">
        <v>4.968</v>
      </c>
      <c r="G1543" s="7">
        <v>5.82</v>
      </c>
      <c r="H1543" s="7">
        <v>5.7830000000000004</v>
      </c>
      <c r="I1543" s="7">
        <v>5.33</v>
      </c>
      <c r="J1543" s="7">
        <v>4.6749999999999998</v>
      </c>
      <c r="K1543" s="7">
        <v>3.7730000000000001</v>
      </c>
      <c r="L1543" s="7">
        <v>3.4260000000000002</v>
      </c>
      <c r="M1543" s="7">
        <v>3.6059999999999999</v>
      </c>
      <c r="N1543" s="7">
        <v>4.5620000000000003</v>
      </c>
      <c r="O1543" s="7">
        <v>4.7939999999999996</v>
      </c>
      <c r="P1543" s="7">
        <v>5.4420000000000002</v>
      </c>
      <c r="Q1543" s="7">
        <v>6.0119999999999996</v>
      </c>
      <c r="R1543" s="7">
        <v>6.3920000000000003</v>
      </c>
      <c r="S1543" s="7">
        <f t="shared" si="24"/>
        <v>4.9679166666666665</v>
      </c>
    </row>
    <row r="1544" spans="1:19">
      <c r="A1544" s="5" t="str">
        <f>B1544&amp;"-"&amp;COUNTIF($B$2:B1544,B1544)</f>
        <v>MATO GROSSO DO SUL-57</v>
      </c>
      <c r="B1544" s="5" t="s">
        <v>1076</v>
      </c>
      <c r="C1544" s="5" t="s">
        <v>1108</v>
      </c>
      <c r="D1544" s="6">
        <v>-538577</v>
      </c>
      <c r="E1544" s="6">
        <v>-226557</v>
      </c>
      <c r="F1544" s="7">
        <v>4.9420000000000002</v>
      </c>
      <c r="G1544" s="7">
        <v>5.9020000000000001</v>
      </c>
      <c r="H1544" s="7">
        <v>5.84</v>
      </c>
      <c r="I1544" s="7">
        <v>5.3609999999999998</v>
      </c>
      <c r="J1544" s="7">
        <v>4.5679999999999996</v>
      </c>
      <c r="K1544" s="7">
        <v>3.6829999999999998</v>
      </c>
      <c r="L1544" s="7">
        <v>3.3250000000000002</v>
      </c>
      <c r="M1544" s="7">
        <v>3.516</v>
      </c>
      <c r="N1544" s="7">
        <v>4.4649999999999999</v>
      </c>
      <c r="O1544" s="7">
        <v>4.7169999999999996</v>
      </c>
      <c r="P1544" s="7">
        <v>5.4160000000000004</v>
      </c>
      <c r="Q1544" s="7">
        <v>6.0609999999999999</v>
      </c>
      <c r="R1544" s="7">
        <v>6.4530000000000003</v>
      </c>
      <c r="S1544" s="7">
        <f t="shared" si="24"/>
        <v>4.9422499999999996</v>
      </c>
    </row>
    <row r="1545" spans="1:19">
      <c r="A1545" s="5" t="str">
        <f>B1545&amp;"-"&amp;COUNTIF($B$2:B1545,B1545)</f>
        <v>MATO GROSSO DO SUL-58</v>
      </c>
      <c r="B1545" s="5" t="s">
        <v>1076</v>
      </c>
      <c r="C1545" s="5" t="s">
        <v>5808</v>
      </c>
      <c r="D1545" s="6">
        <v>-530129</v>
      </c>
      <c r="E1545" s="6">
        <v>-190235</v>
      </c>
      <c r="F1545" s="7">
        <v>5.1550000000000002</v>
      </c>
      <c r="G1545" s="7">
        <v>5.7850000000000001</v>
      </c>
      <c r="H1545" s="7">
        <v>5.6980000000000004</v>
      </c>
      <c r="I1545" s="7">
        <v>5.3</v>
      </c>
      <c r="J1545" s="7">
        <v>4.9640000000000004</v>
      </c>
      <c r="K1545" s="7">
        <v>4.3600000000000003</v>
      </c>
      <c r="L1545" s="7">
        <v>4.1100000000000003</v>
      </c>
      <c r="M1545" s="7">
        <v>4.2679999999999998</v>
      </c>
      <c r="N1545" s="7">
        <v>5.1710000000000003</v>
      </c>
      <c r="O1545" s="7">
        <v>5.0949999999999998</v>
      </c>
      <c r="P1545" s="7">
        <v>5.4269999999999996</v>
      </c>
      <c r="Q1545" s="7">
        <v>5.6680000000000001</v>
      </c>
      <c r="R1545" s="7">
        <v>6.0149999999999997</v>
      </c>
      <c r="S1545" s="7">
        <f t="shared" si="24"/>
        <v>5.1550833333333328</v>
      </c>
    </row>
    <row r="1546" spans="1:19">
      <c r="A1546" s="5" t="str">
        <f>B1546&amp;"-"&amp;COUNTIF($B$2:B1546,B1546)</f>
        <v>MATO GROSSO DO SUL-59</v>
      </c>
      <c r="B1546" s="5" t="s">
        <v>1076</v>
      </c>
      <c r="C1546" s="5" t="s">
        <v>1109</v>
      </c>
      <c r="D1546" s="6">
        <v>-511913</v>
      </c>
      <c r="E1546" s="6">
        <v>-196751</v>
      </c>
      <c r="F1546" s="7">
        <v>5.23</v>
      </c>
      <c r="G1546" s="7">
        <v>5.6980000000000004</v>
      </c>
      <c r="H1546" s="7">
        <v>5.9619999999999997</v>
      </c>
      <c r="I1546" s="7">
        <v>5.4379999999999997</v>
      </c>
      <c r="J1546" s="7">
        <v>5.0380000000000003</v>
      </c>
      <c r="K1546" s="7">
        <v>4.3150000000000004</v>
      </c>
      <c r="L1546" s="7">
        <v>4.0289999999999999</v>
      </c>
      <c r="M1546" s="7">
        <v>4.2610000000000001</v>
      </c>
      <c r="N1546" s="7">
        <v>5.1859999999999999</v>
      </c>
      <c r="O1546" s="7">
        <v>5.12</v>
      </c>
      <c r="P1546" s="7">
        <v>5.6189999999999998</v>
      </c>
      <c r="Q1546" s="7">
        <v>5.9080000000000004</v>
      </c>
      <c r="R1546" s="7">
        <v>6.1870000000000003</v>
      </c>
      <c r="S1546" s="7">
        <f t="shared" si="24"/>
        <v>5.230083333333333</v>
      </c>
    </row>
    <row r="1547" spans="1:19">
      <c r="A1547" s="5" t="str">
        <f>B1547&amp;"-"&amp;COUNTIF($B$2:B1547,B1547)</f>
        <v>MATO GROSSO DO SUL-60</v>
      </c>
      <c r="B1547" s="5" t="s">
        <v>1076</v>
      </c>
      <c r="C1547" s="5" t="s">
        <v>1110</v>
      </c>
      <c r="D1547" s="6">
        <v>-554295</v>
      </c>
      <c r="E1547" s="6">
        <v>-238915</v>
      </c>
      <c r="F1547" s="7">
        <v>4.7930000000000001</v>
      </c>
      <c r="G1547" s="7">
        <v>6.1369999999999996</v>
      </c>
      <c r="H1547" s="7">
        <v>5.7160000000000002</v>
      </c>
      <c r="I1547" s="7">
        <v>5.327</v>
      </c>
      <c r="J1547" s="7">
        <v>4.3019999999999996</v>
      </c>
      <c r="K1547" s="7">
        <v>3.3839999999999999</v>
      </c>
      <c r="L1547" s="7">
        <v>2.9740000000000002</v>
      </c>
      <c r="M1547" s="7">
        <v>3.141</v>
      </c>
      <c r="N1547" s="7">
        <v>4.1520000000000001</v>
      </c>
      <c r="O1547" s="7">
        <v>4.5129999999999999</v>
      </c>
      <c r="P1547" s="7">
        <v>5.3090000000000002</v>
      </c>
      <c r="Q1547" s="7">
        <v>6.0140000000000002</v>
      </c>
      <c r="R1547" s="7">
        <v>6.5460000000000003</v>
      </c>
      <c r="S1547" s="7">
        <f t="shared" si="24"/>
        <v>4.7929166666666667</v>
      </c>
    </row>
    <row r="1548" spans="1:19">
      <c r="A1548" s="5" t="str">
        <f>B1548&amp;"-"&amp;COUNTIF($B$2:B1548,B1548)</f>
        <v>MATO GROSSO DO SUL-61</v>
      </c>
      <c r="B1548" s="5" t="s">
        <v>1076</v>
      </c>
      <c r="C1548" s="5" t="s">
        <v>1111</v>
      </c>
      <c r="D1548" s="6">
        <v>-545535</v>
      </c>
      <c r="E1548" s="6">
        <v>-181006</v>
      </c>
      <c r="F1548" s="7">
        <v>5.1669999999999998</v>
      </c>
      <c r="G1548" s="7">
        <v>5.5460000000000003</v>
      </c>
      <c r="H1548" s="7">
        <v>5.6660000000000004</v>
      </c>
      <c r="I1548" s="7">
        <v>5.4329999999999998</v>
      </c>
      <c r="J1548" s="7">
        <v>5.0410000000000004</v>
      </c>
      <c r="K1548" s="7">
        <v>4.3890000000000002</v>
      </c>
      <c r="L1548" s="7">
        <v>4.226</v>
      </c>
      <c r="M1548" s="7">
        <v>4.3070000000000004</v>
      </c>
      <c r="N1548" s="7">
        <v>5.202</v>
      </c>
      <c r="O1548" s="7">
        <v>5.0999999999999996</v>
      </c>
      <c r="P1548" s="7">
        <v>5.452</v>
      </c>
      <c r="Q1548" s="7">
        <v>5.7320000000000002</v>
      </c>
      <c r="R1548" s="7">
        <v>5.907</v>
      </c>
      <c r="S1548" s="7">
        <f t="shared" si="24"/>
        <v>5.1667499999999995</v>
      </c>
    </row>
    <row r="1549" spans="1:19">
      <c r="A1549" s="5" t="str">
        <f>B1549&amp;"-"&amp;COUNTIF($B$2:B1549,B1549)</f>
        <v>MATO GROSSO DO SUL-62</v>
      </c>
      <c r="B1549" s="5" t="s">
        <v>1076</v>
      </c>
      <c r="C1549" s="5" t="s">
        <v>5371</v>
      </c>
      <c r="D1549" s="6">
        <v>-557208</v>
      </c>
      <c r="E1549" s="6">
        <v>-225301</v>
      </c>
      <c r="F1549" s="7">
        <v>4.8310000000000004</v>
      </c>
      <c r="G1549" s="7">
        <v>5.8259999999999996</v>
      </c>
      <c r="H1549" s="7">
        <v>5.6130000000000004</v>
      </c>
      <c r="I1549" s="7">
        <v>5.282</v>
      </c>
      <c r="J1549" s="7">
        <v>4.4550000000000001</v>
      </c>
      <c r="K1549" s="7">
        <v>3.5390000000000001</v>
      </c>
      <c r="L1549" s="7">
        <v>3.2610000000000001</v>
      </c>
      <c r="M1549" s="7">
        <v>3.3650000000000002</v>
      </c>
      <c r="N1549" s="7">
        <v>4.423</v>
      </c>
      <c r="O1549" s="7">
        <v>4.7009999999999996</v>
      </c>
      <c r="P1549" s="7">
        <v>5.3449999999999998</v>
      </c>
      <c r="Q1549" s="7">
        <v>5.8520000000000003</v>
      </c>
      <c r="R1549" s="7">
        <v>6.3120000000000003</v>
      </c>
      <c r="S1549" s="7">
        <f t="shared" si="24"/>
        <v>4.8311666666666673</v>
      </c>
    </row>
    <row r="1550" spans="1:19">
      <c r="A1550" s="5" t="str">
        <f>B1550&amp;"-"&amp;COUNTIF($B$2:B1550,B1550)</f>
        <v>MATO GROSSO DO SUL-63</v>
      </c>
      <c r="B1550" s="5" t="s">
        <v>1076</v>
      </c>
      <c r="C1550" s="5" t="s">
        <v>1112</v>
      </c>
      <c r="D1550" s="6">
        <v>-57884</v>
      </c>
      <c r="E1550" s="6">
        <v>-216985</v>
      </c>
      <c r="F1550" s="7">
        <v>4.9340000000000002</v>
      </c>
      <c r="G1550" s="7">
        <v>6.2939999999999996</v>
      </c>
      <c r="H1550" s="7">
        <v>5.8220000000000001</v>
      </c>
      <c r="I1550" s="7">
        <v>5.39</v>
      </c>
      <c r="J1550" s="7">
        <v>4.6399999999999997</v>
      </c>
      <c r="K1550" s="7">
        <v>3.5710000000000002</v>
      </c>
      <c r="L1550" s="7">
        <v>3.161</v>
      </c>
      <c r="M1550" s="7">
        <v>3.2930000000000001</v>
      </c>
      <c r="N1550" s="7">
        <v>4.2930000000000001</v>
      </c>
      <c r="O1550" s="7">
        <v>4.6289999999999996</v>
      </c>
      <c r="P1550" s="7">
        <v>5.4729999999999999</v>
      </c>
      <c r="Q1550" s="7">
        <v>6.0730000000000004</v>
      </c>
      <c r="R1550" s="7">
        <v>6.5670000000000002</v>
      </c>
      <c r="S1550" s="7">
        <f t="shared" si="24"/>
        <v>4.9338333333333333</v>
      </c>
    </row>
    <row r="1551" spans="1:19">
      <c r="A1551" s="5" t="str">
        <f>B1551&amp;"-"&amp;COUNTIF($B$2:B1551,B1551)</f>
        <v>MATO GROSSO DO SUL-64</v>
      </c>
      <c r="B1551" s="5" t="s">
        <v>1076</v>
      </c>
      <c r="C1551" s="5" t="s">
        <v>1113</v>
      </c>
      <c r="D1551" s="6">
        <v>-537593</v>
      </c>
      <c r="E1551" s="6">
        <v>-20445</v>
      </c>
      <c r="F1551" s="7">
        <v>5.0439999999999996</v>
      </c>
      <c r="G1551" s="7">
        <v>5.7089999999999996</v>
      </c>
      <c r="H1551" s="7">
        <v>5.806</v>
      </c>
      <c r="I1551" s="7">
        <v>5.3769999999999998</v>
      </c>
      <c r="J1551" s="7">
        <v>4.8159999999999998</v>
      </c>
      <c r="K1551" s="7">
        <v>4.016</v>
      </c>
      <c r="L1551" s="7">
        <v>3.7349999999999999</v>
      </c>
      <c r="M1551" s="7">
        <v>3.93</v>
      </c>
      <c r="N1551" s="7">
        <v>4.819</v>
      </c>
      <c r="O1551" s="7">
        <v>4.9429999999999996</v>
      </c>
      <c r="P1551" s="7">
        <v>5.4249999999999998</v>
      </c>
      <c r="Q1551" s="7">
        <v>5.8150000000000004</v>
      </c>
      <c r="R1551" s="7">
        <v>6.1379999999999999</v>
      </c>
      <c r="S1551" s="7">
        <f t="shared" si="24"/>
        <v>5.0440833333333321</v>
      </c>
    </row>
    <row r="1552" spans="1:19">
      <c r="A1552" s="5" t="str">
        <f>B1552&amp;"-"&amp;COUNTIF($B$2:B1552,B1552)</f>
        <v>MATO GROSSO DO SUL-65</v>
      </c>
      <c r="B1552" s="5" t="s">
        <v>1076</v>
      </c>
      <c r="C1552" s="5" t="s">
        <v>1114</v>
      </c>
      <c r="D1552" s="6">
        <v>-545432</v>
      </c>
      <c r="E1552" s="6">
        <v>-218037</v>
      </c>
      <c r="F1552" s="7">
        <v>4.9509999999999996</v>
      </c>
      <c r="G1552" s="7">
        <v>5.931</v>
      </c>
      <c r="H1552" s="7">
        <v>5.7439999999999998</v>
      </c>
      <c r="I1552" s="7">
        <v>5.3310000000000004</v>
      </c>
      <c r="J1552" s="7">
        <v>4.6059999999999999</v>
      </c>
      <c r="K1552" s="7">
        <v>3.77</v>
      </c>
      <c r="L1552" s="7">
        <v>3.4449999999999998</v>
      </c>
      <c r="M1552" s="7">
        <v>3.581</v>
      </c>
      <c r="N1552" s="7">
        <v>4.5279999999999996</v>
      </c>
      <c r="O1552" s="7">
        <v>4.7539999999999996</v>
      </c>
      <c r="P1552" s="7">
        <v>5.3719999999999999</v>
      </c>
      <c r="Q1552" s="7">
        <v>5.9569999999999999</v>
      </c>
      <c r="R1552" s="7">
        <v>6.39</v>
      </c>
      <c r="S1552" s="7">
        <f t="shared" si="24"/>
        <v>4.9507500000000002</v>
      </c>
    </row>
    <row r="1553" spans="1:19">
      <c r="A1553" s="5" t="str">
        <f>B1553&amp;"-"&amp;COUNTIF($B$2:B1553,B1553)</f>
        <v>MATO GROSSO DO SUL-66</v>
      </c>
      <c r="B1553" s="5" t="s">
        <v>1076</v>
      </c>
      <c r="C1553" s="5" t="s">
        <v>1115</v>
      </c>
      <c r="D1553" s="6">
        <v>-549863</v>
      </c>
      <c r="E1553" s="6">
        <v>-194475</v>
      </c>
      <c r="F1553" s="7">
        <v>5.0960000000000001</v>
      </c>
      <c r="G1553" s="7">
        <v>5.5279999999999996</v>
      </c>
      <c r="H1553" s="7">
        <v>5.7350000000000003</v>
      </c>
      <c r="I1553" s="7">
        <v>5.4320000000000004</v>
      </c>
      <c r="J1553" s="7">
        <v>4.9409999999999998</v>
      </c>
      <c r="K1553" s="7">
        <v>4.1310000000000002</v>
      </c>
      <c r="L1553" s="7">
        <v>3.95</v>
      </c>
      <c r="M1553" s="7">
        <v>4.0979999999999999</v>
      </c>
      <c r="N1553" s="7">
        <v>4.8949999999999996</v>
      </c>
      <c r="O1553" s="7">
        <v>5.0570000000000004</v>
      </c>
      <c r="P1553" s="7">
        <v>5.4870000000000001</v>
      </c>
      <c r="Q1553" s="7">
        <v>5.8479999999999999</v>
      </c>
      <c r="R1553" s="7">
        <v>6.056</v>
      </c>
      <c r="S1553" s="7">
        <f t="shared" si="24"/>
        <v>5.0964999999999998</v>
      </c>
    </row>
    <row r="1554" spans="1:19">
      <c r="A1554" s="5" t="str">
        <f>B1554&amp;"-"&amp;COUNTIF($B$2:B1554,B1554)</f>
        <v>MATO GROSSO DO SUL-67</v>
      </c>
      <c r="B1554" s="5" t="s">
        <v>1076</v>
      </c>
      <c r="C1554" s="5" t="s">
        <v>1116</v>
      </c>
      <c r="D1554" s="6">
        <v>-548446</v>
      </c>
      <c r="E1554" s="6">
        <v>-189179</v>
      </c>
      <c r="F1554" s="7">
        <v>5.109</v>
      </c>
      <c r="G1554" s="7">
        <v>5.5670000000000002</v>
      </c>
      <c r="H1554" s="7">
        <v>5.6589999999999998</v>
      </c>
      <c r="I1554" s="7">
        <v>5.3220000000000001</v>
      </c>
      <c r="J1554" s="7">
        <v>4.9370000000000003</v>
      </c>
      <c r="K1554" s="7">
        <v>4.2119999999999997</v>
      </c>
      <c r="L1554" s="7">
        <v>4.0439999999999996</v>
      </c>
      <c r="M1554" s="7">
        <v>4.2119999999999997</v>
      </c>
      <c r="N1554" s="7">
        <v>4.9690000000000003</v>
      </c>
      <c r="O1554" s="7">
        <v>5.1289999999999996</v>
      </c>
      <c r="P1554" s="7">
        <v>5.5049999999999999</v>
      </c>
      <c r="Q1554" s="7">
        <v>5.7779999999999996</v>
      </c>
      <c r="R1554" s="7">
        <v>5.976</v>
      </c>
      <c r="S1554" s="7">
        <f t="shared" si="24"/>
        <v>5.1091666666666669</v>
      </c>
    </row>
    <row r="1555" spans="1:19">
      <c r="A1555" s="5" t="str">
        <f>B1555&amp;"-"&amp;COUNTIF($B$2:B1555,B1555)</f>
        <v>MATO GROSSO DO SUL-68</v>
      </c>
      <c r="B1555" s="5" t="s">
        <v>1076</v>
      </c>
      <c r="C1555" s="5" t="s">
        <v>1117</v>
      </c>
      <c r="D1555" s="6">
        <v>-548904</v>
      </c>
      <c r="E1555" s="6">
        <v>-199535</v>
      </c>
      <c r="F1555" s="7">
        <v>5.0609999999999999</v>
      </c>
      <c r="G1555" s="7">
        <v>5.65</v>
      </c>
      <c r="H1555" s="7">
        <v>5.6870000000000003</v>
      </c>
      <c r="I1555" s="7">
        <v>5.3890000000000002</v>
      </c>
      <c r="J1555" s="7">
        <v>4.883</v>
      </c>
      <c r="K1555" s="7">
        <v>4.04</v>
      </c>
      <c r="L1555" s="7">
        <v>3.8109999999999999</v>
      </c>
      <c r="M1555" s="7">
        <v>3.9689999999999999</v>
      </c>
      <c r="N1555" s="7">
        <v>4.8369999999999997</v>
      </c>
      <c r="O1555" s="7">
        <v>4.9740000000000002</v>
      </c>
      <c r="P1555" s="7">
        <v>5.4870000000000001</v>
      </c>
      <c r="Q1555" s="7">
        <v>5.8860000000000001</v>
      </c>
      <c r="R1555" s="7">
        <v>6.125</v>
      </c>
      <c r="S1555" s="7">
        <f t="shared" si="24"/>
        <v>5.0614999999999997</v>
      </c>
    </row>
    <row r="1556" spans="1:19">
      <c r="A1556" s="5" t="str">
        <f>B1556&amp;"-"&amp;COUNTIF($B$2:B1556,B1556)</f>
        <v>MATO GROSSO DO SUL-69</v>
      </c>
      <c r="B1556" s="5" t="s">
        <v>1076</v>
      </c>
      <c r="C1556" s="5" t="s">
        <v>3994</v>
      </c>
      <c r="D1556" s="6">
        <v>-545782</v>
      </c>
      <c r="E1556" s="6">
        <v>-193921</v>
      </c>
      <c r="F1556" s="7">
        <v>5.0140000000000002</v>
      </c>
      <c r="G1556" s="7">
        <v>5.5860000000000003</v>
      </c>
      <c r="H1556" s="7">
        <v>5.5289999999999999</v>
      </c>
      <c r="I1556" s="7">
        <v>5.1589999999999998</v>
      </c>
      <c r="J1556" s="7">
        <v>4.7889999999999997</v>
      </c>
      <c r="K1556" s="7">
        <v>4.1369999999999996</v>
      </c>
      <c r="L1556" s="7">
        <v>3.992</v>
      </c>
      <c r="M1556" s="7">
        <v>4.1130000000000004</v>
      </c>
      <c r="N1556" s="7">
        <v>4.8840000000000003</v>
      </c>
      <c r="O1556" s="7">
        <v>5.0250000000000004</v>
      </c>
      <c r="P1556" s="7">
        <v>5.3470000000000004</v>
      </c>
      <c r="Q1556" s="7">
        <v>5.6589999999999998</v>
      </c>
      <c r="R1556" s="7">
        <v>5.944</v>
      </c>
      <c r="S1556" s="7">
        <f t="shared" si="24"/>
        <v>5.0136666666666674</v>
      </c>
    </row>
    <row r="1557" spans="1:19">
      <c r="A1557" s="5" t="str">
        <f>B1557&amp;"-"&amp;COUNTIF($B$2:B1557,B1557)</f>
        <v>MATO GROSSO DO SUL-70</v>
      </c>
      <c r="B1557" s="5" t="s">
        <v>1076</v>
      </c>
      <c r="C1557" s="5" t="s">
        <v>1118</v>
      </c>
      <c r="D1557" s="6">
        <v>-528338</v>
      </c>
      <c r="E1557" s="6">
        <v>-213021</v>
      </c>
      <c r="F1557" s="7">
        <v>5.0730000000000004</v>
      </c>
      <c r="G1557" s="7">
        <v>5.7919999999999998</v>
      </c>
      <c r="H1557" s="7">
        <v>5.8970000000000002</v>
      </c>
      <c r="I1557" s="7">
        <v>5.3979999999999997</v>
      </c>
      <c r="J1557" s="7">
        <v>4.7850000000000001</v>
      </c>
      <c r="K1557" s="7">
        <v>4.0220000000000002</v>
      </c>
      <c r="L1557" s="7">
        <v>3.6709999999999998</v>
      </c>
      <c r="M1557" s="7">
        <v>3.831</v>
      </c>
      <c r="N1557" s="7">
        <v>4.7830000000000004</v>
      </c>
      <c r="O1557" s="7">
        <v>4.8470000000000004</v>
      </c>
      <c r="P1557" s="7">
        <v>5.444</v>
      </c>
      <c r="Q1557" s="7">
        <v>6.0049999999999999</v>
      </c>
      <c r="R1557" s="7">
        <v>6.4050000000000002</v>
      </c>
      <c r="S1557" s="7">
        <f t="shared" si="24"/>
        <v>5.0733333333333341</v>
      </c>
    </row>
    <row r="1558" spans="1:19">
      <c r="A1558" s="5" t="str">
        <f>B1558&amp;"-"&amp;COUNTIF($B$2:B1558,B1558)</f>
        <v>MATO GROSSO DO SUL-71</v>
      </c>
      <c r="B1558" s="5" t="s">
        <v>1076</v>
      </c>
      <c r="C1558" s="5" t="s">
        <v>1119</v>
      </c>
      <c r="D1558" s="6">
        <v>-514197</v>
      </c>
      <c r="E1558" s="6">
        <v>-203642</v>
      </c>
      <c r="F1558" s="7">
        <v>5.1689999999999996</v>
      </c>
      <c r="G1558" s="7">
        <v>5.8460000000000001</v>
      </c>
      <c r="H1558" s="7">
        <v>5.9459999999999997</v>
      </c>
      <c r="I1558" s="7">
        <v>5.4509999999999996</v>
      </c>
      <c r="J1558" s="7">
        <v>4.907</v>
      </c>
      <c r="K1558" s="7">
        <v>4.1630000000000003</v>
      </c>
      <c r="L1558" s="7">
        <v>3.8610000000000002</v>
      </c>
      <c r="M1558" s="7">
        <v>4.0529999999999999</v>
      </c>
      <c r="N1558" s="7">
        <v>4.95</v>
      </c>
      <c r="O1558" s="7">
        <v>4.9770000000000003</v>
      </c>
      <c r="P1558" s="7">
        <v>5.6180000000000003</v>
      </c>
      <c r="Q1558" s="7">
        <v>5.9560000000000004</v>
      </c>
      <c r="R1558" s="7">
        <v>6.3010000000000002</v>
      </c>
      <c r="S1558" s="7">
        <f t="shared" si="24"/>
        <v>5.1690833333333339</v>
      </c>
    </row>
    <row r="1559" spans="1:19">
      <c r="A1559" s="5" t="str">
        <f>B1559&amp;"-"&amp;COUNTIF($B$2:B1559,B1559)</f>
        <v>MATO GROSSO DO SUL-72</v>
      </c>
      <c r="B1559" s="5" t="s">
        <v>1076</v>
      </c>
      <c r="C1559" s="5" t="s">
        <v>1120</v>
      </c>
      <c r="D1559" s="6">
        <v>-550403</v>
      </c>
      <c r="E1559" s="6">
        <v>-23971</v>
      </c>
      <c r="F1559" s="7">
        <v>4.8019999999999996</v>
      </c>
      <c r="G1559" s="7">
        <v>6.1050000000000004</v>
      </c>
      <c r="H1559" s="7">
        <v>5.7370000000000001</v>
      </c>
      <c r="I1559" s="7">
        <v>5.3310000000000004</v>
      </c>
      <c r="J1559" s="7">
        <v>4.3170000000000002</v>
      </c>
      <c r="K1559" s="7">
        <v>3.3969999999999998</v>
      </c>
      <c r="L1559" s="7">
        <v>2.9609999999999999</v>
      </c>
      <c r="M1559" s="7">
        <v>3.2130000000000001</v>
      </c>
      <c r="N1559" s="7">
        <v>4.202</v>
      </c>
      <c r="O1559" s="7">
        <v>4.5019999999999998</v>
      </c>
      <c r="P1559" s="7">
        <v>5.3410000000000002</v>
      </c>
      <c r="Q1559" s="7">
        <v>6.0350000000000001</v>
      </c>
      <c r="R1559" s="7">
        <v>6.49</v>
      </c>
      <c r="S1559" s="7">
        <f t="shared" si="24"/>
        <v>4.8025833333333336</v>
      </c>
    </row>
    <row r="1560" spans="1:19">
      <c r="A1560" s="5" t="str">
        <f>B1560&amp;"-"&amp;COUNTIF($B$2:B1560,B1560)</f>
        <v>MATO GROSSO DO SUL-73</v>
      </c>
      <c r="B1560" s="5" t="s">
        <v>1076</v>
      </c>
      <c r="C1560" s="5" t="s">
        <v>4956</v>
      </c>
      <c r="D1560" s="6">
        <v>-549697</v>
      </c>
      <c r="E1560" s="6">
        <v>-209307</v>
      </c>
      <c r="F1560" s="7">
        <v>5.0190000000000001</v>
      </c>
      <c r="G1560" s="7">
        <v>5.7389999999999999</v>
      </c>
      <c r="H1560" s="7">
        <v>5.7779999999999996</v>
      </c>
      <c r="I1560" s="7">
        <v>5.3719999999999999</v>
      </c>
      <c r="J1560" s="7">
        <v>4.7629999999999999</v>
      </c>
      <c r="K1560" s="7">
        <v>3.9039999999999999</v>
      </c>
      <c r="L1560" s="7">
        <v>3.6360000000000001</v>
      </c>
      <c r="M1560" s="7">
        <v>3.78</v>
      </c>
      <c r="N1560" s="7">
        <v>4.6580000000000004</v>
      </c>
      <c r="O1560" s="7">
        <v>4.9139999999999997</v>
      </c>
      <c r="P1560" s="7">
        <v>5.46</v>
      </c>
      <c r="Q1560" s="7">
        <v>5.9790000000000001</v>
      </c>
      <c r="R1560" s="7">
        <v>6.2409999999999997</v>
      </c>
      <c r="S1560" s="7">
        <f t="shared" si="24"/>
        <v>5.0186666666666673</v>
      </c>
    </row>
    <row r="1561" spans="1:19">
      <c r="A1561" s="5" t="str">
        <f>B1561&amp;"-"&amp;COUNTIF($B$2:B1561,B1561)</f>
        <v>MATO GROSSO DO SUL-74</v>
      </c>
      <c r="B1561" s="5" t="s">
        <v>1076</v>
      </c>
      <c r="C1561" s="5" t="s">
        <v>1121</v>
      </c>
      <c r="D1561" s="6">
        <v>-547538</v>
      </c>
      <c r="E1561" s="6">
        <v>-175787</v>
      </c>
      <c r="F1561" s="7">
        <v>5.0510000000000002</v>
      </c>
      <c r="G1561" s="7">
        <v>5.43</v>
      </c>
      <c r="H1561" s="7">
        <v>5.5030000000000001</v>
      </c>
      <c r="I1561" s="7">
        <v>5.0979999999999999</v>
      </c>
      <c r="J1561" s="7">
        <v>4.7489999999999997</v>
      </c>
      <c r="K1561" s="7">
        <v>4.3719999999999999</v>
      </c>
      <c r="L1561" s="7">
        <v>4.1959999999999997</v>
      </c>
      <c r="M1561" s="7">
        <v>4.3879999999999999</v>
      </c>
      <c r="N1561" s="7">
        <v>5.2089999999999996</v>
      </c>
      <c r="O1561" s="7">
        <v>5.0229999999999997</v>
      </c>
      <c r="P1561" s="7">
        <v>5.2610000000000001</v>
      </c>
      <c r="Q1561" s="7">
        <v>5.577</v>
      </c>
      <c r="R1561" s="7">
        <v>5.8019999999999996</v>
      </c>
      <c r="S1561" s="7">
        <f t="shared" si="24"/>
        <v>5.0506666666666655</v>
      </c>
    </row>
    <row r="1562" spans="1:19">
      <c r="A1562" s="5" t="str">
        <f>B1562&amp;"-"&amp;COUNTIF($B$2:B1562,B1562)</f>
        <v>MATO GROSSO DO SUL-75</v>
      </c>
      <c r="B1562" s="5" t="s">
        <v>1076</v>
      </c>
      <c r="C1562" s="5" t="s">
        <v>1122</v>
      </c>
      <c r="D1562" s="6">
        <v>-550146</v>
      </c>
      <c r="E1562" s="6">
        <v>-236364</v>
      </c>
      <c r="F1562" s="7">
        <v>4.7990000000000004</v>
      </c>
      <c r="G1562" s="7">
        <v>5.9969999999999999</v>
      </c>
      <c r="H1562" s="7">
        <v>5.6980000000000004</v>
      </c>
      <c r="I1562" s="7">
        <v>5.2750000000000004</v>
      </c>
      <c r="J1562" s="7">
        <v>4.3579999999999997</v>
      </c>
      <c r="K1562" s="7">
        <v>3.456</v>
      </c>
      <c r="L1562" s="7">
        <v>3.052</v>
      </c>
      <c r="M1562" s="7">
        <v>3.2370000000000001</v>
      </c>
      <c r="N1562" s="7">
        <v>4.218</v>
      </c>
      <c r="O1562" s="7">
        <v>4.569</v>
      </c>
      <c r="P1562" s="7">
        <v>5.3129999999999997</v>
      </c>
      <c r="Q1562" s="7">
        <v>5.9960000000000004</v>
      </c>
      <c r="R1562" s="7">
        <v>6.4169999999999998</v>
      </c>
      <c r="S1562" s="7">
        <f t="shared" si="24"/>
        <v>4.7988333333333335</v>
      </c>
    </row>
    <row r="1563" spans="1:19">
      <c r="A1563" s="5" t="str">
        <f>B1563&amp;"-"&amp;COUNTIF($B$2:B1563,B1563)</f>
        <v>MATO GROSSO DO SUL-76</v>
      </c>
      <c r="B1563" s="5" t="s">
        <v>1076</v>
      </c>
      <c r="C1563" s="5" t="s">
        <v>1123</v>
      </c>
      <c r="D1563" s="6">
        <v>-533513</v>
      </c>
      <c r="E1563" s="6">
        <v>-22488</v>
      </c>
      <c r="F1563" s="7">
        <v>4.9909999999999997</v>
      </c>
      <c r="G1563" s="7">
        <v>6.0010000000000003</v>
      </c>
      <c r="H1563" s="7">
        <v>5.8819999999999997</v>
      </c>
      <c r="I1563" s="7">
        <v>5.4169999999999998</v>
      </c>
      <c r="J1563" s="7">
        <v>4.6589999999999998</v>
      </c>
      <c r="K1563" s="7">
        <v>3.7290000000000001</v>
      </c>
      <c r="L1563" s="7">
        <v>3.375</v>
      </c>
      <c r="M1563" s="7">
        <v>3.5569999999999999</v>
      </c>
      <c r="N1563" s="7">
        <v>4.5039999999999996</v>
      </c>
      <c r="O1563" s="7">
        <v>4.7549999999999999</v>
      </c>
      <c r="P1563" s="7">
        <v>5.4349999999999996</v>
      </c>
      <c r="Q1563" s="7">
        <v>6.0780000000000003</v>
      </c>
      <c r="R1563" s="7">
        <v>6.4939999999999998</v>
      </c>
      <c r="S1563" s="7">
        <f t="shared" si="24"/>
        <v>4.9904999999999999</v>
      </c>
    </row>
    <row r="1564" spans="1:19">
      <c r="A1564" s="5" t="str">
        <f>B1564&amp;"-"&amp;COUNTIF($B$2:B1564,B1564)</f>
        <v>MATO GROSSO DO SUL-77</v>
      </c>
      <c r="B1564" s="5" t="s">
        <v>1076</v>
      </c>
      <c r="C1564" s="5" t="s">
        <v>1124</v>
      </c>
      <c r="D1564" s="6">
        <v>-548652</v>
      </c>
      <c r="E1564" s="6">
        <v>-204383</v>
      </c>
      <c r="F1564" s="7">
        <v>5.0640000000000001</v>
      </c>
      <c r="G1564" s="7">
        <v>5.726</v>
      </c>
      <c r="H1564" s="7">
        <v>5.78</v>
      </c>
      <c r="I1564" s="7">
        <v>5.4039999999999999</v>
      </c>
      <c r="J1564" s="7">
        <v>4.8499999999999996</v>
      </c>
      <c r="K1564" s="7">
        <v>4.01</v>
      </c>
      <c r="L1564" s="7">
        <v>3.7610000000000001</v>
      </c>
      <c r="M1564" s="7">
        <v>3.94</v>
      </c>
      <c r="N1564" s="7">
        <v>4.7869999999999999</v>
      </c>
      <c r="O1564" s="7">
        <v>4.9189999999999996</v>
      </c>
      <c r="P1564" s="7">
        <v>5.4480000000000004</v>
      </c>
      <c r="Q1564" s="7">
        <v>5.9420000000000002</v>
      </c>
      <c r="R1564" s="7">
        <v>6.2009999999999996</v>
      </c>
      <c r="S1564" s="7">
        <f t="shared" si="24"/>
        <v>5.0639999999999992</v>
      </c>
    </row>
    <row r="1565" spans="1:19">
      <c r="A1565" s="5" t="str">
        <f>B1565&amp;"-"&amp;COUNTIF($B$2:B1565,B1565)</f>
        <v>MATO GROSSO DO SUL-78</v>
      </c>
      <c r="B1565" s="5" t="s">
        <v>1076</v>
      </c>
      <c r="C1565" s="5" t="s">
        <v>5290</v>
      </c>
      <c r="D1565" s="6">
        <v>-517012</v>
      </c>
      <c r="E1565" s="6">
        <v>-207853</v>
      </c>
      <c r="F1565" s="7">
        <v>5.1559999999999997</v>
      </c>
      <c r="G1565" s="7">
        <v>5.9009999999999998</v>
      </c>
      <c r="H1565" s="7">
        <v>5.9729999999999999</v>
      </c>
      <c r="I1565" s="7">
        <v>5.46</v>
      </c>
      <c r="J1565" s="7">
        <v>4.8410000000000002</v>
      </c>
      <c r="K1565" s="7">
        <v>4.0890000000000004</v>
      </c>
      <c r="L1565" s="7">
        <v>3.7890000000000001</v>
      </c>
      <c r="M1565" s="7">
        <v>3.9940000000000002</v>
      </c>
      <c r="N1565" s="7">
        <v>4.923</v>
      </c>
      <c r="O1565" s="7">
        <v>4.9480000000000004</v>
      </c>
      <c r="P1565" s="7">
        <v>5.6</v>
      </c>
      <c r="Q1565" s="7">
        <v>6.0119999999999996</v>
      </c>
      <c r="R1565" s="7">
        <v>6.3460000000000001</v>
      </c>
      <c r="S1565" s="7">
        <f t="shared" si="24"/>
        <v>5.1563333333333334</v>
      </c>
    </row>
    <row r="1566" spans="1:19">
      <c r="A1566" s="5" t="str">
        <f>B1566&amp;"-"&amp;COUNTIF($B$2:B1566,B1566)</f>
        <v>MATO GROSSO DO SUL-79</v>
      </c>
      <c r="B1566" s="5" t="s">
        <v>1076</v>
      </c>
      <c r="C1566" s="5" t="s">
        <v>1125</v>
      </c>
      <c r="D1566" s="6">
        <v>-544376</v>
      </c>
      <c r="E1566" s="6">
        <v>-224098</v>
      </c>
      <c r="F1566" s="7">
        <v>4.9450000000000003</v>
      </c>
      <c r="G1566" s="7">
        <v>6.02</v>
      </c>
      <c r="H1566" s="7">
        <v>5.8380000000000001</v>
      </c>
      <c r="I1566" s="7">
        <v>5.3449999999999998</v>
      </c>
      <c r="J1566" s="7">
        <v>4.5629999999999997</v>
      </c>
      <c r="K1566" s="7">
        <v>3.67</v>
      </c>
      <c r="L1566" s="7">
        <v>3.3639999999999999</v>
      </c>
      <c r="M1566" s="7">
        <v>3.5110000000000001</v>
      </c>
      <c r="N1566" s="7">
        <v>4.4690000000000003</v>
      </c>
      <c r="O1566" s="7">
        <v>4.7519999999999998</v>
      </c>
      <c r="P1566" s="7">
        <v>5.3730000000000002</v>
      </c>
      <c r="Q1566" s="7">
        <v>5.9930000000000003</v>
      </c>
      <c r="R1566" s="7">
        <v>6.4420000000000002</v>
      </c>
      <c r="S1566" s="7">
        <f t="shared" si="24"/>
        <v>4.9450000000000003</v>
      </c>
    </row>
    <row r="1567" spans="1:19">
      <c r="A1567" s="5" t="str">
        <f>B1567&amp;"-"&amp;COUNTIF($B$2:B1567,B1567)</f>
        <v>MINAS GERAIS-1</v>
      </c>
      <c r="B1567" s="5" t="s">
        <v>1126</v>
      </c>
      <c r="C1567" s="5" t="s">
        <v>992</v>
      </c>
      <c r="D1567" s="6">
        <v>-42381</v>
      </c>
      <c r="E1567" s="6">
        <v>-179918</v>
      </c>
      <c r="F1567" s="7">
        <v>4.9850000000000003</v>
      </c>
      <c r="G1567" s="7">
        <v>6.0490000000000004</v>
      </c>
      <c r="H1567" s="7">
        <v>6.2939999999999996</v>
      </c>
      <c r="I1567" s="7">
        <v>5.2750000000000004</v>
      </c>
      <c r="J1567" s="7">
        <v>4.6280000000000001</v>
      </c>
      <c r="K1567" s="7">
        <v>3.98</v>
      </c>
      <c r="L1567" s="7">
        <v>3.76</v>
      </c>
      <c r="M1567" s="7">
        <v>3.9289999999999998</v>
      </c>
      <c r="N1567" s="7">
        <v>4.6369999999999996</v>
      </c>
      <c r="O1567" s="7">
        <v>5.1559999999999997</v>
      </c>
      <c r="P1567" s="7">
        <v>5.383</v>
      </c>
      <c r="Q1567" s="7">
        <v>4.9370000000000003</v>
      </c>
      <c r="R1567" s="7">
        <v>5.7889999999999997</v>
      </c>
      <c r="S1567" s="7">
        <f t="shared" si="24"/>
        <v>4.9847500000000009</v>
      </c>
    </row>
    <row r="1568" spans="1:19">
      <c r="A1568" s="5" t="str">
        <f>B1568&amp;"-"&amp;COUNTIF($B$2:B1568,B1568)</f>
        <v>MINAS GERAIS-2</v>
      </c>
      <c r="B1568" s="5" t="s">
        <v>1126</v>
      </c>
      <c r="C1568" s="5" t="s">
        <v>1127</v>
      </c>
      <c r="D1568" s="6">
        <v>-481073</v>
      </c>
      <c r="E1568" s="6">
        <v>-20058</v>
      </c>
      <c r="F1568" s="7">
        <v>5.15</v>
      </c>
      <c r="G1568" s="7">
        <v>5.6840000000000002</v>
      </c>
      <c r="H1568" s="7">
        <v>5.9850000000000003</v>
      </c>
      <c r="I1568" s="7">
        <v>5.1710000000000003</v>
      </c>
      <c r="J1568" s="7">
        <v>5.0339999999999998</v>
      </c>
      <c r="K1568" s="7">
        <v>4.3019999999999996</v>
      </c>
      <c r="L1568" s="7">
        <v>3.948</v>
      </c>
      <c r="M1568" s="7">
        <v>4.2649999999999997</v>
      </c>
      <c r="N1568" s="7">
        <v>5.1269999999999998</v>
      </c>
      <c r="O1568" s="7">
        <v>5.0570000000000004</v>
      </c>
      <c r="P1568" s="7">
        <v>5.5190000000000001</v>
      </c>
      <c r="Q1568" s="7">
        <v>5.7309999999999999</v>
      </c>
      <c r="R1568" s="7">
        <v>5.9770000000000003</v>
      </c>
      <c r="S1568" s="7">
        <f t="shared" si="24"/>
        <v>5.1499999999999995</v>
      </c>
    </row>
    <row r="1569" spans="1:19">
      <c r="A1569" s="5" t="str">
        <f>B1569&amp;"-"&amp;COUNTIF($B$2:B1569,B1569)</f>
        <v>MINAS GERAIS-3</v>
      </c>
      <c r="B1569" s="5" t="s">
        <v>1126</v>
      </c>
      <c r="C1569" s="5" t="s">
        <v>5809</v>
      </c>
      <c r="D1569" s="6">
        <v>-409387</v>
      </c>
      <c r="E1569" s="6">
        <v>-170807</v>
      </c>
      <c r="F1569" s="7">
        <v>5.0110000000000001</v>
      </c>
      <c r="G1569" s="7">
        <v>6.1980000000000004</v>
      </c>
      <c r="H1569" s="7">
        <v>6.4390000000000001</v>
      </c>
      <c r="I1569" s="7">
        <v>5.4580000000000002</v>
      </c>
      <c r="J1569" s="7">
        <v>4.7190000000000003</v>
      </c>
      <c r="K1569" s="7">
        <v>3.9089999999999998</v>
      </c>
      <c r="L1569" s="7">
        <v>3.5209999999999999</v>
      </c>
      <c r="M1569" s="7">
        <v>3.72</v>
      </c>
      <c r="N1569" s="7">
        <v>4.4050000000000002</v>
      </c>
      <c r="O1569" s="7">
        <v>5.0739999999999998</v>
      </c>
      <c r="P1569" s="7">
        <v>5.3239999999999998</v>
      </c>
      <c r="Q1569" s="7">
        <v>5.2080000000000002</v>
      </c>
      <c r="R1569" s="7">
        <v>6.1589999999999998</v>
      </c>
      <c r="S1569" s="7">
        <f t="shared" si="24"/>
        <v>5.0111666666666661</v>
      </c>
    </row>
    <row r="1570" spans="1:19">
      <c r="A1570" s="5" t="str">
        <f>B1570&amp;"-"&amp;COUNTIF($B$2:B1570,B1570)</f>
        <v>MINAS GERAIS-4</v>
      </c>
      <c r="B1570" s="5" t="s">
        <v>1126</v>
      </c>
      <c r="C1570" s="5" t="s">
        <v>5810</v>
      </c>
      <c r="D1570" s="6">
        <v>-414584</v>
      </c>
      <c r="E1570" s="6">
        <v>-157466</v>
      </c>
      <c r="F1570" s="7">
        <v>5.0419999999999998</v>
      </c>
      <c r="G1570" s="7">
        <v>5.9550000000000001</v>
      </c>
      <c r="H1570" s="7">
        <v>6.0990000000000002</v>
      </c>
      <c r="I1570" s="7">
        <v>5.3630000000000004</v>
      </c>
      <c r="J1570" s="7">
        <v>4.6900000000000004</v>
      </c>
      <c r="K1570" s="7">
        <v>4.0629999999999997</v>
      </c>
      <c r="L1570" s="7">
        <v>3.64</v>
      </c>
      <c r="M1570" s="7">
        <v>3.8660000000000001</v>
      </c>
      <c r="N1570" s="7">
        <v>4.5229999999999997</v>
      </c>
      <c r="O1570" s="7">
        <v>5.4589999999999996</v>
      </c>
      <c r="P1570" s="7">
        <v>5.5570000000000004</v>
      </c>
      <c r="Q1570" s="7">
        <v>5.2709999999999999</v>
      </c>
      <c r="R1570" s="7">
        <v>6.0110000000000001</v>
      </c>
      <c r="S1570" s="7">
        <f t="shared" si="24"/>
        <v>5.0414166666666675</v>
      </c>
    </row>
    <row r="1571" spans="1:19">
      <c r="A1571" s="5" t="str">
        <f>B1571&amp;"-"&amp;COUNTIF($B$2:B1571,B1571)</f>
        <v>MINAS GERAIS-5</v>
      </c>
      <c r="B1571" s="5" t="s">
        <v>1126</v>
      </c>
      <c r="C1571" s="5" t="s">
        <v>4651</v>
      </c>
      <c r="D1571" s="6">
        <v>-425495</v>
      </c>
      <c r="E1571" s="6">
        <v>-190673</v>
      </c>
      <c r="F1571" s="7">
        <v>4.7279999999999998</v>
      </c>
      <c r="G1571" s="7">
        <v>5.6859999999999999</v>
      </c>
      <c r="H1571" s="7">
        <v>5.9160000000000004</v>
      </c>
      <c r="I1571" s="7">
        <v>4.9580000000000002</v>
      </c>
      <c r="J1571" s="7">
        <v>4.4989999999999997</v>
      </c>
      <c r="K1571" s="7">
        <v>3.7949999999999999</v>
      </c>
      <c r="L1571" s="7">
        <v>3.6440000000000001</v>
      </c>
      <c r="M1571" s="7">
        <v>3.7869999999999999</v>
      </c>
      <c r="N1571" s="7">
        <v>4.4390000000000001</v>
      </c>
      <c r="O1571" s="7">
        <v>4.87</v>
      </c>
      <c r="P1571" s="7">
        <v>4.9969999999999999</v>
      </c>
      <c r="Q1571" s="7">
        <v>4.66</v>
      </c>
      <c r="R1571" s="7">
        <v>5.4809999999999999</v>
      </c>
      <c r="S1571" s="7">
        <f t="shared" si="24"/>
        <v>4.727666666666666</v>
      </c>
    </row>
    <row r="1572" spans="1:19">
      <c r="A1572" s="5" t="str">
        <f>B1572&amp;"-"&amp;COUNTIF($B$2:B1572,B1572)</f>
        <v>MINAS GERAIS-6</v>
      </c>
      <c r="B1572" s="5" t="s">
        <v>1126</v>
      </c>
      <c r="C1572" s="5" t="s">
        <v>1128</v>
      </c>
      <c r="D1572" s="6">
        <v>-473925</v>
      </c>
      <c r="E1572" s="6">
        <v>-184833</v>
      </c>
      <c r="F1572" s="7">
        <v>5.3390000000000004</v>
      </c>
      <c r="G1572" s="7">
        <v>5.6310000000000002</v>
      </c>
      <c r="H1572" s="7">
        <v>6.0060000000000002</v>
      </c>
      <c r="I1572" s="7">
        <v>5.1779999999999999</v>
      </c>
      <c r="J1572" s="7">
        <v>5.077</v>
      </c>
      <c r="K1572" s="7">
        <v>4.6900000000000004</v>
      </c>
      <c r="L1572" s="7">
        <v>4.4119999999999999</v>
      </c>
      <c r="M1572" s="7">
        <v>4.7329999999999997</v>
      </c>
      <c r="N1572" s="7">
        <v>5.6660000000000004</v>
      </c>
      <c r="O1572" s="7">
        <v>5.65</v>
      </c>
      <c r="P1572" s="7">
        <v>5.7220000000000004</v>
      </c>
      <c r="Q1572" s="7">
        <v>5.4889999999999999</v>
      </c>
      <c r="R1572" s="7">
        <v>5.8079999999999998</v>
      </c>
      <c r="S1572" s="7">
        <f t="shared" si="24"/>
        <v>5.3384999999999998</v>
      </c>
    </row>
    <row r="1573" spans="1:19">
      <c r="A1573" s="5" t="str">
        <f>B1573&amp;"-"&amp;COUNTIF($B$2:B1573,B1573)</f>
        <v>MINAS GERAIS-7</v>
      </c>
      <c r="B1573" s="5" t="s">
        <v>1126</v>
      </c>
      <c r="C1573" s="5" t="s">
        <v>4328</v>
      </c>
      <c r="D1573" s="6">
        <v>-454557</v>
      </c>
      <c r="E1573" s="6">
        <v>-191522</v>
      </c>
      <c r="F1573" s="7">
        <v>5.3440000000000003</v>
      </c>
      <c r="G1573" s="7">
        <v>5.9749999999999996</v>
      </c>
      <c r="H1573" s="7">
        <v>6.1660000000000004</v>
      </c>
      <c r="I1573" s="7">
        <v>5.2560000000000002</v>
      </c>
      <c r="J1573" s="7">
        <v>5.056</v>
      </c>
      <c r="K1573" s="7">
        <v>4.5810000000000004</v>
      </c>
      <c r="L1573" s="7">
        <v>4.3719999999999999</v>
      </c>
      <c r="M1573" s="7">
        <v>4.6020000000000003</v>
      </c>
      <c r="N1573" s="7">
        <v>5.5170000000000003</v>
      </c>
      <c r="O1573" s="7">
        <v>5.7050000000000001</v>
      </c>
      <c r="P1573" s="7">
        <v>5.7229999999999999</v>
      </c>
      <c r="Q1573" s="7">
        <v>5.399</v>
      </c>
      <c r="R1573" s="7">
        <v>5.7779999999999996</v>
      </c>
      <c r="S1573" s="7">
        <f t="shared" si="24"/>
        <v>5.3441666666666663</v>
      </c>
    </row>
    <row r="1574" spans="1:19">
      <c r="A1574" s="5" t="str">
        <f>B1574&amp;"-"&amp;COUNTIF($B$2:B1574,B1574)</f>
        <v>MINAS GERAIS-8</v>
      </c>
      <c r="B1574" s="5" t="s">
        <v>1126</v>
      </c>
      <c r="C1574" s="5" t="s">
        <v>1129</v>
      </c>
      <c r="D1574" s="6">
        <v>-424747</v>
      </c>
      <c r="E1574" s="6">
        <v>-203001</v>
      </c>
      <c r="F1574" s="7">
        <v>4.8259999999999996</v>
      </c>
      <c r="G1574" s="7">
        <v>5.7850000000000001</v>
      </c>
      <c r="H1574" s="7">
        <v>6.0350000000000001</v>
      </c>
      <c r="I1574" s="7">
        <v>5.0679999999999996</v>
      </c>
      <c r="J1574" s="7">
        <v>4.5049999999999999</v>
      </c>
      <c r="K1574" s="7">
        <v>3.871</v>
      </c>
      <c r="L1574" s="7">
        <v>3.6720000000000002</v>
      </c>
      <c r="M1574" s="7">
        <v>3.8239999999999998</v>
      </c>
      <c r="N1574" s="7">
        <v>4.5990000000000002</v>
      </c>
      <c r="O1574" s="7">
        <v>4.9249999999999998</v>
      </c>
      <c r="P1574" s="7">
        <v>5.0839999999999996</v>
      </c>
      <c r="Q1574" s="7">
        <v>4.883</v>
      </c>
      <c r="R1574" s="7">
        <v>5.6580000000000004</v>
      </c>
      <c r="S1574" s="7">
        <f t="shared" si="24"/>
        <v>4.8257500000000002</v>
      </c>
    </row>
    <row r="1575" spans="1:19">
      <c r="A1575" s="5" t="str">
        <f>B1575&amp;"-"&amp;COUNTIF($B$2:B1575,B1575)</f>
        <v>MINAS GERAIS-9</v>
      </c>
      <c r="B1575" s="5" t="s">
        <v>1126</v>
      </c>
      <c r="C1575" s="5" t="s">
        <v>1130</v>
      </c>
      <c r="D1575" s="6">
        <v>-431442</v>
      </c>
      <c r="E1575" s="6">
        <v>-203595</v>
      </c>
      <c r="F1575" s="7">
        <v>4.7530000000000001</v>
      </c>
      <c r="G1575" s="7">
        <v>5.6109999999999998</v>
      </c>
      <c r="H1575" s="7">
        <v>5.9219999999999997</v>
      </c>
      <c r="I1575" s="7">
        <v>5</v>
      </c>
      <c r="J1575" s="7">
        <v>4.4589999999999996</v>
      </c>
      <c r="K1575" s="7">
        <v>3.831</v>
      </c>
      <c r="L1575" s="7">
        <v>3.625</v>
      </c>
      <c r="M1575" s="7">
        <v>3.827</v>
      </c>
      <c r="N1575" s="7">
        <v>4.6740000000000004</v>
      </c>
      <c r="O1575" s="7">
        <v>4.8929999999999998</v>
      </c>
      <c r="P1575" s="7">
        <v>4.9729999999999999</v>
      </c>
      <c r="Q1575" s="7">
        <v>4.7770000000000001</v>
      </c>
      <c r="R1575" s="7">
        <v>5.4480000000000004</v>
      </c>
      <c r="S1575" s="7">
        <f t="shared" si="24"/>
        <v>4.753333333333333</v>
      </c>
    </row>
    <row r="1576" spans="1:19">
      <c r="A1576" s="5" t="str">
        <f>B1576&amp;"-"&amp;COUNTIF($B$2:B1576,B1576)</f>
        <v>MINAS GERAIS-10</v>
      </c>
      <c r="B1576" s="5" t="s">
        <v>1126</v>
      </c>
      <c r="C1576" s="5" t="s">
        <v>1131</v>
      </c>
      <c r="D1576" s="6">
        <v>-453918</v>
      </c>
      <c r="E1576" s="6">
        <v>-209444</v>
      </c>
      <c r="F1576" s="7">
        <v>4.9740000000000002</v>
      </c>
      <c r="G1576" s="7">
        <v>5.5839999999999996</v>
      </c>
      <c r="H1576" s="7">
        <v>5.7629999999999999</v>
      </c>
      <c r="I1576" s="7">
        <v>4.9169999999999998</v>
      </c>
      <c r="J1576" s="7">
        <v>4.7450000000000001</v>
      </c>
      <c r="K1576" s="7">
        <v>4.0910000000000002</v>
      </c>
      <c r="L1576" s="7">
        <v>3.8889999999999998</v>
      </c>
      <c r="M1576" s="7">
        <v>4.1909999999999998</v>
      </c>
      <c r="N1576" s="7">
        <v>5.0380000000000003</v>
      </c>
      <c r="O1576" s="7">
        <v>5.2190000000000003</v>
      </c>
      <c r="P1576" s="7">
        <v>5.43</v>
      </c>
      <c r="Q1576" s="7">
        <v>5.1849999999999996</v>
      </c>
      <c r="R1576" s="7">
        <v>5.6369999999999996</v>
      </c>
      <c r="S1576" s="7">
        <f t="shared" si="24"/>
        <v>4.9740833333333336</v>
      </c>
    </row>
    <row r="1577" spans="1:19">
      <c r="A1577" s="5" t="str">
        <f>B1577&amp;"-"&amp;COUNTIF($B$2:B1577,B1577)</f>
        <v>MINAS GERAIS-11</v>
      </c>
      <c r="B1577" s="5" t="s">
        <v>1126</v>
      </c>
      <c r="C1577" s="5" t="s">
        <v>4329</v>
      </c>
      <c r="D1577" s="6">
        <v>-41075</v>
      </c>
      <c r="E1577" s="6">
        <v>-195012</v>
      </c>
      <c r="F1577" s="7">
        <v>4.9610000000000003</v>
      </c>
      <c r="G1577" s="7">
        <v>6.226</v>
      </c>
      <c r="H1577" s="7">
        <v>6.33</v>
      </c>
      <c r="I1577" s="7">
        <v>5.3449999999999998</v>
      </c>
      <c r="J1577" s="7">
        <v>4.718</v>
      </c>
      <c r="K1577" s="7">
        <v>4.0030000000000001</v>
      </c>
      <c r="L1577" s="7">
        <v>3.6659999999999999</v>
      </c>
      <c r="M1577" s="7">
        <v>3.8079999999999998</v>
      </c>
      <c r="N1577" s="7">
        <v>4.4480000000000004</v>
      </c>
      <c r="O1577" s="7">
        <v>4.891</v>
      </c>
      <c r="P1577" s="7">
        <v>5.0869999999999997</v>
      </c>
      <c r="Q1577" s="7">
        <v>5.093</v>
      </c>
      <c r="R1577" s="7">
        <v>5.9119999999999999</v>
      </c>
      <c r="S1577" s="7">
        <f t="shared" si="24"/>
        <v>4.960583333333334</v>
      </c>
    </row>
    <row r="1578" spans="1:19">
      <c r="A1578" s="5" t="str">
        <f>B1578&amp;"-"&amp;COUNTIF($B$2:B1578,B1578)</f>
        <v>MINAS GERAIS-12</v>
      </c>
      <c r="B1578" s="5" t="s">
        <v>1126</v>
      </c>
      <c r="C1578" s="5" t="s">
        <v>1132</v>
      </c>
      <c r="D1578" s="6">
        <v>-446046</v>
      </c>
      <c r="E1578" s="6">
        <v>-219741</v>
      </c>
      <c r="F1578" s="7">
        <v>4.76</v>
      </c>
      <c r="G1578" s="7">
        <v>5.3319999999999999</v>
      </c>
      <c r="H1578" s="7">
        <v>5.6459999999999999</v>
      </c>
      <c r="I1578" s="7">
        <v>4.87</v>
      </c>
      <c r="J1578" s="7">
        <v>4.4720000000000004</v>
      </c>
      <c r="K1578" s="7">
        <v>3.8119999999999998</v>
      </c>
      <c r="L1578" s="7">
        <v>3.6110000000000002</v>
      </c>
      <c r="M1578" s="7">
        <v>3.8479999999999999</v>
      </c>
      <c r="N1578" s="7">
        <v>4.7060000000000004</v>
      </c>
      <c r="O1578" s="7">
        <v>4.9429999999999996</v>
      </c>
      <c r="P1578" s="7">
        <v>5.2350000000000003</v>
      </c>
      <c r="Q1578" s="7">
        <v>5.1180000000000003</v>
      </c>
      <c r="R1578" s="7">
        <v>5.5289999999999999</v>
      </c>
      <c r="S1578" s="7">
        <f t="shared" si="24"/>
        <v>4.7601666666666667</v>
      </c>
    </row>
    <row r="1579" spans="1:19">
      <c r="A1579" s="5" t="str">
        <f>B1579&amp;"-"&amp;COUNTIF($B$2:B1579,B1579)</f>
        <v>MINAS GERAIS-13</v>
      </c>
      <c r="B1579" s="5" t="s">
        <v>1126</v>
      </c>
      <c r="C1579" s="5" t="s">
        <v>4330</v>
      </c>
      <c r="D1579" s="6">
        <v>-42718</v>
      </c>
      <c r="E1579" s="6">
        <v>-218802</v>
      </c>
      <c r="F1579" s="7">
        <v>4.7009999999999996</v>
      </c>
      <c r="G1579" s="7">
        <v>5.8010000000000002</v>
      </c>
      <c r="H1579" s="7">
        <v>6.0730000000000004</v>
      </c>
      <c r="I1579" s="7">
        <v>5.093</v>
      </c>
      <c r="J1579" s="7">
        <v>4.4480000000000004</v>
      </c>
      <c r="K1579" s="7">
        <v>3.6240000000000001</v>
      </c>
      <c r="L1579" s="7">
        <v>3.3919999999999999</v>
      </c>
      <c r="M1579" s="7">
        <v>3.5529999999999999</v>
      </c>
      <c r="N1579" s="7">
        <v>4.298</v>
      </c>
      <c r="O1579" s="7">
        <v>4.6340000000000003</v>
      </c>
      <c r="P1579" s="7">
        <v>4.931</v>
      </c>
      <c r="Q1579" s="7">
        <v>4.8739999999999997</v>
      </c>
      <c r="R1579" s="7">
        <v>5.6849999999999996</v>
      </c>
      <c r="S1579" s="7">
        <f t="shared" si="24"/>
        <v>4.7004999999999999</v>
      </c>
    </row>
    <row r="1580" spans="1:19">
      <c r="A1580" s="5" t="str">
        <f>B1580&amp;"-"&amp;COUNTIF($B$2:B1580,B1580)</f>
        <v>MINAS GERAIS-14</v>
      </c>
      <c r="B1580" s="5" t="s">
        <v>1126</v>
      </c>
      <c r="C1580" s="5" t="s">
        <v>1133</v>
      </c>
      <c r="D1580" s="6">
        <v>-446417</v>
      </c>
      <c r="E1580" s="6">
        <v>-221715</v>
      </c>
      <c r="F1580" s="7">
        <v>4.58</v>
      </c>
      <c r="G1580" s="7">
        <v>5.0999999999999996</v>
      </c>
      <c r="H1580" s="7">
        <v>5.3479999999999999</v>
      </c>
      <c r="I1580" s="7">
        <v>4.5540000000000003</v>
      </c>
      <c r="J1580" s="7">
        <v>4.3159999999999998</v>
      </c>
      <c r="K1580" s="7">
        <v>3.754</v>
      </c>
      <c r="L1580" s="7">
        <v>3.57</v>
      </c>
      <c r="M1580" s="7">
        <v>3.7890000000000001</v>
      </c>
      <c r="N1580" s="7">
        <v>4.6619999999999999</v>
      </c>
      <c r="O1580" s="7">
        <v>4.8360000000000003</v>
      </c>
      <c r="P1580" s="7">
        <v>5.0090000000000003</v>
      </c>
      <c r="Q1580" s="7">
        <v>4.798</v>
      </c>
      <c r="R1580" s="7">
        <v>5.2249999999999996</v>
      </c>
      <c r="S1580" s="7">
        <f t="shared" si="24"/>
        <v>4.5800833333333335</v>
      </c>
    </row>
    <row r="1581" spans="1:19">
      <c r="A1581" s="5" t="str">
        <f>B1581&amp;"-"&amp;COUNTIF($B$2:B1581,B1581)</f>
        <v>MINAS GERAIS-15</v>
      </c>
      <c r="B1581" s="5" t="s">
        <v>1126</v>
      </c>
      <c r="C1581" s="5" t="s">
        <v>1134</v>
      </c>
      <c r="D1581" s="6">
        <v>-466143</v>
      </c>
      <c r="E1581" s="6">
        <v>-222023</v>
      </c>
      <c r="F1581" s="7">
        <v>4.8479999999999999</v>
      </c>
      <c r="G1581" s="7">
        <v>5.3570000000000002</v>
      </c>
      <c r="H1581" s="7">
        <v>5.52</v>
      </c>
      <c r="I1581" s="7">
        <v>4.867</v>
      </c>
      <c r="J1581" s="7">
        <v>4.5990000000000002</v>
      </c>
      <c r="K1581" s="7">
        <v>3.9049999999999998</v>
      </c>
      <c r="L1581" s="7">
        <v>3.6680000000000001</v>
      </c>
      <c r="M1581" s="7">
        <v>3.8889999999999998</v>
      </c>
      <c r="N1581" s="7">
        <v>4.7569999999999997</v>
      </c>
      <c r="O1581" s="7">
        <v>4.9489999999999998</v>
      </c>
      <c r="P1581" s="7">
        <v>5.407</v>
      </c>
      <c r="Q1581" s="7">
        <v>5.52</v>
      </c>
      <c r="R1581" s="7">
        <v>5.7320000000000002</v>
      </c>
      <c r="S1581" s="7">
        <f t="shared" si="24"/>
        <v>4.8474999999999993</v>
      </c>
    </row>
    <row r="1582" spans="1:19">
      <c r="A1582" s="5" t="str">
        <f>B1582&amp;"-"&amp;COUNTIF($B$2:B1582,B1582)</f>
        <v>MINAS GERAIS-16</v>
      </c>
      <c r="B1582" s="5" t="s">
        <v>1126</v>
      </c>
      <c r="C1582" s="5" t="s">
        <v>1135</v>
      </c>
      <c r="D1582" s="6">
        <v>-459481</v>
      </c>
      <c r="E1582" s="6">
        <v>-214261</v>
      </c>
      <c r="F1582" s="7">
        <v>4.9349999999999996</v>
      </c>
      <c r="G1582" s="7">
        <v>5.6890000000000001</v>
      </c>
      <c r="H1582" s="7">
        <v>5.8650000000000002</v>
      </c>
      <c r="I1582" s="7">
        <v>4.968</v>
      </c>
      <c r="J1582" s="7">
        <v>4.6340000000000003</v>
      </c>
      <c r="K1582" s="7">
        <v>3.9660000000000002</v>
      </c>
      <c r="L1582" s="7">
        <v>3.673</v>
      </c>
      <c r="M1582" s="7">
        <v>3.9769999999999999</v>
      </c>
      <c r="N1582" s="7">
        <v>4.8639999999999999</v>
      </c>
      <c r="O1582" s="7">
        <v>5.0720000000000001</v>
      </c>
      <c r="P1582" s="7">
        <v>5.4569999999999999</v>
      </c>
      <c r="Q1582" s="7">
        <v>5.351</v>
      </c>
      <c r="R1582" s="7">
        <v>5.702</v>
      </c>
      <c r="S1582" s="7">
        <f t="shared" si="24"/>
        <v>4.9348333333333327</v>
      </c>
    </row>
    <row r="1583" spans="1:19">
      <c r="A1583" s="5" t="str">
        <f>B1583&amp;"-"&amp;COUNTIF($B$2:B1583,B1583)</f>
        <v>MINAS GERAIS-17</v>
      </c>
      <c r="B1583" s="5" t="s">
        <v>1126</v>
      </c>
      <c r="C1583" s="5" t="s">
        <v>1136</v>
      </c>
      <c r="D1583" s="6">
        <v>-437721</v>
      </c>
      <c r="E1583" s="6">
        <v>-21154</v>
      </c>
      <c r="F1583" s="7">
        <v>4.694</v>
      </c>
      <c r="G1583" s="7">
        <v>5.4470000000000001</v>
      </c>
      <c r="H1583" s="7">
        <v>5.7640000000000002</v>
      </c>
      <c r="I1583" s="7">
        <v>4.8090000000000002</v>
      </c>
      <c r="J1583" s="7">
        <v>4.3</v>
      </c>
      <c r="K1583" s="7">
        <v>3.7290000000000001</v>
      </c>
      <c r="L1583" s="7">
        <v>3.5680000000000001</v>
      </c>
      <c r="M1583" s="7">
        <v>3.7679999999999998</v>
      </c>
      <c r="N1583" s="7">
        <v>4.6509999999999998</v>
      </c>
      <c r="O1583" s="7">
        <v>4.8650000000000002</v>
      </c>
      <c r="P1583" s="7">
        <v>5.0880000000000001</v>
      </c>
      <c r="Q1583" s="7">
        <v>4.8380000000000001</v>
      </c>
      <c r="R1583" s="7">
        <v>5.5</v>
      </c>
      <c r="S1583" s="7">
        <f t="shared" si="24"/>
        <v>4.6939166666666674</v>
      </c>
    </row>
    <row r="1584" spans="1:19">
      <c r="A1584" s="5" t="str">
        <f>B1584&amp;"-"&amp;COUNTIF($B$2:B1584,B1584)</f>
        <v>MINAS GERAIS-18</v>
      </c>
      <c r="B1584" s="5" t="s">
        <v>1126</v>
      </c>
      <c r="C1584" s="5" t="s">
        <v>1137</v>
      </c>
      <c r="D1584" s="6">
        <v>-406945</v>
      </c>
      <c r="E1584" s="6">
        <v>-161789</v>
      </c>
      <c r="F1584" s="7">
        <v>5.0220000000000002</v>
      </c>
      <c r="G1584" s="7">
        <v>6.1619999999999999</v>
      </c>
      <c r="H1584" s="7">
        <v>6.3760000000000003</v>
      </c>
      <c r="I1584" s="7">
        <v>5.5229999999999997</v>
      </c>
      <c r="J1584" s="7">
        <v>4.8380000000000001</v>
      </c>
      <c r="K1584" s="7">
        <v>4.0119999999999996</v>
      </c>
      <c r="L1584" s="7">
        <v>3.573</v>
      </c>
      <c r="M1584" s="7">
        <v>3.7349999999999999</v>
      </c>
      <c r="N1584" s="7">
        <v>4.2619999999999996</v>
      </c>
      <c r="O1584" s="7">
        <v>5.0810000000000004</v>
      </c>
      <c r="P1584" s="7">
        <v>5.2149999999999999</v>
      </c>
      <c r="Q1584" s="7">
        <v>5.327</v>
      </c>
      <c r="R1584" s="7">
        <v>6.1630000000000003</v>
      </c>
      <c r="S1584" s="7">
        <f t="shared" si="24"/>
        <v>5.0222499999999997</v>
      </c>
    </row>
    <row r="1585" spans="1:19">
      <c r="A1585" s="5" t="str">
        <f>B1585&amp;"-"&amp;COUNTIF($B$2:B1585,B1585)</f>
        <v>MINAS GERAIS-19</v>
      </c>
      <c r="B1585" s="5" t="s">
        <v>1126</v>
      </c>
      <c r="C1585" s="5" t="s">
        <v>1138</v>
      </c>
      <c r="D1585" s="6">
        <v>-419704</v>
      </c>
      <c r="E1585" s="6">
        <v>-189745</v>
      </c>
      <c r="F1585" s="7">
        <v>4.9160000000000004</v>
      </c>
      <c r="G1585" s="7">
        <v>6.0090000000000003</v>
      </c>
      <c r="H1585" s="7">
        <v>6.1609999999999996</v>
      </c>
      <c r="I1585" s="7">
        <v>5.3220000000000001</v>
      </c>
      <c r="J1585" s="7">
        <v>4.6870000000000003</v>
      </c>
      <c r="K1585" s="7">
        <v>3.8849999999999998</v>
      </c>
      <c r="L1585" s="7">
        <v>3.698</v>
      </c>
      <c r="M1585" s="7">
        <v>3.7869999999999999</v>
      </c>
      <c r="N1585" s="7">
        <v>4.5019999999999998</v>
      </c>
      <c r="O1585" s="7">
        <v>4.9480000000000004</v>
      </c>
      <c r="P1585" s="7">
        <v>5.1769999999999996</v>
      </c>
      <c r="Q1585" s="7">
        <v>4.9649999999999999</v>
      </c>
      <c r="R1585" s="7">
        <v>5.8529999999999998</v>
      </c>
      <c r="S1585" s="7">
        <f t="shared" si="24"/>
        <v>4.9161666666666672</v>
      </c>
    </row>
    <row r="1586" spans="1:19">
      <c r="A1586" s="5" t="str">
        <f>B1586&amp;"-"&amp;COUNTIF($B$2:B1586,B1586)</f>
        <v>MINAS GERAIS-20</v>
      </c>
      <c r="B1586" s="5" t="s">
        <v>1126</v>
      </c>
      <c r="C1586" s="5" t="s">
        <v>5104</v>
      </c>
      <c r="D1586" s="6">
        <v>-463882</v>
      </c>
      <c r="E1586" s="6">
        <v>-208635</v>
      </c>
      <c r="F1586" s="7">
        <v>5.0279999999999996</v>
      </c>
      <c r="G1586" s="7">
        <v>5.6849999999999996</v>
      </c>
      <c r="H1586" s="7">
        <v>5.8049999999999997</v>
      </c>
      <c r="I1586" s="7">
        <v>4.9569999999999999</v>
      </c>
      <c r="J1586" s="7">
        <v>4.7370000000000001</v>
      </c>
      <c r="K1586" s="7">
        <v>4.1429999999999998</v>
      </c>
      <c r="L1586" s="7">
        <v>3.9540000000000002</v>
      </c>
      <c r="M1586" s="7">
        <v>4.2069999999999999</v>
      </c>
      <c r="N1586" s="7">
        <v>5.0789999999999997</v>
      </c>
      <c r="O1586" s="7">
        <v>5.2240000000000002</v>
      </c>
      <c r="P1586" s="7">
        <v>5.5069999999999997</v>
      </c>
      <c r="Q1586" s="7">
        <v>5.383</v>
      </c>
      <c r="R1586" s="7">
        <v>5.66</v>
      </c>
      <c r="S1586" s="7">
        <f t="shared" si="24"/>
        <v>5.0284166666666659</v>
      </c>
    </row>
    <row r="1587" spans="1:19">
      <c r="A1587" s="5" t="str">
        <f>B1587&amp;"-"&amp;COUNTIF($B$2:B1587,B1587)</f>
        <v>MINAS GERAIS-21</v>
      </c>
      <c r="B1587" s="5" t="s">
        <v>1126</v>
      </c>
      <c r="C1587" s="5" t="s">
        <v>1139</v>
      </c>
      <c r="D1587" s="6">
        <v>-461391</v>
      </c>
      <c r="E1587" s="6">
        <v>-212492</v>
      </c>
      <c r="F1587" s="7">
        <v>4.8979999999999997</v>
      </c>
      <c r="G1587" s="7">
        <v>5.5129999999999999</v>
      </c>
      <c r="H1587" s="7">
        <v>5.798</v>
      </c>
      <c r="I1587" s="7">
        <v>4.8369999999999997</v>
      </c>
      <c r="J1587" s="7">
        <v>4.5970000000000004</v>
      </c>
      <c r="K1587" s="7">
        <v>3.9790000000000001</v>
      </c>
      <c r="L1587" s="7">
        <v>3.7610000000000001</v>
      </c>
      <c r="M1587" s="7">
        <v>4.0460000000000003</v>
      </c>
      <c r="N1587" s="7">
        <v>5.0259999999999998</v>
      </c>
      <c r="O1587" s="7">
        <v>5.109</v>
      </c>
      <c r="P1587" s="7">
        <v>5.407</v>
      </c>
      <c r="Q1587" s="7">
        <v>5.2050000000000001</v>
      </c>
      <c r="R1587" s="7">
        <v>5.5010000000000003</v>
      </c>
      <c r="S1587" s="7">
        <f t="shared" si="24"/>
        <v>4.89825</v>
      </c>
    </row>
    <row r="1588" spans="1:19">
      <c r="A1588" s="5" t="str">
        <f>B1588&amp;"-"&amp;COUNTIF($B$2:B1588,B1588)</f>
        <v>MINAS GERAIS-22</v>
      </c>
      <c r="B1588" s="5" t="s">
        <v>1126</v>
      </c>
      <c r="C1588" s="5" t="s">
        <v>5105</v>
      </c>
      <c r="D1588" s="6">
        <v>-418741</v>
      </c>
      <c r="E1588" s="6">
        <v>-204315</v>
      </c>
      <c r="F1588" s="7">
        <v>4.6689999999999996</v>
      </c>
      <c r="G1588" s="7">
        <v>5.5709999999999997</v>
      </c>
      <c r="H1588" s="7">
        <v>5.7889999999999997</v>
      </c>
      <c r="I1588" s="7">
        <v>4.7969999999999997</v>
      </c>
      <c r="J1588" s="7">
        <v>4.3319999999999999</v>
      </c>
      <c r="K1588" s="7">
        <v>3.8220000000000001</v>
      </c>
      <c r="L1588" s="7">
        <v>3.6160000000000001</v>
      </c>
      <c r="M1588" s="7">
        <v>3.7850000000000001</v>
      </c>
      <c r="N1588" s="7">
        <v>4.47</v>
      </c>
      <c r="O1588" s="7">
        <v>4.8630000000000004</v>
      </c>
      <c r="P1588" s="7">
        <v>4.9329999999999998</v>
      </c>
      <c r="Q1588" s="7">
        <v>4.673</v>
      </c>
      <c r="R1588" s="7">
        <v>5.3810000000000002</v>
      </c>
      <c r="S1588" s="7">
        <f t="shared" si="24"/>
        <v>4.6693333333333333</v>
      </c>
    </row>
    <row r="1589" spans="1:19">
      <c r="A1589" s="5" t="str">
        <f>B1589&amp;"-"&amp;COUNTIF($B$2:B1589,B1589)</f>
        <v>MINAS GERAIS-23</v>
      </c>
      <c r="B1589" s="5" t="s">
        <v>1126</v>
      </c>
      <c r="C1589" s="5" t="s">
        <v>5577</v>
      </c>
      <c r="D1589" s="6">
        <v>-419673</v>
      </c>
      <c r="E1589" s="6">
        <v>-204213</v>
      </c>
      <c r="F1589" s="7">
        <v>4.6680000000000001</v>
      </c>
      <c r="G1589" s="7">
        <v>5.609</v>
      </c>
      <c r="H1589" s="7">
        <v>5.8620000000000001</v>
      </c>
      <c r="I1589" s="7">
        <v>4.8940000000000001</v>
      </c>
      <c r="J1589" s="7">
        <v>4.41</v>
      </c>
      <c r="K1589" s="7">
        <v>3.7879999999999998</v>
      </c>
      <c r="L1589" s="7">
        <v>3.5920000000000001</v>
      </c>
      <c r="M1589" s="7">
        <v>3.7610000000000001</v>
      </c>
      <c r="N1589" s="7">
        <v>4.4340000000000002</v>
      </c>
      <c r="O1589" s="7">
        <v>4.7510000000000003</v>
      </c>
      <c r="P1589" s="7">
        <v>4.8819999999999997</v>
      </c>
      <c r="Q1589" s="7">
        <v>4.6559999999999997</v>
      </c>
      <c r="R1589" s="7">
        <v>5.3769999999999998</v>
      </c>
      <c r="S1589" s="7">
        <f t="shared" si="24"/>
        <v>4.6680000000000001</v>
      </c>
    </row>
    <row r="1590" spans="1:19">
      <c r="A1590" s="5" t="str">
        <f>B1590&amp;"-"&amp;COUNTIF($B$2:B1590,B1590)</f>
        <v>MINAS GERAIS-24</v>
      </c>
      <c r="B1590" s="5" t="s">
        <v>1126</v>
      </c>
      <c r="C1590" s="5" t="s">
        <v>1140</v>
      </c>
      <c r="D1590" s="6">
        <v>-434071</v>
      </c>
      <c r="E1590" s="6">
        <v>-210286</v>
      </c>
      <c r="F1590" s="7">
        <v>4.6669999999999998</v>
      </c>
      <c r="G1590" s="7">
        <v>5.51</v>
      </c>
      <c r="H1590" s="7">
        <v>5.8479999999999999</v>
      </c>
      <c r="I1590" s="7">
        <v>4.8760000000000003</v>
      </c>
      <c r="J1590" s="7">
        <v>4.2789999999999999</v>
      </c>
      <c r="K1590" s="7">
        <v>3.6680000000000001</v>
      </c>
      <c r="L1590" s="7">
        <v>3.512</v>
      </c>
      <c r="M1590" s="7">
        <v>3.6890000000000001</v>
      </c>
      <c r="N1590" s="7">
        <v>4.5599999999999996</v>
      </c>
      <c r="O1590" s="7">
        <v>4.8159999999999998</v>
      </c>
      <c r="P1590" s="7">
        <v>5.0140000000000002</v>
      </c>
      <c r="Q1590" s="7">
        <v>4.7149999999999999</v>
      </c>
      <c r="R1590" s="7">
        <v>5.5149999999999997</v>
      </c>
      <c r="S1590" s="7">
        <f t="shared" si="24"/>
        <v>4.6668333333333338</v>
      </c>
    </row>
    <row r="1591" spans="1:19">
      <c r="A1591" s="5" t="str">
        <f>B1591&amp;"-"&amp;COUNTIF($B$2:B1591,B1591)</f>
        <v>MINAS GERAIS-25</v>
      </c>
      <c r="B1591" s="5" t="s">
        <v>1126</v>
      </c>
      <c r="C1591" s="5" t="s">
        <v>1141</v>
      </c>
      <c r="D1591" s="6">
        <v>-417321</v>
      </c>
      <c r="E1591" s="6">
        <v>-194179</v>
      </c>
      <c r="F1591" s="7">
        <v>4.6769999999999996</v>
      </c>
      <c r="G1591" s="7">
        <v>5.73</v>
      </c>
      <c r="H1591" s="7">
        <v>5.8710000000000004</v>
      </c>
      <c r="I1591" s="7">
        <v>4.9160000000000004</v>
      </c>
      <c r="J1591" s="7">
        <v>4.4409999999999998</v>
      </c>
      <c r="K1591" s="7">
        <v>3.7360000000000002</v>
      </c>
      <c r="L1591" s="7">
        <v>3.556</v>
      </c>
      <c r="M1591" s="7">
        <v>3.6469999999999998</v>
      </c>
      <c r="N1591" s="7">
        <v>4.3049999999999997</v>
      </c>
      <c r="O1591" s="7">
        <v>4.7699999999999996</v>
      </c>
      <c r="P1591" s="7">
        <v>4.8689999999999998</v>
      </c>
      <c r="Q1591" s="7">
        <v>4.7629999999999999</v>
      </c>
      <c r="R1591" s="7">
        <v>5.5170000000000003</v>
      </c>
      <c r="S1591" s="7">
        <f t="shared" si="24"/>
        <v>4.6767499999999993</v>
      </c>
    </row>
    <row r="1592" spans="1:19">
      <c r="A1592" s="5" t="str">
        <f>B1592&amp;"-"&amp;COUNTIF($B$2:B1592,B1592)</f>
        <v>MINAS GERAIS-26</v>
      </c>
      <c r="B1592" s="5" t="s">
        <v>1126</v>
      </c>
      <c r="C1592" s="5" t="s">
        <v>5106</v>
      </c>
      <c r="D1592" s="6">
        <v>-430539</v>
      </c>
      <c r="E1592" s="6">
        <v>-201102</v>
      </c>
      <c r="F1592" s="7">
        <v>4.68</v>
      </c>
      <c r="G1592" s="7">
        <v>5.5</v>
      </c>
      <c r="H1592" s="7">
        <v>5.7830000000000004</v>
      </c>
      <c r="I1592" s="7">
        <v>4.8090000000000002</v>
      </c>
      <c r="J1592" s="7">
        <v>4.4080000000000004</v>
      </c>
      <c r="K1592" s="7">
        <v>3.7730000000000001</v>
      </c>
      <c r="L1592" s="7">
        <v>3.6280000000000001</v>
      </c>
      <c r="M1592" s="7">
        <v>3.8330000000000002</v>
      </c>
      <c r="N1592" s="7">
        <v>4.5999999999999996</v>
      </c>
      <c r="O1592" s="7">
        <v>4.8940000000000001</v>
      </c>
      <c r="P1592" s="7">
        <v>4.931</v>
      </c>
      <c r="Q1592" s="7">
        <v>4.6680000000000001</v>
      </c>
      <c r="R1592" s="7">
        <v>5.3380000000000001</v>
      </c>
      <c r="S1592" s="7">
        <f t="shared" si="24"/>
        <v>4.6804166666666669</v>
      </c>
    </row>
    <row r="1593" spans="1:19">
      <c r="A1593" s="5" t="str">
        <f>B1593&amp;"-"&amp;COUNTIF($B$2:B1593,B1593)</f>
        <v>MINAS GERAIS-27</v>
      </c>
      <c r="B1593" s="5" t="s">
        <v>1126</v>
      </c>
      <c r="C1593" s="5" t="s">
        <v>1142</v>
      </c>
      <c r="D1593" s="6">
        <v>-433642</v>
      </c>
      <c r="E1593" s="6">
        <v>-187338</v>
      </c>
      <c r="F1593" s="7">
        <v>4.8419999999999996</v>
      </c>
      <c r="G1593" s="7">
        <v>5.68</v>
      </c>
      <c r="H1593" s="7">
        <v>5.9630000000000001</v>
      </c>
      <c r="I1593" s="7">
        <v>4.9610000000000003</v>
      </c>
      <c r="J1593" s="7">
        <v>4.5149999999999997</v>
      </c>
      <c r="K1593" s="7">
        <v>3.9590000000000001</v>
      </c>
      <c r="L1593" s="7">
        <v>3.774</v>
      </c>
      <c r="M1593" s="7">
        <v>3.948</v>
      </c>
      <c r="N1593" s="7">
        <v>4.7140000000000004</v>
      </c>
      <c r="O1593" s="7">
        <v>5.1079999999999997</v>
      </c>
      <c r="P1593" s="7">
        <v>5.2439999999999998</v>
      </c>
      <c r="Q1593" s="7">
        <v>4.7990000000000004</v>
      </c>
      <c r="R1593" s="7">
        <v>5.4390000000000001</v>
      </c>
      <c r="S1593" s="7">
        <f t="shared" si="24"/>
        <v>4.8419999999999996</v>
      </c>
    </row>
    <row r="1594" spans="1:19">
      <c r="A1594" s="5" t="str">
        <f>B1594&amp;"-"&amp;COUNTIF($B$2:B1594,B1594)</f>
        <v>MINAS GERAIS-28</v>
      </c>
      <c r="B1594" s="5" t="s">
        <v>1126</v>
      </c>
      <c r="C1594" s="5" t="s">
        <v>1143</v>
      </c>
      <c r="D1594" s="6">
        <v>-428012</v>
      </c>
      <c r="E1594" s="6">
        <v>-205055</v>
      </c>
      <c r="F1594" s="7">
        <v>4.7489999999999997</v>
      </c>
      <c r="G1594" s="7">
        <v>5.5659999999999998</v>
      </c>
      <c r="H1594" s="7">
        <v>5.98</v>
      </c>
      <c r="I1594" s="7">
        <v>5.0060000000000002</v>
      </c>
      <c r="J1594" s="7">
        <v>4.4320000000000004</v>
      </c>
      <c r="K1594" s="7">
        <v>3.7850000000000001</v>
      </c>
      <c r="L1594" s="7">
        <v>3.5590000000000002</v>
      </c>
      <c r="M1594" s="7">
        <v>3.786</v>
      </c>
      <c r="N1594" s="7">
        <v>4.5819999999999999</v>
      </c>
      <c r="O1594" s="7">
        <v>4.8739999999999997</v>
      </c>
      <c r="P1594" s="7">
        <v>5.0709999999999997</v>
      </c>
      <c r="Q1594" s="7">
        <v>4.8460000000000001</v>
      </c>
      <c r="R1594" s="7">
        <v>5.5060000000000002</v>
      </c>
      <c r="S1594" s="7">
        <f t="shared" si="24"/>
        <v>4.7494166666666677</v>
      </c>
    </row>
    <row r="1595" spans="1:19">
      <c r="A1595" s="5" t="str">
        <f>B1595&amp;"-"&amp;COUNTIF($B$2:B1595,B1595)</f>
        <v>MINAS GERAIS-29</v>
      </c>
      <c r="B1595" s="5" t="s">
        <v>1126</v>
      </c>
      <c r="C1595" s="5" t="s">
        <v>1144</v>
      </c>
      <c r="D1595" s="6">
        <v>-465728</v>
      </c>
      <c r="E1595" s="5" t="s">
        <v>1145</v>
      </c>
      <c r="F1595" s="7">
        <v>4.7949999999999999</v>
      </c>
      <c r="G1595" s="7">
        <v>5.274</v>
      </c>
      <c r="H1595" s="7">
        <v>5.4569999999999999</v>
      </c>
      <c r="I1595" s="7">
        <v>4.798</v>
      </c>
      <c r="J1595" s="7">
        <v>4.5570000000000004</v>
      </c>
      <c r="K1595" s="7">
        <v>3.9129999999999998</v>
      </c>
      <c r="L1595" s="7">
        <v>3.6920000000000002</v>
      </c>
      <c r="M1595" s="7">
        <v>3.88</v>
      </c>
      <c r="N1595" s="7">
        <v>4.7789999999999999</v>
      </c>
      <c r="O1595" s="7">
        <v>4.931</v>
      </c>
      <c r="P1595" s="7">
        <v>5.327</v>
      </c>
      <c r="Q1595" s="7">
        <v>5.3869999999999996</v>
      </c>
      <c r="R1595" s="7">
        <v>5.5430000000000001</v>
      </c>
      <c r="S1595" s="7">
        <f t="shared" si="24"/>
        <v>4.7948333333333322</v>
      </c>
    </row>
    <row r="1596" spans="1:19">
      <c r="A1596" s="5" t="str">
        <f>B1596&amp;"-"&amp;COUNTIF($B$2:B1596,B1596)</f>
        <v>MINAS GERAIS-30</v>
      </c>
      <c r="B1596" s="5" t="s">
        <v>1126</v>
      </c>
      <c r="C1596" s="5" t="s">
        <v>4957</v>
      </c>
      <c r="D1596" s="6">
        <v>-443121</v>
      </c>
      <c r="E1596" s="6">
        <v>-217416</v>
      </c>
      <c r="F1596" s="7">
        <v>4.75</v>
      </c>
      <c r="G1596" s="7">
        <v>5.4329999999999998</v>
      </c>
      <c r="H1596" s="7">
        <v>5.8140000000000001</v>
      </c>
      <c r="I1596" s="7">
        <v>4.9039999999999999</v>
      </c>
      <c r="J1596" s="7">
        <v>4.367</v>
      </c>
      <c r="K1596" s="7">
        <v>3.74</v>
      </c>
      <c r="L1596" s="7">
        <v>3.581</v>
      </c>
      <c r="M1596" s="7">
        <v>3.7530000000000001</v>
      </c>
      <c r="N1596" s="7">
        <v>4.6749999999999998</v>
      </c>
      <c r="O1596" s="7">
        <v>4.9039999999999999</v>
      </c>
      <c r="P1596" s="7">
        <v>5.1559999999999997</v>
      </c>
      <c r="Q1596" s="7">
        <v>5.1130000000000004</v>
      </c>
      <c r="R1596" s="7">
        <v>5.56</v>
      </c>
      <c r="S1596" s="7">
        <f t="shared" si="24"/>
        <v>4.7500000000000009</v>
      </c>
    </row>
    <row r="1597" spans="1:19">
      <c r="A1597" s="5" t="str">
        <f>B1597&amp;"-"&amp;COUNTIF($B$2:B1597,B1597)</f>
        <v>MINAS GERAIS-31</v>
      </c>
      <c r="B1597" s="5" t="s">
        <v>1126</v>
      </c>
      <c r="C1597" s="5" t="s">
        <v>4958</v>
      </c>
      <c r="D1597" s="6">
        <v>-42273</v>
      </c>
      <c r="E1597" s="6">
        <v>-17726</v>
      </c>
      <c r="F1597" s="7">
        <v>4.8849999999999998</v>
      </c>
      <c r="G1597" s="7">
        <v>5.8369999999999997</v>
      </c>
      <c r="H1597" s="7">
        <v>6.0949999999999998</v>
      </c>
      <c r="I1597" s="7">
        <v>5.0279999999999996</v>
      </c>
      <c r="J1597" s="7">
        <v>4.4279999999999999</v>
      </c>
      <c r="K1597" s="7">
        <v>3.8719999999999999</v>
      </c>
      <c r="L1597" s="7">
        <v>3.7149999999999999</v>
      </c>
      <c r="M1597" s="7">
        <v>3.9350000000000001</v>
      </c>
      <c r="N1597" s="7">
        <v>4.6459999999999999</v>
      </c>
      <c r="O1597" s="7">
        <v>5.218</v>
      </c>
      <c r="P1597" s="7">
        <v>5.3559999999999999</v>
      </c>
      <c r="Q1597" s="7">
        <v>4.8620000000000001</v>
      </c>
      <c r="R1597" s="7">
        <v>5.6260000000000003</v>
      </c>
      <c r="S1597" s="7">
        <f t="shared" si="24"/>
        <v>4.8848333333333338</v>
      </c>
    </row>
    <row r="1598" spans="1:19">
      <c r="A1598" s="5" t="str">
        <f>B1598&amp;"-"&amp;COUNTIF($B$2:B1598,B1598)</f>
        <v>MINAS GERAIS-32</v>
      </c>
      <c r="B1598" s="5" t="s">
        <v>1126</v>
      </c>
      <c r="C1598" s="5" t="s">
        <v>4550</v>
      </c>
      <c r="D1598" s="6">
        <v>-437455</v>
      </c>
      <c r="E1598" s="6">
        <v>-213215</v>
      </c>
      <c r="F1598" s="7">
        <v>4.6559999999999997</v>
      </c>
      <c r="G1598" s="7">
        <v>5.3810000000000002</v>
      </c>
      <c r="H1598" s="7">
        <v>5.718</v>
      </c>
      <c r="I1598" s="7">
        <v>4.7729999999999997</v>
      </c>
      <c r="J1598" s="7">
        <v>4.258</v>
      </c>
      <c r="K1598" s="7">
        <v>3.6829999999999998</v>
      </c>
      <c r="L1598" s="7">
        <v>3.536</v>
      </c>
      <c r="M1598" s="7">
        <v>3.726</v>
      </c>
      <c r="N1598" s="7">
        <v>4.6050000000000004</v>
      </c>
      <c r="O1598" s="7">
        <v>4.8319999999999999</v>
      </c>
      <c r="P1598" s="7">
        <v>5.0469999999999997</v>
      </c>
      <c r="Q1598" s="7">
        <v>4.7969999999999997</v>
      </c>
      <c r="R1598" s="7">
        <v>5.516</v>
      </c>
      <c r="S1598" s="7">
        <f t="shared" si="24"/>
        <v>4.6559999999999997</v>
      </c>
    </row>
    <row r="1599" spans="1:19">
      <c r="A1599" s="5" t="str">
        <f>B1599&amp;"-"&amp;COUNTIF($B$2:B1599,B1599)</f>
        <v>MINAS GERAIS-33</v>
      </c>
      <c r="B1599" s="5" t="s">
        <v>1126</v>
      </c>
      <c r="C1599" s="5" t="s">
        <v>4551</v>
      </c>
      <c r="D1599" s="6">
        <v>-428783</v>
      </c>
      <c r="E1599" s="6">
        <v>-196538</v>
      </c>
      <c r="F1599" s="7">
        <v>4.774</v>
      </c>
      <c r="G1599" s="7">
        <v>5.67</v>
      </c>
      <c r="H1599" s="7">
        <v>5.9820000000000002</v>
      </c>
      <c r="I1599" s="7">
        <v>4.9180000000000001</v>
      </c>
      <c r="J1599" s="7">
        <v>4.5289999999999999</v>
      </c>
      <c r="K1599" s="7">
        <v>3.8540000000000001</v>
      </c>
      <c r="L1599" s="7">
        <v>3.6709999999999998</v>
      </c>
      <c r="M1599" s="7">
        <v>3.8660000000000001</v>
      </c>
      <c r="N1599" s="7">
        <v>4.593</v>
      </c>
      <c r="O1599" s="7">
        <v>4.9379999999999997</v>
      </c>
      <c r="P1599" s="7">
        <v>5.0810000000000004</v>
      </c>
      <c r="Q1599" s="7">
        <v>4.673</v>
      </c>
      <c r="R1599" s="7">
        <v>5.5140000000000002</v>
      </c>
      <c r="S1599" s="7">
        <f t="shared" si="24"/>
        <v>4.7740833333333343</v>
      </c>
    </row>
    <row r="1600" spans="1:19">
      <c r="A1600" s="5" t="str">
        <f>B1600&amp;"-"&amp;COUNTIF($B$2:B1600,B1600)</f>
        <v>MINAS GERAIS-34</v>
      </c>
      <c r="B1600" s="5" t="s">
        <v>1126</v>
      </c>
      <c r="C1600" s="5" t="s">
        <v>4552</v>
      </c>
      <c r="D1600" s="6">
        <v>-421113</v>
      </c>
      <c r="E1600" s="6">
        <v>-210197</v>
      </c>
      <c r="F1600" s="7">
        <v>4.7569999999999997</v>
      </c>
      <c r="G1600" s="7">
        <v>5.8680000000000003</v>
      </c>
      <c r="H1600" s="7">
        <v>5.9850000000000003</v>
      </c>
      <c r="I1600" s="7">
        <v>4.923</v>
      </c>
      <c r="J1600" s="7">
        <v>4.3929999999999998</v>
      </c>
      <c r="K1600" s="7">
        <v>3.7719999999999998</v>
      </c>
      <c r="L1600" s="7">
        <v>3.6110000000000002</v>
      </c>
      <c r="M1600" s="7">
        <v>3.7320000000000002</v>
      </c>
      <c r="N1600" s="7">
        <v>4.5389999999999997</v>
      </c>
      <c r="O1600" s="7">
        <v>4.8840000000000003</v>
      </c>
      <c r="P1600" s="7">
        <v>5.0209999999999999</v>
      </c>
      <c r="Q1600" s="7">
        <v>4.79</v>
      </c>
      <c r="R1600" s="7">
        <v>5.57</v>
      </c>
      <c r="S1600" s="7">
        <f t="shared" si="24"/>
        <v>4.7573333333333343</v>
      </c>
    </row>
    <row r="1601" spans="1:19">
      <c r="A1601" s="5" t="str">
        <f>B1601&amp;"-"&amp;COUNTIF($B$2:B1601,B1601)</f>
        <v>MINAS GERAIS-35</v>
      </c>
      <c r="B1601" s="5" t="s">
        <v>1126</v>
      </c>
      <c r="C1601" s="5" t="s">
        <v>4652</v>
      </c>
      <c r="D1601" s="6">
        <v>-442497</v>
      </c>
      <c r="E1601" s="6">
        <v>-19196</v>
      </c>
      <c r="F1601" s="7">
        <v>5.3230000000000004</v>
      </c>
      <c r="G1601" s="7">
        <v>5.9829999999999997</v>
      </c>
      <c r="H1601" s="7">
        <v>6.2409999999999997</v>
      </c>
      <c r="I1601" s="7">
        <v>5.351</v>
      </c>
      <c r="J1601" s="7">
        <v>5.016</v>
      </c>
      <c r="K1601" s="7">
        <v>4.4420000000000002</v>
      </c>
      <c r="L1601" s="7">
        <v>4.202</v>
      </c>
      <c r="M1601" s="7">
        <v>4.5389999999999997</v>
      </c>
      <c r="N1601" s="7">
        <v>5.327</v>
      </c>
      <c r="O1601" s="7">
        <v>5.7030000000000003</v>
      </c>
      <c r="P1601" s="7">
        <v>5.7469999999999999</v>
      </c>
      <c r="Q1601" s="7">
        <v>5.4710000000000001</v>
      </c>
      <c r="R1601" s="7">
        <v>5.8479999999999999</v>
      </c>
      <c r="S1601" s="7">
        <f t="shared" si="24"/>
        <v>5.3225000000000007</v>
      </c>
    </row>
    <row r="1602" spans="1:19">
      <c r="A1602" s="5" t="str">
        <f>B1602&amp;"-"&amp;COUNTIF($B$2:B1602,B1602)</f>
        <v>MINAS GERAIS-36</v>
      </c>
      <c r="B1602" s="5" t="s">
        <v>1126</v>
      </c>
      <c r="C1602" s="5" t="s">
        <v>4653</v>
      </c>
      <c r="D1602" s="6">
        <v>-420641</v>
      </c>
      <c r="E1602" s="6">
        <v>-168528</v>
      </c>
      <c r="F1602" s="7">
        <v>5.26</v>
      </c>
      <c r="G1602" s="7">
        <v>6.3579999999999997</v>
      </c>
      <c r="H1602" s="7">
        <v>6.492</v>
      </c>
      <c r="I1602" s="7">
        <v>5.5659999999999998</v>
      </c>
      <c r="J1602" s="7">
        <v>4.8579999999999997</v>
      </c>
      <c r="K1602" s="7">
        <v>4.16</v>
      </c>
      <c r="L1602" s="7">
        <v>3.899</v>
      </c>
      <c r="M1602" s="7">
        <v>4.1029999999999998</v>
      </c>
      <c r="N1602" s="7">
        <v>4.8310000000000004</v>
      </c>
      <c r="O1602" s="7">
        <v>5.47</v>
      </c>
      <c r="P1602" s="7">
        <v>5.7229999999999999</v>
      </c>
      <c r="Q1602" s="7">
        <v>5.4660000000000002</v>
      </c>
      <c r="R1602" s="7">
        <v>6.1980000000000004</v>
      </c>
      <c r="S1602" s="7">
        <f t="shared" si="24"/>
        <v>5.2603333333333335</v>
      </c>
    </row>
    <row r="1603" spans="1:19">
      <c r="A1603" s="5" t="str">
        <f>B1603&amp;"-"&amp;COUNTIF($B$2:B1603,B1603)</f>
        <v>MINAS GERAIS-37</v>
      </c>
      <c r="B1603" s="5" t="s">
        <v>1126</v>
      </c>
      <c r="C1603" s="5" t="s">
        <v>4839</v>
      </c>
      <c r="D1603" s="6">
        <v>-451676</v>
      </c>
      <c r="E1603" s="6">
        <v>-199451</v>
      </c>
      <c r="F1603" s="7">
        <v>5.1890000000000001</v>
      </c>
      <c r="G1603" s="7">
        <v>5.8280000000000003</v>
      </c>
      <c r="H1603" s="7">
        <v>6.0309999999999997</v>
      </c>
      <c r="I1603" s="7">
        <v>5.12</v>
      </c>
      <c r="J1603" s="7">
        <v>4.9660000000000002</v>
      </c>
      <c r="K1603" s="7">
        <v>4.3460000000000001</v>
      </c>
      <c r="L1603" s="7">
        <v>4.1909999999999998</v>
      </c>
      <c r="M1603" s="7">
        <v>4.3940000000000001</v>
      </c>
      <c r="N1603" s="7">
        <v>5.3150000000000004</v>
      </c>
      <c r="O1603" s="7">
        <v>5.516</v>
      </c>
      <c r="P1603" s="7">
        <v>5.6050000000000004</v>
      </c>
      <c r="Q1603" s="7">
        <v>5.2720000000000002</v>
      </c>
      <c r="R1603" s="7">
        <v>5.6790000000000003</v>
      </c>
      <c r="S1603" s="7">
        <f t="shared" ref="S1603:S1666" si="25">(G1603+H1603+I1603+J1603+K1603+L1603+M1603+N1603+O1603+P1603+Q1603+R1603)/12</f>
        <v>5.1885833333333329</v>
      </c>
    </row>
    <row r="1604" spans="1:19">
      <c r="A1604" s="5" t="str">
        <f>B1604&amp;"-"&amp;COUNTIF($B$2:B1604,B1604)</f>
        <v>MINAS GERAIS-38</v>
      </c>
      <c r="B1604" s="5" t="s">
        <v>1126</v>
      </c>
      <c r="C1604" s="5" t="s">
        <v>1146</v>
      </c>
      <c r="D1604" s="6">
        <v>-43374</v>
      </c>
      <c r="E1604" s="6">
        <v>-213451</v>
      </c>
      <c r="F1604" s="7">
        <v>4.6210000000000004</v>
      </c>
      <c r="G1604" s="7">
        <v>5.5069999999999997</v>
      </c>
      <c r="H1604" s="7">
        <v>5.8369999999999997</v>
      </c>
      <c r="I1604" s="7">
        <v>4.8570000000000002</v>
      </c>
      <c r="J1604" s="7">
        <v>4.2469999999999999</v>
      </c>
      <c r="K1604" s="7">
        <v>3.629</v>
      </c>
      <c r="L1604" s="7">
        <v>3.47</v>
      </c>
      <c r="M1604" s="7">
        <v>3.6179999999999999</v>
      </c>
      <c r="N1604" s="7">
        <v>4.415</v>
      </c>
      <c r="O1604" s="7">
        <v>4.6929999999999996</v>
      </c>
      <c r="P1604" s="7">
        <v>4.9720000000000004</v>
      </c>
      <c r="Q1604" s="7">
        <v>4.7220000000000004</v>
      </c>
      <c r="R1604" s="7">
        <v>5.484</v>
      </c>
      <c r="S1604" s="7">
        <f t="shared" si="25"/>
        <v>4.620916666666667</v>
      </c>
    </row>
    <row r="1605" spans="1:19">
      <c r="A1605" s="5" t="str">
        <f>B1605&amp;"-"&amp;COUNTIF($B$2:B1605,B1605)</f>
        <v>MINAS GERAIS-39</v>
      </c>
      <c r="B1605" s="5" t="s">
        <v>1126</v>
      </c>
      <c r="C1605" s="5" t="s">
        <v>1147</v>
      </c>
      <c r="D1605" s="6">
        <v>-481938</v>
      </c>
      <c r="E1605" s="6">
        <v>-18646</v>
      </c>
      <c r="F1605" s="7">
        <v>5.2990000000000004</v>
      </c>
      <c r="G1605" s="7">
        <v>5.5750000000000002</v>
      </c>
      <c r="H1605" s="7">
        <v>5.92</v>
      </c>
      <c r="I1605" s="7">
        <v>5.1760000000000002</v>
      </c>
      <c r="J1605" s="7">
        <v>5.1479999999999997</v>
      </c>
      <c r="K1605" s="7">
        <v>4.6360000000000001</v>
      </c>
      <c r="L1605" s="7">
        <v>4.4219999999999997</v>
      </c>
      <c r="M1605" s="7">
        <v>4.601</v>
      </c>
      <c r="N1605" s="7">
        <v>5.5860000000000003</v>
      </c>
      <c r="O1605" s="7">
        <v>5.508</v>
      </c>
      <c r="P1605" s="7">
        <v>5.6829999999999998</v>
      </c>
      <c r="Q1605" s="7">
        <v>5.5519999999999996</v>
      </c>
      <c r="R1605" s="7">
        <v>5.7750000000000004</v>
      </c>
      <c r="S1605" s="7">
        <f t="shared" si="25"/>
        <v>5.2984999999999998</v>
      </c>
    </row>
    <row r="1606" spans="1:19">
      <c r="A1606" s="5" t="str">
        <f>B1606&amp;"-"&amp;COUNTIF($B$2:B1606,B1606)</f>
        <v>MINAS GERAIS-40</v>
      </c>
      <c r="B1606" s="5" t="s">
        <v>1126</v>
      </c>
      <c r="C1606" s="5" t="s">
        <v>1148</v>
      </c>
      <c r="D1606" s="6">
        <v>-442559</v>
      </c>
      <c r="E1606" s="6">
        <v>-219107</v>
      </c>
      <c r="F1606" s="7">
        <v>4.6890000000000001</v>
      </c>
      <c r="G1606" s="7">
        <v>5.4210000000000003</v>
      </c>
      <c r="H1606" s="7">
        <v>5.7489999999999997</v>
      </c>
      <c r="I1606" s="7">
        <v>4.8600000000000003</v>
      </c>
      <c r="J1606" s="7">
        <v>4.3520000000000003</v>
      </c>
      <c r="K1606" s="7">
        <v>3.73</v>
      </c>
      <c r="L1606" s="7">
        <v>3.5529999999999999</v>
      </c>
      <c r="M1606" s="7">
        <v>3.6829999999999998</v>
      </c>
      <c r="N1606" s="7">
        <v>4.617</v>
      </c>
      <c r="O1606" s="7">
        <v>4.8109999999999999</v>
      </c>
      <c r="P1606" s="7">
        <v>5.0380000000000003</v>
      </c>
      <c r="Q1606" s="7">
        <v>4.9989999999999997</v>
      </c>
      <c r="R1606" s="7">
        <v>5.4539999999999997</v>
      </c>
      <c r="S1606" s="7">
        <f t="shared" si="25"/>
        <v>4.6889166666666675</v>
      </c>
    </row>
    <row r="1607" spans="1:19">
      <c r="A1607" s="5" t="str">
        <f>B1607&amp;"-"&amp;COUNTIF($B$2:B1607,B1607)</f>
        <v>MINAS GERAIS-41</v>
      </c>
      <c r="B1607" s="5" t="s">
        <v>1126</v>
      </c>
      <c r="C1607" s="5" t="s">
        <v>1149</v>
      </c>
      <c r="D1607" s="6">
        <v>-425182</v>
      </c>
      <c r="E1607" s="6">
        <v>-206691</v>
      </c>
      <c r="F1607" s="7">
        <v>4.7930000000000001</v>
      </c>
      <c r="G1607" s="7">
        <v>5.641</v>
      </c>
      <c r="H1607" s="7">
        <v>5.8620000000000001</v>
      </c>
      <c r="I1607" s="7">
        <v>4.9359999999999999</v>
      </c>
      <c r="J1607" s="7">
        <v>4.4390000000000001</v>
      </c>
      <c r="K1607" s="7">
        <v>3.8519999999999999</v>
      </c>
      <c r="L1607" s="7">
        <v>3.6880000000000002</v>
      </c>
      <c r="M1607" s="7">
        <v>3.8580000000000001</v>
      </c>
      <c r="N1607" s="7">
        <v>4.6390000000000002</v>
      </c>
      <c r="O1607" s="7">
        <v>4.9859999999999998</v>
      </c>
      <c r="P1607" s="7">
        <v>5.1589999999999998</v>
      </c>
      <c r="Q1607" s="7">
        <v>4.8719999999999999</v>
      </c>
      <c r="R1607" s="7">
        <v>5.5819999999999999</v>
      </c>
      <c r="S1607" s="7">
        <f t="shared" si="25"/>
        <v>4.7928333333333333</v>
      </c>
    </row>
    <row r="1608" spans="1:19">
      <c r="A1608" s="5" t="str">
        <f>B1608&amp;"-"&amp;COUNTIF($B$2:B1608,B1608)</f>
        <v>MINAS GERAIS-42</v>
      </c>
      <c r="B1608" s="5" t="s">
        <v>1126</v>
      </c>
      <c r="C1608" s="5" t="s">
        <v>5372</v>
      </c>
      <c r="D1608" s="6">
        <v>-491851</v>
      </c>
      <c r="E1608" s="6">
        <v>-184362</v>
      </c>
      <c r="F1608" s="7">
        <v>5.2510000000000003</v>
      </c>
      <c r="G1608" s="7">
        <v>5.6210000000000004</v>
      </c>
      <c r="H1608" s="7">
        <v>5.806</v>
      </c>
      <c r="I1608" s="7">
        <v>5.2060000000000004</v>
      </c>
      <c r="J1608" s="7">
        <v>5.0549999999999997</v>
      </c>
      <c r="K1608" s="7">
        <v>4.6280000000000001</v>
      </c>
      <c r="L1608" s="7">
        <v>4.3529999999999998</v>
      </c>
      <c r="M1608" s="7">
        <v>4.5259999999999998</v>
      </c>
      <c r="N1608" s="7">
        <v>5.4050000000000002</v>
      </c>
      <c r="O1608" s="7">
        <v>5.2930000000000001</v>
      </c>
      <c r="P1608" s="7">
        <v>5.6449999999999996</v>
      </c>
      <c r="Q1608" s="7">
        <v>5.681</v>
      </c>
      <c r="R1608" s="7">
        <v>5.7960000000000003</v>
      </c>
      <c r="S1608" s="7">
        <f t="shared" si="25"/>
        <v>5.2512499999999998</v>
      </c>
    </row>
    <row r="1609" spans="1:19">
      <c r="A1609" s="5" t="str">
        <f>B1609&amp;"-"&amp;COUNTIF($B$2:B1609,B1609)</f>
        <v>MINAS GERAIS-43</v>
      </c>
      <c r="B1609" s="5" t="s">
        <v>1126</v>
      </c>
      <c r="C1609" s="5" t="s">
        <v>5578</v>
      </c>
      <c r="D1609" s="6">
        <v>-461549</v>
      </c>
      <c r="E1609" s="6">
        <v>-19035</v>
      </c>
      <c r="F1609" s="7">
        <v>5.25</v>
      </c>
      <c r="G1609" s="7">
        <v>5.7160000000000002</v>
      </c>
      <c r="H1609" s="7">
        <v>6.0460000000000003</v>
      </c>
      <c r="I1609" s="7">
        <v>5.05</v>
      </c>
      <c r="J1609" s="7">
        <v>5.0060000000000002</v>
      </c>
      <c r="K1609" s="7">
        <v>4.57</v>
      </c>
      <c r="L1609" s="7">
        <v>4.3330000000000002</v>
      </c>
      <c r="M1609" s="7">
        <v>4.673</v>
      </c>
      <c r="N1609" s="7">
        <v>5.641</v>
      </c>
      <c r="O1609" s="7">
        <v>5.6420000000000003</v>
      </c>
      <c r="P1609" s="7">
        <v>5.5519999999999996</v>
      </c>
      <c r="Q1609" s="7">
        <v>5.1749999999999998</v>
      </c>
      <c r="R1609" s="7">
        <v>5.5990000000000002</v>
      </c>
      <c r="S1609" s="7">
        <f t="shared" si="25"/>
        <v>5.2502500000000003</v>
      </c>
    </row>
    <row r="1610" spans="1:19">
      <c r="A1610" s="5" t="str">
        <f>B1610&amp;"-"&amp;COUNTIF($B$2:B1610,B1610)</f>
        <v>MINAS GERAIS-44</v>
      </c>
      <c r="B1610" s="5" t="s">
        <v>1126</v>
      </c>
      <c r="C1610" s="5" t="s">
        <v>5579</v>
      </c>
      <c r="D1610" s="6">
        <v>-469416</v>
      </c>
      <c r="E1610" s="6">
        <v>-19585</v>
      </c>
      <c r="F1610" s="7">
        <v>5.17</v>
      </c>
      <c r="G1610" s="7">
        <v>5.5030000000000001</v>
      </c>
      <c r="H1610" s="7">
        <v>5.9089999999999998</v>
      </c>
      <c r="I1610" s="7">
        <v>4.923</v>
      </c>
      <c r="J1610" s="7">
        <v>4.8840000000000003</v>
      </c>
      <c r="K1610" s="7">
        <v>4.4720000000000004</v>
      </c>
      <c r="L1610" s="7">
        <v>4.2439999999999998</v>
      </c>
      <c r="M1610" s="7">
        <v>4.4790000000000001</v>
      </c>
      <c r="N1610" s="7">
        <v>5.5119999999999996</v>
      </c>
      <c r="O1610" s="7">
        <v>5.4550000000000001</v>
      </c>
      <c r="P1610" s="7">
        <v>5.6379999999999999</v>
      </c>
      <c r="Q1610" s="7">
        <v>5.3479999999999999</v>
      </c>
      <c r="R1610" s="7">
        <v>5.6660000000000004</v>
      </c>
      <c r="S1610" s="7">
        <f t="shared" si="25"/>
        <v>5.1694166666666668</v>
      </c>
    </row>
    <row r="1611" spans="1:19">
      <c r="A1611" s="5" t="str">
        <f>B1611&amp;"-"&amp;COUNTIF($B$2:B1611,B1611)</f>
        <v>MINAS GERAIS-45</v>
      </c>
      <c r="B1611" s="5" t="s">
        <v>1126</v>
      </c>
      <c r="C1611" s="5" t="s">
        <v>1150</v>
      </c>
      <c r="D1611" s="6">
        <v>-469405</v>
      </c>
      <c r="E1611" s="6">
        <v>-213595</v>
      </c>
      <c r="F1611" s="7">
        <v>5.0110000000000001</v>
      </c>
      <c r="G1611" s="7">
        <v>5.5540000000000003</v>
      </c>
      <c r="H1611" s="7">
        <v>5.7590000000000003</v>
      </c>
      <c r="I1611" s="7">
        <v>5.0309999999999997</v>
      </c>
      <c r="J1611" s="7">
        <v>4.8339999999999996</v>
      </c>
      <c r="K1611" s="7">
        <v>4.0750000000000002</v>
      </c>
      <c r="L1611" s="7">
        <v>3.8620000000000001</v>
      </c>
      <c r="M1611" s="7">
        <v>4.0679999999999996</v>
      </c>
      <c r="N1611" s="7">
        <v>4.9580000000000002</v>
      </c>
      <c r="O1611" s="7">
        <v>5.0229999999999997</v>
      </c>
      <c r="P1611" s="7">
        <v>5.5019999999999998</v>
      </c>
      <c r="Q1611" s="7">
        <v>5.6459999999999999</v>
      </c>
      <c r="R1611" s="7">
        <v>5.819</v>
      </c>
      <c r="S1611" s="7">
        <f t="shared" si="25"/>
        <v>5.0109166666666676</v>
      </c>
    </row>
    <row r="1612" spans="1:19">
      <c r="A1612" s="5" t="str">
        <f>B1612&amp;"-"&amp;COUNTIF($B$2:B1612,B1612)</f>
        <v>MINAS GERAIS-46</v>
      </c>
      <c r="B1612" s="5" t="s">
        <v>1126</v>
      </c>
      <c r="C1612" s="5" t="s">
        <v>1151</v>
      </c>
      <c r="D1612" s="6">
        <v>-455377</v>
      </c>
      <c r="E1612" s="6">
        <v>-202868</v>
      </c>
      <c r="F1612" s="7">
        <v>5.1360000000000001</v>
      </c>
      <c r="G1612" s="7">
        <v>5.806</v>
      </c>
      <c r="H1612" s="7">
        <v>5.952</v>
      </c>
      <c r="I1612" s="7">
        <v>5.09</v>
      </c>
      <c r="J1612" s="7">
        <v>4.8940000000000001</v>
      </c>
      <c r="K1612" s="7">
        <v>4.3319999999999999</v>
      </c>
      <c r="L1612" s="7">
        <v>4.0609999999999999</v>
      </c>
      <c r="M1612" s="7">
        <v>4.3540000000000001</v>
      </c>
      <c r="N1612" s="7">
        <v>5.2130000000000001</v>
      </c>
      <c r="O1612" s="7">
        <v>5.4260000000000002</v>
      </c>
      <c r="P1612" s="7">
        <v>5.532</v>
      </c>
      <c r="Q1612" s="7">
        <v>5.2320000000000002</v>
      </c>
      <c r="R1612" s="7">
        <v>5.734</v>
      </c>
      <c r="S1612" s="7">
        <f t="shared" si="25"/>
        <v>5.1354999999999995</v>
      </c>
    </row>
    <row r="1613" spans="1:19">
      <c r="A1613" s="5" t="str">
        <f>B1613&amp;"-"&amp;COUNTIF($B$2:B1613,B1613)</f>
        <v>MINAS GERAIS-47</v>
      </c>
      <c r="B1613" s="5" t="s">
        <v>1126</v>
      </c>
      <c r="C1613" s="5" t="s">
        <v>1152</v>
      </c>
      <c r="D1613" s="6">
        <v>-461425</v>
      </c>
      <c r="E1613" s="6">
        <v>-213577</v>
      </c>
      <c r="F1613" s="7">
        <v>4.899</v>
      </c>
      <c r="G1613" s="7">
        <v>5.56</v>
      </c>
      <c r="H1613" s="7">
        <v>5.7670000000000003</v>
      </c>
      <c r="I1613" s="7">
        <v>4.9039999999999999</v>
      </c>
      <c r="J1613" s="7">
        <v>4.6159999999999997</v>
      </c>
      <c r="K1613" s="7">
        <v>3.9660000000000002</v>
      </c>
      <c r="L1613" s="7">
        <v>3.7029999999999998</v>
      </c>
      <c r="M1613" s="7">
        <v>3.9990000000000001</v>
      </c>
      <c r="N1613" s="7">
        <v>4.9569999999999999</v>
      </c>
      <c r="O1613" s="7">
        <v>5.0609999999999999</v>
      </c>
      <c r="P1613" s="7">
        <v>5.4050000000000002</v>
      </c>
      <c r="Q1613" s="7">
        <v>5.2539999999999996</v>
      </c>
      <c r="R1613" s="7">
        <v>5.5940000000000003</v>
      </c>
      <c r="S1613" s="7">
        <f t="shared" si="25"/>
        <v>4.8988333333333332</v>
      </c>
    </row>
    <row r="1614" spans="1:19">
      <c r="A1614" s="5" t="str">
        <f>B1614&amp;"-"&amp;COUNTIF($B$2:B1614,B1614)</f>
        <v>MINAS GERAIS-48</v>
      </c>
      <c r="B1614" s="5" t="s">
        <v>1126</v>
      </c>
      <c r="C1614" s="5" t="s">
        <v>1153</v>
      </c>
      <c r="D1614" s="6">
        <v>-428295</v>
      </c>
      <c r="E1614" s="6">
        <v>-216088</v>
      </c>
      <c r="F1614" s="7">
        <v>4.6970000000000001</v>
      </c>
      <c r="G1614" s="7">
        <v>5.7619999999999996</v>
      </c>
      <c r="H1614" s="7">
        <v>5.992</v>
      </c>
      <c r="I1614" s="7">
        <v>5.0730000000000004</v>
      </c>
      <c r="J1614" s="7">
        <v>4.3330000000000002</v>
      </c>
      <c r="K1614" s="7">
        <v>3.633</v>
      </c>
      <c r="L1614" s="7">
        <v>3.4060000000000001</v>
      </c>
      <c r="M1614" s="7">
        <v>3.57</v>
      </c>
      <c r="N1614" s="7">
        <v>4.3559999999999999</v>
      </c>
      <c r="O1614" s="7">
        <v>4.7190000000000003</v>
      </c>
      <c r="P1614" s="7">
        <v>5.016</v>
      </c>
      <c r="Q1614" s="7">
        <v>4.8220000000000001</v>
      </c>
      <c r="R1614" s="7">
        <v>5.6760000000000002</v>
      </c>
      <c r="S1614" s="7">
        <f t="shared" si="25"/>
        <v>4.6964999999999995</v>
      </c>
    </row>
    <row r="1615" spans="1:19">
      <c r="A1615" s="5" t="str">
        <f>B1615&amp;"-"&amp;COUNTIF($B$2:B1615,B1615)</f>
        <v>MINAS GERAIS-49</v>
      </c>
      <c r="B1615" s="5" t="s">
        <v>1126</v>
      </c>
      <c r="C1615" s="5" t="s">
        <v>1154</v>
      </c>
      <c r="D1615" s="6">
        <v>-42557</v>
      </c>
      <c r="E1615" s="6">
        <v>-17867</v>
      </c>
      <c r="F1615" s="7">
        <v>4.9130000000000003</v>
      </c>
      <c r="G1615" s="7">
        <v>5.84</v>
      </c>
      <c r="H1615" s="7">
        <v>6.1390000000000002</v>
      </c>
      <c r="I1615" s="7">
        <v>5.1289999999999996</v>
      </c>
      <c r="J1615" s="7">
        <v>4.4960000000000004</v>
      </c>
      <c r="K1615" s="7">
        <v>3.8940000000000001</v>
      </c>
      <c r="L1615" s="7">
        <v>3.7570000000000001</v>
      </c>
      <c r="M1615" s="7">
        <v>3.9449999999999998</v>
      </c>
      <c r="N1615" s="7">
        <v>4.72</v>
      </c>
      <c r="O1615" s="7">
        <v>5.2279999999999998</v>
      </c>
      <c r="P1615" s="7">
        <v>5.3289999999999997</v>
      </c>
      <c r="Q1615" s="7">
        <v>4.835</v>
      </c>
      <c r="R1615" s="7">
        <v>5.6379999999999999</v>
      </c>
      <c r="S1615" s="7">
        <f t="shared" si="25"/>
        <v>4.9124999999999996</v>
      </c>
    </row>
    <row r="1616" spans="1:19">
      <c r="A1616" s="5" t="str">
        <f>B1616&amp;"-"&amp;COUNTIF($B$2:B1616,B1616)</f>
        <v>MINAS GERAIS-50</v>
      </c>
      <c r="B1616" s="5" t="s">
        <v>1126</v>
      </c>
      <c r="C1616" s="5" t="s">
        <v>1155</v>
      </c>
      <c r="D1616" s="6">
        <v>-461081</v>
      </c>
      <c r="E1616" s="6">
        <v>-159109</v>
      </c>
      <c r="F1616" s="7">
        <v>5.6470000000000002</v>
      </c>
      <c r="G1616" s="7">
        <v>6.1189999999999998</v>
      </c>
      <c r="H1616" s="7">
        <v>6.38</v>
      </c>
      <c r="I1616" s="7">
        <v>5.5279999999999996</v>
      </c>
      <c r="J1616" s="7">
        <v>5.4450000000000003</v>
      </c>
      <c r="K1616" s="7">
        <v>5.0529999999999999</v>
      </c>
      <c r="L1616" s="7">
        <v>4.7839999999999998</v>
      </c>
      <c r="M1616" s="7">
        <v>5.1660000000000004</v>
      </c>
      <c r="N1616" s="7">
        <v>5.944</v>
      </c>
      <c r="O1616" s="7">
        <v>6.0369999999999999</v>
      </c>
      <c r="P1616" s="7">
        <v>5.9530000000000003</v>
      </c>
      <c r="Q1616" s="7">
        <v>5.4160000000000004</v>
      </c>
      <c r="R1616" s="7">
        <v>5.9340000000000002</v>
      </c>
      <c r="S1616" s="7">
        <f t="shared" si="25"/>
        <v>5.6465833333333331</v>
      </c>
    </row>
    <row r="1617" spans="1:19">
      <c r="A1617" s="5" t="str">
        <f>B1617&amp;"-"&amp;COUNTIF($B$2:B1617,B1617)</f>
        <v>MINAS GERAIS-51</v>
      </c>
      <c r="B1617" s="5" t="s">
        <v>1126</v>
      </c>
      <c r="C1617" s="5" t="s">
        <v>1156</v>
      </c>
      <c r="D1617" s="6">
        <v>-428576</v>
      </c>
      <c r="E1617" s="6">
        <v>-213189</v>
      </c>
      <c r="F1617" s="7">
        <v>4.8040000000000003</v>
      </c>
      <c r="G1617" s="7">
        <v>5.8550000000000004</v>
      </c>
      <c r="H1617" s="7">
        <v>6.0960000000000001</v>
      </c>
      <c r="I1617" s="7">
        <v>5.1109999999999998</v>
      </c>
      <c r="J1617" s="7">
        <v>4.43</v>
      </c>
      <c r="K1617" s="7">
        <v>3.71</v>
      </c>
      <c r="L1617" s="7">
        <v>3.524</v>
      </c>
      <c r="M1617" s="7">
        <v>3.7</v>
      </c>
      <c r="N1617" s="7">
        <v>4.4589999999999996</v>
      </c>
      <c r="O1617" s="7">
        <v>4.8520000000000003</v>
      </c>
      <c r="P1617" s="7">
        <v>5.1710000000000003</v>
      </c>
      <c r="Q1617" s="7">
        <v>5.0090000000000003</v>
      </c>
      <c r="R1617" s="7">
        <v>5.7329999999999997</v>
      </c>
      <c r="S1617" s="7">
        <f t="shared" si="25"/>
        <v>4.8041666666666671</v>
      </c>
    </row>
    <row r="1618" spans="1:19">
      <c r="A1618" s="5" t="str">
        <f>B1618&amp;"-"&amp;COUNTIF($B$2:B1618,B1618)</f>
        <v>MINAS GERAIS-52</v>
      </c>
      <c r="B1618" s="5" t="s">
        <v>1126</v>
      </c>
      <c r="C1618" s="5" t="s">
        <v>4331</v>
      </c>
      <c r="D1618" s="6">
        <v>-411152</v>
      </c>
      <c r="E1618" s="6">
        <v>-180443</v>
      </c>
      <c r="F1618" s="7">
        <v>4.8099999999999996</v>
      </c>
      <c r="G1618" s="7">
        <v>6.0069999999999997</v>
      </c>
      <c r="H1618" s="7">
        <v>6.181</v>
      </c>
      <c r="I1618" s="7">
        <v>5.2590000000000003</v>
      </c>
      <c r="J1618" s="7">
        <v>4.5469999999999997</v>
      </c>
      <c r="K1618" s="7">
        <v>3.8279999999999998</v>
      </c>
      <c r="L1618" s="7">
        <v>3.5179999999999998</v>
      </c>
      <c r="M1618" s="7">
        <v>3.63</v>
      </c>
      <c r="N1618" s="7">
        <v>4.22</v>
      </c>
      <c r="O1618" s="7">
        <v>4.7699999999999996</v>
      </c>
      <c r="P1618" s="7">
        <v>5.0529999999999999</v>
      </c>
      <c r="Q1618" s="7">
        <v>4.9329999999999998</v>
      </c>
      <c r="R1618" s="7">
        <v>5.7809999999999997</v>
      </c>
      <c r="S1618" s="7">
        <f t="shared" si="25"/>
        <v>4.8105833333333328</v>
      </c>
    </row>
    <row r="1619" spans="1:19">
      <c r="A1619" s="5" t="str">
        <f>B1619&amp;"-"&amp;COUNTIF($B$2:B1619,B1619)</f>
        <v>MINAS GERAIS-53</v>
      </c>
      <c r="B1619" s="5" t="s">
        <v>1126</v>
      </c>
      <c r="C1619" s="5" t="s">
        <v>1157</v>
      </c>
      <c r="D1619" s="6">
        <v>-442659</v>
      </c>
      <c r="E1619" s="6">
        <v>-181002</v>
      </c>
      <c r="F1619" s="7">
        <v>5.4889999999999999</v>
      </c>
      <c r="G1619" s="7">
        <v>6.1420000000000003</v>
      </c>
      <c r="H1619" s="7">
        <v>6.4740000000000002</v>
      </c>
      <c r="I1619" s="7">
        <v>5.508</v>
      </c>
      <c r="J1619" s="7">
        <v>5.2489999999999997</v>
      </c>
      <c r="K1619" s="7">
        <v>4.7460000000000004</v>
      </c>
      <c r="L1619" s="7">
        <v>4.4130000000000003</v>
      </c>
      <c r="M1619" s="7">
        <v>4.835</v>
      </c>
      <c r="N1619" s="7">
        <v>5.4329999999999998</v>
      </c>
      <c r="O1619" s="7">
        <v>5.9169999999999998</v>
      </c>
      <c r="P1619" s="7">
        <v>5.9619999999999997</v>
      </c>
      <c r="Q1619" s="7">
        <v>5.37</v>
      </c>
      <c r="R1619" s="7">
        <v>5.8230000000000004</v>
      </c>
      <c r="S1619" s="7">
        <f t="shared" si="25"/>
        <v>5.4893333333333336</v>
      </c>
    </row>
    <row r="1620" spans="1:19">
      <c r="A1620" s="5" t="str">
        <f>B1620&amp;"-"&amp;COUNTIF($B$2:B1620,B1620)</f>
        <v>MINAS GERAIS-54</v>
      </c>
      <c r="B1620" s="5" t="s">
        <v>1126</v>
      </c>
      <c r="C1620" s="5" t="s">
        <v>1158</v>
      </c>
      <c r="D1620" s="6">
        <v>-448878</v>
      </c>
      <c r="E1620" s="6">
        <v>-219575</v>
      </c>
      <c r="F1620" s="7">
        <v>4.8970000000000002</v>
      </c>
      <c r="G1620" s="7">
        <v>5.49</v>
      </c>
      <c r="H1620" s="7">
        <v>5.7939999999999996</v>
      </c>
      <c r="I1620" s="7">
        <v>5.0250000000000004</v>
      </c>
      <c r="J1620" s="7">
        <v>4.6369999999999996</v>
      </c>
      <c r="K1620" s="7">
        <v>3.9289999999999998</v>
      </c>
      <c r="L1620" s="7">
        <v>3.6850000000000001</v>
      </c>
      <c r="M1620" s="7">
        <v>3.88</v>
      </c>
      <c r="N1620" s="7">
        <v>4.7869999999999999</v>
      </c>
      <c r="O1620" s="7">
        <v>5.0890000000000004</v>
      </c>
      <c r="P1620" s="7">
        <v>5.4180000000000001</v>
      </c>
      <c r="Q1620" s="7">
        <v>5.3449999999999998</v>
      </c>
      <c r="R1620" s="7">
        <v>5.6870000000000003</v>
      </c>
      <c r="S1620" s="7">
        <f t="shared" si="25"/>
        <v>4.8971666666666662</v>
      </c>
    </row>
    <row r="1621" spans="1:19">
      <c r="A1621" s="5" t="str">
        <f>B1621&amp;"-"&amp;COUNTIF($B$2:B1621,B1621)</f>
        <v>MINAS GERAIS-55</v>
      </c>
      <c r="B1621" s="5" t="s">
        <v>1126</v>
      </c>
      <c r="C1621" s="5" t="s">
        <v>1159</v>
      </c>
      <c r="D1621" s="6">
        <v>-43957</v>
      </c>
      <c r="E1621" s="6">
        <v>-19288</v>
      </c>
      <c r="F1621" s="7">
        <v>5.319</v>
      </c>
      <c r="G1621" s="7">
        <v>5.9489999999999998</v>
      </c>
      <c r="H1621" s="7">
        <v>6.2380000000000004</v>
      </c>
      <c r="I1621" s="7">
        <v>5.3689999999999998</v>
      </c>
      <c r="J1621" s="7">
        <v>4.9950000000000001</v>
      </c>
      <c r="K1621" s="7">
        <v>4.4400000000000004</v>
      </c>
      <c r="L1621" s="7">
        <v>4.1660000000000004</v>
      </c>
      <c r="M1621" s="7">
        <v>4.51</v>
      </c>
      <c r="N1621" s="7">
        <v>5.3120000000000003</v>
      </c>
      <c r="O1621" s="7">
        <v>5.7160000000000002</v>
      </c>
      <c r="P1621" s="7">
        <v>5.774</v>
      </c>
      <c r="Q1621" s="7">
        <v>5.5049999999999999</v>
      </c>
      <c r="R1621" s="7">
        <v>5.85</v>
      </c>
      <c r="S1621" s="7">
        <f t="shared" si="25"/>
        <v>5.3186666666666671</v>
      </c>
    </row>
    <row r="1622" spans="1:19">
      <c r="A1622" s="5" t="str">
        <f>B1622&amp;"-"&amp;COUNTIF($B$2:B1622,B1622)</f>
        <v>MINAS GERAIS-56</v>
      </c>
      <c r="B1622" s="5" t="s">
        <v>1126</v>
      </c>
      <c r="C1622" s="5" t="s">
        <v>1160</v>
      </c>
      <c r="D1622" s="6">
        <v>-459758</v>
      </c>
      <c r="E1622" s="6">
        <v>-200171</v>
      </c>
      <c r="F1622" s="7">
        <v>5.1719999999999997</v>
      </c>
      <c r="G1622" s="7">
        <v>5.7649999999999997</v>
      </c>
      <c r="H1622" s="7">
        <v>6.0359999999999996</v>
      </c>
      <c r="I1622" s="7">
        <v>5</v>
      </c>
      <c r="J1622" s="7">
        <v>4.9450000000000003</v>
      </c>
      <c r="K1622" s="7">
        <v>4.4080000000000004</v>
      </c>
      <c r="L1622" s="7">
        <v>4.1849999999999996</v>
      </c>
      <c r="M1622" s="7">
        <v>4.4569999999999999</v>
      </c>
      <c r="N1622" s="7">
        <v>5.4569999999999999</v>
      </c>
      <c r="O1622" s="7">
        <v>5.4889999999999999</v>
      </c>
      <c r="P1622" s="7">
        <v>5.5339999999999998</v>
      </c>
      <c r="Q1622" s="7">
        <v>5.1779999999999999</v>
      </c>
      <c r="R1622" s="7">
        <v>5.6130000000000004</v>
      </c>
      <c r="S1622" s="7">
        <f t="shared" si="25"/>
        <v>5.1722499999999991</v>
      </c>
    </row>
    <row r="1623" spans="1:19">
      <c r="A1623" s="5" t="str">
        <f>B1623&amp;"-"&amp;COUNTIF($B$2:B1623,B1623)</f>
        <v>MINAS GERAIS-57</v>
      </c>
      <c r="B1623" s="5" t="s">
        <v>1126</v>
      </c>
      <c r="C1623" s="5" t="s">
        <v>1161</v>
      </c>
      <c r="D1623" s="6">
        <v>-405611</v>
      </c>
      <c r="E1623" s="6">
        <v>-158839</v>
      </c>
      <c r="F1623" s="7">
        <v>4.976</v>
      </c>
      <c r="G1623" s="7">
        <v>6.08</v>
      </c>
      <c r="H1623" s="7">
        <v>6.2089999999999996</v>
      </c>
      <c r="I1623" s="7">
        <v>5.5259999999999998</v>
      </c>
      <c r="J1623" s="7">
        <v>4.8209999999999997</v>
      </c>
      <c r="K1623" s="7">
        <v>3.9860000000000002</v>
      </c>
      <c r="L1623" s="7">
        <v>3.6</v>
      </c>
      <c r="M1623" s="7">
        <v>3.7519999999999998</v>
      </c>
      <c r="N1623" s="7">
        <v>4.3310000000000004</v>
      </c>
      <c r="O1623" s="7">
        <v>5.0469999999999997</v>
      </c>
      <c r="P1623" s="7">
        <v>5.1639999999999997</v>
      </c>
      <c r="Q1623" s="7">
        <v>5.18</v>
      </c>
      <c r="R1623" s="7">
        <v>6.02</v>
      </c>
      <c r="S1623" s="7">
        <f t="shared" si="25"/>
        <v>4.9763333333333328</v>
      </c>
    </row>
    <row r="1624" spans="1:19">
      <c r="A1624" s="5" t="str">
        <f>B1624&amp;"-"&amp;COUNTIF($B$2:B1624,B1624)</f>
        <v>MINAS GERAIS-58</v>
      </c>
      <c r="B1624" s="5" t="s">
        <v>1126</v>
      </c>
      <c r="C1624" s="5" t="s">
        <v>1162</v>
      </c>
      <c r="D1624" s="6">
        <v>-463837</v>
      </c>
      <c r="E1624" s="6">
        <v>-217313</v>
      </c>
      <c r="F1624" s="7">
        <v>4.8479999999999999</v>
      </c>
      <c r="G1624" s="7">
        <v>5.3520000000000003</v>
      </c>
      <c r="H1624" s="7">
        <v>5.6239999999999997</v>
      </c>
      <c r="I1624" s="7">
        <v>4.8410000000000002</v>
      </c>
      <c r="J1624" s="7">
        <v>4.5540000000000003</v>
      </c>
      <c r="K1624" s="7">
        <v>3.9510000000000001</v>
      </c>
      <c r="L1624" s="7">
        <v>3.7519999999999998</v>
      </c>
      <c r="M1624" s="7">
        <v>3.9889999999999999</v>
      </c>
      <c r="N1624" s="7">
        <v>4.8940000000000001</v>
      </c>
      <c r="O1624" s="7">
        <v>5.0579999999999998</v>
      </c>
      <c r="P1624" s="7">
        <v>5.3769999999999998</v>
      </c>
      <c r="Q1624" s="7">
        <v>5.23</v>
      </c>
      <c r="R1624" s="7">
        <v>5.5469999999999997</v>
      </c>
      <c r="S1624" s="7">
        <f t="shared" si="25"/>
        <v>4.8474166666666667</v>
      </c>
    </row>
    <row r="1625" spans="1:19">
      <c r="A1625" s="5" t="str">
        <f>B1625&amp;"-"&amp;COUNTIF($B$2:B1625,B1625)</f>
        <v>MINAS GERAIS-59</v>
      </c>
      <c r="B1625" s="5" t="s">
        <v>1126</v>
      </c>
      <c r="C1625" s="5" t="s">
        <v>3995</v>
      </c>
      <c r="D1625" s="6">
        <v>-434759</v>
      </c>
      <c r="E1625" s="6">
        <v>-199394</v>
      </c>
      <c r="F1625" s="7">
        <v>4.6989999999999998</v>
      </c>
      <c r="G1625" s="7">
        <v>5.4329999999999998</v>
      </c>
      <c r="H1625" s="7">
        <v>5.7149999999999999</v>
      </c>
      <c r="I1625" s="7">
        <v>4.7610000000000001</v>
      </c>
      <c r="J1625" s="7">
        <v>4.3680000000000003</v>
      </c>
      <c r="K1625" s="7">
        <v>3.84</v>
      </c>
      <c r="L1625" s="7">
        <v>3.6739999999999999</v>
      </c>
      <c r="M1625" s="7">
        <v>3.8940000000000001</v>
      </c>
      <c r="N1625" s="7">
        <v>4.718</v>
      </c>
      <c r="O1625" s="7">
        <v>4.952</v>
      </c>
      <c r="P1625" s="7">
        <v>5.0039999999999996</v>
      </c>
      <c r="Q1625" s="7">
        <v>4.7670000000000003</v>
      </c>
      <c r="R1625" s="7">
        <v>5.26</v>
      </c>
      <c r="S1625" s="7">
        <f t="shared" si="25"/>
        <v>4.6988333333333339</v>
      </c>
    </row>
    <row r="1626" spans="1:19">
      <c r="A1626" s="5" t="str">
        <f>B1626&amp;"-"&amp;COUNTIF($B$2:B1626,B1626)</f>
        <v>MINAS GERAIS-60</v>
      </c>
      <c r="B1626" s="5" t="s">
        <v>1126</v>
      </c>
      <c r="C1626" s="5" t="s">
        <v>3996</v>
      </c>
      <c r="D1626" s="6">
        <v>-422375</v>
      </c>
      <c r="E1626" s="6">
        <v>-212449</v>
      </c>
      <c r="F1626" s="7">
        <v>4.9039999999999999</v>
      </c>
      <c r="G1626" s="7">
        <v>6.07</v>
      </c>
      <c r="H1626" s="7">
        <v>6.2990000000000004</v>
      </c>
      <c r="I1626" s="7">
        <v>5.1970000000000001</v>
      </c>
      <c r="J1626" s="7">
        <v>4.532</v>
      </c>
      <c r="K1626" s="7">
        <v>3.8359999999999999</v>
      </c>
      <c r="L1626" s="7">
        <v>3.605</v>
      </c>
      <c r="M1626" s="7">
        <v>3.714</v>
      </c>
      <c r="N1626" s="7">
        <v>4.51</v>
      </c>
      <c r="O1626" s="7">
        <v>4.92</v>
      </c>
      <c r="P1626" s="7">
        <v>5.2080000000000002</v>
      </c>
      <c r="Q1626" s="7">
        <v>5.0389999999999997</v>
      </c>
      <c r="R1626" s="7">
        <v>5.923</v>
      </c>
      <c r="S1626" s="7">
        <f t="shared" si="25"/>
        <v>4.9044166666666671</v>
      </c>
    </row>
    <row r="1627" spans="1:19">
      <c r="A1627" s="5" t="str">
        <f>B1627&amp;"-"&amp;COUNTIF($B$2:B1627,B1627)</f>
        <v>MINAS GERAIS-61</v>
      </c>
      <c r="B1627" s="5" t="s">
        <v>1126</v>
      </c>
      <c r="C1627" s="5" t="s">
        <v>1163</v>
      </c>
      <c r="D1627" s="6">
        <v>-437706</v>
      </c>
      <c r="E1627" s="6">
        <v>-212219</v>
      </c>
      <c r="F1627" s="7">
        <v>4.694</v>
      </c>
      <c r="G1627" s="7">
        <v>5.4470000000000001</v>
      </c>
      <c r="H1627" s="7">
        <v>5.7640000000000002</v>
      </c>
      <c r="I1627" s="7">
        <v>4.8090000000000002</v>
      </c>
      <c r="J1627" s="7">
        <v>4.3</v>
      </c>
      <c r="K1627" s="7">
        <v>3.7290000000000001</v>
      </c>
      <c r="L1627" s="7">
        <v>3.5680000000000001</v>
      </c>
      <c r="M1627" s="7">
        <v>3.7679999999999998</v>
      </c>
      <c r="N1627" s="7">
        <v>4.6509999999999998</v>
      </c>
      <c r="O1627" s="7">
        <v>4.8650000000000002</v>
      </c>
      <c r="P1627" s="7">
        <v>5.0880000000000001</v>
      </c>
      <c r="Q1627" s="7">
        <v>4.8380000000000001</v>
      </c>
      <c r="R1627" s="7">
        <v>5.5</v>
      </c>
      <c r="S1627" s="7">
        <f t="shared" si="25"/>
        <v>4.6939166666666674</v>
      </c>
    </row>
    <row r="1628" spans="1:19">
      <c r="A1628" s="5" t="str">
        <f>B1628&amp;"-"&amp;COUNTIF($B$2:B1628,B1628)</f>
        <v>MINAS GERAIS-62</v>
      </c>
      <c r="B1628" s="5" t="s">
        <v>1126</v>
      </c>
      <c r="C1628" s="5" t="s">
        <v>1164</v>
      </c>
      <c r="D1628" s="6">
        <v>-430405</v>
      </c>
      <c r="E1628" s="6">
        <v>-202873</v>
      </c>
      <c r="F1628" s="7">
        <v>4.76</v>
      </c>
      <c r="G1628" s="7">
        <v>5.6289999999999996</v>
      </c>
      <c r="H1628" s="7">
        <v>5.9320000000000004</v>
      </c>
      <c r="I1628" s="7">
        <v>4.9809999999999999</v>
      </c>
      <c r="J1628" s="7">
        <v>4.5</v>
      </c>
      <c r="K1628" s="7">
        <v>3.8090000000000002</v>
      </c>
      <c r="L1628" s="7">
        <v>3.6280000000000001</v>
      </c>
      <c r="M1628" s="7">
        <v>3.8119999999999998</v>
      </c>
      <c r="N1628" s="7">
        <v>4.6639999999999997</v>
      </c>
      <c r="O1628" s="7">
        <v>4.9359999999999999</v>
      </c>
      <c r="P1628" s="7">
        <v>5.0090000000000003</v>
      </c>
      <c r="Q1628" s="7">
        <v>4.7649999999999997</v>
      </c>
      <c r="R1628" s="7">
        <v>5.4569999999999999</v>
      </c>
      <c r="S1628" s="7">
        <f t="shared" si="25"/>
        <v>4.7601666666666675</v>
      </c>
    </row>
    <row r="1629" spans="1:19">
      <c r="A1629" s="5" t="str">
        <f>B1629&amp;"-"&amp;COUNTIF($B$2:B1629,B1629)</f>
        <v>MINAS GERAIS-63</v>
      </c>
      <c r="B1629" s="5" t="s">
        <v>1126</v>
      </c>
      <c r="C1629" s="5" t="s">
        <v>1165</v>
      </c>
      <c r="D1629" s="6">
        <v>-439724</v>
      </c>
      <c r="E1629" s="6">
        <v>-211911</v>
      </c>
      <c r="F1629" s="7">
        <v>4.7619999999999996</v>
      </c>
      <c r="G1629" s="7">
        <v>5.524</v>
      </c>
      <c r="H1629" s="7">
        <v>5.8150000000000004</v>
      </c>
      <c r="I1629" s="7">
        <v>4.88</v>
      </c>
      <c r="J1629" s="7">
        <v>4.3659999999999997</v>
      </c>
      <c r="K1629" s="7">
        <v>3.782</v>
      </c>
      <c r="L1629" s="7">
        <v>3.64</v>
      </c>
      <c r="M1629" s="7">
        <v>3.8130000000000002</v>
      </c>
      <c r="N1629" s="7">
        <v>4.7320000000000002</v>
      </c>
      <c r="O1629" s="7">
        <v>4.9249999999999998</v>
      </c>
      <c r="P1629" s="7">
        <v>5.1619999999999999</v>
      </c>
      <c r="Q1629" s="7">
        <v>4.9480000000000004</v>
      </c>
      <c r="R1629" s="7">
        <v>5.5609999999999999</v>
      </c>
      <c r="S1629" s="7">
        <f t="shared" si="25"/>
        <v>4.7623333333333333</v>
      </c>
    </row>
    <row r="1630" spans="1:19">
      <c r="A1630" s="5" t="str">
        <f>B1630&amp;"-"&amp;COUNTIF($B$2:B1630,B1630)</f>
        <v>MINAS GERAIS-64</v>
      </c>
      <c r="B1630" s="5" t="s">
        <v>1126</v>
      </c>
      <c r="C1630" s="5" t="s">
        <v>1166</v>
      </c>
      <c r="D1630" s="6">
        <v>-430925</v>
      </c>
      <c r="E1630" s="6">
        <v>-198307</v>
      </c>
      <c r="F1630" s="7">
        <v>4.774</v>
      </c>
      <c r="G1630" s="7">
        <v>5.6280000000000001</v>
      </c>
      <c r="H1630" s="7">
        <v>5.9390000000000001</v>
      </c>
      <c r="I1630" s="7">
        <v>4.9740000000000002</v>
      </c>
      <c r="J1630" s="7">
        <v>4.5010000000000003</v>
      </c>
      <c r="K1630" s="7">
        <v>3.8519999999999999</v>
      </c>
      <c r="L1630" s="7">
        <v>3.6339999999999999</v>
      </c>
      <c r="M1630" s="7">
        <v>3.89</v>
      </c>
      <c r="N1630" s="7">
        <v>4.6539999999999999</v>
      </c>
      <c r="O1630" s="7">
        <v>4.9610000000000003</v>
      </c>
      <c r="P1630" s="7">
        <v>5.05</v>
      </c>
      <c r="Q1630" s="7">
        <v>4.7389999999999999</v>
      </c>
      <c r="R1630" s="7">
        <v>5.4649999999999999</v>
      </c>
      <c r="S1630" s="7">
        <f t="shared" si="25"/>
        <v>4.7739166666666657</v>
      </c>
    </row>
    <row r="1631" spans="1:19">
      <c r="A1631" s="5" t="str">
        <f>B1631&amp;"-"&amp;COUNTIF($B$2:B1631,B1631)</f>
        <v>MINAS GERAIS-65</v>
      </c>
      <c r="B1631" s="5" t="s">
        <v>1126</v>
      </c>
      <c r="C1631" s="5" t="s">
        <v>1167</v>
      </c>
      <c r="D1631" s="6">
        <v>-434088</v>
      </c>
      <c r="E1631" s="6">
        <v>-219445</v>
      </c>
      <c r="F1631" s="7">
        <v>4.53</v>
      </c>
      <c r="G1631" s="7">
        <v>5.4329999999999998</v>
      </c>
      <c r="H1631" s="7">
        <v>5.774</v>
      </c>
      <c r="I1631" s="7">
        <v>4.8010000000000002</v>
      </c>
      <c r="J1631" s="7">
        <v>4.1859999999999999</v>
      </c>
      <c r="K1631" s="7">
        <v>3.5419999999999998</v>
      </c>
      <c r="L1631" s="7">
        <v>3.367</v>
      </c>
      <c r="M1631" s="7">
        <v>3.5070000000000001</v>
      </c>
      <c r="N1631" s="7">
        <v>4.2789999999999999</v>
      </c>
      <c r="O1631" s="7">
        <v>4.5129999999999999</v>
      </c>
      <c r="P1631" s="7">
        <v>4.8140000000000001</v>
      </c>
      <c r="Q1631" s="7">
        <v>4.7240000000000002</v>
      </c>
      <c r="R1631" s="7">
        <v>5.4130000000000003</v>
      </c>
      <c r="S1631" s="7">
        <f t="shared" si="25"/>
        <v>4.5294166666666671</v>
      </c>
    </row>
    <row r="1632" spans="1:19">
      <c r="A1632" s="5" t="str">
        <f>B1632&amp;"-"&amp;COUNTIF($B$2:B1632,B1632)</f>
        <v>MINAS GERAIS-66</v>
      </c>
      <c r="B1632" s="5" t="s">
        <v>1126</v>
      </c>
      <c r="C1632" s="5" t="s">
        <v>1168</v>
      </c>
      <c r="D1632" s="6">
        <v>-439273</v>
      </c>
      <c r="E1632" s="6">
        <v>-199111</v>
      </c>
      <c r="F1632" s="7">
        <v>5.1289999999999996</v>
      </c>
      <c r="G1632" s="7">
        <v>5.7990000000000004</v>
      </c>
      <c r="H1632" s="7">
        <v>5.9820000000000002</v>
      </c>
      <c r="I1632" s="7">
        <v>5.1539999999999999</v>
      </c>
      <c r="J1632" s="7">
        <v>4.7750000000000004</v>
      </c>
      <c r="K1632" s="7">
        <v>4.17</v>
      </c>
      <c r="L1632" s="7">
        <v>4.0629999999999997</v>
      </c>
      <c r="M1632" s="7">
        <v>4.282</v>
      </c>
      <c r="N1632" s="7">
        <v>5.1449999999999996</v>
      </c>
      <c r="O1632" s="7">
        <v>5.5350000000000001</v>
      </c>
      <c r="P1632" s="7">
        <v>5.6589999999999998</v>
      </c>
      <c r="Q1632" s="7">
        <v>5.3490000000000002</v>
      </c>
      <c r="R1632" s="7">
        <v>5.6390000000000002</v>
      </c>
      <c r="S1632" s="7">
        <f t="shared" si="25"/>
        <v>5.1293333333333333</v>
      </c>
    </row>
    <row r="1633" spans="1:19">
      <c r="A1633" s="5" t="str">
        <f>B1633&amp;"-"&amp;COUNTIF($B$2:B1633,B1633)</f>
        <v>MINAS GERAIS-67</v>
      </c>
      <c r="B1633" s="5" t="s">
        <v>1126</v>
      </c>
      <c r="C1633" s="5" t="s">
        <v>1169</v>
      </c>
      <c r="D1633" s="6">
        <v>-424832</v>
      </c>
      <c r="E1633" s="6">
        <v>-192204</v>
      </c>
      <c r="F1633" s="7">
        <v>4.8920000000000003</v>
      </c>
      <c r="G1633" s="7">
        <v>5.8849999999999998</v>
      </c>
      <c r="H1633" s="7">
        <v>6.1929999999999996</v>
      </c>
      <c r="I1633" s="7">
        <v>5.2119999999999997</v>
      </c>
      <c r="J1633" s="7">
        <v>4.6840000000000002</v>
      </c>
      <c r="K1633" s="7">
        <v>3.9169999999999998</v>
      </c>
      <c r="L1633" s="7">
        <v>3.7330000000000001</v>
      </c>
      <c r="M1633" s="7">
        <v>3.8860000000000001</v>
      </c>
      <c r="N1633" s="7">
        <v>4.5460000000000003</v>
      </c>
      <c r="O1633" s="7">
        <v>4.9550000000000001</v>
      </c>
      <c r="P1633" s="7">
        <v>5.1210000000000004</v>
      </c>
      <c r="Q1633" s="7">
        <v>4.8630000000000004</v>
      </c>
      <c r="R1633" s="7">
        <v>5.7089999999999996</v>
      </c>
      <c r="S1633" s="7">
        <f t="shared" si="25"/>
        <v>4.8919999999999995</v>
      </c>
    </row>
    <row r="1634" spans="1:19">
      <c r="A1634" s="5" t="str">
        <f>B1634&amp;"-"&amp;COUNTIF($B$2:B1634,B1634)</f>
        <v>MINAS GERAIS-68</v>
      </c>
      <c r="B1634" s="5" t="s">
        <v>1126</v>
      </c>
      <c r="C1634" s="5" t="s">
        <v>1170</v>
      </c>
      <c r="D1634" s="6">
        <v>-440278</v>
      </c>
      <c r="E1634" s="6">
        <v>-204082</v>
      </c>
      <c r="F1634" s="7">
        <v>5.0659999999999998</v>
      </c>
      <c r="G1634" s="7">
        <v>5.79</v>
      </c>
      <c r="H1634" s="7">
        <v>5.9630000000000001</v>
      </c>
      <c r="I1634" s="7">
        <v>5.1130000000000004</v>
      </c>
      <c r="J1634" s="7">
        <v>4.7919999999999998</v>
      </c>
      <c r="K1634" s="7">
        <v>4.149</v>
      </c>
      <c r="L1634" s="7">
        <v>4.0250000000000004</v>
      </c>
      <c r="M1634" s="7">
        <v>4.1959999999999997</v>
      </c>
      <c r="N1634" s="7">
        <v>5.0739999999999998</v>
      </c>
      <c r="O1634" s="7">
        <v>5.3419999999999996</v>
      </c>
      <c r="P1634" s="7">
        <v>5.49</v>
      </c>
      <c r="Q1634" s="7">
        <v>5.25</v>
      </c>
      <c r="R1634" s="7">
        <v>5.6079999999999997</v>
      </c>
      <c r="S1634" s="7">
        <f t="shared" si="25"/>
        <v>5.0659999999999998</v>
      </c>
    </row>
    <row r="1635" spans="1:19">
      <c r="A1635" s="5" t="str">
        <f>B1635&amp;"-"&amp;COUNTIF($B$2:B1635,B1635)</f>
        <v>MINAS GERAIS-69</v>
      </c>
      <c r="B1635" s="5" t="s">
        <v>1126</v>
      </c>
      <c r="C1635" s="5" t="s">
        <v>1171</v>
      </c>
      <c r="D1635" s="6">
        <v>-424645</v>
      </c>
      <c r="E1635" s="6">
        <v>-169522</v>
      </c>
      <c r="F1635" s="7">
        <v>5.2160000000000002</v>
      </c>
      <c r="G1635" s="7">
        <v>6.2850000000000001</v>
      </c>
      <c r="H1635" s="7">
        <v>6.4779999999999998</v>
      </c>
      <c r="I1635" s="7">
        <v>5.5090000000000003</v>
      </c>
      <c r="J1635" s="7">
        <v>4.7839999999999998</v>
      </c>
      <c r="K1635" s="7">
        <v>4.1159999999999997</v>
      </c>
      <c r="L1635" s="7">
        <v>3.9239999999999999</v>
      </c>
      <c r="M1635" s="7">
        <v>4.1180000000000003</v>
      </c>
      <c r="N1635" s="7">
        <v>4.8979999999999997</v>
      </c>
      <c r="O1635" s="7">
        <v>5.4630000000000001</v>
      </c>
      <c r="P1635" s="7">
        <v>5.6980000000000004</v>
      </c>
      <c r="Q1635" s="7">
        <v>5.2839999999999998</v>
      </c>
      <c r="R1635" s="7">
        <v>6.0309999999999997</v>
      </c>
      <c r="S1635" s="7">
        <f t="shared" si="25"/>
        <v>5.2156666666666665</v>
      </c>
    </row>
    <row r="1636" spans="1:19">
      <c r="A1636" s="5" t="str">
        <f>B1636&amp;"-"&amp;COUNTIF($B$2:B1636,B1636)</f>
        <v>MINAS GERAIS-70</v>
      </c>
      <c r="B1636" s="5" t="s">
        <v>1126</v>
      </c>
      <c r="C1636" s="5" t="s">
        <v>1172</v>
      </c>
      <c r="D1636" s="6">
        <v>-417435</v>
      </c>
      <c r="E1636" s="6">
        <v>-156105</v>
      </c>
      <c r="F1636" s="7">
        <v>5.1520000000000001</v>
      </c>
      <c r="G1636" s="7">
        <v>6.12</v>
      </c>
      <c r="H1636" s="7">
        <v>6.2889999999999997</v>
      </c>
      <c r="I1636" s="7">
        <v>5.4260000000000002</v>
      </c>
      <c r="J1636" s="7">
        <v>4.7770000000000001</v>
      </c>
      <c r="K1636" s="7">
        <v>4.0860000000000003</v>
      </c>
      <c r="L1636" s="7">
        <v>3.75</v>
      </c>
      <c r="M1636" s="7">
        <v>3.972</v>
      </c>
      <c r="N1636" s="7">
        <v>4.6989999999999998</v>
      </c>
      <c r="O1636" s="7">
        <v>5.5819999999999999</v>
      </c>
      <c r="P1636" s="7">
        <v>5.6879999999999997</v>
      </c>
      <c r="Q1636" s="7">
        <v>5.3380000000000001</v>
      </c>
      <c r="R1636" s="7">
        <v>6.0949999999999998</v>
      </c>
      <c r="S1636" s="7">
        <f t="shared" si="25"/>
        <v>5.1518333333333333</v>
      </c>
    </row>
    <row r="1637" spans="1:19">
      <c r="A1637" s="5" t="str">
        <f>B1637&amp;"-"&amp;COUNTIF($B$2:B1637,B1637)</f>
        <v>MINAS GERAIS-71</v>
      </c>
      <c r="B1637" s="5" t="s">
        <v>1126</v>
      </c>
      <c r="C1637" s="5" t="s">
        <v>5107</v>
      </c>
      <c r="D1637" s="6">
        <v>-405803</v>
      </c>
      <c r="E1637" s="6">
        <v>-170595</v>
      </c>
      <c r="F1637" s="7">
        <v>4.9740000000000002</v>
      </c>
      <c r="G1637" s="7">
        <v>6.1109999999999998</v>
      </c>
      <c r="H1637" s="7">
        <v>6.2469999999999999</v>
      </c>
      <c r="I1637" s="7">
        <v>5.4450000000000003</v>
      </c>
      <c r="J1637" s="7">
        <v>4.6669999999999998</v>
      </c>
      <c r="K1637" s="7">
        <v>3.835</v>
      </c>
      <c r="L1637" s="7">
        <v>3.48</v>
      </c>
      <c r="M1637" s="7">
        <v>3.6920000000000002</v>
      </c>
      <c r="N1637" s="7">
        <v>4.3730000000000002</v>
      </c>
      <c r="O1637" s="7">
        <v>5.0570000000000004</v>
      </c>
      <c r="P1637" s="7">
        <v>5.3079999999999998</v>
      </c>
      <c r="Q1637" s="7">
        <v>5.2930000000000001</v>
      </c>
      <c r="R1637" s="7">
        <v>6.1820000000000004</v>
      </c>
      <c r="S1637" s="7">
        <f t="shared" si="25"/>
        <v>4.9741666666666671</v>
      </c>
    </row>
    <row r="1638" spans="1:19">
      <c r="A1638" s="5" t="str">
        <f>B1638&amp;"-"&amp;COUNTIF($B$2:B1638,B1638)</f>
        <v>MINAS GERAIS-72</v>
      </c>
      <c r="B1638" s="5" t="s">
        <v>1126</v>
      </c>
      <c r="C1638" s="5" t="s">
        <v>1173</v>
      </c>
      <c r="D1638" s="6">
        <v>-442011</v>
      </c>
      <c r="E1638" s="6">
        <v>-199673</v>
      </c>
      <c r="F1638" s="7">
        <v>5.1580000000000004</v>
      </c>
      <c r="G1638" s="7">
        <v>5.8689999999999998</v>
      </c>
      <c r="H1638" s="7">
        <v>6.0350000000000001</v>
      </c>
      <c r="I1638" s="7">
        <v>5.1890000000000001</v>
      </c>
      <c r="J1638" s="7">
        <v>4.859</v>
      </c>
      <c r="K1638" s="7">
        <v>4.2380000000000004</v>
      </c>
      <c r="L1638" s="7">
        <v>4.0970000000000004</v>
      </c>
      <c r="M1638" s="7">
        <v>4.351</v>
      </c>
      <c r="N1638" s="7">
        <v>5.1980000000000004</v>
      </c>
      <c r="O1638" s="7">
        <v>5.5060000000000002</v>
      </c>
      <c r="P1638" s="7">
        <v>5.6040000000000001</v>
      </c>
      <c r="Q1638" s="7">
        <v>5.3230000000000004</v>
      </c>
      <c r="R1638" s="7">
        <v>5.625</v>
      </c>
      <c r="S1638" s="7">
        <f t="shared" si="25"/>
        <v>5.1578333333333335</v>
      </c>
    </row>
    <row r="1639" spans="1:19">
      <c r="A1639" s="5" t="str">
        <f>B1639&amp;"-"&amp;COUNTIF($B$2:B1639,B1639)</f>
        <v>MINAS GERAIS-73</v>
      </c>
      <c r="B1639" s="5" t="s">
        <v>1126</v>
      </c>
      <c r="C1639" s="5" t="s">
        <v>1174</v>
      </c>
      <c r="D1639" s="6">
        <v>-437577</v>
      </c>
      <c r="E1639" s="6">
        <v>-216024</v>
      </c>
      <c r="F1639" s="7">
        <v>4.5430000000000001</v>
      </c>
      <c r="G1639" s="7">
        <v>5.3520000000000003</v>
      </c>
      <c r="H1639" s="7">
        <v>5.7030000000000003</v>
      </c>
      <c r="I1639" s="7">
        <v>4.7480000000000002</v>
      </c>
      <c r="J1639" s="7">
        <v>4.1820000000000004</v>
      </c>
      <c r="K1639" s="7">
        <v>3.6259999999999999</v>
      </c>
      <c r="L1639" s="7">
        <v>3.4460000000000002</v>
      </c>
      <c r="M1639" s="7">
        <v>3.601</v>
      </c>
      <c r="N1639" s="7">
        <v>4.4050000000000002</v>
      </c>
      <c r="O1639" s="7">
        <v>4.6349999999999998</v>
      </c>
      <c r="P1639" s="7">
        <v>4.819</v>
      </c>
      <c r="Q1639" s="7">
        <v>4.6029999999999998</v>
      </c>
      <c r="R1639" s="7">
        <v>5.3920000000000003</v>
      </c>
      <c r="S1639" s="7">
        <f t="shared" si="25"/>
        <v>4.5426666666666673</v>
      </c>
    </row>
    <row r="1640" spans="1:19">
      <c r="A1640" s="5" t="str">
        <f>B1640&amp;"-"&amp;COUNTIF($B$2:B1640,B1640)</f>
        <v>MINAS GERAIS-74</v>
      </c>
      <c r="B1640" s="5" t="s">
        <v>1126</v>
      </c>
      <c r="C1640" s="5" t="s">
        <v>1175</v>
      </c>
      <c r="D1640" s="6">
        <v>-430563</v>
      </c>
      <c r="E1640" s="6">
        <v>-217236</v>
      </c>
      <c r="F1640" s="7">
        <v>4.6399999999999997</v>
      </c>
      <c r="G1640" s="7">
        <v>5.734</v>
      </c>
      <c r="H1640" s="7">
        <v>5.992</v>
      </c>
      <c r="I1640" s="7">
        <v>4.9829999999999997</v>
      </c>
      <c r="J1640" s="7">
        <v>4.2679999999999998</v>
      </c>
      <c r="K1640" s="7">
        <v>3.5819999999999999</v>
      </c>
      <c r="L1640" s="7">
        <v>3.3410000000000002</v>
      </c>
      <c r="M1640" s="7">
        <v>3.556</v>
      </c>
      <c r="N1640" s="7">
        <v>4.3</v>
      </c>
      <c r="O1640" s="7">
        <v>4.6459999999999999</v>
      </c>
      <c r="P1640" s="7">
        <v>4.944</v>
      </c>
      <c r="Q1640" s="7">
        <v>4.7709999999999999</v>
      </c>
      <c r="R1640" s="7">
        <v>5.5670000000000002</v>
      </c>
      <c r="S1640" s="7">
        <f t="shared" si="25"/>
        <v>4.6403333333333334</v>
      </c>
    </row>
    <row r="1641" spans="1:19">
      <c r="A1641" s="5" t="str">
        <f>B1641&amp;"-"&amp;COUNTIF($B$2:B1641,B1641)</f>
        <v>MINAS GERAIS-75</v>
      </c>
      <c r="B1641" s="5" t="s">
        <v>1126</v>
      </c>
      <c r="C1641" s="5" t="s">
        <v>1176</v>
      </c>
      <c r="D1641" s="6">
        <v>-454981</v>
      </c>
      <c r="E1641" s="6">
        <v>-187696</v>
      </c>
      <c r="F1641" s="7">
        <v>5.431</v>
      </c>
      <c r="G1641" s="7">
        <v>6.0270000000000001</v>
      </c>
      <c r="H1641" s="7">
        <v>6.266</v>
      </c>
      <c r="I1641" s="7">
        <v>5.3529999999999998</v>
      </c>
      <c r="J1641" s="7">
        <v>5.1829999999999998</v>
      </c>
      <c r="K1641" s="7">
        <v>4.6879999999999997</v>
      </c>
      <c r="L1641" s="7">
        <v>4.3899999999999997</v>
      </c>
      <c r="M1641" s="7">
        <v>4.7649999999999997</v>
      </c>
      <c r="N1641" s="7">
        <v>5.5890000000000004</v>
      </c>
      <c r="O1641" s="7">
        <v>5.8159999999999998</v>
      </c>
      <c r="P1641" s="7">
        <v>5.8470000000000004</v>
      </c>
      <c r="Q1641" s="7">
        <v>5.46</v>
      </c>
      <c r="R1641" s="7">
        <v>5.7910000000000004</v>
      </c>
      <c r="S1641" s="7">
        <f t="shared" si="25"/>
        <v>5.4312499999999995</v>
      </c>
    </row>
    <row r="1642" spans="1:19">
      <c r="A1642" s="5" t="str">
        <f>B1642&amp;"-"&amp;COUNTIF($B$2:B1642,B1642)</f>
        <v>MINAS GERAIS-76</v>
      </c>
      <c r="B1642" s="5" t="s">
        <v>1126</v>
      </c>
      <c r="C1642" s="5" t="s">
        <v>704</v>
      </c>
      <c r="D1642" s="6">
        <v>-455616</v>
      </c>
      <c r="E1642" s="6">
        <v>-210932</v>
      </c>
      <c r="F1642" s="7">
        <v>4.9550000000000001</v>
      </c>
      <c r="G1642" s="7">
        <v>5.53</v>
      </c>
      <c r="H1642" s="7">
        <v>5.84</v>
      </c>
      <c r="I1642" s="7">
        <v>4.9320000000000004</v>
      </c>
      <c r="J1642" s="7">
        <v>4.6849999999999996</v>
      </c>
      <c r="K1642" s="7">
        <v>4.0640000000000001</v>
      </c>
      <c r="L1642" s="7">
        <v>3.835</v>
      </c>
      <c r="M1642" s="7">
        <v>4.1139999999999999</v>
      </c>
      <c r="N1642" s="7">
        <v>5.0119999999999996</v>
      </c>
      <c r="O1642" s="7">
        <v>5.1420000000000003</v>
      </c>
      <c r="P1642" s="7">
        <v>5.452</v>
      </c>
      <c r="Q1642" s="7">
        <v>5.2510000000000003</v>
      </c>
      <c r="R1642" s="7">
        <v>5.609</v>
      </c>
      <c r="S1642" s="7">
        <f t="shared" si="25"/>
        <v>4.9554999999999998</v>
      </c>
    </row>
    <row r="1643" spans="1:19">
      <c r="A1643" s="5" t="str">
        <f>B1643&amp;"-"&amp;COUNTIF($B$2:B1643,B1643)</f>
        <v>MINAS GERAIS-77</v>
      </c>
      <c r="B1643" s="5" t="s">
        <v>1126</v>
      </c>
      <c r="C1643" s="5" t="s">
        <v>4840</v>
      </c>
      <c r="D1643" s="6">
        <v>-438108</v>
      </c>
      <c r="E1643" s="6">
        <v>-17114</v>
      </c>
      <c r="F1643" s="7">
        <v>5.5449999999999999</v>
      </c>
      <c r="G1643" s="7">
        <v>6.194</v>
      </c>
      <c r="H1643" s="7">
        <v>6.4950000000000001</v>
      </c>
      <c r="I1643" s="7">
        <v>5.5149999999999997</v>
      </c>
      <c r="J1643" s="7">
        <v>5.26</v>
      </c>
      <c r="K1643" s="7">
        <v>4.7110000000000003</v>
      </c>
      <c r="L1643" s="7">
        <v>4.444</v>
      </c>
      <c r="M1643" s="7">
        <v>4.8440000000000003</v>
      </c>
      <c r="N1643" s="7">
        <v>5.5860000000000003</v>
      </c>
      <c r="O1643" s="7">
        <v>6.0250000000000004</v>
      </c>
      <c r="P1643" s="7">
        <v>5.9710000000000001</v>
      </c>
      <c r="Q1643" s="7">
        <v>5.4630000000000001</v>
      </c>
      <c r="R1643" s="7">
        <v>6.0359999999999996</v>
      </c>
      <c r="S1643" s="7">
        <f t="shared" si="25"/>
        <v>5.5453333333333328</v>
      </c>
    </row>
    <row r="1644" spans="1:19">
      <c r="A1644" s="5" t="str">
        <f>B1644&amp;"-"&amp;COUNTIF($B$2:B1644,B1644)</f>
        <v>MINAS GERAIS-78</v>
      </c>
      <c r="B1644" s="5" t="s">
        <v>1126</v>
      </c>
      <c r="C1644" s="5" t="s">
        <v>1177</v>
      </c>
      <c r="D1644" s="6">
        <v>-443976</v>
      </c>
      <c r="E1644" s="6">
        <v>-221702</v>
      </c>
      <c r="F1644" s="7">
        <v>4.4939999999999998</v>
      </c>
      <c r="G1644" s="7">
        <v>5.1210000000000004</v>
      </c>
      <c r="H1644" s="7">
        <v>5.57</v>
      </c>
      <c r="I1644" s="7">
        <v>4.6340000000000003</v>
      </c>
      <c r="J1644" s="7">
        <v>4.1909999999999998</v>
      </c>
      <c r="K1644" s="7">
        <v>3.6480000000000001</v>
      </c>
      <c r="L1644" s="7">
        <v>3.4820000000000002</v>
      </c>
      <c r="M1644" s="7">
        <v>3.5409999999999999</v>
      </c>
      <c r="N1644" s="7">
        <v>4.4870000000000001</v>
      </c>
      <c r="O1644" s="7">
        <v>4.5860000000000003</v>
      </c>
      <c r="P1644" s="7">
        <v>4.75</v>
      </c>
      <c r="Q1644" s="7">
        <v>4.601</v>
      </c>
      <c r="R1644" s="7">
        <v>5.3209999999999997</v>
      </c>
      <c r="S1644" s="7">
        <f t="shared" si="25"/>
        <v>4.4943333333333326</v>
      </c>
    </row>
    <row r="1645" spans="1:19">
      <c r="A1645" s="5" t="str">
        <f>B1645&amp;"-"&amp;COUNTIF($B$2:B1645,B1645)</f>
        <v>MINAS GERAIS-79</v>
      </c>
      <c r="B1645" s="5" t="s">
        <v>1126</v>
      </c>
      <c r="C1645" s="5" t="s">
        <v>1178</v>
      </c>
      <c r="D1645" s="6">
        <v>-452517</v>
      </c>
      <c r="E1645" s="6">
        <v>-197302</v>
      </c>
      <c r="F1645" s="7">
        <v>5.2469999999999999</v>
      </c>
      <c r="G1645" s="7">
        <v>5.8710000000000004</v>
      </c>
      <c r="H1645" s="7">
        <v>6.133</v>
      </c>
      <c r="I1645" s="7">
        <v>5.1950000000000003</v>
      </c>
      <c r="J1645" s="7">
        <v>4.9580000000000002</v>
      </c>
      <c r="K1645" s="7">
        <v>4.4320000000000004</v>
      </c>
      <c r="L1645" s="7">
        <v>4.226</v>
      </c>
      <c r="M1645" s="7">
        <v>4.5069999999999997</v>
      </c>
      <c r="N1645" s="7">
        <v>5.3860000000000001</v>
      </c>
      <c r="O1645" s="7">
        <v>5.54</v>
      </c>
      <c r="P1645" s="7">
        <v>5.6239999999999997</v>
      </c>
      <c r="Q1645" s="7">
        <v>5.3780000000000001</v>
      </c>
      <c r="R1645" s="7">
        <v>5.7119999999999997</v>
      </c>
      <c r="S1645" s="7">
        <f t="shared" si="25"/>
        <v>5.2468333333333339</v>
      </c>
    </row>
    <row r="1646" spans="1:19">
      <c r="A1646" s="5" t="str">
        <f>B1646&amp;"-"&amp;COUNTIF($B$2:B1646,B1646)</f>
        <v>MINAS GERAIS-80</v>
      </c>
      <c r="B1646" s="5" t="s">
        <v>1126</v>
      </c>
      <c r="C1646" s="5" t="s">
        <v>1179</v>
      </c>
      <c r="D1646" s="6">
        <v>-441889</v>
      </c>
      <c r="E1646" s="6">
        <v>-219484</v>
      </c>
      <c r="F1646" s="7">
        <v>4.6589999999999998</v>
      </c>
      <c r="G1646" s="7">
        <v>5.4050000000000002</v>
      </c>
      <c r="H1646" s="7">
        <v>5.7110000000000003</v>
      </c>
      <c r="I1646" s="7">
        <v>4.8369999999999997</v>
      </c>
      <c r="J1646" s="7">
        <v>4.3140000000000001</v>
      </c>
      <c r="K1646" s="7">
        <v>3.7160000000000002</v>
      </c>
      <c r="L1646" s="7">
        <v>3.5350000000000001</v>
      </c>
      <c r="M1646" s="7">
        <v>3.6739999999999999</v>
      </c>
      <c r="N1646" s="7">
        <v>4.5919999999999996</v>
      </c>
      <c r="O1646" s="7">
        <v>4.7949999999999999</v>
      </c>
      <c r="P1646" s="7">
        <v>4.9889999999999999</v>
      </c>
      <c r="Q1646" s="7">
        <v>4.9400000000000004</v>
      </c>
      <c r="R1646" s="7">
        <v>5.3979999999999997</v>
      </c>
      <c r="S1646" s="7">
        <f t="shared" si="25"/>
        <v>4.6588333333333329</v>
      </c>
    </row>
    <row r="1647" spans="1:19">
      <c r="A1647" s="5" t="str">
        <f>B1647&amp;"-"&amp;COUNTIF($B$2:B1647,B1647)</f>
        <v>MINAS GERAIS-81</v>
      </c>
      <c r="B1647" s="5" t="s">
        <v>1126</v>
      </c>
      <c r="C1647" s="5" t="s">
        <v>1180</v>
      </c>
      <c r="D1647" s="6">
        <v>-465178</v>
      </c>
      <c r="E1647" s="6">
        <v>-210153</v>
      </c>
      <c r="F1647" s="7">
        <v>4.9859999999999998</v>
      </c>
      <c r="G1647" s="7">
        <v>5.6070000000000002</v>
      </c>
      <c r="H1647" s="7">
        <v>5.77</v>
      </c>
      <c r="I1647" s="7">
        <v>4.9329999999999998</v>
      </c>
      <c r="J1647" s="7">
        <v>4.6870000000000003</v>
      </c>
      <c r="K1647" s="7">
        <v>4.09</v>
      </c>
      <c r="L1647" s="7">
        <v>3.8969999999999998</v>
      </c>
      <c r="M1647" s="7">
        <v>4.1420000000000003</v>
      </c>
      <c r="N1647" s="7">
        <v>5.09</v>
      </c>
      <c r="O1647" s="7">
        <v>5.1740000000000004</v>
      </c>
      <c r="P1647" s="7">
        <v>5.4950000000000001</v>
      </c>
      <c r="Q1647" s="7">
        <v>5.3330000000000002</v>
      </c>
      <c r="R1647" s="7">
        <v>5.6109999999999998</v>
      </c>
      <c r="S1647" s="7">
        <f t="shared" si="25"/>
        <v>4.9857499999999986</v>
      </c>
    </row>
    <row r="1648" spans="1:19">
      <c r="A1648" s="5" t="str">
        <f>B1648&amp;"-"&amp;COUNTIF($B$2:B1648,B1648)</f>
        <v>MINAS GERAIS-82</v>
      </c>
      <c r="B1648" s="5" t="s">
        <v>1126</v>
      </c>
      <c r="C1648" s="5" t="s">
        <v>1181</v>
      </c>
      <c r="D1648" s="6">
        <v>-434743</v>
      </c>
      <c r="E1648" s="6">
        <v>-197067</v>
      </c>
      <c r="F1648" s="7">
        <v>4.8620000000000001</v>
      </c>
      <c r="G1648" s="7">
        <v>5.5910000000000002</v>
      </c>
      <c r="H1648" s="7">
        <v>5.9080000000000004</v>
      </c>
      <c r="I1648" s="7">
        <v>4.96</v>
      </c>
      <c r="J1648" s="7">
        <v>4.5570000000000004</v>
      </c>
      <c r="K1648" s="7">
        <v>3.919</v>
      </c>
      <c r="L1648" s="7">
        <v>3.7919999999999998</v>
      </c>
      <c r="M1648" s="7">
        <v>4.0720000000000001</v>
      </c>
      <c r="N1648" s="7">
        <v>4.8579999999999997</v>
      </c>
      <c r="O1648" s="7">
        <v>5.1369999999999996</v>
      </c>
      <c r="P1648" s="7">
        <v>5.2220000000000004</v>
      </c>
      <c r="Q1648" s="7">
        <v>4.8959999999999999</v>
      </c>
      <c r="R1648" s="7">
        <v>5.4370000000000003</v>
      </c>
      <c r="S1648" s="7">
        <f t="shared" si="25"/>
        <v>4.8624166666666664</v>
      </c>
    </row>
    <row r="1649" spans="1:19">
      <c r="A1649" s="5" t="str">
        <f>B1649&amp;"-"&amp;COUNTIF($B$2:B1649,B1649)</f>
        <v>MINAS GERAIS-83</v>
      </c>
      <c r="B1649" s="5" t="s">
        <v>1126</v>
      </c>
      <c r="C1649" s="5" t="s">
        <v>1182</v>
      </c>
      <c r="D1649" s="6">
        <v>-42318</v>
      </c>
      <c r="E1649" s="6">
        <v>-198363</v>
      </c>
      <c r="F1649" s="7">
        <v>4.8470000000000004</v>
      </c>
      <c r="G1649" s="7">
        <v>5.7889999999999997</v>
      </c>
      <c r="H1649" s="7">
        <v>6.0140000000000002</v>
      </c>
      <c r="I1649" s="7">
        <v>5.0250000000000004</v>
      </c>
      <c r="J1649" s="7">
        <v>4.609</v>
      </c>
      <c r="K1649" s="7">
        <v>3.94</v>
      </c>
      <c r="L1649" s="7">
        <v>3.726</v>
      </c>
      <c r="M1649" s="7">
        <v>3.8660000000000001</v>
      </c>
      <c r="N1649" s="7">
        <v>4.5449999999999999</v>
      </c>
      <c r="O1649" s="7">
        <v>4.9050000000000002</v>
      </c>
      <c r="P1649" s="7">
        <v>5.077</v>
      </c>
      <c r="Q1649" s="7">
        <v>4.93</v>
      </c>
      <c r="R1649" s="7">
        <v>5.7350000000000003</v>
      </c>
      <c r="S1649" s="7">
        <f t="shared" si="25"/>
        <v>4.846750000000001</v>
      </c>
    </row>
    <row r="1650" spans="1:19">
      <c r="A1650" s="5" t="str">
        <f>B1650&amp;"-"&amp;COUNTIF($B$2:B1650,B1650)</f>
        <v>MINAS GERAIS-84</v>
      </c>
      <c r="B1650" s="5" t="s">
        <v>1126</v>
      </c>
      <c r="C1650" s="5" t="s">
        <v>1183</v>
      </c>
      <c r="D1650" s="6">
        <v>-461444</v>
      </c>
      <c r="E1650" s="6">
        <v>-22468</v>
      </c>
      <c r="F1650" s="7">
        <v>4.7009999999999996</v>
      </c>
      <c r="G1650" s="7">
        <v>5.1369999999999996</v>
      </c>
      <c r="H1650" s="7">
        <v>5.4560000000000004</v>
      </c>
      <c r="I1650" s="7">
        <v>4.6959999999999997</v>
      </c>
      <c r="J1650" s="7">
        <v>4.4249999999999998</v>
      </c>
      <c r="K1650" s="7">
        <v>3.782</v>
      </c>
      <c r="L1650" s="7">
        <v>3.528</v>
      </c>
      <c r="M1650" s="7">
        <v>3.7789999999999999</v>
      </c>
      <c r="N1650" s="7">
        <v>4.7309999999999999</v>
      </c>
      <c r="O1650" s="7">
        <v>4.8650000000000002</v>
      </c>
      <c r="P1650" s="7">
        <v>5.2480000000000002</v>
      </c>
      <c r="Q1650" s="7">
        <v>5.2229999999999999</v>
      </c>
      <c r="R1650" s="7">
        <v>5.5460000000000003</v>
      </c>
      <c r="S1650" s="7">
        <f t="shared" si="25"/>
        <v>4.7013333333333334</v>
      </c>
    </row>
    <row r="1651" spans="1:19">
      <c r="A1651" s="5" t="str">
        <f>B1651&amp;"-"&amp;COUNTIF($B$2:B1651,B1651)</f>
        <v>MINAS GERAIS-85</v>
      </c>
      <c r="B1651" s="5" t="s">
        <v>1126</v>
      </c>
      <c r="C1651" s="5" t="s">
        <v>1184</v>
      </c>
      <c r="D1651" s="6">
        <v>-447541</v>
      </c>
      <c r="E1651" s="6">
        <v>-210334</v>
      </c>
      <c r="F1651" s="7">
        <v>4.8840000000000003</v>
      </c>
      <c r="G1651" s="7">
        <v>5.452</v>
      </c>
      <c r="H1651" s="7">
        <v>5.7389999999999999</v>
      </c>
      <c r="I1651" s="7">
        <v>4.87</v>
      </c>
      <c r="J1651" s="7">
        <v>4.6130000000000004</v>
      </c>
      <c r="K1651" s="7">
        <v>3.9630000000000001</v>
      </c>
      <c r="L1651" s="7">
        <v>3.8069999999999999</v>
      </c>
      <c r="M1651" s="7">
        <v>4.0419999999999998</v>
      </c>
      <c r="N1651" s="7">
        <v>4.9630000000000001</v>
      </c>
      <c r="O1651" s="7">
        <v>5.1719999999999997</v>
      </c>
      <c r="P1651" s="7">
        <v>5.3239999999999998</v>
      </c>
      <c r="Q1651" s="7">
        <v>5.1180000000000003</v>
      </c>
      <c r="R1651" s="7">
        <v>5.5419999999999998</v>
      </c>
      <c r="S1651" s="7">
        <f t="shared" si="25"/>
        <v>4.88375</v>
      </c>
    </row>
    <row r="1652" spans="1:19">
      <c r="A1652" s="5" t="str">
        <f>B1652&amp;"-"&amp;COUNTIF($B$2:B1652,B1652)</f>
        <v>MINAS GERAIS-86</v>
      </c>
      <c r="B1652" s="5" t="s">
        <v>1126</v>
      </c>
      <c r="C1652" s="5" t="s">
        <v>1185</v>
      </c>
      <c r="D1652" s="6">
        <v>-442369</v>
      </c>
      <c r="E1652" s="6">
        <v>-203307</v>
      </c>
      <c r="F1652" s="7">
        <v>5.0640000000000001</v>
      </c>
      <c r="G1652" s="7">
        <v>5.7679999999999998</v>
      </c>
      <c r="H1652" s="7">
        <v>5.93</v>
      </c>
      <c r="I1652" s="7">
        <v>5.0620000000000003</v>
      </c>
      <c r="J1652" s="7">
        <v>4.7560000000000002</v>
      </c>
      <c r="K1652" s="7">
        <v>4.1920000000000002</v>
      </c>
      <c r="L1652" s="7">
        <v>4.0049999999999999</v>
      </c>
      <c r="M1652" s="7">
        <v>4.2300000000000004</v>
      </c>
      <c r="N1652" s="7">
        <v>5.1349999999999998</v>
      </c>
      <c r="O1652" s="7">
        <v>5.375</v>
      </c>
      <c r="P1652" s="7">
        <v>5.4930000000000003</v>
      </c>
      <c r="Q1652" s="7">
        <v>5.2389999999999999</v>
      </c>
      <c r="R1652" s="7">
        <v>5.5880000000000001</v>
      </c>
      <c r="S1652" s="7">
        <f t="shared" si="25"/>
        <v>5.0644166666666663</v>
      </c>
    </row>
    <row r="1653" spans="1:19">
      <c r="A1653" s="5" t="str">
        <f>B1653&amp;"-"&amp;COUNTIF($B$2:B1653,B1653)</f>
        <v>MINAS GERAIS-87</v>
      </c>
      <c r="B1653" s="5" t="s">
        <v>1126</v>
      </c>
      <c r="C1653" s="5" t="s">
        <v>5108</v>
      </c>
      <c r="D1653" s="6">
        <v>-459881</v>
      </c>
      <c r="E1653" s="6">
        <v>-16566</v>
      </c>
      <c r="F1653" s="7">
        <v>5.5940000000000003</v>
      </c>
      <c r="G1653" s="7">
        <v>6.149</v>
      </c>
      <c r="H1653" s="7">
        <v>6.4020000000000001</v>
      </c>
      <c r="I1653" s="7">
        <v>5.476</v>
      </c>
      <c r="J1653" s="7">
        <v>5.407</v>
      </c>
      <c r="K1653" s="7">
        <v>4.8949999999999996</v>
      </c>
      <c r="L1653" s="7">
        <v>4.6929999999999996</v>
      </c>
      <c r="M1653" s="7">
        <v>5.0430000000000001</v>
      </c>
      <c r="N1653" s="7">
        <v>5.9</v>
      </c>
      <c r="O1653" s="7">
        <v>5.8410000000000002</v>
      </c>
      <c r="P1653" s="7">
        <v>5.9969999999999999</v>
      </c>
      <c r="Q1653" s="7">
        <v>5.415</v>
      </c>
      <c r="R1653" s="7">
        <v>5.9039999999999999</v>
      </c>
      <c r="S1653" s="7">
        <f t="shared" si="25"/>
        <v>5.5934999999999997</v>
      </c>
    </row>
    <row r="1654" spans="1:19">
      <c r="A1654" s="5" t="str">
        <f>B1654&amp;"-"&amp;COUNTIF($B$2:B1654,B1654)</f>
        <v>MINAS GERAIS-88</v>
      </c>
      <c r="B1654" s="5" t="s">
        <v>1126</v>
      </c>
      <c r="C1654" s="5" t="s">
        <v>1186</v>
      </c>
      <c r="D1654" s="6">
        <v>-447572</v>
      </c>
      <c r="E1654" s="6">
        <v>-153214</v>
      </c>
      <c r="F1654" s="7">
        <v>5.7439999999999998</v>
      </c>
      <c r="G1654" s="7">
        <v>6.3369999999999997</v>
      </c>
      <c r="H1654" s="7">
        <v>6.5110000000000001</v>
      </c>
      <c r="I1654" s="7">
        <v>5.7069999999999999</v>
      </c>
      <c r="J1654" s="7">
        <v>5.6289999999999996</v>
      </c>
      <c r="K1654" s="7">
        <v>5.0540000000000003</v>
      </c>
      <c r="L1654" s="7">
        <v>4.8620000000000001</v>
      </c>
      <c r="M1654" s="7">
        <v>5.2409999999999997</v>
      </c>
      <c r="N1654" s="7">
        <v>5.9409999999999998</v>
      </c>
      <c r="O1654" s="7">
        <v>6.1349999999999998</v>
      </c>
      <c r="P1654" s="7">
        <v>6.0730000000000004</v>
      </c>
      <c r="Q1654" s="7">
        <v>5.4470000000000001</v>
      </c>
      <c r="R1654" s="7">
        <v>5.9880000000000004</v>
      </c>
      <c r="S1654" s="7">
        <f t="shared" si="25"/>
        <v>5.7437500000000012</v>
      </c>
    </row>
    <row r="1655" spans="1:19">
      <c r="A1655" s="5" t="str">
        <f>B1655&amp;"-"&amp;COUNTIF($B$2:B1655,B1655)</f>
        <v>MINAS GERAIS-89</v>
      </c>
      <c r="B1655" s="5" t="s">
        <v>1126</v>
      </c>
      <c r="C1655" s="5" t="s">
        <v>1187</v>
      </c>
      <c r="D1655" s="6">
        <v>-461657</v>
      </c>
      <c r="E1655" s="6">
        <v>-222712</v>
      </c>
      <c r="F1655" s="7">
        <v>4.8109999999999999</v>
      </c>
      <c r="G1655" s="7">
        <v>5.2309999999999999</v>
      </c>
      <c r="H1655" s="7">
        <v>5.5720000000000001</v>
      </c>
      <c r="I1655" s="7">
        <v>4.8789999999999996</v>
      </c>
      <c r="J1655" s="7">
        <v>4.5540000000000003</v>
      </c>
      <c r="K1655" s="7">
        <v>3.8860000000000001</v>
      </c>
      <c r="L1655" s="7">
        <v>3.5840000000000001</v>
      </c>
      <c r="M1655" s="7">
        <v>3.8690000000000002</v>
      </c>
      <c r="N1655" s="7">
        <v>4.76</v>
      </c>
      <c r="O1655" s="7">
        <v>4.9729999999999999</v>
      </c>
      <c r="P1655" s="7">
        <v>5.3719999999999999</v>
      </c>
      <c r="Q1655" s="7">
        <v>5.4009999999999998</v>
      </c>
      <c r="R1655" s="7">
        <v>5.6529999999999996</v>
      </c>
      <c r="S1655" s="7">
        <f t="shared" si="25"/>
        <v>4.8111666666666668</v>
      </c>
    </row>
    <row r="1656" spans="1:19">
      <c r="A1656" s="5" t="str">
        <f>B1656&amp;"-"&amp;COUNTIF($B$2:B1656,B1656)</f>
        <v>MINAS GERAIS-90</v>
      </c>
      <c r="B1656" s="5" t="s">
        <v>1126</v>
      </c>
      <c r="C1656" s="5" t="s">
        <v>1188</v>
      </c>
      <c r="D1656" s="6">
        <v>-463914</v>
      </c>
      <c r="E1656" s="6">
        <v>-216416</v>
      </c>
      <c r="F1656" s="7">
        <v>4.8730000000000002</v>
      </c>
      <c r="G1656" s="7">
        <v>5.4059999999999997</v>
      </c>
      <c r="H1656" s="7">
        <v>5.6660000000000004</v>
      </c>
      <c r="I1656" s="7">
        <v>4.8550000000000004</v>
      </c>
      <c r="J1656" s="7">
        <v>4.5650000000000004</v>
      </c>
      <c r="K1656" s="7">
        <v>3.988</v>
      </c>
      <c r="L1656" s="7">
        <v>3.7770000000000001</v>
      </c>
      <c r="M1656" s="7">
        <v>4.0149999999999997</v>
      </c>
      <c r="N1656" s="7">
        <v>4.9059999999999997</v>
      </c>
      <c r="O1656" s="7">
        <v>5.0810000000000004</v>
      </c>
      <c r="P1656" s="7">
        <v>5.4020000000000001</v>
      </c>
      <c r="Q1656" s="7">
        <v>5.258</v>
      </c>
      <c r="R1656" s="7">
        <v>5.5510000000000002</v>
      </c>
      <c r="S1656" s="7">
        <f t="shared" si="25"/>
        <v>4.8725000000000005</v>
      </c>
    </row>
    <row r="1657" spans="1:19">
      <c r="A1657" s="5" t="str">
        <f>B1657&amp;"-"&amp;COUNTIF($B$2:B1657,B1657)</f>
        <v>MINAS GERAIS-91</v>
      </c>
      <c r="B1657" s="5" t="s">
        <v>1126</v>
      </c>
      <c r="C1657" s="5" t="s">
        <v>1189</v>
      </c>
      <c r="D1657" s="6">
        <v>-430089</v>
      </c>
      <c r="E1657" s="6">
        <v>-168662</v>
      </c>
      <c r="F1657" s="7">
        <v>5.1630000000000003</v>
      </c>
      <c r="G1657" s="7">
        <v>5.9269999999999996</v>
      </c>
      <c r="H1657" s="7">
        <v>6.2809999999999997</v>
      </c>
      <c r="I1657" s="7">
        <v>5.2030000000000003</v>
      </c>
      <c r="J1657" s="7">
        <v>4.6219999999999999</v>
      </c>
      <c r="K1657" s="7">
        <v>4.1909999999999998</v>
      </c>
      <c r="L1657" s="7">
        <v>3.9710000000000001</v>
      </c>
      <c r="M1657" s="7">
        <v>4.2679999999999998</v>
      </c>
      <c r="N1657" s="7">
        <v>5.0880000000000001</v>
      </c>
      <c r="O1657" s="7">
        <v>5.633</v>
      </c>
      <c r="P1657" s="7">
        <v>5.7450000000000001</v>
      </c>
      <c r="Q1657" s="7">
        <v>5.165</v>
      </c>
      <c r="R1657" s="7">
        <v>5.8620000000000001</v>
      </c>
      <c r="S1657" s="7">
        <f t="shared" si="25"/>
        <v>5.1629999999999994</v>
      </c>
    </row>
    <row r="1658" spans="1:19">
      <c r="A1658" s="5" t="str">
        <f>B1658&amp;"-"&amp;COUNTIF($B$2:B1658,B1658)</f>
        <v>MINAS GERAIS-92</v>
      </c>
      <c r="B1658" s="5" t="s">
        <v>1126</v>
      </c>
      <c r="C1658" s="5" t="s">
        <v>5580</v>
      </c>
      <c r="D1658" s="6">
        <v>-432409</v>
      </c>
      <c r="E1658" s="6">
        <v>-208424</v>
      </c>
      <c r="F1658" s="7">
        <v>4.657</v>
      </c>
      <c r="G1658" s="7">
        <v>5.4880000000000004</v>
      </c>
      <c r="H1658" s="7">
        <v>5.8579999999999997</v>
      </c>
      <c r="I1658" s="7">
        <v>4.8099999999999996</v>
      </c>
      <c r="J1658" s="7">
        <v>4.3040000000000003</v>
      </c>
      <c r="K1658" s="7">
        <v>3.69</v>
      </c>
      <c r="L1658" s="7">
        <v>3.5510000000000002</v>
      </c>
      <c r="M1658" s="7">
        <v>3.7490000000000001</v>
      </c>
      <c r="N1658" s="7">
        <v>4.5830000000000002</v>
      </c>
      <c r="O1658" s="7">
        <v>4.7869999999999999</v>
      </c>
      <c r="P1658" s="7">
        <v>5.0019999999999998</v>
      </c>
      <c r="Q1658" s="7">
        <v>4.68</v>
      </c>
      <c r="R1658" s="7">
        <v>5.3879999999999999</v>
      </c>
      <c r="S1658" s="7">
        <f t="shared" si="25"/>
        <v>4.6574999999999998</v>
      </c>
    </row>
    <row r="1659" spans="1:19">
      <c r="A1659" s="5" t="str">
        <f>B1659&amp;"-"&amp;COUNTIF($B$2:B1659,B1659)</f>
        <v>MINAS GERAIS-93</v>
      </c>
      <c r="B1659" s="5" t="s">
        <v>1126</v>
      </c>
      <c r="C1659" s="5" t="s">
        <v>4841</v>
      </c>
      <c r="D1659" s="6">
        <v>-427103</v>
      </c>
      <c r="E1659" s="6">
        <v>-190566</v>
      </c>
      <c r="F1659" s="7">
        <v>4.851</v>
      </c>
      <c r="G1659" s="7">
        <v>5.8209999999999997</v>
      </c>
      <c r="H1659" s="7">
        <v>6.0570000000000004</v>
      </c>
      <c r="I1659" s="7">
        <v>5.1020000000000003</v>
      </c>
      <c r="J1659" s="7">
        <v>4.625</v>
      </c>
      <c r="K1659" s="7">
        <v>3.919</v>
      </c>
      <c r="L1659" s="7">
        <v>3.73</v>
      </c>
      <c r="M1659" s="7">
        <v>3.9009999999999998</v>
      </c>
      <c r="N1659" s="7">
        <v>4.5720000000000001</v>
      </c>
      <c r="O1659" s="7">
        <v>4.9349999999999996</v>
      </c>
      <c r="P1659" s="7">
        <v>5.1349999999999998</v>
      </c>
      <c r="Q1659" s="7">
        <v>4.835</v>
      </c>
      <c r="R1659" s="7">
        <v>5.5830000000000002</v>
      </c>
      <c r="S1659" s="7">
        <f t="shared" si="25"/>
        <v>4.8512500000000003</v>
      </c>
    </row>
    <row r="1660" spans="1:19">
      <c r="A1660" s="5" t="str">
        <f>B1660&amp;"-"&amp;COUNTIF($B$2:B1660,B1660)</f>
        <v>MINAS GERAIS-94</v>
      </c>
      <c r="B1660" s="5" t="s">
        <v>1126</v>
      </c>
      <c r="C1660" s="5" t="s">
        <v>1190</v>
      </c>
      <c r="D1660" s="6">
        <v>-44428</v>
      </c>
      <c r="E1660" s="6">
        <v>-162119</v>
      </c>
      <c r="F1660" s="7">
        <v>5.6639999999999997</v>
      </c>
      <c r="G1660" s="7">
        <v>6.2430000000000003</v>
      </c>
      <c r="H1660" s="7">
        <v>6.5149999999999997</v>
      </c>
      <c r="I1660" s="7">
        <v>5.6020000000000003</v>
      </c>
      <c r="J1660" s="7">
        <v>5.5229999999999997</v>
      </c>
      <c r="K1660" s="7">
        <v>4.9889999999999999</v>
      </c>
      <c r="L1660" s="7">
        <v>4.7089999999999996</v>
      </c>
      <c r="M1660" s="7">
        <v>5.0330000000000004</v>
      </c>
      <c r="N1660" s="7">
        <v>5.8819999999999997</v>
      </c>
      <c r="O1660" s="7">
        <v>5.9619999999999997</v>
      </c>
      <c r="P1660" s="7">
        <v>5.9770000000000003</v>
      </c>
      <c r="Q1660" s="7">
        <v>5.4370000000000003</v>
      </c>
      <c r="R1660" s="7">
        <v>6.0949999999999998</v>
      </c>
      <c r="S1660" s="7">
        <f t="shared" si="25"/>
        <v>5.6639166666666663</v>
      </c>
    </row>
    <row r="1661" spans="1:19">
      <c r="A1661" s="5" t="str">
        <f>B1661&amp;"-"&amp;COUNTIF($B$2:B1661,B1661)</f>
        <v>MINAS GERAIS-95</v>
      </c>
      <c r="B1661" s="5" t="s">
        <v>1126</v>
      </c>
      <c r="C1661" s="5" t="s">
        <v>4959</v>
      </c>
      <c r="D1661" s="6">
        <v>-460123</v>
      </c>
      <c r="E1661" s="6">
        <v>-169976</v>
      </c>
      <c r="F1661" s="7">
        <v>5.593</v>
      </c>
      <c r="G1661" s="7">
        <v>6.1849999999999996</v>
      </c>
      <c r="H1661" s="7">
        <v>6.3730000000000002</v>
      </c>
      <c r="I1661" s="7">
        <v>5.4729999999999999</v>
      </c>
      <c r="J1661" s="7">
        <v>5.44</v>
      </c>
      <c r="K1661" s="7">
        <v>4.9530000000000003</v>
      </c>
      <c r="L1661" s="7">
        <v>4.6580000000000004</v>
      </c>
      <c r="M1661" s="7">
        <v>5.0270000000000001</v>
      </c>
      <c r="N1661" s="7">
        <v>5.7859999999999996</v>
      </c>
      <c r="O1661" s="7">
        <v>5.827</v>
      </c>
      <c r="P1661" s="7">
        <v>5.9409999999999998</v>
      </c>
      <c r="Q1661" s="7">
        <v>5.4930000000000003</v>
      </c>
      <c r="R1661" s="7">
        <v>5.9530000000000003</v>
      </c>
      <c r="S1661" s="7">
        <f t="shared" si="25"/>
        <v>5.5924166666666677</v>
      </c>
    </row>
    <row r="1662" spans="1:19">
      <c r="A1662" s="5" t="str">
        <f>B1662&amp;"-"&amp;COUNTIF($B$2:B1662,B1662)</f>
        <v>MINAS GERAIS-96</v>
      </c>
      <c r="B1662" s="5" t="s">
        <v>1126</v>
      </c>
      <c r="C1662" s="5" t="s">
        <v>5109</v>
      </c>
      <c r="D1662" s="6">
        <v>-456134</v>
      </c>
      <c r="E1662" s="6">
        <v>-224705</v>
      </c>
      <c r="F1662" s="7">
        <v>4.8099999999999996</v>
      </c>
      <c r="G1662" s="7">
        <v>5.359</v>
      </c>
      <c r="H1662" s="7">
        <v>5.6630000000000003</v>
      </c>
      <c r="I1662" s="7">
        <v>4.8819999999999997</v>
      </c>
      <c r="J1662" s="7">
        <v>4.5469999999999997</v>
      </c>
      <c r="K1662" s="7">
        <v>3.81</v>
      </c>
      <c r="L1662" s="7">
        <v>3.5550000000000002</v>
      </c>
      <c r="M1662" s="7">
        <v>3.8039999999999998</v>
      </c>
      <c r="N1662" s="7">
        <v>4.66</v>
      </c>
      <c r="O1662" s="7">
        <v>4.9249999999999998</v>
      </c>
      <c r="P1662" s="7">
        <v>5.3650000000000002</v>
      </c>
      <c r="Q1662" s="7">
        <v>5.3780000000000001</v>
      </c>
      <c r="R1662" s="7">
        <v>5.7690000000000001</v>
      </c>
      <c r="S1662" s="7">
        <f t="shared" si="25"/>
        <v>4.8097500000000002</v>
      </c>
    </row>
    <row r="1663" spans="1:19">
      <c r="A1663" s="5" t="str">
        <f>B1663&amp;"-"&amp;COUNTIF($B$2:B1663,B1663)</f>
        <v>MINAS GERAIS-97</v>
      </c>
      <c r="B1663" s="5" t="s">
        <v>1126</v>
      </c>
      <c r="C1663" s="5" t="s">
        <v>1191</v>
      </c>
      <c r="D1663" s="6">
        <v>-44201</v>
      </c>
      <c r="E1663" s="6">
        <v>-201515</v>
      </c>
      <c r="F1663" s="7">
        <v>5.08</v>
      </c>
      <c r="G1663" s="7">
        <v>5.8310000000000004</v>
      </c>
      <c r="H1663" s="7">
        <v>5.9279999999999999</v>
      </c>
      <c r="I1663" s="7">
        <v>5.0759999999999996</v>
      </c>
      <c r="J1663" s="7">
        <v>4.7590000000000003</v>
      </c>
      <c r="K1663" s="7">
        <v>4.194</v>
      </c>
      <c r="L1663" s="7">
        <v>4.0060000000000002</v>
      </c>
      <c r="M1663" s="7">
        <v>4.2430000000000003</v>
      </c>
      <c r="N1663" s="7">
        <v>5.1429999999999998</v>
      </c>
      <c r="O1663" s="7">
        <v>5.407</v>
      </c>
      <c r="P1663" s="7">
        <v>5.5339999999999998</v>
      </c>
      <c r="Q1663" s="7">
        <v>5.2530000000000001</v>
      </c>
      <c r="R1663" s="7">
        <v>5.59</v>
      </c>
      <c r="S1663" s="7">
        <f t="shared" si="25"/>
        <v>5.0803333333333329</v>
      </c>
    </row>
    <row r="1664" spans="1:19">
      <c r="A1664" s="5" t="str">
        <f>B1664&amp;"-"&amp;COUNTIF($B$2:B1664,B1664)</f>
        <v>MINAS GERAIS-98</v>
      </c>
      <c r="B1664" s="5" t="s">
        <v>1126</v>
      </c>
      <c r="C1664" s="5" t="s">
        <v>5110</v>
      </c>
      <c r="D1664" s="6">
        <v>-441779</v>
      </c>
      <c r="E1664" s="6">
        <v>-178749</v>
      </c>
      <c r="F1664" s="7">
        <v>5.4489999999999998</v>
      </c>
      <c r="G1664" s="7">
        <v>6.1120000000000001</v>
      </c>
      <c r="H1664" s="7">
        <v>6.4329999999999998</v>
      </c>
      <c r="I1664" s="7">
        <v>5.3730000000000002</v>
      </c>
      <c r="J1664" s="7">
        <v>5.1529999999999996</v>
      </c>
      <c r="K1664" s="7">
        <v>4.6609999999999996</v>
      </c>
      <c r="L1664" s="7">
        <v>4.4400000000000004</v>
      </c>
      <c r="M1664" s="7">
        <v>4.7839999999999998</v>
      </c>
      <c r="N1664" s="7">
        <v>5.48</v>
      </c>
      <c r="O1664" s="7">
        <v>5.9349999999999996</v>
      </c>
      <c r="P1664" s="7">
        <v>5.8810000000000002</v>
      </c>
      <c r="Q1664" s="7">
        <v>5.2649999999999997</v>
      </c>
      <c r="R1664" s="7">
        <v>5.8659999999999997</v>
      </c>
      <c r="S1664" s="7">
        <f t="shared" si="25"/>
        <v>5.4485833333333327</v>
      </c>
    </row>
    <row r="1665" spans="1:19">
      <c r="A1665" s="5" t="str">
        <f>B1665&amp;"-"&amp;COUNTIF($B$2:B1665,B1665)</f>
        <v>MINAS GERAIS-99</v>
      </c>
      <c r="B1665" s="5" t="s">
        <v>1126</v>
      </c>
      <c r="C1665" s="5" t="s">
        <v>3997</v>
      </c>
      <c r="D1665" s="6">
        <v>-463495</v>
      </c>
      <c r="E1665" s="6">
        <v>-224388</v>
      </c>
      <c r="F1665" s="7">
        <v>4.8959999999999999</v>
      </c>
      <c r="G1665" s="7">
        <v>5.4359999999999999</v>
      </c>
      <c r="H1665" s="7">
        <v>5.7</v>
      </c>
      <c r="I1665" s="7">
        <v>5.0279999999999996</v>
      </c>
      <c r="J1665" s="7">
        <v>4.6470000000000002</v>
      </c>
      <c r="K1665" s="7">
        <v>3.9289999999999998</v>
      </c>
      <c r="L1665" s="7">
        <v>3.6349999999999998</v>
      </c>
      <c r="M1665" s="7">
        <v>3.867</v>
      </c>
      <c r="N1665" s="7">
        <v>4.7380000000000004</v>
      </c>
      <c r="O1665" s="7">
        <v>4.9710000000000001</v>
      </c>
      <c r="P1665" s="7">
        <v>5.4379999999999997</v>
      </c>
      <c r="Q1665" s="7">
        <v>5.5640000000000001</v>
      </c>
      <c r="R1665" s="7">
        <v>5.8029999999999999</v>
      </c>
      <c r="S1665" s="7">
        <f t="shared" si="25"/>
        <v>4.8963333333333328</v>
      </c>
    </row>
    <row r="1666" spans="1:19">
      <c r="A1666" s="5" t="str">
        <f>B1666&amp;"-"&amp;COUNTIF($B$2:B1666,B1666)</f>
        <v>MINAS GERAIS-100</v>
      </c>
      <c r="B1666" s="5" t="s">
        <v>1126</v>
      </c>
      <c r="C1666" s="5" t="s">
        <v>1192</v>
      </c>
      <c r="D1666" s="6">
        <v>-422555</v>
      </c>
      <c r="E1666" s="6">
        <v>-194235</v>
      </c>
      <c r="F1666" s="7">
        <v>4.83</v>
      </c>
      <c r="G1666" s="7">
        <v>5.8689999999999998</v>
      </c>
      <c r="H1666" s="7">
        <v>6.0510000000000002</v>
      </c>
      <c r="I1666" s="7">
        <v>5.1280000000000001</v>
      </c>
      <c r="J1666" s="7">
        <v>4.5949999999999998</v>
      </c>
      <c r="K1666" s="7">
        <v>3.899</v>
      </c>
      <c r="L1666" s="7">
        <v>3.6389999999999998</v>
      </c>
      <c r="M1666" s="7">
        <v>3.79</v>
      </c>
      <c r="N1666" s="7">
        <v>4.452</v>
      </c>
      <c r="O1666" s="7">
        <v>4.8499999999999996</v>
      </c>
      <c r="P1666" s="7">
        <v>5.0579999999999998</v>
      </c>
      <c r="Q1666" s="7">
        <v>4.8620000000000001</v>
      </c>
      <c r="R1666" s="7">
        <v>5.766</v>
      </c>
      <c r="S1666" s="7">
        <f t="shared" si="25"/>
        <v>4.8299166666666666</v>
      </c>
    </row>
    <row r="1667" spans="1:19">
      <c r="A1667" s="5" t="str">
        <f>B1667&amp;"-"&amp;COUNTIF($B$2:B1667,B1667)</f>
        <v>MINAS GERAIS-101</v>
      </c>
      <c r="B1667" s="5" t="s">
        <v>1126</v>
      </c>
      <c r="C1667" s="5" t="s">
        <v>1193</v>
      </c>
      <c r="D1667" s="6">
        <v>-464225</v>
      </c>
      <c r="E1667" s="6">
        <v>-156223</v>
      </c>
      <c r="F1667" s="7">
        <v>5.6219999999999999</v>
      </c>
      <c r="G1667" s="7">
        <v>6.0739999999999998</v>
      </c>
      <c r="H1667" s="7">
        <v>6.2839999999999998</v>
      </c>
      <c r="I1667" s="7">
        <v>5.5250000000000004</v>
      </c>
      <c r="J1667" s="7">
        <v>5.5289999999999999</v>
      </c>
      <c r="K1667" s="7">
        <v>5.024</v>
      </c>
      <c r="L1667" s="7">
        <v>4.8170000000000002</v>
      </c>
      <c r="M1667" s="7">
        <v>5.1470000000000002</v>
      </c>
      <c r="N1667" s="7">
        <v>5.85</v>
      </c>
      <c r="O1667" s="7">
        <v>6.0490000000000004</v>
      </c>
      <c r="P1667" s="7">
        <v>5.9470000000000001</v>
      </c>
      <c r="Q1667" s="7">
        <v>5.36</v>
      </c>
      <c r="R1667" s="7">
        <v>5.85</v>
      </c>
      <c r="S1667" s="7">
        <f t="shared" ref="S1667:S1730" si="26">(G1667+H1667+I1667+J1667+K1667+L1667+M1667+N1667+O1667+P1667+Q1667+R1667)/12</f>
        <v>5.6213333333333333</v>
      </c>
    </row>
    <row r="1668" spans="1:19">
      <c r="A1668" s="5" t="str">
        <f>B1668&amp;"-"&amp;COUNTIF($B$2:B1668,B1668)</f>
        <v>MINAS GERAIS-102</v>
      </c>
      <c r="B1668" s="5" t="s">
        <v>1126</v>
      </c>
      <c r="C1668" s="5" t="s">
        <v>1194</v>
      </c>
      <c r="D1668" s="6">
        <v>-44962</v>
      </c>
      <c r="E1668" s="6">
        <v>-17351</v>
      </c>
      <c r="F1668" s="7">
        <v>5.63</v>
      </c>
      <c r="G1668" s="7">
        <v>6.2859999999999996</v>
      </c>
      <c r="H1668" s="7">
        <v>6.5419999999999998</v>
      </c>
      <c r="I1668" s="7">
        <v>5.5750000000000002</v>
      </c>
      <c r="J1668" s="7">
        <v>5.4660000000000002</v>
      </c>
      <c r="K1668" s="7">
        <v>4.859</v>
      </c>
      <c r="L1668" s="7">
        <v>4.5</v>
      </c>
      <c r="M1668" s="7">
        <v>4.9240000000000004</v>
      </c>
      <c r="N1668" s="7">
        <v>5.649</v>
      </c>
      <c r="O1668" s="7">
        <v>6.069</v>
      </c>
      <c r="P1668" s="7">
        <v>6.0650000000000004</v>
      </c>
      <c r="Q1668" s="7">
        <v>5.63</v>
      </c>
      <c r="R1668" s="7">
        <v>5.9969999999999999</v>
      </c>
      <c r="S1668" s="7">
        <f t="shared" si="26"/>
        <v>5.6301666666666677</v>
      </c>
    </row>
    <row r="1669" spans="1:19">
      <c r="A1669" s="5" t="str">
        <f>B1669&amp;"-"&amp;COUNTIF($B$2:B1669,B1669)</f>
        <v>MINAS GERAIS-103</v>
      </c>
      <c r="B1669" s="5" t="s">
        <v>1126</v>
      </c>
      <c r="C1669" s="5" t="s">
        <v>5581</v>
      </c>
      <c r="D1669" s="6">
        <v>-469205</v>
      </c>
      <c r="E1669" s="6">
        <v>-205835</v>
      </c>
      <c r="F1669" s="7">
        <v>5.0730000000000004</v>
      </c>
      <c r="G1669" s="7">
        <v>5.6390000000000002</v>
      </c>
      <c r="H1669" s="7">
        <v>5.9050000000000002</v>
      </c>
      <c r="I1669" s="7">
        <v>4.9930000000000003</v>
      </c>
      <c r="J1669" s="7">
        <v>4.8029999999999999</v>
      </c>
      <c r="K1669" s="7">
        <v>4.25</v>
      </c>
      <c r="L1669" s="7">
        <v>4.0090000000000003</v>
      </c>
      <c r="M1669" s="7">
        <v>4.3010000000000002</v>
      </c>
      <c r="N1669" s="7">
        <v>5.1749999999999998</v>
      </c>
      <c r="O1669" s="7">
        <v>5.1959999999999997</v>
      </c>
      <c r="P1669" s="7">
        <v>5.5</v>
      </c>
      <c r="Q1669" s="7">
        <v>5.4489999999999998</v>
      </c>
      <c r="R1669" s="7">
        <v>5.6589999999999998</v>
      </c>
      <c r="S1669" s="7">
        <f t="shared" si="26"/>
        <v>5.0732499999999989</v>
      </c>
    </row>
    <row r="1670" spans="1:19">
      <c r="A1670" s="5" t="str">
        <f>B1670&amp;"-"&amp;COUNTIF($B$2:B1670,B1670)</f>
        <v>MINAS GERAIS-104</v>
      </c>
      <c r="B1670" s="5" t="s">
        <v>1126</v>
      </c>
      <c r="C1670" s="5" t="s">
        <v>4553</v>
      </c>
      <c r="D1670" s="6">
        <v>-444129</v>
      </c>
      <c r="E1670" s="6">
        <v>-152987</v>
      </c>
      <c r="F1670" s="7">
        <v>5.7729999999999997</v>
      </c>
      <c r="G1670" s="7">
        <v>6.375</v>
      </c>
      <c r="H1670" s="7">
        <v>6.5970000000000004</v>
      </c>
      <c r="I1670" s="7">
        <v>5.8049999999999997</v>
      </c>
      <c r="J1670" s="7">
        <v>5.641</v>
      </c>
      <c r="K1670" s="7">
        <v>5.1059999999999999</v>
      </c>
      <c r="L1670" s="7">
        <v>4.8369999999999997</v>
      </c>
      <c r="M1670" s="7">
        <v>5.234</v>
      </c>
      <c r="N1670" s="7">
        <v>5.851</v>
      </c>
      <c r="O1670" s="7">
        <v>6.1420000000000003</v>
      </c>
      <c r="P1670" s="7">
        <v>6.0910000000000002</v>
      </c>
      <c r="Q1670" s="7">
        <v>5.4930000000000003</v>
      </c>
      <c r="R1670" s="7">
        <v>6.1</v>
      </c>
      <c r="S1670" s="7">
        <f t="shared" si="26"/>
        <v>5.7726666666666668</v>
      </c>
    </row>
    <row r="1671" spans="1:19">
      <c r="A1671" s="5" t="str">
        <f>B1671&amp;"-"&amp;COUNTIF($B$2:B1671,B1671)</f>
        <v>MINAS GERAIS-105</v>
      </c>
      <c r="B1671" s="5" t="s">
        <v>1126</v>
      </c>
      <c r="C1671" s="5" t="s">
        <v>5111</v>
      </c>
      <c r="D1671" s="6">
        <v>-459045</v>
      </c>
      <c r="E1671" s="6">
        <v>-198246</v>
      </c>
      <c r="F1671" s="7">
        <v>5.1100000000000003</v>
      </c>
      <c r="G1671" s="7">
        <v>5.6609999999999996</v>
      </c>
      <c r="H1671" s="7">
        <v>5.9349999999999996</v>
      </c>
      <c r="I1671" s="7">
        <v>4.91</v>
      </c>
      <c r="J1671" s="7">
        <v>4.8890000000000002</v>
      </c>
      <c r="K1671" s="7">
        <v>4.4059999999999997</v>
      </c>
      <c r="L1671" s="7">
        <v>4.2130000000000001</v>
      </c>
      <c r="M1671" s="7">
        <v>4.4829999999999997</v>
      </c>
      <c r="N1671" s="7">
        <v>5.4939999999999998</v>
      </c>
      <c r="O1671" s="7">
        <v>5.4710000000000001</v>
      </c>
      <c r="P1671" s="7">
        <v>5.407</v>
      </c>
      <c r="Q1671" s="7">
        <v>5.0460000000000003</v>
      </c>
      <c r="R1671" s="7">
        <v>5.4029999999999996</v>
      </c>
      <c r="S1671" s="7">
        <f t="shared" si="26"/>
        <v>5.1098333333333334</v>
      </c>
    </row>
    <row r="1672" spans="1:19">
      <c r="A1672" s="5" t="str">
        <f>B1672&amp;"-"&amp;COUNTIF($B$2:B1672,B1672)</f>
        <v>MINAS GERAIS-106</v>
      </c>
      <c r="B1672" s="5" t="s">
        <v>1126</v>
      </c>
      <c r="C1672" s="5" t="s">
        <v>5112</v>
      </c>
      <c r="D1672" s="6">
        <v>-460245</v>
      </c>
      <c r="E1672" s="6">
        <v>-226274</v>
      </c>
      <c r="F1672" s="7">
        <v>4.7370000000000001</v>
      </c>
      <c r="G1672" s="7">
        <v>5.2130000000000001</v>
      </c>
      <c r="H1672" s="7">
        <v>5.52</v>
      </c>
      <c r="I1672" s="7">
        <v>4.7679999999999998</v>
      </c>
      <c r="J1672" s="7">
        <v>4.5209999999999999</v>
      </c>
      <c r="K1672" s="7">
        <v>3.8239999999999998</v>
      </c>
      <c r="L1672" s="7">
        <v>3.5529999999999999</v>
      </c>
      <c r="M1672" s="7">
        <v>3.7650000000000001</v>
      </c>
      <c r="N1672" s="7">
        <v>4.6989999999999998</v>
      </c>
      <c r="O1672" s="7">
        <v>4.8550000000000004</v>
      </c>
      <c r="P1672" s="7">
        <v>5.2770000000000001</v>
      </c>
      <c r="Q1672" s="7">
        <v>5.2729999999999997</v>
      </c>
      <c r="R1672" s="7">
        <v>5.5789999999999997</v>
      </c>
      <c r="S1672" s="7">
        <f t="shared" si="26"/>
        <v>4.7372500000000004</v>
      </c>
    </row>
    <row r="1673" spans="1:19">
      <c r="A1673" s="5" t="str">
        <f>B1673&amp;"-"&amp;COUNTIF($B$2:B1673,B1673)</f>
        <v>MINAS GERAIS-107</v>
      </c>
      <c r="B1673" s="5" t="s">
        <v>1126</v>
      </c>
      <c r="C1673" s="5" t="s">
        <v>5113</v>
      </c>
      <c r="D1673" s="6">
        <v>-455621</v>
      </c>
      <c r="E1673" s="6">
        <v>-204479</v>
      </c>
      <c r="F1673" s="7">
        <v>5.0810000000000004</v>
      </c>
      <c r="G1673" s="7">
        <v>5.7149999999999999</v>
      </c>
      <c r="H1673" s="7">
        <v>5.8979999999999997</v>
      </c>
      <c r="I1673" s="7">
        <v>5.0209999999999999</v>
      </c>
      <c r="J1673" s="7">
        <v>4.8280000000000003</v>
      </c>
      <c r="K1673" s="7">
        <v>4.2690000000000001</v>
      </c>
      <c r="L1673" s="7">
        <v>4.0199999999999996</v>
      </c>
      <c r="M1673" s="7">
        <v>4.3120000000000003</v>
      </c>
      <c r="N1673" s="7">
        <v>5.1870000000000003</v>
      </c>
      <c r="O1673" s="7">
        <v>5.3609999999999998</v>
      </c>
      <c r="P1673" s="7">
        <v>5.49</v>
      </c>
      <c r="Q1673" s="7">
        <v>5.2009999999999996</v>
      </c>
      <c r="R1673" s="7">
        <v>5.665</v>
      </c>
      <c r="S1673" s="7">
        <f t="shared" si="26"/>
        <v>5.0805833333333332</v>
      </c>
    </row>
    <row r="1674" spans="1:19">
      <c r="A1674" s="5" t="str">
        <f>B1674&amp;"-"&amp;COUNTIF($B$2:B1674,B1674)</f>
        <v>MINAS GERAIS-108</v>
      </c>
      <c r="B1674" s="5" t="s">
        <v>1126</v>
      </c>
      <c r="C1674" s="5" t="s">
        <v>5114</v>
      </c>
      <c r="D1674" s="6">
        <v>-423992</v>
      </c>
      <c r="E1674" s="6">
        <v>-198366</v>
      </c>
      <c r="F1674" s="7">
        <v>4.9640000000000004</v>
      </c>
      <c r="G1674" s="7">
        <v>5.931</v>
      </c>
      <c r="H1674" s="7">
        <v>6.2110000000000003</v>
      </c>
      <c r="I1674" s="7">
        <v>5.1879999999999997</v>
      </c>
      <c r="J1674" s="7">
        <v>4.7370000000000001</v>
      </c>
      <c r="K1674" s="7">
        <v>4.0220000000000002</v>
      </c>
      <c r="L1674" s="7">
        <v>3.8159999999999998</v>
      </c>
      <c r="M1674" s="7">
        <v>3.97</v>
      </c>
      <c r="N1674" s="7">
        <v>4.6589999999999998</v>
      </c>
      <c r="O1674" s="7">
        <v>4.9909999999999997</v>
      </c>
      <c r="P1674" s="7">
        <v>5.1859999999999999</v>
      </c>
      <c r="Q1674" s="7">
        <v>5.0330000000000004</v>
      </c>
      <c r="R1674" s="7">
        <v>5.8239999999999998</v>
      </c>
      <c r="S1674" s="7">
        <f t="shared" si="26"/>
        <v>4.9639999999999995</v>
      </c>
    </row>
    <row r="1675" spans="1:19">
      <c r="A1675" s="5" t="str">
        <f>B1675&amp;"-"&amp;COUNTIF($B$2:B1675,B1675)</f>
        <v>MINAS GERAIS-109</v>
      </c>
      <c r="B1675" s="5" t="s">
        <v>1126</v>
      </c>
      <c r="C1675" s="5" t="s">
        <v>1195</v>
      </c>
      <c r="D1675" s="6">
        <v>-470879</v>
      </c>
      <c r="E1675" s="6">
        <v>-16027</v>
      </c>
      <c r="F1675" s="7">
        <v>5.4029999999999996</v>
      </c>
      <c r="G1675" s="7">
        <v>5.6959999999999997</v>
      </c>
      <c r="H1675" s="7">
        <v>5.931</v>
      </c>
      <c r="I1675" s="7">
        <v>5.2160000000000002</v>
      </c>
      <c r="J1675" s="7">
        <v>5.13</v>
      </c>
      <c r="K1675" s="7">
        <v>4.82</v>
      </c>
      <c r="L1675" s="7">
        <v>4.7140000000000004</v>
      </c>
      <c r="M1675" s="7">
        <v>5.0759999999999996</v>
      </c>
      <c r="N1675" s="7">
        <v>5.8339999999999996</v>
      </c>
      <c r="O1675" s="7">
        <v>5.8419999999999996</v>
      </c>
      <c r="P1675" s="7">
        <v>5.766</v>
      </c>
      <c r="Q1675" s="7">
        <v>5.181</v>
      </c>
      <c r="R1675" s="7">
        <v>5.63</v>
      </c>
      <c r="S1675" s="7">
        <f t="shared" si="26"/>
        <v>5.4029999999999996</v>
      </c>
    </row>
    <row r="1676" spans="1:19">
      <c r="A1676" s="5" t="str">
        <f>B1676&amp;"-"&amp;COUNTIF($B$2:B1676,B1676)</f>
        <v>MINAS GERAIS-110</v>
      </c>
      <c r="B1676" s="5" t="s">
        <v>1126</v>
      </c>
      <c r="C1676" s="5" t="s">
        <v>1196</v>
      </c>
      <c r="D1676" s="6">
        <v>-463922</v>
      </c>
      <c r="E1676" s="6">
        <v>-214704</v>
      </c>
      <c r="F1676" s="7">
        <v>4.8460000000000001</v>
      </c>
      <c r="G1676" s="7">
        <v>5.4059999999999997</v>
      </c>
      <c r="H1676" s="7">
        <v>5.6340000000000003</v>
      </c>
      <c r="I1676" s="7">
        <v>4.782</v>
      </c>
      <c r="J1676" s="7">
        <v>4.5679999999999996</v>
      </c>
      <c r="K1676" s="7">
        <v>3.956</v>
      </c>
      <c r="L1676" s="7">
        <v>3.7330000000000001</v>
      </c>
      <c r="M1676" s="7">
        <v>4.0220000000000002</v>
      </c>
      <c r="N1676" s="7">
        <v>4.9630000000000001</v>
      </c>
      <c r="O1676" s="7">
        <v>5.0510000000000002</v>
      </c>
      <c r="P1676" s="7">
        <v>5.35</v>
      </c>
      <c r="Q1676" s="7">
        <v>5.21</v>
      </c>
      <c r="R1676" s="7">
        <v>5.4820000000000002</v>
      </c>
      <c r="S1676" s="7">
        <f t="shared" si="26"/>
        <v>4.8464166666666673</v>
      </c>
    </row>
    <row r="1677" spans="1:19">
      <c r="A1677" s="5" t="str">
        <f>B1677&amp;"-"&amp;COUNTIF($B$2:B1677,B1677)</f>
        <v>MINAS GERAIS-111</v>
      </c>
      <c r="B1677" s="5" t="s">
        <v>1126</v>
      </c>
      <c r="C1677" s="5" t="s">
        <v>1197</v>
      </c>
      <c r="D1677" s="6">
        <v>-44454</v>
      </c>
      <c r="E1677" s="6">
        <v>-19525</v>
      </c>
      <c r="F1677" s="7">
        <v>5.2549999999999999</v>
      </c>
      <c r="G1677" s="7">
        <v>6.0140000000000002</v>
      </c>
      <c r="H1677" s="7">
        <v>6.13</v>
      </c>
      <c r="I1677" s="7">
        <v>5.2359999999999998</v>
      </c>
      <c r="J1677" s="7">
        <v>4.9249999999999998</v>
      </c>
      <c r="K1677" s="7">
        <v>4.3879999999999999</v>
      </c>
      <c r="L1677" s="7">
        <v>4.1580000000000004</v>
      </c>
      <c r="M1677" s="7">
        <v>4.4749999999999996</v>
      </c>
      <c r="N1677" s="7">
        <v>5.327</v>
      </c>
      <c r="O1677" s="7">
        <v>5.6210000000000004</v>
      </c>
      <c r="P1677" s="7">
        <v>5.6369999999999996</v>
      </c>
      <c r="Q1677" s="7">
        <v>5.4050000000000002</v>
      </c>
      <c r="R1677" s="7">
        <v>5.742</v>
      </c>
      <c r="S1677" s="7">
        <f t="shared" si="26"/>
        <v>5.254833333333333</v>
      </c>
    </row>
    <row r="1678" spans="1:19">
      <c r="A1678" s="5" t="str">
        <f>B1678&amp;"-"&amp;COUNTIF($B$2:B1678,B1678)</f>
        <v>MINAS GERAIS-112</v>
      </c>
      <c r="B1678" s="5" t="s">
        <v>1126</v>
      </c>
      <c r="C1678" s="5" t="s">
        <v>1198</v>
      </c>
      <c r="D1678" s="6">
        <v>-457813</v>
      </c>
      <c r="E1678" s="6">
        <v>-223516</v>
      </c>
      <c r="F1678" s="7">
        <v>4.8390000000000004</v>
      </c>
      <c r="G1678" s="7">
        <v>5.4009999999999998</v>
      </c>
      <c r="H1678" s="7">
        <v>5.6559999999999997</v>
      </c>
      <c r="I1678" s="7">
        <v>4.9139999999999997</v>
      </c>
      <c r="J1678" s="7">
        <v>4.5940000000000003</v>
      </c>
      <c r="K1678" s="7">
        <v>3.8580000000000001</v>
      </c>
      <c r="L1678" s="7">
        <v>3.6139999999999999</v>
      </c>
      <c r="M1678" s="7">
        <v>3.819</v>
      </c>
      <c r="N1678" s="7">
        <v>4.681</v>
      </c>
      <c r="O1678" s="7">
        <v>4.9249999999999998</v>
      </c>
      <c r="P1678" s="7">
        <v>5.3940000000000001</v>
      </c>
      <c r="Q1678" s="7">
        <v>5.4370000000000003</v>
      </c>
      <c r="R1678" s="7">
        <v>5.77</v>
      </c>
      <c r="S1678" s="7">
        <f t="shared" si="26"/>
        <v>4.8385833333333323</v>
      </c>
    </row>
    <row r="1679" spans="1:19">
      <c r="A1679" s="5" t="str">
        <f>B1679&amp;"-"&amp;COUNTIF($B$2:B1679,B1679)</f>
        <v>MINAS GERAIS-113</v>
      </c>
      <c r="B1679" s="5" t="s">
        <v>1126</v>
      </c>
      <c r="C1679" s="5" t="s">
        <v>4842</v>
      </c>
      <c r="D1679" s="6">
        <v>-414951</v>
      </c>
      <c r="E1679" s="6">
        <v>-159693</v>
      </c>
      <c r="F1679" s="7">
        <v>5.0739999999999998</v>
      </c>
      <c r="G1679" s="7">
        <v>6.0579999999999998</v>
      </c>
      <c r="H1679" s="7">
        <v>6.2889999999999997</v>
      </c>
      <c r="I1679" s="7">
        <v>5.4020000000000001</v>
      </c>
      <c r="J1679" s="7">
        <v>4.7469999999999999</v>
      </c>
      <c r="K1679" s="7">
        <v>4.0620000000000003</v>
      </c>
      <c r="L1679" s="7">
        <v>3.653</v>
      </c>
      <c r="M1679" s="7">
        <v>3.8370000000000002</v>
      </c>
      <c r="N1679" s="7">
        <v>4.5570000000000004</v>
      </c>
      <c r="O1679" s="7">
        <v>5.4139999999999997</v>
      </c>
      <c r="P1679" s="7">
        <v>5.5209999999999999</v>
      </c>
      <c r="Q1679" s="7">
        <v>5.2779999999999996</v>
      </c>
      <c r="R1679" s="7">
        <v>6.0670000000000002</v>
      </c>
      <c r="S1679" s="7">
        <f t="shared" si="26"/>
        <v>5.0737500000000004</v>
      </c>
    </row>
    <row r="1680" spans="1:19">
      <c r="A1680" s="5" t="str">
        <f>B1680&amp;"-"&amp;COUNTIF($B$2:B1680,B1680)</f>
        <v>MINAS GERAIS-114</v>
      </c>
      <c r="B1680" s="5" t="s">
        <v>1126</v>
      </c>
      <c r="C1680" s="5" t="s">
        <v>788</v>
      </c>
      <c r="D1680" s="6">
        <v>-495043</v>
      </c>
      <c r="E1680" s="6">
        <v>-185166</v>
      </c>
      <c r="F1680" s="7">
        <v>5.242</v>
      </c>
      <c r="G1680" s="7">
        <v>5.6180000000000003</v>
      </c>
      <c r="H1680" s="7">
        <v>5.7610000000000001</v>
      </c>
      <c r="I1680" s="7">
        <v>5.2359999999999998</v>
      </c>
      <c r="J1680" s="7">
        <v>5.0670000000000002</v>
      </c>
      <c r="K1680" s="7">
        <v>4.6040000000000001</v>
      </c>
      <c r="L1680" s="7">
        <v>4.3019999999999996</v>
      </c>
      <c r="M1680" s="7">
        <v>4.548</v>
      </c>
      <c r="N1680" s="7">
        <v>5.4560000000000004</v>
      </c>
      <c r="O1680" s="7">
        <v>5.2510000000000003</v>
      </c>
      <c r="P1680" s="7">
        <v>5.5679999999999996</v>
      </c>
      <c r="Q1680" s="7">
        <v>5.7060000000000004</v>
      </c>
      <c r="R1680" s="7">
        <v>5.7889999999999997</v>
      </c>
      <c r="S1680" s="7">
        <f t="shared" si="26"/>
        <v>5.2421666666666669</v>
      </c>
    </row>
    <row r="1681" spans="1:19">
      <c r="A1681" s="5" t="str">
        <f>B1681&amp;"-"&amp;COUNTIF($B$2:B1681,B1681)</f>
        <v>MINAS GERAIS-115</v>
      </c>
      <c r="B1681" s="5" t="s">
        <v>1126</v>
      </c>
      <c r="C1681" s="5" t="s">
        <v>4332</v>
      </c>
      <c r="D1681" s="6">
        <v>-436707</v>
      </c>
      <c r="E1681" s="6">
        <v>-198831</v>
      </c>
      <c r="F1681" s="7">
        <v>4.9809999999999999</v>
      </c>
      <c r="G1681" s="7">
        <v>5.5970000000000004</v>
      </c>
      <c r="H1681" s="7">
        <v>5.8929999999999998</v>
      </c>
      <c r="I1681" s="7">
        <v>5.0659999999999998</v>
      </c>
      <c r="J1681" s="7">
        <v>4.6449999999999996</v>
      </c>
      <c r="K1681" s="7">
        <v>4.093</v>
      </c>
      <c r="L1681" s="7">
        <v>3.9529999999999998</v>
      </c>
      <c r="M1681" s="7">
        <v>4.1470000000000002</v>
      </c>
      <c r="N1681" s="7">
        <v>5.0019999999999998</v>
      </c>
      <c r="O1681" s="7">
        <v>5.3179999999999996</v>
      </c>
      <c r="P1681" s="7">
        <v>5.4329999999999998</v>
      </c>
      <c r="Q1681" s="7">
        <v>5.093</v>
      </c>
      <c r="R1681" s="7">
        <v>5.5339999999999998</v>
      </c>
      <c r="S1681" s="7">
        <f t="shared" si="26"/>
        <v>4.9811666666666659</v>
      </c>
    </row>
    <row r="1682" spans="1:19">
      <c r="A1682" s="5" t="str">
        <f>B1682&amp;"-"&amp;COUNTIF($B$2:B1682,B1682)</f>
        <v>MINAS GERAIS-116</v>
      </c>
      <c r="B1682" s="5" t="s">
        <v>1126</v>
      </c>
      <c r="C1682" s="5" t="s">
        <v>5115</v>
      </c>
      <c r="D1682" s="6">
        <v>-444192</v>
      </c>
      <c r="E1682" s="6">
        <v>-192975</v>
      </c>
      <c r="F1682" s="7">
        <v>5.2939999999999996</v>
      </c>
      <c r="G1682" s="7">
        <v>6.0019999999999998</v>
      </c>
      <c r="H1682" s="7">
        <v>6.1769999999999996</v>
      </c>
      <c r="I1682" s="7">
        <v>5.2720000000000002</v>
      </c>
      <c r="J1682" s="7">
        <v>5.0190000000000001</v>
      </c>
      <c r="K1682" s="7">
        <v>4.4249999999999998</v>
      </c>
      <c r="L1682" s="7">
        <v>4.1660000000000004</v>
      </c>
      <c r="M1682" s="7">
        <v>4.524</v>
      </c>
      <c r="N1682" s="7">
        <v>5.335</v>
      </c>
      <c r="O1682" s="7">
        <v>5.6840000000000002</v>
      </c>
      <c r="P1682" s="7">
        <v>5.6859999999999999</v>
      </c>
      <c r="Q1682" s="7">
        <v>5.4580000000000002</v>
      </c>
      <c r="R1682" s="7">
        <v>5.7789999999999999</v>
      </c>
      <c r="S1682" s="7">
        <f t="shared" si="26"/>
        <v>5.293916666666667</v>
      </c>
    </row>
    <row r="1683" spans="1:19">
      <c r="A1683" s="5" t="str">
        <f>B1683&amp;"-"&amp;COUNTIF($B$2:B1683,B1683)</f>
        <v>MINAS GERAIS-117</v>
      </c>
      <c r="B1683" s="5" t="s">
        <v>1126</v>
      </c>
      <c r="C1683" s="5" t="s">
        <v>1199</v>
      </c>
      <c r="D1683" s="6">
        <v>-419296</v>
      </c>
      <c r="E1683" s="6">
        <v>-206961</v>
      </c>
      <c r="F1683" s="7">
        <v>4.8090000000000002</v>
      </c>
      <c r="G1683" s="7">
        <v>5.8689999999999998</v>
      </c>
      <c r="H1683" s="7">
        <v>6.0730000000000004</v>
      </c>
      <c r="I1683" s="7">
        <v>4.9530000000000003</v>
      </c>
      <c r="J1683" s="7">
        <v>4.4249999999999998</v>
      </c>
      <c r="K1683" s="7">
        <v>3.8109999999999999</v>
      </c>
      <c r="L1683" s="7">
        <v>3.7149999999999999</v>
      </c>
      <c r="M1683" s="7">
        <v>3.8370000000000002</v>
      </c>
      <c r="N1683" s="7">
        <v>4.5960000000000001</v>
      </c>
      <c r="O1683" s="7">
        <v>4.9640000000000004</v>
      </c>
      <c r="P1683" s="7">
        <v>5.0839999999999996</v>
      </c>
      <c r="Q1683" s="7">
        <v>4.7859999999999996</v>
      </c>
      <c r="R1683" s="7">
        <v>5.5970000000000004</v>
      </c>
      <c r="S1683" s="7">
        <f t="shared" si="26"/>
        <v>4.809166666666667</v>
      </c>
    </row>
    <row r="1684" spans="1:19">
      <c r="A1684" s="5" t="str">
        <f>B1684&amp;"-"&amp;COUNTIF($B$2:B1684,B1684)</f>
        <v>MINAS GERAIS-118</v>
      </c>
      <c r="B1684" s="5" t="s">
        <v>1126</v>
      </c>
      <c r="C1684" s="5" t="s">
        <v>1200</v>
      </c>
      <c r="D1684" s="6">
        <v>-427929</v>
      </c>
      <c r="E1684" s="6">
        <v>-207908</v>
      </c>
      <c r="F1684" s="7">
        <v>4.7619999999999996</v>
      </c>
      <c r="G1684" s="7">
        <v>5.641</v>
      </c>
      <c r="H1684" s="7">
        <v>5.968</v>
      </c>
      <c r="I1684" s="7">
        <v>4.9619999999999997</v>
      </c>
      <c r="J1684" s="7">
        <v>4.3810000000000002</v>
      </c>
      <c r="K1684" s="7">
        <v>3.758</v>
      </c>
      <c r="L1684" s="7">
        <v>3.581</v>
      </c>
      <c r="M1684" s="7">
        <v>3.7869999999999999</v>
      </c>
      <c r="N1684" s="7">
        <v>4.6079999999999997</v>
      </c>
      <c r="O1684" s="7">
        <v>4.9039999999999999</v>
      </c>
      <c r="P1684" s="7">
        <v>5.1260000000000003</v>
      </c>
      <c r="Q1684" s="7">
        <v>4.8879999999999999</v>
      </c>
      <c r="R1684" s="7">
        <v>5.5439999999999996</v>
      </c>
      <c r="S1684" s="7">
        <f t="shared" si="26"/>
        <v>4.7623333333333315</v>
      </c>
    </row>
    <row r="1685" spans="1:19">
      <c r="A1685" s="5" t="str">
        <f>B1685&amp;"-"&amp;COUNTIF($B$2:B1685,B1685)</f>
        <v>MINAS GERAIS-119</v>
      </c>
      <c r="B1685" s="5" t="s">
        <v>1126</v>
      </c>
      <c r="C1685" s="5" t="s">
        <v>1201</v>
      </c>
      <c r="D1685" s="6">
        <v>-463847</v>
      </c>
      <c r="E1685" s="6">
        <v>-219188</v>
      </c>
      <c r="F1685" s="7">
        <v>4.7519999999999998</v>
      </c>
      <c r="G1685" s="7">
        <v>5.2060000000000004</v>
      </c>
      <c r="H1685" s="7">
        <v>5.508</v>
      </c>
      <c r="I1685" s="7">
        <v>4.6909999999999998</v>
      </c>
      <c r="J1685" s="7">
        <v>4.4939999999999998</v>
      </c>
      <c r="K1685" s="7">
        <v>3.8980000000000001</v>
      </c>
      <c r="L1685" s="7">
        <v>3.6619999999999999</v>
      </c>
      <c r="M1685" s="7">
        <v>3.923</v>
      </c>
      <c r="N1685" s="7">
        <v>4.8410000000000002</v>
      </c>
      <c r="O1685" s="7">
        <v>4.9669999999999996</v>
      </c>
      <c r="P1685" s="7">
        <v>5.2569999999999997</v>
      </c>
      <c r="Q1685" s="7">
        <v>5.1340000000000003</v>
      </c>
      <c r="R1685" s="7">
        <v>5.44</v>
      </c>
      <c r="S1685" s="7">
        <f t="shared" si="26"/>
        <v>4.7517499999999995</v>
      </c>
    </row>
    <row r="1686" spans="1:19">
      <c r="A1686" s="5" t="str">
        <f>B1686&amp;"-"&amp;COUNTIF($B$2:B1686,B1686)</f>
        <v>MINAS GERAIS-120</v>
      </c>
      <c r="B1686" s="5" t="s">
        <v>1126</v>
      </c>
      <c r="C1686" s="5" t="s">
        <v>1202</v>
      </c>
      <c r="D1686" s="6">
        <v>-451597</v>
      </c>
      <c r="E1686" s="6">
        <v>-206298</v>
      </c>
      <c r="F1686" s="7">
        <v>5.0149999999999997</v>
      </c>
      <c r="G1686" s="7">
        <v>5.6390000000000002</v>
      </c>
      <c r="H1686" s="7">
        <v>5.8460000000000001</v>
      </c>
      <c r="I1686" s="7">
        <v>4.9550000000000001</v>
      </c>
      <c r="J1686" s="7">
        <v>4.7880000000000003</v>
      </c>
      <c r="K1686" s="7">
        <v>4.1900000000000004</v>
      </c>
      <c r="L1686" s="7">
        <v>3.9649999999999999</v>
      </c>
      <c r="M1686" s="7">
        <v>4.2409999999999997</v>
      </c>
      <c r="N1686" s="7">
        <v>5.141</v>
      </c>
      <c r="O1686" s="7">
        <v>5.335</v>
      </c>
      <c r="P1686" s="7">
        <v>5.4779999999999998</v>
      </c>
      <c r="Q1686" s="7">
        <v>5.1079999999999997</v>
      </c>
      <c r="R1686" s="7">
        <v>5.4880000000000004</v>
      </c>
      <c r="S1686" s="7">
        <f t="shared" si="26"/>
        <v>5.0144999999999991</v>
      </c>
    </row>
    <row r="1687" spans="1:19">
      <c r="A1687" s="5" t="str">
        <f>B1687&amp;"-"&amp;COUNTIF($B$2:B1687,B1687)</f>
        <v>MINAS GERAIS-121</v>
      </c>
      <c r="B1687" s="5" t="s">
        <v>1126</v>
      </c>
      <c r="C1687" s="5" t="s">
        <v>1203</v>
      </c>
      <c r="D1687" s="6">
        <v>-461498</v>
      </c>
      <c r="E1687" s="6">
        <v>-22752</v>
      </c>
      <c r="F1687" s="7">
        <v>4.7699999999999996</v>
      </c>
      <c r="G1687" s="7">
        <v>5.1539999999999999</v>
      </c>
      <c r="H1687" s="7">
        <v>5.4909999999999997</v>
      </c>
      <c r="I1687" s="7">
        <v>4.8019999999999996</v>
      </c>
      <c r="J1687" s="7">
        <v>4.54</v>
      </c>
      <c r="K1687" s="7">
        <v>3.8029999999999999</v>
      </c>
      <c r="L1687" s="7">
        <v>3.5579999999999998</v>
      </c>
      <c r="M1687" s="7">
        <v>3.7370000000000001</v>
      </c>
      <c r="N1687" s="7">
        <v>4.6760000000000002</v>
      </c>
      <c r="O1687" s="7">
        <v>4.8760000000000003</v>
      </c>
      <c r="P1687" s="7">
        <v>5.3650000000000002</v>
      </c>
      <c r="Q1687" s="7">
        <v>5.4809999999999999</v>
      </c>
      <c r="R1687" s="7">
        <v>5.7510000000000003</v>
      </c>
      <c r="S1687" s="7">
        <f t="shared" si="26"/>
        <v>4.7694999999999999</v>
      </c>
    </row>
    <row r="1688" spans="1:19">
      <c r="A1688" s="5" t="str">
        <f>B1688&amp;"-"&amp;COUNTIF($B$2:B1688,B1688)</f>
        <v>MINAS GERAIS-122</v>
      </c>
      <c r="B1688" s="5" t="s">
        <v>1126</v>
      </c>
      <c r="C1688" s="5" t="s">
        <v>1204</v>
      </c>
      <c r="D1688" s="6">
        <v>-460576</v>
      </c>
      <c r="E1688" s="6">
        <v>-22612</v>
      </c>
      <c r="F1688" s="7">
        <v>4.7370000000000001</v>
      </c>
      <c r="G1688" s="7">
        <v>5.2130000000000001</v>
      </c>
      <c r="H1688" s="7">
        <v>5.52</v>
      </c>
      <c r="I1688" s="7">
        <v>4.7679999999999998</v>
      </c>
      <c r="J1688" s="7">
        <v>4.5209999999999999</v>
      </c>
      <c r="K1688" s="7">
        <v>3.8239999999999998</v>
      </c>
      <c r="L1688" s="7">
        <v>3.5529999999999999</v>
      </c>
      <c r="M1688" s="7">
        <v>3.7650000000000001</v>
      </c>
      <c r="N1688" s="7">
        <v>4.6989999999999998</v>
      </c>
      <c r="O1688" s="7">
        <v>4.8550000000000004</v>
      </c>
      <c r="P1688" s="7">
        <v>5.2770000000000001</v>
      </c>
      <c r="Q1688" s="7">
        <v>5.2729999999999997</v>
      </c>
      <c r="R1688" s="7">
        <v>5.5789999999999997</v>
      </c>
      <c r="S1688" s="7">
        <f t="shared" si="26"/>
        <v>4.7372500000000004</v>
      </c>
    </row>
    <row r="1689" spans="1:19">
      <c r="A1689" s="5" t="str">
        <f>B1689&amp;"-"&amp;COUNTIF($B$2:B1689,B1689)</f>
        <v>MINAS GERAIS-123</v>
      </c>
      <c r="B1689" s="5" t="s">
        <v>1126</v>
      </c>
      <c r="C1689" s="5" t="s">
        <v>1205</v>
      </c>
      <c r="D1689" s="5" t="s">
        <v>1206</v>
      </c>
      <c r="E1689" s="6">
        <v>-218545</v>
      </c>
      <c r="F1689" s="7">
        <v>4.827</v>
      </c>
      <c r="G1689" s="7">
        <v>5.3780000000000001</v>
      </c>
      <c r="H1689" s="7">
        <v>5.6689999999999996</v>
      </c>
      <c r="I1689" s="7">
        <v>4.8479999999999999</v>
      </c>
      <c r="J1689" s="7">
        <v>4.5670000000000002</v>
      </c>
      <c r="K1689" s="7">
        <v>3.907</v>
      </c>
      <c r="L1689" s="7">
        <v>3.6640000000000001</v>
      </c>
      <c r="M1689" s="7">
        <v>3.9</v>
      </c>
      <c r="N1689" s="7">
        <v>4.7859999999999996</v>
      </c>
      <c r="O1689" s="7">
        <v>4.9980000000000002</v>
      </c>
      <c r="P1689" s="7">
        <v>5.3920000000000003</v>
      </c>
      <c r="Q1689" s="7">
        <v>5.2240000000000002</v>
      </c>
      <c r="R1689" s="7">
        <v>5.5860000000000003</v>
      </c>
      <c r="S1689" s="7">
        <f t="shared" si="26"/>
        <v>4.8265833333333328</v>
      </c>
    </row>
    <row r="1690" spans="1:19">
      <c r="A1690" s="5" t="str">
        <f>B1690&amp;"-"&amp;COUNTIF($B$2:B1690,B1690)</f>
        <v>MINAS GERAIS-124</v>
      </c>
      <c r="B1690" s="5" t="s">
        <v>1126</v>
      </c>
      <c r="C1690" s="5" t="s">
        <v>5582</v>
      </c>
      <c r="D1690" s="6">
        <v>-417359</v>
      </c>
      <c r="E1690" s="6">
        <v>-182432</v>
      </c>
      <c r="F1690" s="7">
        <v>4.9290000000000003</v>
      </c>
      <c r="G1690" s="7">
        <v>6.0659999999999998</v>
      </c>
      <c r="H1690" s="7">
        <v>6.26</v>
      </c>
      <c r="I1690" s="7">
        <v>5.3920000000000003</v>
      </c>
      <c r="J1690" s="7">
        <v>4.6550000000000002</v>
      </c>
      <c r="K1690" s="7">
        <v>3.9180000000000001</v>
      </c>
      <c r="L1690" s="7">
        <v>3.677</v>
      </c>
      <c r="M1690" s="7">
        <v>3.766</v>
      </c>
      <c r="N1690" s="7">
        <v>4.4130000000000003</v>
      </c>
      <c r="O1690" s="7">
        <v>4.9669999999999996</v>
      </c>
      <c r="P1690" s="7">
        <v>5.2359999999999998</v>
      </c>
      <c r="Q1690" s="7">
        <v>4.9749999999999996</v>
      </c>
      <c r="R1690" s="7">
        <v>5.8239999999999998</v>
      </c>
      <c r="S1690" s="7">
        <f t="shared" si="26"/>
        <v>4.9290833333333337</v>
      </c>
    </row>
    <row r="1691" spans="1:19">
      <c r="A1691" s="5" t="str">
        <f>B1691&amp;"-"&amp;COUNTIF($B$2:B1691,B1691)</f>
        <v>MINAS GERAIS-125</v>
      </c>
      <c r="B1691" s="5" t="s">
        <v>1126</v>
      </c>
      <c r="C1691" s="5" t="s">
        <v>1207</v>
      </c>
      <c r="D1691" s="6">
        <v>-454008</v>
      </c>
      <c r="E1691" s="6">
        <v>-218365</v>
      </c>
      <c r="F1691" s="7">
        <v>4.8529999999999998</v>
      </c>
      <c r="G1691" s="7">
        <v>5.4109999999999996</v>
      </c>
      <c r="H1691" s="7">
        <v>5.7240000000000002</v>
      </c>
      <c r="I1691" s="7">
        <v>4.9050000000000002</v>
      </c>
      <c r="J1691" s="7">
        <v>4.5789999999999997</v>
      </c>
      <c r="K1691" s="7">
        <v>3.927</v>
      </c>
      <c r="L1691" s="7">
        <v>3.6779999999999999</v>
      </c>
      <c r="M1691" s="7">
        <v>3.9</v>
      </c>
      <c r="N1691" s="7">
        <v>4.78</v>
      </c>
      <c r="O1691" s="7">
        <v>5.0199999999999996</v>
      </c>
      <c r="P1691" s="7">
        <v>5.4009999999999998</v>
      </c>
      <c r="Q1691" s="7">
        <v>5.2549999999999999</v>
      </c>
      <c r="R1691" s="7">
        <v>5.6509999999999998</v>
      </c>
      <c r="S1691" s="7">
        <f t="shared" si="26"/>
        <v>4.8525833333333344</v>
      </c>
    </row>
    <row r="1692" spans="1:19">
      <c r="A1692" s="5" t="str">
        <f>B1692&amp;"-"&amp;COUNTIF($B$2:B1692,B1692)</f>
        <v>MINAS GERAIS-126</v>
      </c>
      <c r="B1692" s="5" t="s">
        <v>1126</v>
      </c>
      <c r="C1692" s="5" t="s">
        <v>111</v>
      </c>
      <c r="D1692" s="6">
        <v>-462385</v>
      </c>
      <c r="E1692" s="6">
        <v>-217083</v>
      </c>
      <c r="F1692" s="7">
        <v>4.8339999999999996</v>
      </c>
      <c r="G1692" s="7">
        <v>5.3369999999999997</v>
      </c>
      <c r="H1692" s="7">
        <v>5.6230000000000002</v>
      </c>
      <c r="I1692" s="7">
        <v>4.8099999999999996</v>
      </c>
      <c r="J1692" s="7">
        <v>4.5350000000000001</v>
      </c>
      <c r="K1692" s="7">
        <v>3.9390000000000001</v>
      </c>
      <c r="L1692" s="7">
        <v>3.698</v>
      </c>
      <c r="M1692" s="7">
        <v>3.97</v>
      </c>
      <c r="N1692" s="7">
        <v>4.9039999999999999</v>
      </c>
      <c r="O1692" s="7">
        <v>5.0609999999999999</v>
      </c>
      <c r="P1692" s="7">
        <v>5.359</v>
      </c>
      <c r="Q1692" s="7">
        <v>5.218</v>
      </c>
      <c r="R1692" s="7">
        <v>5.5579999999999998</v>
      </c>
      <c r="S1692" s="7">
        <f t="shared" si="26"/>
        <v>4.8343333333333343</v>
      </c>
    </row>
    <row r="1693" spans="1:19">
      <c r="A1693" s="5" t="str">
        <f>B1693&amp;"-"&amp;COUNTIF($B$2:B1693,B1693)</f>
        <v>MINAS GERAIS-127</v>
      </c>
      <c r="B1693" s="5" t="s">
        <v>1126</v>
      </c>
      <c r="C1693" s="5" t="s">
        <v>1208</v>
      </c>
      <c r="D1693" s="6">
        <v>-494876</v>
      </c>
      <c r="E1693" s="6">
        <v>-195343</v>
      </c>
      <c r="F1693" s="7">
        <v>5.2050000000000001</v>
      </c>
      <c r="G1693" s="7">
        <v>5.7270000000000003</v>
      </c>
      <c r="H1693" s="7">
        <v>5.7789999999999999</v>
      </c>
      <c r="I1693" s="7">
        <v>5.194</v>
      </c>
      <c r="J1693" s="7">
        <v>4.99</v>
      </c>
      <c r="K1693" s="7">
        <v>4.38</v>
      </c>
      <c r="L1693" s="7">
        <v>4.0979999999999999</v>
      </c>
      <c r="M1693" s="7">
        <v>4.3890000000000002</v>
      </c>
      <c r="N1693" s="7">
        <v>5.2939999999999996</v>
      </c>
      <c r="O1693" s="7">
        <v>5.2279999999999998</v>
      </c>
      <c r="P1693" s="7">
        <v>5.57</v>
      </c>
      <c r="Q1693" s="7">
        <v>5.8029999999999999</v>
      </c>
      <c r="R1693" s="7">
        <v>6.0060000000000002</v>
      </c>
      <c r="S1693" s="7">
        <f t="shared" si="26"/>
        <v>5.2048333333333323</v>
      </c>
    </row>
    <row r="1694" spans="1:19">
      <c r="A1694" s="5" t="str">
        <f>B1694&amp;"-"&amp;COUNTIF($B$2:B1694,B1694)</f>
        <v>MINAS GERAIS-128</v>
      </c>
      <c r="B1694" s="5" t="s">
        <v>1126</v>
      </c>
      <c r="C1694" s="5" t="s">
        <v>1209</v>
      </c>
      <c r="D1694" s="6">
        <v>-448114</v>
      </c>
      <c r="E1694" s="6">
        <v>-16506</v>
      </c>
      <c r="F1694" s="7">
        <v>5.64</v>
      </c>
      <c r="G1694" s="7">
        <v>6.3570000000000002</v>
      </c>
      <c r="H1694" s="7">
        <v>6.4409999999999998</v>
      </c>
      <c r="I1694" s="7">
        <v>5.5910000000000002</v>
      </c>
      <c r="J1694" s="7">
        <v>5.4569999999999999</v>
      </c>
      <c r="K1694" s="7">
        <v>4.8869999999999996</v>
      </c>
      <c r="L1694" s="7">
        <v>4.6219999999999999</v>
      </c>
      <c r="M1694" s="7">
        <v>4.9530000000000003</v>
      </c>
      <c r="N1694" s="7">
        <v>5.7850000000000001</v>
      </c>
      <c r="O1694" s="7">
        <v>5.9939999999999998</v>
      </c>
      <c r="P1694" s="7">
        <v>6.0339999999999998</v>
      </c>
      <c r="Q1694" s="7">
        <v>5.4889999999999999</v>
      </c>
      <c r="R1694" s="7">
        <v>6.0730000000000004</v>
      </c>
      <c r="S1694" s="7">
        <f t="shared" si="26"/>
        <v>5.6402499999999991</v>
      </c>
    </row>
    <row r="1695" spans="1:19">
      <c r="A1695" s="5" t="str">
        <f>B1695&amp;"-"&amp;COUNTIF($B$2:B1695,B1695)</f>
        <v>MINAS GERAIS-129</v>
      </c>
      <c r="B1695" s="5" t="s">
        <v>1126</v>
      </c>
      <c r="C1695" s="5" t="s">
        <v>1210</v>
      </c>
      <c r="D1695" s="6">
        <v>-452703</v>
      </c>
      <c r="E1695" s="6">
        <v>-208937</v>
      </c>
      <c r="F1695" s="7">
        <v>4.944</v>
      </c>
      <c r="G1695" s="7">
        <v>5.6150000000000002</v>
      </c>
      <c r="H1695" s="7">
        <v>5.7240000000000002</v>
      </c>
      <c r="I1695" s="7">
        <v>4.8630000000000004</v>
      </c>
      <c r="J1695" s="7">
        <v>4.7</v>
      </c>
      <c r="K1695" s="7">
        <v>4.056</v>
      </c>
      <c r="L1695" s="7">
        <v>3.8620000000000001</v>
      </c>
      <c r="M1695" s="7">
        <v>4.1479999999999997</v>
      </c>
      <c r="N1695" s="7">
        <v>5.0430000000000001</v>
      </c>
      <c r="O1695" s="7">
        <v>5.2190000000000003</v>
      </c>
      <c r="P1695" s="7">
        <v>5.3890000000000002</v>
      </c>
      <c r="Q1695" s="7">
        <v>5.1050000000000004</v>
      </c>
      <c r="R1695" s="7">
        <v>5.5970000000000004</v>
      </c>
      <c r="S1695" s="7">
        <f t="shared" si="26"/>
        <v>4.9434166666666668</v>
      </c>
    </row>
    <row r="1696" spans="1:19">
      <c r="A1696" s="5" t="str">
        <f>B1696&amp;"-"&amp;COUNTIF($B$2:B1696,B1696)</f>
        <v>MINAS GERAIS-130</v>
      </c>
      <c r="B1696" s="5" t="s">
        <v>1126</v>
      </c>
      <c r="C1696" s="5" t="s">
        <v>1211</v>
      </c>
      <c r="D1696" s="6">
        <v>-458277</v>
      </c>
      <c r="E1696" s="6">
        <v>-211132</v>
      </c>
      <c r="F1696" s="7">
        <v>4.9669999999999996</v>
      </c>
      <c r="G1696" s="7">
        <v>5.6130000000000004</v>
      </c>
      <c r="H1696" s="7">
        <v>5.87</v>
      </c>
      <c r="I1696" s="7">
        <v>4.9359999999999999</v>
      </c>
      <c r="J1696" s="7">
        <v>4.7190000000000003</v>
      </c>
      <c r="K1696" s="7">
        <v>4.0439999999999996</v>
      </c>
      <c r="L1696" s="7">
        <v>3.7719999999999998</v>
      </c>
      <c r="M1696" s="7">
        <v>4.0810000000000004</v>
      </c>
      <c r="N1696" s="7">
        <v>4.8840000000000003</v>
      </c>
      <c r="O1696" s="7">
        <v>5.1079999999999997</v>
      </c>
      <c r="P1696" s="7">
        <v>5.492</v>
      </c>
      <c r="Q1696" s="7">
        <v>5.3540000000000001</v>
      </c>
      <c r="R1696" s="7">
        <v>5.7249999999999996</v>
      </c>
      <c r="S1696" s="7">
        <f t="shared" si="26"/>
        <v>4.9664999999999999</v>
      </c>
    </row>
    <row r="1697" spans="1:19">
      <c r="A1697" s="5" t="str">
        <f>B1697&amp;"-"&amp;COUNTIF($B$2:B1697,B1697)</f>
        <v>MINAS GERAIS-131</v>
      </c>
      <c r="B1697" s="5" t="s">
        <v>1126</v>
      </c>
      <c r="C1697" s="5" t="s">
        <v>1212</v>
      </c>
      <c r="D1697" s="6">
        <v>-48572</v>
      </c>
      <c r="E1697" s="6">
        <v>-197635</v>
      </c>
      <c r="F1697" s="7">
        <v>5.1719999999999997</v>
      </c>
      <c r="G1697" s="7">
        <v>5.649</v>
      </c>
      <c r="H1697" s="7">
        <v>5.9139999999999997</v>
      </c>
      <c r="I1697" s="7">
        <v>5.1109999999999998</v>
      </c>
      <c r="J1697" s="7">
        <v>4.9939999999999998</v>
      </c>
      <c r="K1697" s="7">
        <v>4.3730000000000002</v>
      </c>
      <c r="L1697" s="7">
        <v>4.0970000000000004</v>
      </c>
      <c r="M1697" s="7">
        <v>4.3739999999999997</v>
      </c>
      <c r="N1697" s="7">
        <v>5.2889999999999997</v>
      </c>
      <c r="O1697" s="7">
        <v>5.1859999999999999</v>
      </c>
      <c r="P1697" s="7">
        <v>5.5149999999999997</v>
      </c>
      <c r="Q1697" s="7">
        <v>5.6529999999999996</v>
      </c>
      <c r="R1697" s="7">
        <v>5.907</v>
      </c>
      <c r="S1697" s="7">
        <f t="shared" si="26"/>
        <v>5.1718333333333328</v>
      </c>
    </row>
    <row r="1698" spans="1:19">
      <c r="A1698" s="5" t="str">
        <f>B1698&amp;"-"&amp;COUNTIF($B$2:B1698,B1698)</f>
        <v>MINAS GERAIS-132</v>
      </c>
      <c r="B1698" s="5" t="s">
        <v>1126</v>
      </c>
      <c r="C1698" s="5" t="s">
        <v>1213</v>
      </c>
      <c r="D1698" s="6">
        <v>-46169</v>
      </c>
      <c r="E1698" s="6">
        <v>-196946</v>
      </c>
      <c r="F1698" s="7">
        <v>5.0220000000000002</v>
      </c>
      <c r="G1698" s="7">
        <v>5.5060000000000002</v>
      </c>
      <c r="H1698" s="7">
        <v>5.7450000000000001</v>
      </c>
      <c r="I1698" s="7">
        <v>4.7469999999999999</v>
      </c>
      <c r="J1698" s="7">
        <v>4.7439999999999998</v>
      </c>
      <c r="K1698" s="7">
        <v>4.3639999999999999</v>
      </c>
      <c r="L1698" s="7">
        <v>4.1790000000000003</v>
      </c>
      <c r="M1698" s="7">
        <v>4.444</v>
      </c>
      <c r="N1698" s="7">
        <v>5.4790000000000001</v>
      </c>
      <c r="O1698" s="7">
        <v>5.4539999999999997</v>
      </c>
      <c r="P1698" s="7">
        <v>5.3449999999999998</v>
      </c>
      <c r="Q1698" s="7">
        <v>4.9139999999999997</v>
      </c>
      <c r="R1698" s="7">
        <v>5.3419999999999996</v>
      </c>
      <c r="S1698" s="7">
        <f t="shared" si="26"/>
        <v>5.0219166666666668</v>
      </c>
    </row>
    <row r="1699" spans="1:19">
      <c r="A1699" s="5" t="str">
        <f>B1699&amp;"-"&amp;COUNTIF($B$2:B1699,B1699)</f>
        <v>MINAS GERAIS-133</v>
      </c>
      <c r="B1699" s="5" t="s">
        <v>1126</v>
      </c>
      <c r="C1699" s="5" t="s">
        <v>1214</v>
      </c>
      <c r="D1699" s="6">
        <v>-457573</v>
      </c>
      <c r="E1699" s="6">
        <v>-212375</v>
      </c>
      <c r="F1699" s="7">
        <v>4.9489999999999998</v>
      </c>
      <c r="G1699" s="7">
        <v>5.6159999999999997</v>
      </c>
      <c r="H1699" s="7">
        <v>5.7990000000000004</v>
      </c>
      <c r="I1699" s="7">
        <v>4.9210000000000003</v>
      </c>
      <c r="J1699" s="7">
        <v>4.6379999999999999</v>
      </c>
      <c r="K1699" s="7">
        <v>4.032</v>
      </c>
      <c r="L1699" s="7">
        <v>3.82</v>
      </c>
      <c r="M1699" s="7">
        <v>4.0960000000000001</v>
      </c>
      <c r="N1699" s="7">
        <v>4.9740000000000002</v>
      </c>
      <c r="O1699" s="7">
        <v>5.133</v>
      </c>
      <c r="P1699" s="7">
        <v>5.4569999999999999</v>
      </c>
      <c r="Q1699" s="7">
        <v>5.2709999999999999</v>
      </c>
      <c r="R1699" s="7">
        <v>5.633</v>
      </c>
      <c r="S1699" s="7">
        <f t="shared" si="26"/>
        <v>4.9491666666666676</v>
      </c>
    </row>
    <row r="1700" spans="1:19">
      <c r="A1700" s="5" t="str">
        <f>B1700&amp;"-"&amp;COUNTIF($B$2:B1700,B1700)</f>
        <v>MINAS GERAIS-134</v>
      </c>
      <c r="B1700" s="5" t="s">
        <v>1126</v>
      </c>
      <c r="C1700" s="5" t="s">
        <v>1215</v>
      </c>
      <c r="D1700" s="6">
        <v>-451804</v>
      </c>
      <c r="E1700" s="6">
        <v>-210237</v>
      </c>
      <c r="F1700" s="7">
        <v>4.9560000000000004</v>
      </c>
      <c r="G1700" s="7">
        <v>5.6040000000000001</v>
      </c>
      <c r="H1700" s="7">
        <v>5.7960000000000003</v>
      </c>
      <c r="I1700" s="7">
        <v>4.907</v>
      </c>
      <c r="J1700" s="7">
        <v>4.734</v>
      </c>
      <c r="K1700" s="7">
        <v>4.0449999999999999</v>
      </c>
      <c r="L1700" s="7">
        <v>3.8650000000000002</v>
      </c>
      <c r="M1700" s="7">
        <v>4.09</v>
      </c>
      <c r="N1700" s="7">
        <v>5.0229999999999997</v>
      </c>
      <c r="O1700" s="7">
        <v>5.2119999999999997</v>
      </c>
      <c r="P1700" s="7">
        <v>5.415</v>
      </c>
      <c r="Q1700" s="7">
        <v>5.1769999999999996</v>
      </c>
      <c r="R1700" s="7">
        <v>5.6059999999999999</v>
      </c>
      <c r="S1700" s="7">
        <f t="shared" si="26"/>
        <v>4.9561666666666673</v>
      </c>
    </row>
    <row r="1701" spans="1:19">
      <c r="A1701" s="5" t="str">
        <f>B1701&amp;"-"&amp;COUNTIF($B$2:B1701,B1701)</f>
        <v>MINAS GERAIS-135</v>
      </c>
      <c r="B1701" s="5" t="s">
        <v>1126</v>
      </c>
      <c r="C1701" s="5" t="s">
        <v>5457</v>
      </c>
      <c r="D1701" s="6">
        <v>-49204</v>
      </c>
      <c r="E1701" s="6">
        <v>-187217</v>
      </c>
      <c r="F1701" s="7">
        <v>5.2850000000000001</v>
      </c>
      <c r="G1701" s="7">
        <v>5.7160000000000002</v>
      </c>
      <c r="H1701" s="7">
        <v>5.8220000000000001</v>
      </c>
      <c r="I1701" s="7">
        <v>5.3170000000000002</v>
      </c>
      <c r="J1701" s="7">
        <v>5.0830000000000002</v>
      </c>
      <c r="K1701" s="7">
        <v>4.6029999999999998</v>
      </c>
      <c r="L1701" s="7">
        <v>4.3369999999999997</v>
      </c>
      <c r="M1701" s="7">
        <v>4.5229999999999997</v>
      </c>
      <c r="N1701" s="7">
        <v>5.4729999999999999</v>
      </c>
      <c r="O1701" s="7">
        <v>5.28</v>
      </c>
      <c r="P1701" s="7">
        <v>5.62</v>
      </c>
      <c r="Q1701" s="7">
        <v>5.7679999999999998</v>
      </c>
      <c r="R1701" s="7">
        <v>5.8739999999999997</v>
      </c>
      <c r="S1701" s="7">
        <f t="shared" si="26"/>
        <v>5.2846666666666673</v>
      </c>
    </row>
    <row r="1702" spans="1:19">
      <c r="A1702" s="5" t="str">
        <f>B1702&amp;"-"&amp;COUNTIF($B$2:B1702,B1702)</f>
        <v>MINAS GERAIS-136</v>
      </c>
      <c r="B1702" s="5" t="s">
        <v>1126</v>
      </c>
      <c r="C1702" s="5" t="s">
        <v>5373</v>
      </c>
      <c r="D1702" s="6">
        <v>-42617</v>
      </c>
      <c r="E1702" s="6">
        <v>-206874</v>
      </c>
      <c r="F1702" s="7">
        <v>4.8490000000000002</v>
      </c>
      <c r="G1702" s="7">
        <v>5.7380000000000004</v>
      </c>
      <c r="H1702" s="7">
        <v>6.06</v>
      </c>
      <c r="I1702" s="7">
        <v>5.0759999999999996</v>
      </c>
      <c r="J1702" s="7">
        <v>4.4889999999999999</v>
      </c>
      <c r="K1702" s="7">
        <v>3.8719999999999999</v>
      </c>
      <c r="L1702" s="7">
        <v>3.673</v>
      </c>
      <c r="M1702" s="7">
        <v>3.8439999999999999</v>
      </c>
      <c r="N1702" s="7">
        <v>4.66</v>
      </c>
      <c r="O1702" s="7">
        <v>4.9770000000000003</v>
      </c>
      <c r="P1702" s="7">
        <v>5.2229999999999999</v>
      </c>
      <c r="Q1702" s="7">
        <v>4.95</v>
      </c>
      <c r="R1702" s="7">
        <v>5.6289999999999996</v>
      </c>
      <c r="S1702" s="7">
        <f t="shared" si="26"/>
        <v>4.8492500000000005</v>
      </c>
    </row>
    <row r="1703" spans="1:19">
      <c r="A1703" s="5" t="str">
        <f>B1703&amp;"-"&amp;COUNTIF($B$2:B1703,B1703)</f>
        <v>MINAS GERAIS-137</v>
      </c>
      <c r="B1703" s="5" t="s">
        <v>1126</v>
      </c>
      <c r="C1703" s="5" t="s">
        <v>353</v>
      </c>
      <c r="D1703" s="6">
        <v>-452768</v>
      </c>
      <c r="E1703" s="6">
        <v>-207697</v>
      </c>
      <c r="F1703" s="7">
        <v>4.9459999999999997</v>
      </c>
      <c r="G1703" s="7">
        <v>5.5970000000000004</v>
      </c>
      <c r="H1703" s="7">
        <v>5.6989999999999998</v>
      </c>
      <c r="I1703" s="7">
        <v>4.8570000000000002</v>
      </c>
      <c r="J1703" s="7">
        <v>4.6900000000000004</v>
      </c>
      <c r="K1703" s="7">
        <v>4.1180000000000003</v>
      </c>
      <c r="L1703" s="7">
        <v>3.8719999999999999</v>
      </c>
      <c r="M1703" s="7">
        <v>4.1779999999999999</v>
      </c>
      <c r="N1703" s="7">
        <v>5.0430000000000001</v>
      </c>
      <c r="O1703" s="7">
        <v>5.2489999999999997</v>
      </c>
      <c r="P1703" s="7">
        <v>5.3940000000000001</v>
      </c>
      <c r="Q1703" s="7">
        <v>5.0709999999999997</v>
      </c>
      <c r="R1703" s="7">
        <v>5.5780000000000003</v>
      </c>
      <c r="S1703" s="7">
        <f t="shared" si="26"/>
        <v>4.9455</v>
      </c>
    </row>
    <row r="1704" spans="1:19">
      <c r="A1704" s="5" t="str">
        <f>B1704&amp;"-"&amp;COUNTIF($B$2:B1704,B1704)</f>
        <v>MINAS GERAIS-138</v>
      </c>
      <c r="B1704" s="5" t="s">
        <v>1126</v>
      </c>
      <c r="C1704" s="5" t="s">
        <v>1216</v>
      </c>
      <c r="D1704" s="6">
        <v>-426253</v>
      </c>
      <c r="E1704" s="6">
        <v>-185228</v>
      </c>
      <c r="F1704" s="7">
        <v>4.8520000000000003</v>
      </c>
      <c r="G1704" s="7">
        <v>5.8650000000000002</v>
      </c>
      <c r="H1704" s="7">
        <v>6.1109999999999998</v>
      </c>
      <c r="I1704" s="7">
        <v>5.117</v>
      </c>
      <c r="J1704" s="7">
        <v>4.5060000000000002</v>
      </c>
      <c r="K1704" s="7">
        <v>3.8839999999999999</v>
      </c>
      <c r="L1704" s="7">
        <v>3.68</v>
      </c>
      <c r="M1704" s="7">
        <v>3.7970000000000002</v>
      </c>
      <c r="N1704" s="7">
        <v>4.5110000000000001</v>
      </c>
      <c r="O1704" s="7">
        <v>5.0289999999999999</v>
      </c>
      <c r="P1704" s="7">
        <v>5.2380000000000004</v>
      </c>
      <c r="Q1704" s="7">
        <v>4.8070000000000004</v>
      </c>
      <c r="R1704" s="7">
        <v>5.681</v>
      </c>
      <c r="S1704" s="7">
        <f t="shared" si="26"/>
        <v>4.8521666666666663</v>
      </c>
    </row>
    <row r="1705" spans="1:19">
      <c r="A1705" s="5" t="str">
        <f>B1705&amp;"-"&amp;COUNTIF($B$2:B1705,B1705)</f>
        <v>MINAS GERAIS-139</v>
      </c>
      <c r="B1705" s="5" t="s">
        <v>1126</v>
      </c>
      <c r="C1705" s="5" t="s">
        <v>5116</v>
      </c>
      <c r="D1705" s="6">
        <v>-419064</v>
      </c>
      <c r="E1705" s="6">
        <v>-205294</v>
      </c>
      <c r="F1705" s="7">
        <v>4.7279999999999998</v>
      </c>
      <c r="G1705" s="7">
        <v>5.72</v>
      </c>
      <c r="H1705" s="7">
        <v>5.9459999999999997</v>
      </c>
      <c r="I1705" s="7">
        <v>4.9000000000000004</v>
      </c>
      <c r="J1705" s="7">
        <v>4.3970000000000002</v>
      </c>
      <c r="K1705" s="7">
        <v>3.7909999999999999</v>
      </c>
      <c r="L1705" s="7">
        <v>3.6419999999999999</v>
      </c>
      <c r="M1705" s="7">
        <v>3.8109999999999999</v>
      </c>
      <c r="N1705" s="7">
        <v>4.5119999999999996</v>
      </c>
      <c r="O1705" s="7">
        <v>4.8970000000000002</v>
      </c>
      <c r="P1705" s="7">
        <v>4.968</v>
      </c>
      <c r="Q1705" s="7">
        <v>4.7130000000000001</v>
      </c>
      <c r="R1705" s="7">
        <v>5.444</v>
      </c>
      <c r="S1705" s="7">
        <f t="shared" si="26"/>
        <v>4.7284166666666669</v>
      </c>
    </row>
    <row r="1706" spans="1:19">
      <c r="A1706" s="5" t="str">
        <f>B1706&amp;"-"&amp;COUNTIF($B$2:B1706,B1706)</f>
        <v>MINAS GERAIS-140</v>
      </c>
      <c r="B1706" s="5" t="s">
        <v>1126</v>
      </c>
      <c r="C1706" s="5" t="s">
        <v>1217</v>
      </c>
      <c r="D1706" s="6">
        <v>-436223</v>
      </c>
      <c r="E1706" s="6">
        <v>-209184</v>
      </c>
      <c r="F1706" s="7">
        <v>4.7039999999999997</v>
      </c>
      <c r="G1706" s="7">
        <v>5.5369999999999999</v>
      </c>
      <c r="H1706" s="7">
        <v>5.8319999999999999</v>
      </c>
      <c r="I1706" s="7">
        <v>4.8570000000000002</v>
      </c>
      <c r="J1706" s="7">
        <v>4.3109999999999999</v>
      </c>
      <c r="K1706" s="7">
        <v>3.7120000000000002</v>
      </c>
      <c r="L1706" s="7">
        <v>3.56</v>
      </c>
      <c r="M1706" s="7">
        <v>3.75</v>
      </c>
      <c r="N1706" s="7">
        <v>4.6550000000000002</v>
      </c>
      <c r="O1706" s="7">
        <v>4.899</v>
      </c>
      <c r="P1706" s="7">
        <v>5.0830000000000002</v>
      </c>
      <c r="Q1706" s="7">
        <v>4.7510000000000003</v>
      </c>
      <c r="R1706" s="7">
        <v>5.4980000000000002</v>
      </c>
      <c r="S1706" s="7">
        <f t="shared" si="26"/>
        <v>4.7037499999999994</v>
      </c>
    </row>
    <row r="1707" spans="1:19">
      <c r="A1707" s="5" t="str">
        <f>B1707&amp;"-"&amp;COUNTIF($B$2:B1707,B1707)</f>
        <v>MINAS GERAIS-141</v>
      </c>
      <c r="B1707" s="5" t="s">
        <v>1126</v>
      </c>
      <c r="C1707" s="5" t="s">
        <v>1218</v>
      </c>
      <c r="D1707" s="6">
        <v>-425151</v>
      </c>
      <c r="E1707" s="6">
        <v>-176893</v>
      </c>
      <c r="F1707" s="7">
        <v>4.96</v>
      </c>
      <c r="G1707" s="7">
        <v>5.8579999999999997</v>
      </c>
      <c r="H1707" s="7">
        <v>6.0979999999999999</v>
      </c>
      <c r="I1707" s="7">
        <v>5.1459999999999999</v>
      </c>
      <c r="J1707" s="7">
        <v>4.4889999999999999</v>
      </c>
      <c r="K1707" s="7">
        <v>3.9889999999999999</v>
      </c>
      <c r="L1707" s="7">
        <v>3.8149999999999999</v>
      </c>
      <c r="M1707" s="7">
        <v>3.9860000000000002</v>
      </c>
      <c r="N1707" s="7">
        <v>4.7750000000000004</v>
      </c>
      <c r="O1707" s="7">
        <v>5.3170000000000002</v>
      </c>
      <c r="P1707" s="7">
        <v>5.4009999999999998</v>
      </c>
      <c r="Q1707" s="7">
        <v>4.899</v>
      </c>
      <c r="R1707" s="7">
        <v>5.7489999999999997</v>
      </c>
      <c r="S1707" s="7">
        <f t="shared" si="26"/>
        <v>4.9601666666666668</v>
      </c>
    </row>
    <row r="1708" spans="1:19">
      <c r="A1708" s="5" t="str">
        <f>B1708&amp;"-"&amp;COUNTIF($B$2:B1708,B1708)</f>
        <v>MINAS GERAIS-142</v>
      </c>
      <c r="B1708" s="5" t="s">
        <v>1126</v>
      </c>
      <c r="C1708" s="5" t="s">
        <v>1219</v>
      </c>
      <c r="D1708" s="6">
        <v>-470575</v>
      </c>
      <c r="E1708" s="6">
        <v>-206168</v>
      </c>
      <c r="F1708" s="7">
        <v>5.0510000000000002</v>
      </c>
      <c r="G1708" s="7">
        <v>5.54</v>
      </c>
      <c r="H1708" s="7">
        <v>5.806</v>
      </c>
      <c r="I1708" s="7">
        <v>4.9390000000000001</v>
      </c>
      <c r="J1708" s="7">
        <v>4.8029999999999999</v>
      </c>
      <c r="K1708" s="7">
        <v>4.2430000000000003</v>
      </c>
      <c r="L1708" s="7">
        <v>4.048</v>
      </c>
      <c r="M1708" s="7">
        <v>4.3070000000000004</v>
      </c>
      <c r="N1708" s="7">
        <v>5.2080000000000002</v>
      </c>
      <c r="O1708" s="7">
        <v>5.16</v>
      </c>
      <c r="P1708" s="7">
        <v>5.4770000000000003</v>
      </c>
      <c r="Q1708" s="7">
        <v>5.452</v>
      </c>
      <c r="R1708" s="7">
        <v>5.625</v>
      </c>
      <c r="S1708" s="7">
        <f t="shared" si="26"/>
        <v>5.0506666666666673</v>
      </c>
    </row>
    <row r="1709" spans="1:19">
      <c r="A1709" s="5" t="str">
        <f>B1709&amp;"-"&amp;COUNTIF($B$2:B1709,B1709)</f>
        <v>MINAS GERAIS-143</v>
      </c>
      <c r="B1709" s="5" t="s">
        <v>1126</v>
      </c>
      <c r="C1709" s="5" t="s">
        <v>1220</v>
      </c>
      <c r="D1709" s="6">
        <v>-441307</v>
      </c>
      <c r="E1709" s="6">
        <v>-195475</v>
      </c>
      <c r="F1709" s="7">
        <v>5.242</v>
      </c>
      <c r="G1709" s="7">
        <v>5.9530000000000003</v>
      </c>
      <c r="H1709" s="7">
        <v>6.149</v>
      </c>
      <c r="I1709" s="7">
        <v>5.2469999999999999</v>
      </c>
      <c r="J1709" s="7">
        <v>4.92</v>
      </c>
      <c r="K1709" s="7">
        <v>4.3520000000000003</v>
      </c>
      <c r="L1709" s="7">
        <v>4.1219999999999999</v>
      </c>
      <c r="M1709" s="7">
        <v>4.4290000000000003</v>
      </c>
      <c r="N1709" s="7">
        <v>5.2789999999999999</v>
      </c>
      <c r="O1709" s="7">
        <v>5.6420000000000003</v>
      </c>
      <c r="P1709" s="7">
        <v>5.6829999999999998</v>
      </c>
      <c r="Q1709" s="7">
        <v>5.444</v>
      </c>
      <c r="R1709" s="7">
        <v>5.6829999999999998</v>
      </c>
      <c r="S1709" s="7">
        <f t="shared" si="26"/>
        <v>5.2419166666666666</v>
      </c>
    </row>
    <row r="1710" spans="1:19">
      <c r="A1710" s="5" t="str">
        <f>B1710&amp;"-"&amp;COUNTIF($B$2:B1710,B1710)</f>
        <v>MINAS GERAIS-144</v>
      </c>
      <c r="B1710" s="5" t="s">
        <v>1126</v>
      </c>
      <c r="C1710" s="5" t="s">
        <v>5117</v>
      </c>
      <c r="D1710" s="6">
        <v>-49571</v>
      </c>
      <c r="E1710" s="6">
        <v>-186867</v>
      </c>
      <c r="F1710" s="7">
        <v>5.2590000000000003</v>
      </c>
      <c r="G1710" s="7">
        <v>5.7469999999999999</v>
      </c>
      <c r="H1710" s="7">
        <v>5.7869999999999999</v>
      </c>
      <c r="I1710" s="7">
        <v>5.1890000000000001</v>
      </c>
      <c r="J1710" s="7">
        <v>5.0830000000000002</v>
      </c>
      <c r="K1710" s="7">
        <v>4.5620000000000003</v>
      </c>
      <c r="L1710" s="7">
        <v>4.3010000000000002</v>
      </c>
      <c r="M1710" s="7">
        <v>4.5140000000000002</v>
      </c>
      <c r="N1710" s="7">
        <v>5.4009999999999998</v>
      </c>
      <c r="O1710" s="7">
        <v>5.2489999999999997</v>
      </c>
      <c r="P1710" s="7">
        <v>5.6219999999999999</v>
      </c>
      <c r="Q1710" s="7">
        <v>5.7590000000000003</v>
      </c>
      <c r="R1710" s="7">
        <v>5.8949999999999996</v>
      </c>
      <c r="S1710" s="7">
        <f t="shared" si="26"/>
        <v>5.2590833333333338</v>
      </c>
    </row>
    <row r="1711" spans="1:19">
      <c r="A1711" s="5" t="str">
        <f>B1711&amp;"-"&amp;COUNTIF($B$2:B1711,B1711)</f>
        <v>MINAS GERAIS-145</v>
      </c>
      <c r="B1711" s="5" t="s">
        <v>1126</v>
      </c>
      <c r="C1711" s="5" t="s">
        <v>3998</v>
      </c>
      <c r="D1711" s="6">
        <v>-418618</v>
      </c>
      <c r="E1711" s="6">
        <v>-190753</v>
      </c>
      <c r="F1711" s="7">
        <v>4.8600000000000003</v>
      </c>
      <c r="G1711" s="7">
        <v>6</v>
      </c>
      <c r="H1711" s="7">
        <v>6.1189999999999998</v>
      </c>
      <c r="I1711" s="7">
        <v>5.23</v>
      </c>
      <c r="J1711" s="7">
        <v>4.6070000000000002</v>
      </c>
      <c r="K1711" s="7">
        <v>3.8239999999999998</v>
      </c>
      <c r="L1711" s="7">
        <v>3.6190000000000002</v>
      </c>
      <c r="M1711" s="7">
        <v>3.7330000000000001</v>
      </c>
      <c r="N1711" s="7">
        <v>4.4210000000000003</v>
      </c>
      <c r="O1711" s="7">
        <v>4.8949999999999996</v>
      </c>
      <c r="P1711" s="7">
        <v>5.1210000000000004</v>
      </c>
      <c r="Q1711" s="7">
        <v>4.9390000000000001</v>
      </c>
      <c r="R1711" s="7">
        <v>5.8090000000000002</v>
      </c>
      <c r="S1711" s="7">
        <f t="shared" si="26"/>
        <v>4.8597499999999991</v>
      </c>
    </row>
    <row r="1712" spans="1:19">
      <c r="A1712" s="5" t="str">
        <f>B1712&amp;"-"&amp;COUNTIF($B$2:B1712,B1712)</f>
        <v>MINAS GERAIS-146</v>
      </c>
      <c r="B1712" s="5" t="s">
        <v>1126</v>
      </c>
      <c r="C1712" s="5" t="s">
        <v>4333</v>
      </c>
      <c r="D1712" s="6">
        <v>-437088</v>
      </c>
      <c r="E1712" s="6">
        <v>-16327</v>
      </c>
      <c r="F1712" s="7">
        <v>5.6630000000000003</v>
      </c>
      <c r="G1712" s="7">
        <v>6.37</v>
      </c>
      <c r="H1712" s="7">
        <v>6.6230000000000002</v>
      </c>
      <c r="I1712" s="7">
        <v>5.7050000000000001</v>
      </c>
      <c r="J1712" s="7">
        <v>5.375</v>
      </c>
      <c r="K1712" s="7">
        <v>4.8540000000000001</v>
      </c>
      <c r="L1712" s="7">
        <v>4.5819999999999999</v>
      </c>
      <c r="M1712" s="7">
        <v>4.891</v>
      </c>
      <c r="N1712" s="7">
        <v>5.6740000000000004</v>
      </c>
      <c r="O1712" s="7">
        <v>6.0419999999999998</v>
      </c>
      <c r="P1712" s="7">
        <v>6.0170000000000003</v>
      </c>
      <c r="Q1712" s="7">
        <v>5.5860000000000003</v>
      </c>
      <c r="R1712" s="7">
        <v>6.2359999999999998</v>
      </c>
      <c r="S1712" s="7">
        <f t="shared" si="26"/>
        <v>5.6629166666666668</v>
      </c>
    </row>
    <row r="1713" spans="1:19">
      <c r="A1713" s="5" t="str">
        <f>B1713&amp;"-"&amp;COUNTIF($B$2:B1713,B1713)</f>
        <v>MINAS GERAIS-147</v>
      </c>
      <c r="B1713" s="5" t="s">
        <v>1126</v>
      </c>
      <c r="C1713" s="5" t="s">
        <v>5118</v>
      </c>
      <c r="D1713" s="6">
        <v>-460496</v>
      </c>
      <c r="E1713" s="6">
        <v>-206168</v>
      </c>
      <c r="F1713" s="7">
        <v>5.016</v>
      </c>
      <c r="G1713" s="7">
        <v>5.5880000000000001</v>
      </c>
      <c r="H1713" s="7">
        <v>5.8639999999999999</v>
      </c>
      <c r="I1713" s="7">
        <v>4.8689999999999998</v>
      </c>
      <c r="J1713" s="7">
        <v>4.7670000000000003</v>
      </c>
      <c r="K1713" s="7">
        <v>4.2110000000000003</v>
      </c>
      <c r="L1713" s="7">
        <v>3.9950000000000001</v>
      </c>
      <c r="M1713" s="7">
        <v>4.2610000000000001</v>
      </c>
      <c r="N1713" s="7">
        <v>5.141</v>
      </c>
      <c r="O1713" s="7">
        <v>5.2569999999999997</v>
      </c>
      <c r="P1713" s="7">
        <v>5.5330000000000004</v>
      </c>
      <c r="Q1713" s="7">
        <v>5.1820000000000004</v>
      </c>
      <c r="R1713" s="7">
        <v>5.5190000000000001</v>
      </c>
      <c r="S1713" s="7">
        <f t="shared" si="26"/>
        <v>5.0155833333333328</v>
      </c>
    </row>
    <row r="1714" spans="1:19">
      <c r="A1714" s="5" t="str">
        <f>B1714&amp;"-"&amp;COUNTIF($B$2:B1714,B1714)</f>
        <v>MINAS GERAIS-148</v>
      </c>
      <c r="B1714" s="5" t="s">
        <v>1126</v>
      </c>
      <c r="C1714" s="5" t="s">
        <v>1221</v>
      </c>
      <c r="D1714" s="6">
        <v>-422687</v>
      </c>
      <c r="E1714" s="6">
        <v>-201708</v>
      </c>
      <c r="F1714" s="7">
        <v>4.7809999999999997</v>
      </c>
      <c r="G1714" s="7">
        <v>5.6769999999999996</v>
      </c>
      <c r="H1714" s="7">
        <v>5.8730000000000002</v>
      </c>
      <c r="I1714" s="7">
        <v>4.97</v>
      </c>
      <c r="J1714" s="7">
        <v>4.5190000000000001</v>
      </c>
      <c r="K1714" s="7">
        <v>3.847</v>
      </c>
      <c r="L1714" s="7">
        <v>3.677</v>
      </c>
      <c r="M1714" s="7">
        <v>3.8570000000000002</v>
      </c>
      <c r="N1714" s="7">
        <v>4.5880000000000001</v>
      </c>
      <c r="O1714" s="7">
        <v>4.9219999999999997</v>
      </c>
      <c r="P1714" s="7">
        <v>5.04</v>
      </c>
      <c r="Q1714" s="7">
        <v>4.8330000000000002</v>
      </c>
      <c r="R1714" s="7">
        <v>5.57</v>
      </c>
      <c r="S1714" s="7">
        <f t="shared" si="26"/>
        <v>4.7810833333333331</v>
      </c>
    </row>
    <row r="1715" spans="1:19">
      <c r="A1715" s="5" t="str">
        <f>B1715&amp;"-"&amp;COUNTIF($B$2:B1715,B1715)</f>
        <v>MINAS GERAIS-149</v>
      </c>
      <c r="B1715" s="5" t="s">
        <v>1126</v>
      </c>
      <c r="C1715" s="5" t="s">
        <v>1222</v>
      </c>
      <c r="D1715" s="6">
        <v>-417007</v>
      </c>
      <c r="E1715" s="6">
        <v>-171866</v>
      </c>
      <c r="F1715" s="7">
        <v>4.9640000000000004</v>
      </c>
      <c r="G1715" s="7">
        <v>5.9480000000000004</v>
      </c>
      <c r="H1715" s="7">
        <v>6.2560000000000002</v>
      </c>
      <c r="I1715" s="7">
        <v>5.2569999999999997</v>
      </c>
      <c r="J1715" s="7">
        <v>4.5339999999999998</v>
      </c>
      <c r="K1715" s="7">
        <v>3.9159999999999999</v>
      </c>
      <c r="L1715" s="7">
        <v>3.6389999999999998</v>
      </c>
      <c r="M1715" s="7">
        <v>3.831</v>
      </c>
      <c r="N1715" s="7">
        <v>4.6470000000000002</v>
      </c>
      <c r="O1715" s="7">
        <v>5.1879999999999997</v>
      </c>
      <c r="P1715" s="7">
        <v>5.4550000000000001</v>
      </c>
      <c r="Q1715" s="7">
        <v>5.0759999999999996</v>
      </c>
      <c r="R1715" s="7">
        <v>5.8230000000000004</v>
      </c>
      <c r="S1715" s="7">
        <f t="shared" si="26"/>
        <v>4.9641666666666664</v>
      </c>
    </row>
    <row r="1716" spans="1:19">
      <c r="A1716" s="5" t="str">
        <f>B1716&amp;"-"&amp;COUNTIF($B$2:B1716,B1716)</f>
        <v>MINAS GERAIS-150</v>
      </c>
      <c r="B1716" s="5" t="s">
        <v>1126</v>
      </c>
      <c r="C1716" s="5" t="s">
        <v>1223</v>
      </c>
      <c r="D1716" s="6">
        <v>-437421</v>
      </c>
      <c r="E1716" s="6">
        <v>-208711</v>
      </c>
      <c r="F1716" s="7">
        <v>4.7309999999999999</v>
      </c>
      <c r="G1716" s="7">
        <v>5.4770000000000003</v>
      </c>
      <c r="H1716" s="7">
        <v>5.8579999999999997</v>
      </c>
      <c r="I1716" s="7">
        <v>4.8339999999999996</v>
      </c>
      <c r="J1716" s="7">
        <v>4.3479999999999999</v>
      </c>
      <c r="K1716" s="7">
        <v>3.7570000000000001</v>
      </c>
      <c r="L1716" s="7">
        <v>3.5990000000000002</v>
      </c>
      <c r="M1716" s="7">
        <v>3.79</v>
      </c>
      <c r="N1716" s="7">
        <v>4.7</v>
      </c>
      <c r="O1716" s="7">
        <v>4.9429999999999996</v>
      </c>
      <c r="P1716" s="7">
        <v>5.1280000000000001</v>
      </c>
      <c r="Q1716" s="7">
        <v>4.8239999999999998</v>
      </c>
      <c r="R1716" s="7">
        <v>5.5090000000000003</v>
      </c>
      <c r="S1716" s="7">
        <f t="shared" si="26"/>
        <v>4.7305833333333327</v>
      </c>
    </row>
    <row r="1717" spans="1:19">
      <c r="A1717" s="5" t="str">
        <f>B1717&amp;"-"&amp;COUNTIF($B$2:B1717,B1717)</f>
        <v>MINAS GERAIS-151</v>
      </c>
      <c r="B1717" s="5" t="s">
        <v>1126</v>
      </c>
      <c r="C1717" s="5" t="s">
        <v>1224</v>
      </c>
      <c r="D1717" s="6">
        <v>-438114</v>
      </c>
      <c r="E1717" s="6">
        <v>-209571</v>
      </c>
      <c r="F1717" s="7">
        <v>4.8010000000000002</v>
      </c>
      <c r="G1717" s="7">
        <v>5.593</v>
      </c>
      <c r="H1717" s="7">
        <v>5.8860000000000001</v>
      </c>
      <c r="I1717" s="7">
        <v>4.8899999999999997</v>
      </c>
      <c r="J1717" s="7">
        <v>4.4039999999999999</v>
      </c>
      <c r="K1717" s="7">
        <v>3.7839999999999998</v>
      </c>
      <c r="L1717" s="7">
        <v>3.6459999999999999</v>
      </c>
      <c r="M1717" s="7">
        <v>3.8839999999999999</v>
      </c>
      <c r="N1717" s="7">
        <v>4.7969999999999997</v>
      </c>
      <c r="O1717" s="7">
        <v>4.9980000000000002</v>
      </c>
      <c r="P1717" s="7">
        <v>5.2249999999999996</v>
      </c>
      <c r="Q1717" s="7">
        <v>4.9509999999999996</v>
      </c>
      <c r="R1717" s="7">
        <v>5.5590000000000002</v>
      </c>
      <c r="S1717" s="7">
        <f t="shared" si="26"/>
        <v>4.8014166666666656</v>
      </c>
    </row>
    <row r="1718" spans="1:19">
      <c r="A1718" s="5" t="str">
        <f>B1718&amp;"-"&amp;COUNTIF($B$2:B1718,B1718)</f>
        <v>MINAS GERAIS-152</v>
      </c>
      <c r="B1718" s="5" t="s">
        <v>1126</v>
      </c>
      <c r="C1718" s="5" t="s">
        <v>1225</v>
      </c>
      <c r="D1718" s="6">
        <v>-420317</v>
      </c>
      <c r="E1718" s="6">
        <v>-207348</v>
      </c>
      <c r="F1718" s="7">
        <v>4.8369999999999997</v>
      </c>
      <c r="G1718" s="7">
        <v>5.8739999999999997</v>
      </c>
      <c r="H1718" s="7">
        <v>6.117</v>
      </c>
      <c r="I1718" s="7">
        <v>5.0220000000000002</v>
      </c>
      <c r="J1718" s="7">
        <v>4.5090000000000003</v>
      </c>
      <c r="K1718" s="7">
        <v>3.8279999999999998</v>
      </c>
      <c r="L1718" s="7">
        <v>3.7080000000000002</v>
      </c>
      <c r="M1718" s="7">
        <v>3.8090000000000002</v>
      </c>
      <c r="N1718" s="7">
        <v>4.6050000000000004</v>
      </c>
      <c r="O1718" s="7">
        <v>4.9749999999999996</v>
      </c>
      <c r="P1718" s="7">
        <v>5.0819999999999999</v>
      </c>
      <c r="Q1718" s="7">
        <v>4.84</v>
      </c>
      <c r="R1718" s="7">
        <v>5.6790000000000003</v>
      </c>
      <c r="S1718" s="7">
        <f t="shared" si="26"/>
        <v>4.8373333333333335</v>
      </c>
    </row>
    <row r="1719" spans="1:19">
      <c r="A1719" s="5" t="str">
        <f>B1719&amp;"-"&amp;COUNTIF($B$2:B1719,B1719)</f>
        <v>MINAS GERAIS-153</v>
      </c>
      <c r="B1719" s="5" t="s">
        <v>1126</v>
      </c>
      <c r="C1719" s="5" t="s">
        <v>1226</v>
      </c>
      <c r="D1719" s="6">
        <v>-421296</v>
      </c>
      <c r="E1719" s="6">
        <v>-197873</v>
      </c>
      <c r="F1719" s="7">
        <v>4.7149999999999999</v>
      </c>
      <c r="G1719" s="7">
        <v>5.6559999999999997</v>
      </c>
      <c r="H1719" s="7">
        <v>5.8780000000000001</v>
      </c>
      <c r="I1719" s="7">
        <v>4.8899999999999997</v>
      </c>
      <c r="J1719" s="7">
        <v>4.4450000000000003</v>
      </c>
      <c r="K1719" s="7">
        <v>3.802</v>
      </c>
      <c r="L1719" s="7">
        <v>3.5939999999999999</v>
      </c>
      <c r="M1719" s="7">
        <v>3.7490000000000001</v>
      </c>
      <c r="N1719" s="7">
        <v>4.4480000000000004</v>
      </c>
      <c r="O1719" s="7">
        <v>4.8280000000000003</v>
      </c>
      <c r="P1719" s="7">
        <v>4.9630000000000001</v>
      </c>
      <c r="Q1719" s="7">
        <v>4.7830000000000004</v>
      </c>
      <c r="R1719" s="7">
        <v>5.5460000000000003</v>
      </c>
      <c r="S1719" s="7">
        <f t="shared" si="26"/>
        <v>4.7151666666666676</v>
      </c>
    </row>
    <row r="1720" spans="1:19">
      <c r="A1720" s="5" t="str">
        <f>B1720&amp;"-"&amp;COUNTIF($B$2:B1720,B1720)</f>
        <v>MINAS GERAIS-154</v>
      </c>
      <c r="B1720" s="5" t="s">
        <v>1126</v>
      </c>
      <c r="C1720" s="5" t="s">
        <v>1227</v>
      </c>
      <c r="D1720" s="6">
        <v>-43014</v>
      </c>
      <c r="E1720" s="6">
        <v>-17526</v>
      </c>
      <c r="F1720" s="7">
        <v>5.1159999999999997</v>
      </c>
      <c r="G1720" s="7">
        <v>6.0060000000000002</v>
      </c>
      <c r="H1720" s="7">
        <v>6.2969999999999997</v>
      </c>
      <c r="I1720" s="7">
        <v>5.2009999999999996</v>
      </c>
      <c r="J1720" s="7">
        <v>4.641</v>
      </c>
      <c r="K1720" s="7">
        <v>4.1130000000000004</v>
      </c>
      <c r="L1720" s="7">
        <v>4.0110000000000001</v>
      </c>
      <c r="M1720" s="7">
        <v>4.21</v>
      </c>
      <c r="N1720" s="7">
        <v>5.0060000000000002</v>
      </c>
      <c r="O1720" s="7">
        <v>5.4720000000000004</v>
      </c>
      <c r="P1720" s="7">
        <v>5.5860000000000003</v>
      </c>
      <c r="Q1720" s="7">
        <v>5.0730000000000004</v>
      </c>
      <c r="R1720" s="7">
        <v>5.7830000000000004</v>
      </c>
      <c r="S1720" s="7">
        <f t="shared" si="26"/>
        <v>5.1165833333333337</v>
      </c>
    </row>
    <row r="1721" spans="1:19">
      <c r="A1721" s="5" t="str">
        <f>B1721&amp;"-"&amp;COUNTIF($B$2:B1721,B1721)</f>
        <v>MINAS GERAIS-155</v>
      </c>
      <c r="B1721" s="5" t="s">
        <v>1126</v>
      </c>
      <c r="C1721" s="5" t="s">
        <v>4654</v>
      </c>
      <c r="D1721" s="6">
        <v>-456964</v>
      </c>
      <c r="E1721" s="6">
        <v>-220429</v>
      </c>
      <c r="F1721" s="7">
        <v>4.843</v>
      </c>
      <c r="G1721" s="7">
        <v>5.4169999999999998</v>
      </c>
      <c r="H1721" s="7">
        <v>5.7140000000000004</v>
      </c>
      <c r="I1721" s="7">
        <v>4.8689999999999998</v>
      </c>
      <c r="J1721" s="7">
        <v>4.5990000000000002</v>
      </c>
      <c r="K1721" s="7">
        <v>3.91</v>
      </c>
      <c r="L1721" s="7">
        <v>3.6709999999999998</v>
      </c>
      <c r="M1721" s="7">
        <v>3.88</v>
      </c>
      <c r="N1721" s="7">
        <v>4.7889999999999997</v>
      </c>
      <c r="O1721" s="7">
        <v>4.9669999999999996</v>
      </c>
      <c r="P1721" s="7">
        <v>5.3929999999999998</v>
      </c>
      <c r="Q1721" s="7">
        <v>5.2670000000000003</v>
      </c>
      <c r="R1721" s="7">
        <v>5.6360000000000001</v>
      </c>
      <c r="S1721" s="7">
        <f t="shared" si="26"/>
        <v>4.8426666666666671</v>
      </c>
    </row>
    <row r="1722" spans="1:19">
      <c r="A1722" s="5" t="str">
        <f>B1722&amp;"-"&amp;COUNTIF($B$2:B1722,B1722)</f>
        <v>MINAS GERAIS-156</v>
      </c>
      <c r="B1722" s="5" t="s">
        <v>1126</v>
      </c>
      <c r="C1722" s="5" t="s">
        <v>1228</v>
      </c>
      <c r="D1722" s="6">
        <v>-407726</v>
      </c>
      <c r="E1722" s="6">
        <v>-176978</v>
      </c>
      <c r="F1722" s="7">
        <v>4.9089999999999998</v>
      </c>
      <c r="G1722" s="7">
        <v>6.1289999999999996</v>
      </c>
      <c r="H1722" s="7">
        <v>6.2439999999999998</v>
      </c>
      <c r="I1722" s="7">
        <v>5.36</v>
      </c>
      <c r="J1722" s="7">
        <v>4.6529999999999996</v>
      </c>
      <c r="K1722" s="7">
        <v>3.839</v>
      </c>
      <c r="L1722" s="7">
        <v>3.5209999999999999</v>
      </c>
      <c r="M1722" s="7">
        <v>3.609</v>
      </c>
      <c r="N1722" s="7">
        <v>4.2720000000000002</v>
      </c>
      <c r="O1722" s="7">
        <v>4.883</v>
      </c>
      <c r="P1722" s="7">
        <v>5.1849999999999996</v>
      </c>
      <c r="Q1722" s="7">
        <v>5.1609999999999996</v>
      </c>
      <c r="R1722" s="7">
        <v>6.0510000000000002</v>
      </c>
      <c r="S1722" s="7">
        <f t="shared" si="26"/>
        <v>4.9089166666666673</v>
      </c>
    </row>
    <row r="1723" spans="1:19">
      <c r="A1723" s="5" t="str">
        <f>B1723&amp;"-"&amp;COUNTIF($B$2:B1723,B1723)</f>
        <v>MINAS GERAIS-157</v>
      </c>
      <c r="B1723" s="5" t="s">
        <v>1126</v>
      </c>
      <c r="C1723" s="5" t="s">
        <v>4334</v>
      </c>
      <c r="D1723" s="6">
        <v>-431386</v>
      </c>
      <c r="E1723" s="6">
        <v>-190882</v>
      </c>
      <c r="F1723" s="7">
        <v>4.7699999999999996</v>
      </c>
      <c r="G1723" s="7">
        <v>5.6040000000000001</v>
      </c>
      <c r="H1723" s="7">
        <v>5.8929999999999998</v>
      </c>
      <c r="I1723" s="7">
        <v>4.9219999999999997</v>
      </c>
      <c r="J1723" s="7">
        <v>4.4710000000000001</v>
      </c>
      <c r="K1723" s="7">
        <v>3.8559999999999999</v>
      </c>
      <c r="L1723" s="7">
        <v>3.6579999999999999</v>
      </c>
      <c r="M1723" s="7">
        <v>3.85</v>
      </c>
      <c r="N1723" s="7">
        <v>4.6529999999999996</v>
      </c>
      <c r="O1723" s="7">
        <v>4.9980000000000002</v>
      </c>
      <c r="P1723" s="7">
        <v>5.1180000000000003</v>
      </c>
      <c r="Q1723" s="7">
        <v>4.758</v>
      </c>
      <c r="R1723" s="7">
        <v>5.4660000000000002</v>
      </c>
      <c r="S1723" s="7">
        <f t="shared" si="26"/>
        <v>4.7705833333333336</v>
      </c>
    </row>
    <row r="1724" spans="1:19">
      <c r="A1724" s="5" t="str">
        <f>B1724&amp;"-"&amp;COUNTIF($B$2:B1724,B1724)</f>
        <v>MINAS GERAIS-158</v>
      </c>
      <c r="B1724" s="5" t="s">
        <v>1126</v>
      </c>
      <c r="C1724" s="5" t="s">
        <v>5119</v>
      </c>
      <c r="D1724" s="6">
        <v>-446339</v>
      </c>
      <c r="E1724" s="5" t="s">
        <v>1229</v>
      </c>
      <c r="F1724" s="7">
        <v>5.0659999999999998</v>
      </c>
      <c r="G1724" s="7">
        <v>5.6929999999999996</v>
      </c>
      <c r="H1724" s="7">
        <v>5.9009999999999998</v>
      </c>
      <c r="I1724" s="7">
        <v>5.0620000000000003</v>
      </c>
      <c r="J1724" s="7">
        <v>4.806</v>
      </c>
      <c r="K1724" s="7">
        <v>4.1559999999999997</v>
      </c>
      <c r="L1724" s="7">
        <v>3.9860000000000002</v>
      </c>
      <c r="M1724" s="7">
        <v>4.2610000000000001</v>
      </c>
      <c r="N1724" s="7">
        <v>5.0999999999999996</v>
      </c>
      <c r="O1724" s="7">
        <v>5.36</v>
      </c>
      <c r="P1724" s="7">
        <v>5.5380000000000003</v>
      </c>
      <c r="Q1724" s="7">
        <v>5.2679999999999998</v>
      </c>
      <c r="R1724" s="7">
        <v>5.6680000000000001</v>
      </c>
      <c r="S1724" s="7">
        <f t="shared" si="26"/>
        <v>5.066583333333333</v>
      </c>
    </row>
    <row r="1725" spans="1:19">
      <c r="A1725" s="5" t="str">
        <f>B1725&amp;"-"&amp;COUNTIF($B$2:B1725,B1725)</f>
        <v>MINAS GERAIS-159</v>
      </c>
      <c r="B1725" s="5" t="s">
        <v>1126</v>
      </c>
      <c r="C1725" s="5" t="s">
        <v>1230</v>
      </c>
      <c r="D1725" s="6">
        <v>-452204</v>
      </c>
      <c r="E1725" s="6">
        <v>-214638</v>
      </c>
      <c r="F1725" s="7">
        <v>4.8520000000000003</v>
      </c>
      <c r="G1725" s="7">
        <v>5.4569999999999999</v>
      </c>
      <c r="H1725" s="7">
        <v>5.6589999999999998</v>
      </c>
      <c r="I1725" s="7">
        <v>4.8230000000000004</v>
      </c>
      <c r="J1725" s="7">
        <v>4.5389999999999997</v>
      </c>
      <c r="K1725" s="7">
        <v>3.903</v>
      </c>
      <c r="L1725" s="7">
        <v>3.7410000000000001</v>
      </c>
      <c r="M1725" s="7">
        <v>4.0049999999999999</v>
      </c>
      <c r="N1725" s="7">
        <v>4.8899999999999997</v>
      </c>
      <c r="O1725" s="7">
        <v>5.0709999999999997</v>
      </c>
      <c r="P1725" s="7">
        <v>5.3570000000000002</v>
      </c>
      <c r="Q1725" s="7">
        <v>5.1769999999999996</v>
      </c>
      <c r="R1725" s="7">
        <v>5.5940000000000003</v>
      </c>
      <c r="S1725" s="7">
        <f t="shared" si="26"/>
        <v>4.8513333333333337</v>
      </c>
    </row>
    <row r="1726" spans="1:19">
      <c r="A1726" s="5" t="str">
        <f>B1726&amp;"-"&amp;COUNTIF($B$2:B1726,B1726)</f>
        <v>MINAS GERAIS-160</v>
      </c>
      <c r="B1726" s="5" t="s">
        <v>1126</v>
      </c>
      <c r="C1726" s="5" t="s">
        <v>1231</v>
      </c>
      <c r="D1726" s="6">
        <v>-448739</v>
      </c>
      <c r="E1726" s="6">
        <v>-20558</v>
      </c>
      <c r="F1726" s="7">
        <v>5.0529999999999999</v>
      </c>
      <c r="G1726" s="7">
        <v>5.69</v>
      </c>
      <c r="H1726" s="7">
        <v>5.9409999999999998</v>
      </c>
      <c r="I1726" s="7">
        <v>5.0149999999999997</v>
      </c>
      <c r="J1726" s="7">
        <v>4.8079999999999998</v>
      </c>
      <c r="K1726" s="7">
        <v>4.1440000000000001</v>
      </c>
      <c r="L1726" s="7">
        <v>4.008</v>
      </c>
      <c r="M1726" s="7">
        <v>4.2290000000000001</v>
      </c>
      <c r="N1726" s="7">
        <v>5.0960000000000001</v>
      </c>
      <c r="O1726" s="7">
        <v>5.3470000000000004</v>
      </c>
      <c r="P1726" s="7">
        <v>5.5270000000000001</v>
      </c>
      <c r="Q1726" s="7">
        <v>5.2069999999999999</v>
      </c>
      <c r="R1726" s="7">
        <v>5.6230000000000002</v>
      </c>
      <c r="S1726" s="7">
        <f t="shared" si="26"/>
        <v>5.0529166666666665</v>
      </c>
    </row>
    <row r="1727" spans="1:19">
      <c r="A1727" s="5" t="str">
        <f>B1727&amp;"-"&amp;COUNTIF($B$2:B1727,B1727)</f>
        <v>MINAS GERAIS-161</v>
      </c>
      <c r="B1727" s="5" t="s">
        <v>1126</v>
      </c>
      <c r="C1727" s="5" t="s">
        <v>1232</v>
      </c>
      <c r="D1727" s="6">
        <v>-451311</v>
      </c>
      <c r="E1727" s="6">
        <v>-221208</v>
      </c>
      <c r="F1727" s="7">
        <v>4.8090000000000002</v>
      </c>
      <c r="G1727" s="7">
        <v>5.3259999999999996</v>
      </c>
      <c r="H1727" s="7">
        <v>5.6719999999999997</v>
      </c>
      <c r="I1727" s="7">
        <v>4.8949999999999996</v>
      </c>
      <c r="J1727" s="7">
        <v>4.5599999999999996</v>
      </c>
      <c r="K1727" s="7">
        <v>3.9039999999999999</v>
      </c>
      <c r="L1727" s="7">
        <v>3.6080000000000001</v>
      </c>
      <c r="M1727" s="7">
        <v>3.8370000000000002</v>
      </c>
      <c r="N1727" s="7">
        <v>4.7110000000000003</v>
      </c>
      <c r="O1727" s="7">
        <v>4.976</v>
      </c>
      <c r="P1727" s="7">
        <v>5.367</v>
      </c>
      <c r="Q1727" s="7">
        <v>5.25</v>
      </c>
      <c r="R1727" s="7">
        <v>5.6029999999999998</v>
      </c>
      <c r="S1727" s="7">
        <f t="shared" si="26"/>
        <v>4.8090833333333327</v>
      </c>
    </row>
    <row r="1728" spans="1:19">
      <c r="A1728" s="5" t="str">
        <f>B1728&amp;"-"&amp;COUNTIF($B$2:B1728,B1728)</f>
        <v>MINAS GERAIS-162</v>
      </c>
      <c r="B1728" s="5" t="s">
        <v>1126</v>
      </c>
      <c r="C1728" s="5" t="s">
        <v>1233</v>
      </c>
      <c r="D1728" s="6">
        <v>-447668</v>
      </c>
      <c r="E1728" s="6">
        <v>-201916</v>
      </c>
      <c r="F1728" s="7">
        <v>5.14</v>
      </c>
      <c r="G1728" s="7">
        <v>5.8440000000000003</v>
      </c>
      <c r="H1728" s="7">
        <v>6.0259999999999998</v>
      </c>
      <c r="I1728" s="7">
        <v>5.0869999999999997</v>
      </c>
      <c r="J1728" s="7">
        <v>4.859</v>
      </c>
      <c r="K1728" s="7">
        <v>4.2539999999999996</v>
      </c>
      <c r="L1728" s="7">
        <v>4.0839999999999996</v>
      </c>
      <c r="M1728" s="7">
        <v>4.3220000000000001</v>
      </c>
      <c r="N1728" s="7">
        <v>5.1980000000000004</v>
      </c>
      <c r="O1728" s="7">
        <v>5.4290000000000003</v>
      </c>
      <c r="P1728" s="7">
        <v>5.6150000000000002</v>
      </c>
      <c r="Q1728" s="7">
        <v>5.3120000000000003</v>
      </c>
      <c r="R1728" s="7">
        <v>5.6529999999999996</v>
      </c>
      <c r="S1728" s="7">
        <f t="shared" si="26"/>
        <v>5.14025</v>
      </c>
    </row>
    <row r="1729" spans="1:19">
      <c r="A1729" s="5" t="str">
        <f>B1729&amp;"-"&amp;COUNTIF($B$2:B1729,B1729)</f>
        <v>MINAS GERAIS-163</v>
      </c>
      <c r="B1729" s="5" t="s">
        <v>1126</v>
      </c>
      <c r="C1729" s="5" t="s">
        <v>1234</v>
      </c>
      <c r="D1729" s="6">
        <v>-463134</v>
      </c>
      <c r="E1729" s="6">
        <v>-189979</v>
      </c>
      <c r="F1729" s="7">
        <v>5.2519999999999998</v>
      </c>
      <c r="G1729" s="7">
        <v>5.7380000000000004</v>
      </c>
      <c r="H1729" s="7">
        <v>6.0119999999999996</v>
      </c>
      <c r="I1729" s="7">
        <v>5.0519999999999996</v>
      </c>
      <c r="J1729" s="7">
        <v>4.9980000000000002</v>
      </c>
      <c r="K1729" s="7">
        <v>4.569</v>
      </c>
      <c r="L1729" s="7">
        <v>4.2939999999999996</v>
      </c>
      <c r="M1729" s="7">
        <v>4.657</v>
      </c>
      <c r="N1729" s="7">
        <v>5.6</v>
      </c>
      <c r="O1729" s="7">
        <v>5.6109999999999998</v>
      </c>
      <c r="P1729" s="7">
        <v>5.57</v>
      </c>
      <c r="Q1729" s="7">
        <v>5.2869999999999999</v>
      </c>
      <c r="R1729" s="7">
        <v>5.6369999999999996</v>
      </c>
      <c r="S1729" s="7">
        <f t="shared" si="26"/>
        <v>5.2520833333333332</v>
      </c>
    </row>
    <row r="1730" spans="1:19">
      <c r="A1730" s="5" t="str">
        <f>B1730&amp;"-"&amp;COUNTIF($B$2:B1730,B1730)</f>
        <v>MINAS GERAIS-164</v>
      </c>
      <c r="B1730" s="5" t="s">
        <v>1126</v>
      </c>
      <c r="C1730" s="5" t="s">
        <v>1235</v>
      </c>
      <c r="D1730" s="6">
        <v>-461153</v>
      </c>
      <c r="E1730" s="6">
        <v>-209741</v>
      </c>
      <c r="F1730" s="7">
        <v>4.9619999999999997</v>
      </c>
      <c r="G1730" s="7">
        <v>5.6180000000000003</v>
      </c>
      <c r="H1730" s="7">
        <v>5.8310000000000004</v>
      </c>
      <c r="I1730" s="7">
        <v>4.8780000000000001</v>
      </c>
      <c r="J1730" s="7">
        <v>4.6749999999999998</v>
      </c>
      <c r="K1730" s="7">
        <v>4.0640000000000001</v>
      </c>
      <c r="L1730" s="7">
        <v>3.8149999999999999</v>
      </c>
      <c r="M1730" s="7">
        <v>4.1050000000000004</v>
      </c>
      <c r="N1730" s="7">
        <v>5.0090000000000003</v>
      </c>
      <c r="O1730" s="7">
        <v>5.1509999999999998</v>
      </c>
      <c r="P1730" s="7">
        <v>5.4619999999999997</v>
      </c>
      <c r="Q1730" s="7">
        <v>5.3310000000000004</v>
      </c>
      <c r="R1730" s="7">
        <v>5.6050000000000004</v>
      </c>
      <c r="S1730" s="7">
        <f t="shared" si="26"/>
        <v>4.9620000000000006</v>
      </c>
    </row>
    <row r="1731" spans="1:19">
      <c r="A1731" s="5" t="str">
        <f>B1731&amp;"-"&amp;COUNTIF($B$2:B1731,B1731)</f>
        <v>MINAS GERAIS-165</v>
      </c>
      <c r="B1731" s="5" t="s">
        <v>1126</v>
      </c>
      <c r="C1731" s="5" t="s">
        <v>1236</v>
      </c>
      <c r="D1731" s="6">
        <v>-506899</v>
      </c>
      <c r="E1731" s="6">
        <v>-196992</v>
      </c>
      <c r="F1731" s="7">
        <v>5.226</v>
      </c>
      <c r="G1731" s="7">
        <v>5.7850000000000001</v>
      </c>
      <c r="H1731" s="7">
        <v>5.9480000000000004</v>
      </c>
      <c r="I1731" s="7">
        <v>5.37</v>
      </c>
      <c r="J1731" s="7">
        <v>4.9850000000000003</v>
      </c>
      <c r="K1731" s="7">
        <v>4.3079999999999998</v>
      </c>
      <c r="L1731" s="7">
        <v>4.0670000000000002</v>
      </c>
      <c r="M1731" s="7">
        <v>4.2720000000000002</v>
      </c>
      <c r="N1731" s="7">
        <v>5.1609999999999996</v>
      </c>
      <c r="O1731" s="7">
        <v>5.1360000000000001</v>
      </c>
      <c r="P1731" s="7">
        <v>5.6749999999999998</v>
      </c>
      <c r="Q1731" s="7">
        <v>5.84</v>
      </c>
      <c r="R1731" s="7">
        <v>6.1609999999999996</v>
      </c>
      <c r="S1731" s="7">
        <f t="shared" ref="S1731:S1794" si="27">(G1731+H1731+I1731+J1731+K1731+L1731+M1731+N1731+O1731+P1731+Q1731+R1731)/12</f>
        <v>5.2256666666666662</v>
      </c>
    </row>
    <row r="1732" spans="1:19">
      <c r="A1732" s="5" t="str">
        <f>B1732&amp;"-"&amp;COUNTIF($B$2:B1732,B1732)</f>
        <v>MINAS GERAIS-166</v>
      </c>
      <c r="B1732" s="5" t="s">
        <v>1126</v>
      </c>
      <c r="C1732" s="5" t="s">
        <v>1237</v>
      </c>
      <c r="D1732" s="6">
        <v>-446449</v>
      </c>
      <c r="E1732" s="6">
        <v>-214902</v>
      </c>
      <c r="F1732" s="7">
        <v>4.8620000000000001</v>
      </c>
      <c r="G1732" s="7">
        <v>5.5880000000000001</v>
      </c>
      <c r="H1732" s="7">
        <v>5.7779999999999996</v>
      </c>
      <c r="I1732" s="7">
        <v>4.9390000000000001</v>
      </c>
      <c r="J1732" s="7">
        <v>4.5110000000000001</v>
      </c>
      <c r="K1732" s="7">
        <v>3.8959999999999999</v>
      </c>
      <c r="L1732" s="7">
        <v>3.6589999999999998</v>
      </c>
      <c r="M1732" s="7">
        <v>3.9180000000000001</v>
      </c>
      <c r="N1732" s="7">
        <v>4.8330000000000002</v>
      </c>
      <c r="O1732" s="7">
        <v>5.07</v>
      </c>
      <c r="P1732" s="7">
        <v>5.351</v>
      </c>
      <c r="Q1732" s="7">
        <v>5.1890000000000001</v>
      </c>
      <c r="R1732" s="7">
        <v>5.6079999999999997</v>
      </c>
      <c r="S1732" s="7">
        <f t="shared" si="27"/>
        <v>4.8616666666666664</v>
      </c>
    </row>
    <row r="1733" spans="1:19">
      <c r="A1733" s="5" t="str">
        <f>B1733&amp;"-"&amp;COUNTIF($B$2:B1733,B1733)</f>
        <v>MINAS GERAIS-167</v>
      </c>
      <c r="B1733" s="5" t="s">
        <v>1126</v>
      </c>
      <c r="C1733" s="5" t="s">
        <v>5120</v>
      </c>
      <c r="D1733" s="6">
        <v>-458425</v>
      </c>
      <c r="E1733" s="6">
        <v>-21774</v>
      </c>
      <c r="F1733" s="7">
        <v>4.8369999999999997</v>
      </c>
      <c r="G1733" s="7">
        <v>5.4180000000000001</v>
      </c>
      <c r="H1733" s="7">
        <v>5.7</v>
      </c>
      <c r="I1733" s="7">
        <v>4.8150000000000004</v>
      </c>
      <c r="J1733" s="7">
        <v>4.5510000000000002</v>
      </c>
      <c r="K1733" s="7">
        <v>3.9420000000000002</v>
      </c>
      <c r="L1733" s="7">
        <v>3.6869999999999998</v>
      </c>
      <c r="M1733" s="7">
        <v>3.9279999999999999</v>
      </c>
      <c r="N1733" s="7">
        <v>4.8339999999999996</v>
      </c>
      <c r="O1733" s="7">
        <v>5.0019999999999998</v>
      </c>
      <c r="P1733" s="7">
        <v>5.3460000000000001</v>
      </c>
      <c r="Q1733" s="7">
        <v>5.2240000000000002</v>
      </c>
      <c r="R1733" s="7">
        <v>5.6020000000000003</v>
      </c>
      <c r="S1733" s="7">
        <f t="shared" si="27"/>
        <v>4.8374166666666669</v>
      </c>
    </row>
    <row r="1734" spans="1:19">
      <c r="A1734" s="5" t="str">
        <f>B1734&amp;"-"&amp;COUNTIF($B$2:B1734,B1734)</f>
        <v>MINAS GERAIS-168</v>
      </c>
      <c r="B1734" s="5" t="s">
        <v>1126</v>
      </c>
      <c r="C1734" s="5" t="s">
        <v>1238</v>
      </c>
      <c r="D1734" s="6">
        <v>-444635</v>
      </c>
      <c r="E1734" s="6">
        <v>-220005</v>
      </c>
      <c r="F1734" s="7">
        <v>4.7300000000000004</v>
      </c>
      <c r="G1734" s="7">
        <v>5.3970000000000002</v>
      </c>
      <c r="H1734" s="7">
        <v>5.7279999999999998</v>
      </c>
      <c r="I1734" s="7">
        <v>4.8890000000000002</v>
      </c>
      <c r="J1734" s="7">
        <v>4.45</v>
      </c>
      <c r="K1734" s="7">
        <v>3.7829999999999999</v>
      </c>
      <c r="L1734" s="7">
        <v>3.5569999999999999</v>
      </c>
      <c r="M1734" s="7">
        <v>3.754</v>
      </c>
      <c r="N1734" s="7">
        <v>4.6500000000000004</v>
      </c>
      <c r="O1734" s="7">
        <v>4.87</v>
      </c>
      <c r="P1734" s="7">
        <v>5.125</v>
      </c>
      <c r="Q1734" s="7">
        <v>5.0469999999999997</v>
      </c>
      <c r="R1734" s="7">
        <v>5.5090000000000003</v>
      </c>
      <c r="S1734" s="7">
        <f t="shared" si="27"/>
        <v>4.7299166666666661</v>
      </c>
    </row>
    <row r="1735" spans="1:19">
      <c r="A1735" s="5" t="str">
        <f>B1735&amp;"-"&amp;COUNTIF($B$2:B1735,B1735)</f>
        <v>MINAS GERAIS-169</v>
      </c>
      <c r="B1735" s="5" t="s">
        <v>1126</v>
      </c>
      <c r="C1735" s="5" t="s">
        <v>1239</v>
      </c>
      <c r="D1735" s="6">
        <v>-439347</v>
      </c>
      <c r="E1735" s="6">
        <v>-20793</v>
      </c>
      <c r="F1735" s="7">
        <v>4.8550000000000004</v>
      </c>
      <c r="G1735" s="7">
        <v>5.6420000000000003</v>
      </c>
      <c r="H1735" s="7">
        <v>5.8920000000000003</v>
      </c>
      <c r="I1735" s="7">
        <v>4.9290000000000003</v>
      </c>
      <c r="J1735" s="7">
        <v>4.4820000000000002</v>
      </c>
      <c r="K1735" s="7">
        <v>3.8839999999999999</v>
      </c>
      <c r="L1735" s="7">
        <v>3.7269999999999999</v>
      </c>
      <c r="M1735" s="7">
        <v>3.9359999999999999</v>
      </c>
      <c r="N1735" s="7">
        <v>4.87</v>
      </c>
      <c r="O1735" s="7">
        <v>5.0810000000000004</v>
      </c>
      <c r="P1735" s="7">
        <v>5.2670000000000003</v>
      </c>
      <c r="Q1735" s="7">
        <v>4.9960000000000004</v>
      </c>
      <c r="R1735" s="7">
        <v>5.5570000000000004</v>
      </c>
      <c r="S1735" s="7">
        <f t="shared" si="27"/>
        <v>4.8552500000000007</v>
      </c>
    </row>
    <row r="1736" spans="1:19">
      <c r="A1736" s="5" t="str">
        <f>B1736&amp;"-"&amp;COUNTIF($B$2:B1736,B1736)</f>
        <v>MINAS GERAIS-170</v>
      </c>
      <c r="B1736" s="5" t="s">
        <v>1126</v>
      </c>
      <c r="C1736" s="5" t="s">
        <v>1240</v>
      </c>
      <c r="D1736" s="6">
        <v>-478722</v>
      </c>
      <c r="E1736" s="6">
        <v>-185773</v>
      </c>
      <c r="F1736" s="7">
        <v>5.36</v>
      </c>
      <c r="G1736" s="7">
        <v>5.6890000000000001</v>
      </c>
      <c r="H1736" s="7">
        <v>6.1040000000000001</v>
      </c>
      <c r="I1736" s="7">
        <v>5.2930000000000001</v>
      </c>
      <c r="J1736" s="7">
        <v>5.165</v>
      </c>
      <c r="K1736" s="7">
        <v>4.6390000000000002</v>
      </c>
      <c r="L1736" s="7">
        <v>4.4379999999999997</v>
      </c>
      <c r="M1736" s="7">
        <v>4.6020000000000003</v>
      </c>
      <c r="N1736" s="7">
        <v>5.5759999999999996</v>
      </c>
      <c r="O1736" s="7">
        <v>5.5510000000000002</v>
      </c>
      <c r="P1736" s="7">
        <v>5.758</v>
      </c>
      <c r="Q1736" s="7">
        <v>5.6050000000000004</v>
      </c>
      <c r="R1736" s="7">
        <v>5.8940000000000001</v>
      </c>
      <c r="S1736" s="7">
        <f t="shared" si="27"/>
        <v>5.3595000000000006</v>
      </c>
    </row>
    <row r="1737" spans="1:19">
      <c r="A1737" s="5" t="str">
        <f>B1737&amp;"-"&amp;COUNTIF($B$2:B1737,B1737)</f>
        <v>MINAS GERAIS-171</v>
      </c>
      <c r="B1737" s="5" t="s">
        <v>1126</v>
      </c>
      <c r="C1737" s="5" t="s">
        <v>1241</v>
      </c>
      <c r="D1737" s="5" t="s">
        <v>1242</v>
      </c>
      <c r="E1737" s="6">
        <v>-213929</v>
      </c>
      <c r="F1737" s="7">
        <v>4.7969999999999997</v>
      </c>
      <c r="G1737" s="7">
        <v>5.915</v>
      </c>
      <c r="H1737" s="7">
        <v>6.1230000000000002</v>
      </c>
      <c r="I1737" s="7">
        <v>5.1130000000000004</v>
      </c>
      <c r="J1737" s="7">
        <v>4.4109999999999996</v>
      </c>
      <c r="K1737" s="7">
        <v>3.7170000000000001</v>
      </c>
      <c r="L1737" s="7">
        <v>3.51</v>
      </c>
      <c r="M1737" s="7">
        <v>3.653</v>
      </c>
      <c r="N1737" s="7">
        <v>4.4400000000000004</v>
      </c>
      <c r="O1737" s="7">
        <v>4.7889999999999997</v>
      </c>
      <c r="P1737" s="7">
        <v>5.0960000000000001</v>
      </c>
      <c r="Q1737" s="7">
        <v>4.9720000000000004</v>
      </c>
      <c r="R1737" s="7">
        <v>5.82</v>
      </c>
      <c r="S1737" s="7">
        <f t="shared" si="27"/>
        <v>4.7965833333333334</v>
      </c>
    </row>
    <row r="1738" spans="1:19">
      <c r="A1738" s="5" t="str">
        <f>B1738&amp;"-"&amp;COUNTIF($B$2:B1738,B1738)</f>
        <v>MINAS GERAIS-172</v>
      </c>
      <c r="B1738" s="5" t="s">
        <v>1126</v>
      </c>
      <c r="C1738" s="5" t="s">
        <v>1243</v>
      </c>
      <c r="D1738" s="6">
        <v>-434065</v>
      </c>
      <c r="E1738" s="6">
        <v>-200739</v>
      </c>
      <c r="F1738" s="7">
        <v>4.617</v>
      </c>
      <c r="G1738" s="7">
        <v>5.23</v>
      </c>
      <c r="H1738" s="7">
        <v>5.6230000000000002</v>
      </c>
      <c r="I1738" s="7">
        <v>4.657</v>
      </c>
      <c r="J1738" s="7">
        <v>4.2750000000000004</v>
      </c>
      <c r="K1738" s="7">
        <v>3.762</v>
      </c>
      <c r="L1738" s="7">
        <v>3.6819999999999999</v>
      </c>
      <c r="M1738" s="7">
        <v>3.8690000000000002</v>
      </c>
      <c r="N1738" s="7">
        <v>4.6970000000000001</v>
      </c>
      <c r="O1738" s="7">
        <v>4.9550000000000001</v>
      </c>
      <c r="P1738" s="7">
        <v>4.99</v>
      </c>
      <c r="Q1738" s="7">
        <v>4.54</v>
      </c>
      <c r="R1738" s="7">
        <v>5.1260000000000003</v>
      </c>
      <c r="S1738" s="7">
        <f t="shared" si="27"/>
        <v>4.6171666666666669</v>
      </c>
    </row>
    <row r="1739" spans="1:19">
      <c r="A1739" s="5" t="str">
        <f>B1739&amp;"-"&amp;COUNTIF($B$2:B1739,B1739)</f>
        <v>MINAS GERAIS-173</v>
      </c>
      <c r="B1739" s="5" t="s">
        <v>1126</v>
      </c>
      <c r="C1739" s="5" t="s">
        <v>1244</v>
      </c>
      <c r="D1739" s="6">
        <v>-434942</v>
      </c>
      <c r="E1739" s="6">
        <v>-206906</v>
      </c>
      <c r="F1739" s="7">
        <v>4.7110000000000003</v>
      </c>
      <c r="G1739" s="7">
        <v>5.52</v>
      </c>
      <c r="H1739" s="7">
        <v>5.9340000000000002</v>
      </c>
      <c r="I1739" s="7">
        <v>4.83</v>
      </c>
      <c r="J1739" s="7">
        <v>4.319</v>
      </c>
      <c r="K1739" s="7">
        <v>3.754</v>
      </c>
      <c r="L1739" s="7">
        <v>3.6179999999999999</v>
      </c>
      <c r="M1739" s="7">
        <v>3.8069999999999999</v>
      </c>
      <c r="N1739" s="7">
        <v>4.7300000000000004</v>
      </c>
      <c r="O1739" s="7">
        <v>4.931</v>
      </c>
      <c r="P1739" s="7">
        <v>5.0549999999999997</v>
      </c>
      <c r="Q1739" s="7">
        <v>4.6749999999999998</v>
      </c>
      <c r="R1739" s="7">
        <v>5.359</v>
      </c>
      <c r="S1739" s="7">
        <f t="shared" si="27"/>
        <v>4.7109999999999994</v>
      </c>
    </row>
    <row r="1740" spans="1:19">
      <c r="A1740" s="5" t="str">
        <f>B1740&amp;"-"&amp;COUNTIF($B$2:B1740,B1740)</f>
        <v>MINAS GERAIS-174</v>
      </c>
      <c r="B1740" s="5" t="s">
        <v>1126</v>
      </c>
      <c r="C1740" s="5" t="s">
        <v>1245</v>
      </c>
      <c r="D1740" s="6">
        <v>-41528</v>
      </c>
      <c r="E1740" s="6">
        <v>-173023</v>
      </c>
      <c r="F1740" s="7">
        <v>4.8499999999999996</v>
      </c>
      <c r="G1740" s="7">
        <v>5.9690000000000003</v>
      </c>
      <c r="H1740" s="7">
        <v>6.1950000000000003</v>
      </c>
      <c r="I1740" s="7">
        <v>5.2169999999999996</v>
      </c>
      <c r="J1740" s="7">
        <v>4.4470000000000001</v>
      </c>
      <c r="K1740" s="7">
        <v>3.8090000000000002</v>
      </c>
      <c r="L1740" s="7">
        <v>3.5110000000000001</v>
      </c>
      <c r="M1740" s="7">
        <v>3.661</v>
      </c>
      <c r="N1740" s="7">
        <v>4.4400000000000004</v>
      </c>
      <c r="O1740" s="7">
        <v>4.9589999999999996</v>
      </c>
      <c r="P1740" s="7">
        <v>5.2750000000000004</v>
      </c>
      <c r="Q1740" s="7">
        <v>4.96</v>
      </c>
      <c r="R1740" s="7">
        <v>5.7610000000000001</v>
      </c>
      <c r="S1740" s="7">
        <f t="shared" si="27"/>
        <v>4.8503333333333334</v>
      </c>
    </row>
    <row r="1741" spans="1:19">
      <c r="A1741" s="5" t="str">
        <f>B1741&amp;"-"&amp;COUNTIF($B$2:B1741,B1741)</f>
        <v>MINAS GERAIS-175</v>
      </c>
      <c r="B1741" s="5" t="s">
        <v>1126</v>
      </c>
      <c r="C1741" s="5" t="s">
        <v>1246</v>
      </c>
      <c r="D1741" s="6">
        <v>-429631</v>
      </c>
      <c r="E1741" s="6">
        <v>-15362</v>
      </c>
      <c r="F1741" s="7">
        <v>5.7869999999999999</v>
      </c>
      <c r="G1741" s="7">
        <v>6.6509999999999998</v>
      </c>
      <c r="H1741" s="7">
        <v>6.8339999999999996</v>
      </c>
      <c r="I1741" s="7">
        <v>5.976</v>
      </c>
      <c r="J1741" s="7">
        <v>5.5730000000000004</v>
      </c>
      <c r="K1741" s="7">
        <v>4.8819999999999997</v>
      </c>
      <c r="L1741" s="7">
        <v>4.665</v>
      </c>
      <c r="M1741" s="7">
        <v>4.8609999999999998</v>
      </c>
      <c r="N1741" s="7">
        <v>5.41</v>
      </c>
      <c r="O1741" s="7">
        <v>5.92</v>
      </c>
      <c r="P1741" s="7">
        <v>6.2480000000000002</v>
      </c>
      <c r="Q1741" s="7">
        <v>5.9210000000000003</v>
      </c>
      <c r="R1741" s="7">
        <v>6.5110000000000001</v>
      </c>
      <c r="S1741" s="7">
        <f t="shared" si="27"/>
        <v>5.7876666666666656</v>
      </c>
    </row>
    <row r="1742" spans="1:19">
      <c r="A1742" s="5" t="str">
        <f>B1742&amp;"-"&amp;COUNTIF($B$2:B1742,B1742)</f>
        <v>MINAS GERAIS-176</v>
      </c>
      <c r="B1742" s="5" t="s">
        <v>1126</v>
      </c>
      <c r="C1742" s="5" t="s">
        <v>1247</v>
      </c>
      <c r="D1742" s="6">
        <v>-449322</v>
      </c>
      <c r="E1742" s="6">
        <v>-219757</v>
      </c>
      <c r="F1742" s="7">
        <v>4.8849999999999998</v>
      </c>
      <c r="G1742" s="7">
        <v>5.4640000000000004</v>
      </c>
      <c r="H1742" s="7">
        <v>5.7709999999999999</v>
      </c>
      <c r="I1742" s="7">
        <v>4.9880000000000004</v>
      </c>
      <c r="J1742" s="7">
        <v>4.625</v>
      </c>
      <c r="K1742" s="7">
        <v>3.9020000000000001</v>
      </c>
      <c r="L1742" s="7">
        <v>3.673</v>
      </c>
      <c r="M1742" s="7">
        <v>3.903</v>
      </c>
      <c r="N1742" s="7">
        <v>4.7569999999999997</v>
      </c>
      <c r="O1742" s="7">
        <v>5.0439999999999996</v>
      </c>
      <c r="P1742" s="7">
        <v>5.4359999999999999</v>
      </c>
      <c r="Q1742" s="7">
        <v>5.3460000000000001</v>
      </c>
      <c r="R1742" s="7">
        <v>5.7110000000000003</v>
      </c>
      <c r="S1742" s="7">
        <f t="shared" si="27"/>
        <v>4.8849999999999989</v>
      </c>
    </row>
    <row r="1743" spans="1:19">
      <c r="A1743" s="5" t="str">
        <f>B1743&amp;"-"&amp;COUNTIF($B$2:B1743,B1743)</f>
        <v>MINAS GERAIS-177</v>
      </c>
      <c r="B1743" s="5" t="s">
        <v>1126</v>
      </c>
      <c r="C1743" s="5" t="s">
        <v>4335</v>
      </c>
      <c r="D1743" s="6">
        <v>-457123</v>
      </c>
      <c r="E1743" s="6">
        <v>-191485</v>
      </c>
      <c r="F1743" s="7">
        <v>5.27</v>
      </c>
      <c r="G1743" s="7">
        <v>5.8029999999999999</v>
      </c>
      <c r="H1743" s="7">
        <v>6.0549999999999997</v>
      </c>
      <c r="I1743" s="7">
        <v>5.1029999999999998</v>
      </c>
      <c r="J1743" s="7">
        <v>5.0250000000000004</v>
      </c>
      <c r="K1743" s="7">
        <v>4.5529999999999999</v>
      </c>
      <c r="L1743" s="7">
        <v>4.3609999999999998</v>
      </c>
      <c r="M1743" s="7">
        <v>4.702</v>
      </c>
      <c r="N1743" s="7">
        <v>5.6189999999999998</v>
      </c>
      <c r="O1743" s="7">
        <v>5.6609999999999996</v>
      </c>
      <c r="P1743" s="7">
        <v>5.5990000000000002</v>
      </c>
      <c r="Q1743" s="7">
        <v>5.1920000000000002</v>
      </c>
      <c r="R1743" s="7">
        <v>5.5640000000000001</v>
      </c>
      <c r="S1743" s="7">
        <f t="shared" si="27"/>
        <v>5.2697499999999993</v>
      </c>
    </row>
    <row r="1744" spans="1:19">
      <c r="A1744" s="5" t="str">
        <f>B1744&amp;"-"&amp;COUNTIF($B$2:B1744,B1744)</f>
        <v>MINAS GERAIS-178</v>
      </c>
      <c r="B1744" s="5" t="s">
        <v>1126</v>
      </c>
      <c r="C1744" s="5" t="s">
        <v>1248</v>
      </c>
      <c r="D1744" s="6">
        <v>-413147</v>
      </c>
      <c r="E1744" s="6">
        <v>-187617</v>
      </c>
      <c r="F1744" s="7">
        <v>4.8819999999999997</v>
      </c>
      <c r="G1744" s="7">
        <v>6.0540000000000003</v>
      </c>
      <c r="H1744" s="7">
        <v>6.202</v>
      </c>
      <c r="I1744" s="7">
        <v>5.2670000000000003</v>
      </c>
      <c r="J1744" s="7">
        <v>4.5999999999999996</v>
      </c>
      <c r="K1744" s="7">
        <v>3.8820000000000001</v>
      </c>
      <c r="L1744" s="7">
        <v>3.6190000000000002</v>
      </c>
      <c r="M1744" s="7">
        <v>3.7120000000000002</v>
      </c>
      <c r="N1744" s="7">
        <v>4.3730000000000002</v>
      </c>
      <c r="O1744" s="7">
        <v>4.915</v>
      </c>
      <c r="P1744" s="7">
        <v>5.1689999999999996</v>
      </c>
      <c r="Q1744" s="7">
        <v>4.992</v>
      </c>
      <c r="R1744" s="7">
        <v>5.806</v>
      </c>
      <c r="S1744" s="7">
        <f t="shared" si="27"/>
        <v>4.8825833333333319</v>
      </c>
    </row>
    <row r="1745" spans="1:19">
      <c r="A1745" s="5" t="str">
        <f>B1745&amp;"-"&amp;COUNTIF($B$2:B1745,B1745)</f>
        <v>MINAS GERAIS-179</v>
      </c>
      <c r="B1745" s="5" t="s">
        <v>1126</v>
      </c>
      <c r="C1745" s="5" t="s">
        <v>1249</v>
      </c>
      <c r="D1745" s="6">
        <v>-492018</v>
      </c>
      <c r="E1745" s="6">
        <v>-185857</v>
      </c>
      <c r="F1745" s="7">
        <v>5.2960000000000003</v>
      </c>
      <c r="G1745" s="7">
        <v>5.7050000000000001</v>
      </c>
      <c r="H1745" s="7">
        <v>5.8419999999999996</v>
      </c>
      <c r="I1745" s="7">
        <v>5.3339999999999996</v>
      </c>
      <c r="J1745" s="7">
        <v>5.1379999999999999</v>
      </c>
      <c r="K1745" s="7">
        <v>4.6470000000000002</v>
      </c>
      <c r="L1745" s="7">
        <v>4.3630000000000004</v>
      </c>
      <c r="M1745" s="7">
        <v>4.516</v>
      </c>
      <c r="N1745" s="7">
        <v>5.4580000000000002</v>
      </c>
      <c r="O1745" s="7">
        <v>5.2549999999999999</v>
      </c>
      <c r="P1745" s="7">
        <v>5.6550000000000002</v>
      </c>
      <c r="Q1745" s="7">
        <v>5.7889999999999997</v>
      </c>
      <c r="R1745" s="7">
        <v>5.8460000000000001</v>
      </c>
      <c r="S1745" s="7">
        <f t="shared" si="27"/>
        <v>5.2956666666666665</v>
      </c>
    </row>
    <row r="1746" spans="1:19">
      <c r="A1746" s="5" t="str">
        <f>B1746&amp;"-"&amp;COUNTIF($B$2:B1746,B1746)</f>
        <v>MINAS GERAIS-180</v>
      </c>
      <c r="B1746" s="5" t="s">
        <v>1126</v>
      </c>
      <c r="C1746" s="5" t="s">
        <v>5583</v>
      </c>
      <c r="D1746" s="6">
        <v>-432154</v>
      </c>
      <c r="E1746" s="6">
        <v>-216737</v>
      </c>
      <c r="F1746" s="7">
        <v>4.556</v>
      </c>
      <c r="G1746" s="7">
        <v>5.5659999999999998</v>
      </c>
      <c r="H1746" s="7">
        <v>5.851</v>
      </c>
      <c r="I1746" s="7">
        <v>4.798</v>
      </c>
      <c r="J1746" s="7">
        <v>4.1829999999999998</v>
      </c>
      <c r="K1746" s="7">
        <v>3.5270000000000001</v>
      </c>
      <c r="L1746" s="7">
        <v>3.351</v>
      </c>
      <c r="M1746" s="7">
        <v>3.5350000000000001</v>
      </c>
      <c r="N1746" s="7">
        <v>4.2670000000000003</v>
      </c>
      <c r="O1746" s="7">
        <v>4.5860000000000003</v>
      </c>
      <c r="P1746" s="7">
        <v>4.875</v>
      </c>
      <c r="Q1746" s="7">
        <v>4.6929999999999996</v>
      </c>
      <c r="R1746" s="7">
        <v>5.4390000000000001</v>
      </c>
      <c r="S1746" s="7">
        <f t="shared" si="27"/>
        <v>4.5559166666666666</v>
      </c>
    </row>
    <row r="1747" spans="1:19">
      <c r="A1747" s="5" t="str">
        <f>B1747&amp;"-"&amp;COUNTIF($B$2:B1747,B1747)</f>
        <v>MINAS GERAIS-181</v>
      </c>
      <c r="B1747" s="5" t="s">
        <v>1126</v>
      </c>
      <c r="C1747" s="5" t="s">
        <v>4336</v>
      </c>
      <c r="D1747" s="6">
        <v>-416901</v>
      </c>
      <c r="E1747" s="6">
        <v>-200458</v>
      </c>
      <c r="F1747" s="7">
        <v>4.7809999999999997</v>
      </c>
      <c r="G1747" s="7">
        <v>5.8120000000000003</v>
      </c>
      <c r="H1747" s="7">
        <v>6.0510000000000002</v>
      </c>
      <c r="I1747" s="7">
        <v>5.0890000000000004</v>
      </c>
      <c r="J1747" s="7">
        <v>4.6420000000000003</v>
      </c>
      <c r="K1747" s="7">
        <v>3.8860000000000001</v>
      </c>
      <c r="L1747" s="7">
        <v>3.6339999999999999</v>
      </c>
      <c r="M1747" s="7">
        <v>3.76</v>
      </c>
      <c r="N1747" s="7">
        <v>4.4240000000000004</v>
      </c>
      <c r="O1747" s="7">
        <v>4.7489999999999997</v>
      </c>
      <c r="P1747" s="7">
        <v>4.91</v>
      </c>
      <c r="Q1747" s="7">
        <v>4.8470000000000004</v>
      </c>
      <c r="R1747" s="7">
        <v>5.5730000000000004</v>
      </c>
      <c r="S1747" s="7">
        <f t="shared" si="27"/>
        <v>4.781416666666666</v>
      </c>
    </row>
    <row r="1748" spans="1:19">
      <c r="A1748" s="5" t="str">
        <f>B1748&amp;"-"&amp;COUNTIF($B$2:B1748,B1748)</f>
        <v>MINAS GERAIS-182</v>
      </c>
      <c r="B1748" s="5" t="s">
        <v>1126</v>
      </c>
      <c r="C1748" s="5" t="s">
        <v>1250</v>
      </c>
      <c r="D1748" s="6">
        <v>-425395</v>
      </c>
      <c r="E1748" s="6">
        <v>-170886</v>
      </c>
      <c r="F1748" s="7">
        <v>5.1449999999999996</v>
      </c>
      <c r="G1748" s="7">
        <v>6.1470000000000002</v>
      </c>
      <c r="H1748" s="7">
        <v>6.4109999999999996</v>
      </c>
      <c r="I1748" s="7">
        <v>5.375</v>
      </c>
      <c r="J1748" s="7">
        <v>4.6689999999999996</v>
      </c>
      <c r="K1748" s="7">
        <v>4.0659999999999998</v>
      </c>
      <c r="L1748" s="7">
        <v>3.8889999999999998</v>
      </c>
      <c r="M1748" s="7">
        <v>4.0869999999999997</v>
      </c>
      <c r="N1748" s="7">
        <v>4.8970000000000002</v>
      </c>
      <c r="O1748" s="7">
        <v>5.4210000000000003</v>
      </c>
      <c r="P1748" s="7">
        <v>5.6130000000000004</v>
      </c>
      <c r="Q1748" s="7">
        <v>5.2190000000000003</v>
      </c>
      <c r="R1748" s="7">
        <v>5.9489999999999998</v>
      </c>
      <c r="S1748" s="7">
        <f t="shared" si="27"/>
        <v>5.1452499999999999</v>
      </c>
    </row>
    <row r="1749" spans="1:19">
      <c r="A1749" s="5" t="str">
        <f>B1749&amp;"-"&amp;COUNTIF($B$2:B1749,B1749)</f>
        <v>MINAS GERAIS-183</v>
      </c>
      <c r="B1749" s="5" t="s">
        <v>1126</v>
      </c>
      <c r="C1749" s="5" t="s">
        <v>4843</v>
      </c>
      <c r="D1749" s="6">
        <v>-456242</v>
      </c>
      <c r="E1749" s="6">
        <v>-152981</v>
      </c>
      <c r="F1749" s="7">
        <v>5.58</v>
      </c>
      <c r="G1749" s="7">
        <v>6.04</v>
      </c>
      <c r="H1749" s="7">
        <v>6.2670000000000003</v>
      </c>
      <c r="I1749" s="7">
        <v>5.41</v>
      </c>
      <c r="J1749" s="7">
        <v>5.4720000000000004</v>
      </c>
      <c r="K1749" s="7">
        <v>4.9539999999999997</v>
      </c>
      <c r="L1749" s="7">
        <v>4.8</v>
      </c>
      <c r="M1749" s="7">
        <v>5.1440000000000001</v>
      </c>
      <c r="N1749" s="7">
        <v>5.843</v>
      </c>
      <c r="O1749" s="7">
        <v>5.976</v>
      </c>
      <c r="P1749" s="7">
        <v>5.8570000000000002</v>
      </c>
      <c r="Q1749" s="7">
        <v>5.3019999999999996</v>
      </c>
      <c r="R1749" s="7">
        <v>5.891</v>
      </c>
      <c r="S1749" s="7">
        <f t="shared" si="27"/>
        <v>5.5796666666666654</v>
      </c>
    </row>
    <row r="1750" spans="1:19">
      <c r="A1750" s="5" t="str">
        <f>B1750&amp;"-"&amp;COUNTIF($B$2:B1750,B1750)</f>
        <v>MINAS GERAIS-184</v>
      </c>
      <c r="B1750" s="5" t="s">
        <v>1126</v>
      </c>
      <c r="C1750" s="5" t="s">
        <v>1251</v>
      </c>
      <c r="D1750" s="6">
        <v>-43062</v>
      </c>
      <c r="E1750" s="6">
        <v>-220001</v>
      </c>
      <c r="F1750" s="7">
        <v>4.6669999999999998</v>
      </c>
      <c r="G1750" s="7">
        <v>5.7809999999999997</v>
      </c>
      <c r="H1750" s="7">
        <v>5.9749999999999996</v>
      </c>
      <c r="I1750" s="7">
        <v>5.0119999999999996</v>
      </c>
      <c r="J1750" s="7">
        <v>4.3550000000000004</v>
      </c>
      <c r="K1750" s="7">
        <v>3.577</v>
      </c>
      <c r="L1750" s="7">
        <v>3.3820000000000001</v>
      </c>
      <c r="M1750" s="7">
        <v>3.552</v>
      </c>
      <c r="N1750" s="7">
        <v>4.28</v>
      </c>
      <c r="O1750" s="7">
        <v>4.5860000000000003</v>
      </c>
      <c r="P1750" s="7">
        <v>4.9320000000000004</v>
      </c>
      <c r="Q1750" s="7">
        <v>4.93</v>
      </c>
      <c r="R1750" s="7">
        <v>5.6379999999999999</v>
      </c>
      <c r="S1750" s="7">
        <f t="shared" si="27"/>
        <v>4.666666666666667</v>
      </c>
    </row>
    <row r="1751" spans="1:19">
      <c r="A1751" s="5" t="str">
        <f>B1751&amp;"-"&amp;COUNTIF($B$2:B1751,B1751)</f>
        <v>MINAS GERAIS-185</v>
      </c>
      <c r="B1751" s="5" t="s">
        <v>1126</v>
      </c>
      <c r="C1751" s="5" t="s">
        <v>4960</v>
      </c>
      <c r="D1751" s="6">
        <v>-433633</v>
      </c>
      <c r="E1751" s="6">
        <v>-209031</v>
      </c>
      <c r="F1751" s="7">
        <v>4.6870000000000003</v>
      </c>
      <c r="G1751" s="7">
        <v>5.5460000000000003</v>
      </c>
      <c r="H1751" s="7">
        <v>5.8890000000000002</v>
      </c>
      <c r="I1751" s="7">
        <v>4.84</v>
      </c>
      <c r="J1751" s="7">
        <v>4.3259999999999996</v>
      </c>
      <c r="K1751" s="7">
        <v>3.69</v>
      </c>
      <c r="L1751" s="7">
        <v>3.5390000000000001</v>
      </c>
      <c r="M1751" s="7">
        <v>3.73</v>
      </c>
      <c r="N1751" s="7">
        <v>4.58</v>
      </c>
      <c r="O1751" s="7">
        <v>4.8369999999999997</v>
      </c>
      <c r="P1751" s="7">
        <v>5.0460000000000003</v>
      </c>
      <c r="Q1751" s="7">
        <v>4.7370000000000001</v>
      </c>
      <c r="R1751" s="7">
        <v>5.4909999999999997</v>
      </c>
      <c r="S1751" s="7">
        <f t="shared" si="27"/>
        <v>4.6875833333333334</v>
      </c>
    </row>
    <row r="1752" spans="1:19">
      <c r="A1752" s="5" t="str">
        <f>B1752&amp;"-"&amp;COUNTIF($B$2:B1752,B1752)</f>
        <v>MINAS GERAIS-186</v>
      </c>
      <c r="B1752" s="5" t="s">
        <v>1126</v>
      </c>
      <c r="C1752" s="5" t="s">
        <v>5584</v>
      </c>
      <c r="D1752" s="6">
        <v>-447677</v>
      </c>
      <c r="E1752" s="6">
        <v>-204441</v>
      </c>
      <c r="F1752" s="7">
        <v>5.1189999999999998</v>
      </c>
      <c r="G1752" s="7">
        <v>5.819</v>
      </c>
      <c r="H1752" s="7">
        <v>5.9409999999999998</v>
      </c>
      <c r="I1752" s="7">
        <v>5.117</v>
      </c>
      <c r="J1752" s="7">
        <v>4.8380000000000001</v>
      </c>
      <c r="K1752" s="7">
        <v>4.2539999999999996</v>
      </c>
      <c r="L1752" s="7">
        <v>4.0270000000000001</v>
      </c>
      <c r="M1752" s="7">
        <v>4.306</v>
      </c>
      <c r="N1752" s="7">
        <v>5.1920000000000002</v>
      </c>
      <c r="O1752" s="7">
        <v>5.4130000000000003</v>
      </c>
      <c r="P1752" s="7">
        <v>5.5629999999999997</v>
      </c>
      <c r="Q1752" s="7">
        <v>5.3209999999999997</v>
      </c>
      <c r="R1752" s="7">
        <v>5.6340000000000003</v>
      </c>
      <c r="S1752" s="7">
        <f t="shared" si="27"/>
        <v>5.1187499999999995</v>
      </c>
    </row>
    <row r="1753" spans="1:19">
      <c r="A1753" s="5" t="str">
        <f>B1753&amp;"-"&amp;COUNTIF($B$2:B1753,B1753)</f>
        <v>MINAS GERAIS-187</v>
      </c>
      <c r="B1753" s="5" t="s">
        <v>1126</v>
      </c>
      <c r="C1753" s="5" t="s">
        <v>1252</v>
      </c>
      <c r="D1753" s="6">
        <v>-472772</v>
      </c>
      <c r="E1753" s="6">
        <v>-203975</v>
      </c>
      <c r="F1753" s="7">
        <v>5.1539999999999999</v>
      </c>
      <c r="G1753" s="7">
        <v>5.5919999999999996</v>
      </c>
      <c r="H1753" s="7">
        <v>5.9530000000000003</v>
      </c>
      <c r="I1753" s="7">
        <v>5.1239999999999997</v>
      </c>
      <c r="J1753" s="7">
        <v>4.9420000000000002</v>
      </c>
      <c r="K1753" s="7">
        <v>4.306</v>
      </c>
      <c r="L1753" s="7">
        <v>4.1280000000000001</v>
      </c>
      <c r="M1753" s="7">
        <v>4.3209999999999997</v>
      </c>
      <c r="N1753" s="7">
        <v>5.2629999999999999</v>
      </c>
      <c r="O1753" s="7">
        <v>5.2060000000000004</v>
      </c>
      <c r="P1753" s="7">
        <v>5.5759999999999996</v>
      </c>
      <c r="Q1753" s="7">
        <v>5.6390000000000002</v>
      </c>
      <c r="R1753" s="7">
        <v>5.8</v>
      </c>
      <c r="S1753" s="7">
        <f t="shared" si="27"/>
        <v>5.1541666666666668</v>
      </c>
    </row>
    <row r="1754" spans="1:19">
      <c r="A1754" s="5" t="str">
        <f>B1754&amp;"-"&amp;COUNTIF($B$2:B1754,B1754)</f>
        <v>MINAS GERAIS-188</v>
      </c>
      <c r="B1754" s="5" t="s">
        <v>1126</v>
      </c>
      <c r="C1754" s="5" t="s">
        <v>5434</v>
      </c>
      <c r="D1754" s="6">
        <v>-44209</v>
      </c>
      <c r="E1754" s="5" t="s">
        <v>1253</v>
      </c>
      <c r="F1754" s="7">
        <v>5.5750000000000002</v>
      </c>
      <c r="G1754" s="7">
        <v>6.2519999999999998</v>
      </c>
      <c r="H1754" s="7">
        <v>6.4980000000000002</v>
      </c>
      <c r="I1754" s="7">
        <v>5.5960000000000001</v>
      </c>
      <c r="J1754" s="7">
        <v>5.3540000000000001</v>
      </c>
      <c r="K1754" s="7">
        <v>4.827</v>
      </c>
      <c r="L1754" s="7">
        <v>4.5339999999999998</v>
      </c>
      <c r="M1754" s="7">
        <v>4.8710000000000004</v>
      </c>
      <c r="N1754" s="7">
        <v>5.64</v>
      </c>
      <c r="O1754" s="7">
        <v>6.0289999999999999</v>
      </c>
      <c r="P1754" s="7">
        <v>5.9160000000000004</v>
      </c>
      <c r="Q1754" s="7">
        <v>5.3970000000000002</v>
      </c>
      <c r="R1754" s="7">
        <v>5.98</v>
      </c>
      <c r="S1754" s="7">
        <f t="shared" si="27"/>
        <v>5.5744999999999996</v>
      </c>
    </row>
    <row r="1755" spans="1:19">
      <c r="A1755" s="5" t="str">
        <f>B1755&amp;"-"&amp;COUNTIF($B$2:B1755,B1755)</f>
        <v>MINAS GERAIS-189</v>
      </c>
      <c r="B1755" s="5" t="s">
        <v>1126</v>
      </c>
      <c r="C1755" s="5" t="s">
        <v>1254</v>
      </c>
      <c r="D1755" s="6">
        <v>-428012</v>
      </c>
      <c r="E1755" s="6">
        <v>-20854</v>
      </c>
      <c r="F1755" s="7">
        <v>4.7549999999999999</v>
      </c>
      <c r="G1755" s="7">
        <v>5.6980000000000004</v>
      </c>
      <c r="H1755" s="7">
        <v>5.9470000000000001</v>
      </c>
      <c r="I1755" s="7">
        <v>4.9820000000000002</v>
      </c>
      <c r="J1755" s="7">
        <v>4.3789999999999996</v>
      </c>
      <c r="K1755" s="7">
        <v>3.742</v>
      </c>
      <c r="L1755" s="7">
        <v>3.585</v>
      </c>
      <c r="M1755" s="7">
        <v>3.7730000000000001</v>
      </c>
      <c r="N1755" s="7">
        <v>4.5659999999999998</v>
      </c>
      <c r="O1755" s="7">
        <v>4.8559999999999999</v>
      </c>
      <c r="P1755" s="7">
        <v>5.0709999999999997</v>
      </c>
      <c r="Q1755" s="7">
        <v>4.8890000000000002</v>
      </c>
      <c r="R1755" s="7">
        <v>5.5720000000000001</v>
      </c>
      <c r="S1755" s="7">
        <f t="shared" si="27"/>
        <v>4.7550000000000008</v>
      </c>
    </row>
    <row r="1756" spans="1:19">
      <c r="A1756" s="5" t="str">
        <f>B1756&amp;"-"&amp;COUNTIF($B$2:B1756,B1756)</f>
        <v>MINAS GERAIS-190</v>
      </c>
      <c r="B1756" s="5" t="s">
        <v>1126</v>
      </c>
      <c r="C1756" s="5" t="s">
        <v>1255</v>
      </c>
      <c r="D1756" s="5" t="s">
        <v>1256</v>
      </c>
      <c r="E1756" s="6">
        <v>-18234</v>
      </c>
      <c r="F1756" s="7">
        <v>4.9119999999999999</v>
      </c>
      <c r="G1756" s="7">
        <v>5.86</v>
      </c>
      <c r="H1756" s="7">
        <v>6.1230000000000002</v>
      </c>
      <c r="I1756" s="7">
        <v>5.101</v>
      </c>
      <c r="J1756" s="7">
        <v>4.5179999999999998</v>
      </c>
      <c r="K1756" s="7">
        <v>3.952</v>
      </c>
      <c r="L1756" s="7">
        <v>3.786</v>
      </c>
      <c r="M1756" s="7">
        <v>3.919</v>
      </c>
      <c r="N1756" s="7">
        <v>4.7290000000000001</v>
      </c>
      <c r="O1756" s="7">
        <v>5.2080000000000002</v>
      </c>
      <c r="P1756" s="7">
        <v>5.3479999999999999</v>
      </c>
      <c r="Q1756" s="7">
        <v>4.8040000000000003</v>
      </c>
      <c r="R1756" s="7">
        <v>5.5990000000000002</v>
      </c>
      <c r="S1756" s="7">
        <f t="shared" si="27"/>
        <v>4.9122500000000002</v>
      </c>
    </row>
    <row r="1757" spans="1:19">
      <c r="A1757" s="5" t="str">
        <f>B1757&amp;"-"&amp;COUNTIF($B$2:B1757,B1757)</f>
        <v>MINAS GERAIS-191</v>
      </c>
      <c r="B1757" s="5" t="s">
        <v>1126</v>
      </c>
      <c r="C1757" s="5" t="s">
        <v>1257</v>
      </c>
      <c r="D1757" s="6">
        <v>-490809</v>
      </c>
      <c r="E1757" s="6">
        <v>-19698</v>
      </c>
      <c r="F1757" s="7">
        <v>5.2</v>
      </c>
      <c r="G1757" s="7">
        <v>5.6859999999999999</v>
      </c>
      <c r="H1757" s="7">
        <v>5.8550000000000004</v>
      </c>
      <c r="I1757" s="7">
        <v>5.1980000000000004</v>
      </c>
      <c r="J1757" s="7">
        <v>5.0309999999999997</v>
      </c>
      <c r="K1757" s="7">
        <v>4.3630000000000004</v>
      </c>
      <c r="L1757" s="7">
        <v>4.1040000000000001</v>
      </c>
      <c r="M1757" s="7">
        <v>4.38</v>
      </c>
      <c r="N1757" s="7">
        <v>5.2729999999999997</v>
      </c>
      <c r="O1757" s="7">
        <v>5.1689999999999996</v>
      </c>
      <c r="P1757" s="7">
        <v>5.5659999999999998</v>
      </c>
      <c r="Q1757" s="7">
        <v>5.7619999999999996</v>
      </c>
      <c r="R1757" s="7">
        <v>6.008</v>
      </c>
      <c r="S1757" s="7">
        <f t="shared" si="27"/>
        <v>5.1995833333333339</v>
      </c>
    </row>
    <row r="1758" spans="1:19">
      <c r="A1758" s="5" t="str">
        <f>B1758&amp;"-"&amp;COUNTIF($B$2:B1758,B1758)</f>
        <v>MINAS GERAIS-192</v>
      </c>
      <c r="B1758" s="5" t="s">
        <v>1126</v>
      </c>
      <c r="C1758" s="5" t="s">
        <v>1258</v>
      </c>
      <c r="D1758" s="6">
        <v>-417949</v>
      </c>
      <c r="E1758" s="6">
        <v>-162967</v>
      </c>
      <c r="F1758" s="7">
        <v>5.1360000000000001</v>
      </c>
      <c r="G1758" s="7">
        <v>6.1</v>
      </c>
      <c r="H1758" s="7">
        <v>6.36</v>
      </c>
      <c r="I1758" s="7">
        <v>5.4740000000000002</v>
      </c>
      <c r="J1758" s="7">
        <v>4.7640000000000002</v>
      </c>
      <c r="K1758" s="7">
        <v>4.0679999999999996</v>
      </c>
      <c r="L1758" s="7">
        <v>3.7349999999999999</v>
      </c>
      <c r="M1758" s="7">
        <v>3.9929999999999999</v>
      </c>
      <c r="N1758" s="7">
        <v>4.673</v>
      </c>
      <c r="O1758" s="7">
        <v>5.4740000000000002</v>
      </c>
      <c r="P1758" s="7">
        <v>5.5880000000000001</v>
      </c>
      <c r="Q1758" s="7">
        <v>5.3029999999999999</v>
      </c>
      <c r="R1758" s="7">
        <v>6.093</v>
      </c>
      <c r="S1758" s="7">
        <f t="shared" si="27"/>
        <v>5.135416666666667</v>
      </c>
    </row>
    <row r="1759" spans="1:19">
      <c r="A1759" s="5" t="str">
        <f>B1759&amp;"-"&amp;COUNTIF($B$2:B1759,B1759)</f>
        <v>MINAS GERAIS-193</v>
      </c>
      <c r="B1759" s="5" t="s">
        <v>1126</v>
      </c>
      <c r="C1759" s="5" t="s">
        <v>4655</v>
      </c>
      <c r="D1759" s="6">
        <v>-462053</v>
      </c>
      <c r="E1759" s="6">
        <v>-210965</v>
      </c>
      <c r="F1759" s="7">
        <v>4.875</v>
      </c>
      <c r="G1759" s="7">
        <v>5.44</v>
      </c>
      <c r="H1759" s="7">
        <v>5.7309999999999999</v>
      </c>
      <c r="I1759" s="7">
        <v>4.7670000000000003</v>
      </c>
      <c r="J1759" s="7">
        <v>4.5620000000000003</v>
      </c>
      <c r="K1759" s="7">
        <v>3.9860000000000002</v>
      </c>
      <c r="L1759" s="7">
        <v>3.78</v>
      </c>
      <c r="M1759" s="7">
        <v>4.0890000000000004</v>
      </c>
      <c r="N1759" s="7">
        <v>5.0490000000000004</v>
      </c>
      <c r="O1759" s="7">
        <v>5.1239999999999997</v>
      </c>
      <c r="P1759" s="7">
        <v>5.3630000000000004</v>
      </c>
      <c r="Q1759" s="7">
        <v>5.1660000000000004</v>
      </c>
      <c r="R1759" s="7">
        <v>5.4470000000000001</v>
      </c>
      <c r="S1759" s="7">
        <f t="shared" si="27"/>
        <v>4.8753333333333337</v>
      </c>
    </row>
    <row r="1760" spans="1:19">
      <c r="A1760" s="5" t="str">
        <f>B1760&amp;"-"&amp;COUNTIF($B$2:B1760,B1760)</f>
        <v>MINAS GERAIS-194</v>
      </c>
      <c r="B1760" s="5" t="s">
        <v>1126</v>
      </c>
      <c r="C1760" s="5" t="s">
        <v>4656</v>
      </c>
      <c r="D1760" s="6">
        <v>-444733</v>
      </c>
      <c r="E1760" s="6">
        <v>-21132</v>
      </c>
      <c r="F1760" s="7">
        <v>4.8490000000000002</v>
      </c>
      <c r="G1760" s="7">
        <v>5.5019999999999998</v>
      </c>
      <c r="H1760" s="7">
        <v>5.8140000000000001</v>
      </c>
      <c r="I1760" s="7">
        <v>4.9379999999999997</v>
      </c>
      <c r="J1760" s="7">
        <v>4.5590000000000002</v>
      </c>
      <c r="K1760" s="7">
        <v>3.9009999999999998</v>
      </c>
      <c r="L1760" s="7">
        <v>3.6880000000000002</v>
      </c>
      <c r="M1760" s="7">
        <v>3.923</v>
      </c>
      <c r="N1760" s="7">
        <v>4.8819999999999997</v>
      </c>
      <c r="O1760" s="7">
        <v>5.0919999999999996</v>
      </c>
      <c r="P1760" s="7">
        <v>5.2859999999999996</v>
      </c>
      <c r="Q1760" s="7">
        <v>5.0609999999999999</v>
      </c>
      <c r="R1760" s="7">
        <v>5.548</v>
      </c>
      <c r="S1760" s="7">
        <f t="shared" si="27"/>
        <v>4.8494999999999999</v>
      </c>
    </row>
    <row r="1761" spans="1:19">
      <c r="A1761" s="5" t="str">
        <f>B1761&amp;"-"&amp;COUNTIF($B$2:B1761,B1761)</f>
        <v>MINAS GERAIS-195</v>
      </c>
      <c r="B1761" s="5" t="s">
        <v>1126</v>
      </c>
      <c r="C1761" s="5" t="s">
        <v>4657</v>
      </c>
      <c r="D1761" s="6">
        <v>-483843</v>
      </c>
      <c r="E1761" s="6">
        <v>-199176</v>
      </c>
      <c r="F1761" s="7">
        <v>5.1820000000000004</v>
      </c>
      <c r="G1761" s="7">
        <v>5.7190000000000003</v>
      </c>
      <c r="H1761" s="7">
        <v>5.9269999999999996</v>
      </c>
      <c r="I1761" s="7">
        <v>5.0860000000000003</v>
      </c>
      <c r="J1761" s="7">
        <v>4.96</v>
      </c>
      <c r="K1761" s="7">
        <v>4.375</v>
      </c>
      <c r="L1761" s="7">
        <v>4.13</v>
      </c>
      <c r="M1761" s="7">
        <v>4.3879999999999999</v>
      </c>
      <c r="N1761" s="7">
        <v>5.2949999999999999</v>
      </c>
      <c r="O1761" s="7">
        <v>5.18</v>
      </c>
      <c r="P1761" s="7">
        <v>5.5270000000000001</v>
      </c>
      <c r="Q1761" s="7">
        <v>5.6529999999999996</v>
      </c>
      <c r="R1761" s="7">
        <v>5.9470000000000001</v>
      </c>
      <c r="S1761" s="7">
        <f t="shared" si="27"/>
        <v>5.1822500000000007</v>
      </c>
    </row>
    <row r="1762" spans="1:19">
      <c r="A1762" s="5" t="str">
        <f>B1762&amp;"-"&amp;COUNTIF($B$2:B1762,B1762)</f>
        <v>MINAS GERAIS-196</v>
      </c>
      <c r="B1762" s="5" t="s">
        <v>1126</v>
      </c>
      <c r="C1762" s="5" t="s">
        <v>4658</v>
      </c>
      <c r="D1762" s="6">
        <v>-454566</v>
      </c>
      <c r="E1762" s="6">
        <v>-221581</v>
      </c>
      <c r="F1762" s="7">
        <v>4.7670000000000003</v>
      </c>
      <c r="G1762" s="7">
        <v>5.29</v>
      </c>
      <c r="H1762" s="7">
        <v>5.5839999999999996</v>
      </c>
      <c r="I1762" s="7">
        <v>4.7590000000000003</v>
      </c>
      <c r="J1762" s="7">
        <v>4.4909999999999997</v>
      </c>
      <c r="K1762" s="7">
        <v>3.8279999999999998</v>
      </c>
      <c r="L1762" s="7">
        <v>3.625</v>
      </c>
      <c r="M1762" s="7">
        <v>3.8679999999999999</v>
      </c>
      <c r="N1762" s="7">
        <v>4.7619999999999996</v>
      </c>
      <c r="O1762" s="7">
        <v>4.9349999999999996</v>
      </c>
      <c r="P1762" s="7">
        <v>5.3179999999999996</v>
      </c>
      <c r="Q1762" s="7">
        <v>5.1929999999999996</v>
      </c>
      <c r="R1762" s="7">
        <v>5.5549999999999997</v>
      </c>
      <c r="S1762" s="7">
        <f t="shared" si="27"/>
        <v>4.7673333333333323</v>
      </c>
    </row>
    <row r="1763" spans="1:19">
      <c r="A1763" s="5" t="str">
        <f>B1763&amp;"-"&amp;COUNTIF($B$2:B1763,B1763)</f>
        <v>MINAS GERAIS-197</v>
      </c>
      <c r="B1763" s="5" t="s">
        <v>1126</v>
      </c>
      <c r="C1763" s="5" t="s">
        <v>4659</v>
      </c>
      <c r="D1763" s="6">
        <v>-416911</v>
      </c>
      <c r="E1763" s="6">
        <v>-199331</v>
      </c>
      <c r="F1763" s="7">
        <v>4.8159999999999998</v>
      </c>
      <c r="G1763" s="7">
        <v>5.883</v>
      </c>
      <c r="H1763" s="7">
        <v>6.117</v>
      </c>
      <c r="I1763" s="7">
        <v>5.1260000000000003</v>
      </c>
      <c r="J1763" s="7">
        <v>4.673</v>
      </c>
      <c r="K1763" s="7">
        <v>3.9169999999999998</v>
      </c>
      <c r="L1763" s="7">
        <v>3.6480000000000001</v>
      </c>
      <c r="M1763" s="7">
        <v>3.7869999999999999</v>
      </c>
      <c r="N1763" s="7">
        <v>4.4379999999999997</v>
      </c>
      <c r="O1763" s="7">
        <v>4.7610000000000001</v>
      </c>
      <c r="P1763" s="7">
        <v>4.9269999999999996</v>
      </c>
      <c r="Q1763" s="7">
        <v>4.8899999999999997</v>
      </c>
      <c r="R1763" s="7">
        <v>5.6230000000000002</v>
      </c>
      <c r="S1763" s="7">
        <f t="shared" si="27"/>
        <v>4.8158333333333339</v>
      </c>
    </row>
    <row r="1764" spans="1:19">
      <c r="A1764" s="5" t="str">
        <f>B1764&amp;"-"&amp;COUNTIF($B$2:B1764,B1764)</f>
        <v>MINAS GERAIS-198</v>
      </c>
      <c r="B1764" s="5" t="s">
        <v>1126</v>
      </c>
      <c r="C1764" s="5" t="s">
        <v>4660</v>
      </c>
      <c r="D1764" s="6">
        <v>-434224</v>
      </c>
      <c r="E1764" s="6">
        <v>-190349</v>
      </c>
      <c r="F1764" s="7">
        <v>4.8079999999999998</v>
      </c>
      <c r="G1764" s="7">
        <v>5.58</v>
      </c>
      <c r="H1764" s="7">
        <v>5.8760000000000003</v>
      </c>
      <c r="I1764" s="7">
        <v>4.96</v>
      </c>
      <c r="J1764" s="7">
        <v>4.5330000000000004</v>
      </c>
      <c r="K1764" s="7">
        <v>3.9449999999999998</v>
      </c>
      <c r="L1764" s="7">
        <v>3.7360000000000002</v>
      </c>
      <c r="M1764" s="7">
        <v>3.9350000000000001</v>
      </c>
      <c r="N1764" s="7">
        <v>4.7</v>
      </c>
      <c r="O1764" s="7">
        <v>5.0460000000000003</v>
      </c>
      <c r="P1764" s="7">
        <v>5.1740000000000004</v>
      </c>
      <c r="Q1764" s="7">
        <v>4.782</v>
      </c>
      <c r="R1764" s="7">
        <v>5.4329999999999998</v>
      </c>
      <c r="S1764" s="7">
        <f t="shared" si="27"/>
        <v>4.8083333333333345</v>
      </c>
    </row>
    <row r="1765" spans="1:19">
      <c r="A1765" s="5" t="str">
        <f>B1765&amp;"-"&amp;COUNTIF($B$2:B1765,B1765)</f>
        <v>MINAS GERAIS-199</v>
      </c>
      <c r="B1765" s="5" t="s">
        <v>1126</v>
      </c>
      <c r="C1765" s="5" t="s">
        <v>5585</v>
      </c>
      <c r="D1765" s="6">
        <v>-448972</v>
      </c>
      <c r="E1765" s="6">
        <v>-197476</v>
      </c>
      <c r="F1765" s="7">
        <v>5.1920000000000002</v>
      </c>
      <c r="G1765" s="7">
        <v>5.8120000000000003</v>
      </c>
      <c r="H1765" s="7">
        <v>6.0060000000000002</v>
      </c>
      <c r="I1765" s="7">
        <v>5.1539999999999999</v>
      </c>
      <c r="J1765" s="7">
        <v>4.8949999999999996</v>
      </c>
      <c r="K1765" s="7">
        <v>4.3470000000000004</v>
      </c>
      <c r="L1765" s="7">
        <v>4.1790000000000003</v>
      </c>
      <c r="M1765" s="7">
        <v>4.4589999999999996</v>
      </c>
      <c r="N1765" s="7">
        <v>5.3179999999999996</v>
      </c>
      <c r="O1765" s="7">
        <v>5.5519999999999996</v>
      </c>
      <c r="P1765" s="7">
        <v>5.59</v>
      </c>
      <c r="Q1765" s="7">
        <v>5.3170000000000002</v>
      </c>
      <c r="R1765" s="7">
        <v>5.6669999999999998</v>
      </c>
      <c r="S1765" s="7">
        <f t="shared" si="27"/>
        <v>5.1913333333333336</v>
      </c>
    </row>
    <row r="1766" spans="1:19">
      <c r="A1766" s="5" t="str">
        <f>B1766&amp;"-"&amp;COUNTIF($B$2:B1766,B1766)</f>
        <v>MINAS GERAIS-200</v>
      </c>
      <c r="B1766" s="5" t="s">
        <v>1126</v>
      </c>
      <c r="C1766" s="5" t="s">
        <v>4661</v>
      </c>
      <c r="D1766" s="6">
        <v>-450874</v>
      </c>
      <c r="E1766" s="6">
        <v>-218783</v>
      </c>
      <c r="F1766" s="7">
        <v>4.8529999999999998</v>
      </c>
      <c r="G1766" s="7">
        <v>5.4219999999999997</v>
      </c>
      <c r="H1766" s="7">
        <v>5.7359999999999998</v>
      </c>
      <c r="I1766" s="7">
        <v>4.9550000000000001</v>
      </c>
      <c r="J1766" s="7">
        <v>4.59</v>
      </c>
      <c r="K1766" s="7">
        <v>3.8980000000000001</v>
      </c>
      <c r="L1766" s="7">
        <v>3.6640000000000001</v>
      </c>
      <c r="M1766" s="7">
        <v>3.8780000000000001</v>
      </c>
      <c r="N1766" s="7">
        <v>4.734</v>
      </c>
      <c r="O1766" s="7">
        <v>5.0019999999999998</v>
      </c>
      <c r="P1766" s="7">
        <v>5.3940000000000001</v>
      </c>
      <c r="Q1766" s="7">
        <v>5.3010000000000002</v>
      </c>
      <c r="R1766" s="7">
        <v>5.6609999999999996</v>
      </c>
      <c r="S1766" s="7">
        <f t="shared" si="27"/>
        <v>4.8529166666666672</v>
      </c>
    </row>
    <row r="1767" spans="1:19">
      <c r="A1767" s="5" t="str">
        <f>B1767&amp;"-"&amp;COUNTIF($B$2:B1767,B1767)</f>
        <v>MINAS GERAIS-201</v>
      </c>
      <c r="B1767" s="5" t="s">
        <v>1126</v>
      </c>
      <c r="C1767" s="5" t="s">
        <v>4662</v>
      </c>
      <c r="D1767" s="5" t="s">
        <v>1259</v>
      </c>
      <c r="E1767" s="6">
        <v>-224083</v>
      </c>
      <c r="F1767" s="7">
        <v>4.83</v>
      </c>
      <c r="G1767" s="7">
        <v>5.3239999999999998</v>
      </c>
      <c r="H1767" s="7">
        <v>5.6779999999999999</v>
      </c>
      <c r="I1767" s="7">
        <v>4.8650000000000002</v>
      </c>
      <c r="J1767" s="7">
        <v>4.5919999999999996</v>
      </c>
      <c r="K1767" s="7">
        <v>3.867</v>
      </c>
      <c r="L1767" s="7">
        <v>3.61</v>
      </c>
      <c r="M1767" s="7">
        <v>3.8260000000000001</v>
      </c>
      <c r="N1767" s="7">
        <v>4.7469999999999999</v>
      </c>
      <c r="O1767" s="7">
        <v>4.9189999999999996</v>
      </c>
      <c r="P1767" s="7">
        <v>5.4080000000000004</v>
      </c>
      <c r="Q1767" s="7">
        <v>5.4009999999999998</v>
      </c>
      <c r="R1767" s="7">
        <v>5.726</v>
      </c>
      <c r="S1767" s="7">
        <f t="shared" si="27"/>
        <v>4.8302499999999995</v>
      </c>
    </row>
    <row r="1768" spans="1:19">
      <c r="A1768" s="5" t="str">
        <f>B1768&amp;"-"&amp;COUNTIF($B$2:B1768,B1768)</f>
        <v>MINAS GERAIS-202</v>
      </c>
      <c r="B1768" s="5" t="s">
        <v>1126</v>
      </c>
      <c r="C1768" s="5" t="s">
        <v>1260</v>
      </c>
      <c r="D1768" s="6">
        <v>-439935</v>
      </c>
      <c r="E1768" s="6">
        <v>-196287</v>
      </c>
      <c r="F1768" s="7">
        <v>5.22</v>
      </c>
      <c r="G1768" s="7">
        <v>5.891</v>
      </c>
      <c r="H1768" s="7">
        <v>6.0919999999999996</v>
      </c>
      <c r="I1768" s="7">
        <v>5.2880000000000003</v>
      </c>
      <c r="J1768" s="7">
        <v>4.9080000000000004</v>
      </c>
      <c r="K1768" s="7">
        <v>4.3460000000000001</v>
      </c>
      <c r="L1768" s="7">
        <v>4.1130000000000004</v>
      </c>
      <c r="M1768" s="7">
        <v>4.3970000000000002</v>
      </c>
      <c r="N1768" s="7">
        <v>5.1929999999999996</v>
      </c>
      <c r="O1768" s="7">
        <v>5.5919999999999996</v>
      </c>
      <c r="P1768" s="7">
        <v>5.6349999999999998</v>
      </c>
      <c r="Q1768" s="7">
        <v>5.4580000000000002</v>
      </c>
      <c r="R1768" s="7">
        <v>5.7290000000000001</v>
      </c>
      <c r="S1768" s="7">
        <f t="shared" si="27"/>
        <v>5.2201666666666666</v>
      </c>
    </row>
    <row r="1769" spans="1:19">
      <c r="A1769" s="5" t="str">
        <f>B1769&amp;"-"&amp;COUNTIF($B$2:B1769,B1769)</f>
        <v>MINAS GERAIS-203</v>
      </c>
      <c r="B1769" s="5" t="s">
        <v>1126</v>
      </c>
      <c r="C1769" s="5" t="s">
        <v>1261</v>
      </c>
      <c r="D1769" s="6">
        <v>-460434</v>
      </c>
      <c r="E1769" s="6">
        <v>-221492</v>
      </c>
      <c r="F1769" s="7">
        <v>4.6779999999999999</v>
      </c>
      <c r="G1769" s="7">
        <v>5.1040000000000001</v>
      </c>
      <c r="H1769" s="7">
        <v>5.4039999999999999</v>
      </c>
      <c r="I1769" s="7">
        <v>4.5819999999999999</v>
      </c>
      <c r="J1769" s="7">
        <v>4.3970000000000002</v>
      </c>
      <c r="K1769" s="7">
        <v>3.82</v>
      </c>
      <c r="L1769" s="7">
        <v>3.58</v>
      </c>
      <c r="M1769" s="7">
        <v>3.8450000000000002</v>
      </c>
      <c r="N1769" s="7">
        <v>4.7910000000000004</v>
      </c>
      <c r="O1769" s="7">
        <v>4.88</v>
      </c>
      <c r="P1769" s="7">
        <v>5.2110000000000003</v>
      </c>
      <c r="Q1769" s="7">
        <v>5.1029999999999998</v>
      </c>
      <c r="R1769" s="7">
        <v>5.415</v>
      </c>
      <c r="S1769" s="7">
        <f t="shared" si="27"/>
        <v>4.6776666666666662</v>
      </c>
    </row>
    <row r="1770" spans="1:19">
      <c r="A1770" s="5" t="str">
        <f>B1770&amp;"-"&amp;COUNTIF($B$2:B1770,B1770)</f>
        <v>MINAS GERAIS-204</v>
      </c>
      <c r="B1770" s="5" t="s">
        <v>1126</v>
      </c>
      <c r="C1770" s="5" t="s">
        <v>1262</v>
      </c>
      <c r="D1770" s="6">
        <v>-438514</v>
      </c>
      <c r="E1770" s="6">
        <v>-204963</v>
      </c>
      <c r="F1770" s="7">
        <v>4.8179999999999996</v>
      </c>
      <c r="G1770" s="7">
        <v>5.4740000000000002</v>
      </c>
      <c r="H1770" s="7">
        <v>5.6980000000000004</v>
      </c>
      <c r="I1770" s="7">
        <v>4.7930000000000001</v>
      </c>
      <c r="J1770" s="7">
        <v>4.4589999999999996</v>
      </c>
      <c r="K1770" s="7">
        <v>4.03</v>
      </c>
      <c r="L1770" s="7">
        <v>3.859</v>
      </c>
      <c r="M1770" s="7">
        <v>4.0190000000000001</v>
      </c>
      <c r="N1770" s="7">
        <v>4.9729999999999999</v>
      </c>
      <c r="O1770" s="7">
        <v>5.1189999999999998</v>
      </c>
      <c r="P1770" s="7">
        <v>5.181</v>
      </c>
      <c r="Q1770" s="7">
        <v>4.8609999999999998</v>
      </c>
      <c r="R1770" s="7">
        <v>5.3520000000000003</v>
      </c>
      <c r="S1770" s="7">
        <f t="shared" si="27"/>
        <v>4.8181666666666665</v>
      </c>
    </row>
    <row r="1771" spans="1:19">
      <c r="A1771" s="5" t="str">
        <f>B1771&amp;"-"&amp;COUNTIF($B$2:B1771,B1771)</f>
        <v>MINAS GERAIS-205</v>
      </c>
      <c r="B1771" s="5" t="s">
        <v>1126</v>
      </c>
      <c r="C1771" s="5" t="s">
        <v>1263</v>
      </c>
      <c r="D1771" s="6">
        <v>-436771</v>
      </c>
      <c r="E1771" s="6">
        <v>-188025</v>
      </c>
      <c r="F1771" s="7">
        <v>4.9589999999999996</v>
      </c>
      <c r="G1771" s="7">
        <v>5.7009999999999996</v>
      </c>
      <c r="H1771" s="7">
        <v>5.8920000000000003</v>
      </c>
      <c r="I1771" s="7">
        <v>4.9960000000000004</v>
      </c>
      <c r="J1771" s="7">
        <v>4.5730000000000004</v>
      </c>
      <c r="K1771" s="7">
        <v>4.0960000000000001</v>
      </c>
      <c r="L1771" s="7">
        <v>3.92</v>
      </c>
      <c r="M1771" s="7">
        <v>4.16</v>
      </c>
      <c r="N1771" s="7">
        <v>4.9340000000000002</v>
      </c>
      <c r="O1771" s="7">
        <v>5.3470000000000004</v>
      </c>
      <c r="P1771" s="7">
        <v>5.4420000000000002</v>
      </c>
      <c r="Q1771" s="7">
        <v>4.9329999999999998</v>
      </c>
      <c r="R1771" s="7">
        <v>5.52</v>
      </c>
      <c r="S1771" s="7">
        <f t="shared" si="27"/>
        <v>4.9594999999999994</v>
      </c>
    </row>
    <row r="1772" spans="1:19">
      <c r="A1772" s="5" t="str">
        <f>B1772&amp;"-"&amp;COUNTIF($B$2:B1772,B1772)</f>
        <v>MINAS GERAIS-206</v>
      </c>
      <c r="B1772" s="5" t="s">
        <v>1126</v>
      </c>
      <c r="C1772" s="5" t="s">
        <v>1264</v>
      </c>
      <c r="D1772" s="6">
        <v>-475449</v>
      </c>
      <c r="E1772" s="6">
        <v>-199367</v>
      </c>
      <c r="F1772" s="7">
        <v>5.1120000000000001</v>
      </c>
      <c r="G1772" s="7">
        <v>5.4690000000000003</v>
      </c>
      <c r="H1772" s="7">
        <v>5.8220000000000001</v>
      </c>
      <c r="I1772" s="7">
        <v>4.9370000000000003</v>
      </c>
      <c r="J1772" s="7">
        <v>4.9039999999999999</v>
      </c>
      <c r="K1772" s="7">
        <v>4.4000000000000004</v>
      </c>
      <c r="L1772" s="7">
        <v>4.1630000000000003</v>
      </c>
      <c r="M1772" s="7">
        <v>4.431</v>
      </c>
      <c r="N1772" s="7">
        <v>5.3490000000000002</v>
      </c>
      <c r="O1772" s="7">
        <v>5.2169999999999996</v>
      </c>
      <c r="P1772" s="7">
        <v>5.5030000000000001</v>
      </c>
      <c r="Q1772" s="7">
        <v>5.3879999999999999</v>
      </c>
      <c r="R1772" s="7">
        <v>5.7670000000000003</v>
      </c>
      <c r="S1772" s="7">
        <f t="shared" si="27"/>
        <v>5.1125000000000007</v>
      </c>
    </row>
    <row r="1773" spans="1:19">
      <c r="A1773" s="5" t="str">
        <f>B1773&amp;"-"&amp;COUNTIF($B$2:B1773,B1773)</f>
        <v>MINAS GERAIS-207</v>
      </c>
      <c r="B1773" s="5" t="s">
        <v>1126</v>
      </c>
      <c r="C1773" s="5" t="s">
        <v>1265</v>
      </c>
      <c r="D1773" s="6">
        <v>-43785</v>
      </c>
      <c r="E1773" s="6">
        <v>-206639</v>
      </c>
      <c r="F1773" s="7">
        <v>4.8490000000000002</v>
      </c>
      <c r="G1773" s="7">
        <v>5.5090000000000003</v>
      </c>
      <c r="H1773" s="7">
        <v>5.9080000000000004</v>
      </c>
      <c r="I1773" s="7">
        <v>4.9370000000000003</v>
      </c>
      <c r="J1773" s="7">
        <v>4.5199999999999996</v>
      </c>
      <c r="K1773" s="7">
        <v>3.9119999999999999</v>
      </c>
      <c r="L1773" s="7">
        <v>3.7309999999999999</v>
      </c>
      <c r="M1773" s="7">
        <v>3.88</v>
      </c>
      <c r="N1773" s="7">
        <v>4.8879999999999999</v>
      </c>
      <c r="O1773" s="7">
        <v>5.0830000000000002</v>
      </c>
      <c r="P1773" s="7">
        <v>5.2640000000000002</v>
      </c>
      <c r="Q1773" s="7">
        <v>4.9950000000000001</v>
      </c>
      <c r="R1773" s="7">
        <v>5.5570000000000004</v>
      </c>
      <c r="S1773" s="7">
        <f t="shared" si="27"/>
        <v>4.8486666666666673</v>
      </c>
    </row>
    <row r="1774" spans="1:19">
      <c r="A1774" s="5" t="str">
        <f>B1774&amp;"-"&amp;COUNTIF($B$2:B1774,B1774)</f>
        <v>MINAS GERAIS-208</v>
      </c>
      <c r="B1774" s="5" t="s">
        <v>1126</v>
      </c>
      <c r="C1774" s="5" t="s">
        <v>1266</v>
      </c>
      <c r="D1774" s="6">
        <v>-414739</v>
      </c>
      <c r="E1774" s="6">
        <v>-191794</v>
      </c>
      <c r="F1774" s="7">
        <v>4.9850000000000003</v>
      </c>
      <c r="G1774" s="7">
        <v>6.2290000000000001</v>
      </c>
      <c r="H1774" s="7">
        <v>6.3209999999999997</v>
      </c>
      <c r="I1774" s="7">
        <v>5.3949999999999996</v>
      </c>
      <c r="J1774" s="7">
        <v>4.7380000000000004</v>
      </c>
      <c r="K1774" s="7">
        <v>3.9940000000000002</v>
      </c>
      <c r="L1774" s="7">
        <v>3.7069999999999999</v>
      </c>
      <c r="M1774" s="7">
        <v>3.8180000000000001</v>
      </c>
      <c r="N1774" s="7">
        <v>4.4450000000000003</v>
      </c>
      <c r="O1774" s="7">
        <v>4.9539999999999997</v>
      </c>
      <c r="P1774" s="7">
        <v>5.202</v>
      </c>
      <c r="Q1774" s="7">
        <v>5.0640000000000001</v>
      </c>
      <c r="R1774" s="7">
        <v>5.95</v>
      </c>
      <c r="S1774" s="7">
        <f t="shared" si="27"/>
        <v>4.98475</v>
      </c>
    </row>
    <row r="1775" spans="1:19">
      <c r="A1775" s="5" t="str">
        <f>B1775&amp;"-"&amp;COUNTIF($B$2:B1775,B1775)</f>
        <v>MINAS GERAIS-209</v>
      </c>
      <c r="B1775" s="5" t="s">
        <v>1126</v>
      </c>
      <c r="C1775" s="5" t="s">
        <v>4663</v>
      </c>
      <c r="D1775" s="6">
        <v>-459259</v>
      </c>
      <c r="E1775" s="6">
        <v>-225498</v>
      </c>
      <c r="F1775" s="7">
        <v>4.7779999999999996</v>
      </c>
      <c r="G1775" s="7">
        <v>5.2460000000000004</v>
      </c>
      <c r="H1775" s="7">
        <v>5.62</v>
      </c>
      <c r="I1775" s="7">
        <v>4.8070000000000004</v>
      </c>
      <c r="J1775" s="7">
        <v>4.5609999999999999</v>
      </c>
      <c r="K1775" s="7">
        <v>3.8220000000000001</v>
      </c>
      <c r="L1775" s="7">
        <v>3.548</v>
      </c>
      <c r="M1775" s="7">
        <v>3.79</v>
      </c>
      <c r="N1775" s="7">
        <v>4.702</v>
      </c>
      <c r="O1775" s="7">
        <v>4.8860000000000001</v>
      </c>
      <c r="P1775" s="7">
        <v>5.3369999999999997</v>
      </c>
      <c r="Q1775" s="7">
        <v>5.3289999999999997</v>
      </c>
      <c r="R1775" s="7">
        <v>5.6829999999999998</v>
      </c>
      <c r="S1775" s="7">
        <f t="shared" si="27"/>
        <v>4.7775833333333333</v>
      </c>
    </row>
    <row r="1776" spans="1:19">
      <c r="A1776" s="5" t="str">
        <f>B1776&amp;"-"&amp;COUNTIF($B$2:B1776,B1776)</f>
        <v>MINAS GERAIS-210</v>
      </c>
      <c r="B1776" s="5" t="s">
        <v>1126</v>
      </c>
      <c r="C1776" s="5" t="s">
        <v>1267</v>
      </c>
      <c r="D1776" s="6">
        <v>-440543</v>
      </c>
      <c r="E1776" s="6">
        <v>-199326</v>
      </c>
      <c r="F1776" s="7">
        <v>5.1349999999999998</v>
      </c>
      <c r="G1776" s="7">
        <v>5.7889999999999997</v>
      </c>
      <c r="H1776" s="7">
        <v>5.9960000000000004</v>
      </c>
      <c r="I1776" s="7">
        <v>5.173</v>
      </c>
      <c r="J1776" s="7">
        <v>4.8230000000000004</v>
      </c>
      <c r="K1776" s="7">
        <v>4.1959999999999997</v>
      </c>
      <c r="L1776" s="7">
        <v>4.0540000000000003</v>
      </c>
      <c r="M1776" s="7">
        <v>4.2969999999999997</v>
      </c>
      <c r="N1776" s="7">
        <v>5.165</v>
      </c>
      <c r="O1776" s="7">
        <v>5.5460000000000003</v>
      </c>
      <c r="P1776" s="7">
        <v>5.6529999999999996</v>
      </c>
      <c r="Q1776" s="7">
        <v>5.3029999999999999</v>
      </c>
      <c r="R1776" s="7">
        <v>5.6230000000000002</v>
      </c>
      <c r="S1776" s="7">
        <f t="shared" si="27"/>
        <v>5.134833333333332</v>
      </c>
    </row>
    <row r="1777" spans="1:19">
      <c r="A1777" s="5" t="str">
        <f>B1777&amp;"-"&amp;COUNTIF($B$2:B1777,B1777)</f>
        <v>MINAS GERAIS-211</v>
      </c>
      <c r="B1777" s="5" t="s">
        <v>1126</v>
      </c>
      <c r="C1777" s="5" t="s">
        <v>1268</v>
      </c>
      <c r="D1777" s="6">
        <v>-45437</v>
      </c>
      <c r="E1777" s="6">
        <v>-211862</v>
      </c>
      <c r="F1777" s="7">
        <v>4.9660000000000002</v>
      </c>
      <c r="G1777" s="7">
        <v>5.6020000000000003</v>
      </c>
      <c r="H1777" s="7">
        <v>5.82</v>
      </c>
      <c r="I1777" s="7">
        <v>4.9359999999999999</v>
      </c>
      <c r="J1777" s="7">
        <v>4.7110000000000003</v>
      </c>
      <c r="K1777" s="7">
        <v>4.0490000000000004</v>
      </c>
      <c r="L1777" s="7">
        <v>3.806</v>
      </c>
      <c r="M1777" s="7">
        <v>4.09</v>
      </c>
      <c r="N1777" s="7">
        <v>4.9880000000000004</v>
      </c>
      <c r="O1777" s="7">
        <v>5.173</v>
      </c>
      <c r="P1777" s="7">
        <v>5.4829999999999997</v>
      </c>
      <c r="Q1777" s="7">
        <v>5.2469999999999999</v>
      </c>
      <c r="R1777" s="7">
        <v>5.6890000000000001</v>
      </c>
      <c r="S1777" s="7">
        <f t="shared" si="27"/>
        <v>4.9661666666666671</v>
      </c>
    </row>
    <row r="1778" spans="1:19">
      <c r="A1778" s="5" t="str">
        <f>B1778&amp;"-"&amp;COUNTIF($B$2:B1778,B1778)</f>
        <v>MINAS GERAIS-212</v>
      </c>
      <c r="B1778" s="5" t="s">
        <v>1126</v>
      </c>
      <c r="C1778" s="5" t="s">
        <v>4664</v>
      </c>
      <c r="D1778" s="6">
        <v>-443639</v>
      </c>
      <c r="E1778" s="6">
        <v>-166845</v>
      </c>
      <c r="F1778" s="7">
        <v>5.6150000000000002</v>
      </c>
      <c r="G1778" s="7">
        <v>6.2089999999999996</v>
      </c>
      <c r="H1778" s="7">
        <v>6.5330000000000004</v>
      </c>
      <c r="I1778" s="7">
        <v>5.5529999999999999</v>
      </c>
      <c r="J1778" s="7">
        <v>5.4160000000000004</v>
      </c>
      <c r="K1778" s="7">
        <v>4.9059999999999997</v>
      </c>
      <c r="L1778" s="7">
        <v>4.6449999999999996</v>
      </c>
      <c r="M1778" s="7">
        <v>4.952</v>
      </c>
      <c r="N1778" s="7">
        <v>5.782</v>
      </c>
      <c r="O1778" s="7">
        <v>5.9989999999999997</v>
      </c>
      <c r="P1778" s="7">
        <v>5.9409999999999998</v>
      </c>
      <c r="Q1778" s="7">
        <v>5.423</v>
      </c>
      <c r="R1778" s="7">
        <v>6.024</v>
      </c>
      <c r="S1778" s="7">
        <f t="shared" si="27"/>
        <v>5.6152499999999996</v>
      </c>
    </row>
    <row r="1779" spans="1:19">
      <c r="A1779" s="5" t="str">
        <f>B1779&amp;"-"&amp;COUNTIF($B$2:B1779,B1779)</f>
        <v>MINAS GERAIS-213</v>
      </c>
      <c r="B1779" s="5" t="s">
        <v>1126</v>
      </c>
      <c r="C1779" s="5" t="s">
        <v>1269</v>
      </c>
      <c r="D1779" s="6">
        <v>-443228</v>
      </c>
      <c r="E1779" s="6">
        <v>-191229</v>
      </c>
      <c r="F1779" s="7">
        <v>5.3289999999999997</v>
      </c>
      <c r="G1779" s="7">
        <v>5.9820000000000002</v>
      </c>
      <c r="H1779" s="7">
        <v>6.2359999999999998</v>
      </c>
      <c r="I1779" s="7">
        <v>5.34</v>
      </c>
      <c r="J1779" s="7">
        <v>5.0519999999999996</v>
      </c>
      <c r="K1779" s="7">
        <v>4.4690000000000003</v>
      </c>
      <c r="L1779" s="7">
        <v>4.226</v>
      </c>
      <c r="M1779" s="7">
        <v>4.5659999999999998</v>
      </c>
      <c r="N1779" s="7">
        <v>5.2839999999999998</v>
      </c>
      <c r="O1779" s="7">
        <v>5.7290000000000001</v>
      </c>
      <c r="P1779" s="7">
        <v>5.7640000000000002</v>
      </c>
      <c r="Q1779" s="7">
        <v>5.4720000000000004</v>
      </c>
      <c r="R1779" s="7">
        <v>5.8310000000000004</v>
      </c>
      <c r="S1779" s="7">
        <f t="shared" si="27"/>
        <v>5.3292500000000009</v>
      </c>
    </row>
    <row r="1780" spans="1:19">
      <c r="A1780" s="5" t="str">
        <f>B1780&amp;"-"&amp;COUNTIF($B$2:B1780,B1780)</f>
        <v>MINAS GERAIS-214</v>
      </c>
      <c r="B1780" s="5" t="s">
        <v>1126</v>
      </c>
      <c r="C1780" s="5" t="s">
        <v>4961</v>
      </c>
      <c r="D1780" s="6">
        <v>-457003</v>
      </c>
      <c r="E1780" s="6">
        <v>-217896</v>
      </c>
      <c r="F1780" s="7">
        <v>4.8550000000000004</v>
      </c>
      <c r="G1780" s="7">
        <v>5.4509999999999996</v>
      </c>
      <c r="H1780" s="7">
        <v>5.7149999999999999</v>
      </c>
      <c r="I1780" s="7">
        <v>4.8719999999999999</v>
      </c>
      <c r="J1780" s="7">
        <v>4.5739999999999998</v>
      </c>
      <c r="K1780" s="7">
        <v>3.9380000000000002</v>
      </c>
      <c r="L1780" s="7">
        <v>3.7</v>
      </c>
      <c r="M1780" s="7">
        <v>3.9340000000000002</v>
      </c>
      <c r="N1780" s="7">
        <v>4.819</v>
      </c>
      <c r="O1780" s="7">
        <v>5.016</v>
      </c>
      <c r="P1780" s="7">
        <v>5.3710000000000004</v>
      </c>
      <c r="Q1780" s="7">
        <v>5.2539999999999996</v>
      </c>
      <c r="R1780" s="7">
        <v>5.617</v>
      </c>
      <c r="S1780" s="7">
        <f t="shared" si="27"/>
        <v>4.855083333333333</v>
      </c>
    </row>
    <row r="1781" spans="1:19">
      <c r="A1781" s="5" t="str">
        <f>B1781&amp;"-"&amp;COUNTIF($B$2:B1781,B1781)</f>
        <v>MINAS GERAIS-215</v>
      </c>
      <c r="B1781" s="5" t="s">
        <v>1126</v>
      </c>
      <c r="C1781" s="5" t="s">
        <v>1270</v>
      </c>
      <c r="D1781" s="6">
        <v>-444546</v>
      </c>
      <c r="E1781" s="6">
        <v>-183694</v>
      </c>
      <c r="F1781" s="7">
        <v>5.48</v>
      </c>
      <c r="G1781" s="7">
        <v>6.0739999999999998</v>
      </c>
      <c r="H1781" s="7">
        <v>6.4</v>
      </c>
      <c r="I1781" s="7">
        <v>5.49</v>
      </c>
      <c r="J1781" s="7">
        <v>5.2720000000000002</v>
      </c>
      <c r="K1781" s="7">
        <v>4.6760000000000002</v>
      </c>
      <c r="L1781" s="7">
        <v>4.3890000000000002</v>
      </c>
      <c r="M1781" s="7">
        <v>4.7629999999999999</v>
      </c>
      <c r="N1781" s="7">
        <v>5.4109999999999996</v>
      </c>
      <c r="O1781" s="7">
        <v>5.8460000000000001</v>
      </c>
      <c r="P1781" s="7">
        <v>5.931</v>
      </c>
      <c r="Q1781" s="7">
        <v>5.5490000000000004</v>
      </c>
      <c r="R1781" s="7">
        <v>5.9509999999999996</v>
      </c>
      <c r="S1781" s="7">
        <f t="shared" si="27"/>
        <v>5.4793333333333329</v>
      </c>
    </row>
    <row r="1782" spans="1:19">
      <c r="A1782" s="5" t="str">
        <f>B1782&amp;"-"&amp;COUNTIF($B$2:B1782,B1782)</f>
        <v>MINAS GERAIS-216</v>
      </c>
      <c r="B1782" s="5" t="s">
        <v>1126</v>
      </c>
      <c r="C1782" s="5" t="s">
        <v>1271</v>
      </c>
      <c r="D1782" s="6">
        <v>-422795</v>
      </c>
      <c r="E1782" s="6">
        <v>-18616</v>
      </c>
      <c r="F1782" s="7">
        <v>4.7210000000000001</v>
      </c>
      <c r="G1782" s="7">
        <v>5.7489999999999997</v>
      </c>
      <c r="H1782" s="7">
        <v>5.9889999999999999</v>
      </c>
      <c r="I1782" s="7">
        <v>5</v>
      </c>
      <c r="J1782" s="7">
        <v>4.38</v>
      </c>
      <c r="K1782" s="7">
        <v>3.7330000000000001</v>
      </c>
      <c r="L1782" s="7">
        <v>3.556</v>
      </c>
      <c r="M1782" s="7">
        <v>3.7</v>
      </c>
      <c r="N1782" s="7">
        <v>4.3689999999999998</v>
      </c>
      <c r="O1782" s="7">
        <v>4.8789999999999996</v>
      </c>
      <c r="P1782" s="7">
        <v>5.0510000000000002</v>
      </c>
      <c r="Q1782" s="7">
        <v>4.6859999999999999</v>
      </c>
      <c r="R1782" s="7">
        <v>5.556</v>
      </c>
      <c r="S1782" s="7">
        <f t="shared" si="27"/>
        <v>4.7206666666666663</v>
      </c>
    </row>
    <row r="1783" spans="1:19">
      <c r="A1783" s="5" t="str">
        <f>B1783&amp;"-"&amp;COUNTIF($B$2:B1783,B1783)</f>
        <v>MINAS GERAIS-217</v>
      </c>
      <c r="B1783" s="5" t="s">
        <v>1126</v>
      </c>
      <c r="C1783" s="5" t="s">
        <v>1272</v>
      </c>
      <c r="D1783" s="6">
        <v>-471937</v>
      </c>
      <c r="E1783" s="6">
        <v>-184738</v>
      </c>
      <c r="F1783" s="7">
        <v>5.33</v>
      </c>
      <c r="G1783" s="7">
        <v>5.6539999999999999</v>
      </c>
      <c r="H1783" s="7">
        <v>5.9950000000000001</v>
      </c>
      <c r="I1783" s="7">
        <v>5.1740000000000004</v>
      </c>
      <c r="J1783" s="7">
        <v>5.0410000000000004</v>
      </c>
      <c r="K1783" s="7">
        <v>4.7080000000000002</v>
      </c>
      <c r="L1783" s="7">
        <v>4.399</v>
      </c>
      <c r="M1783" s="7">
        <v>4.7569999999999997</v>
      </c>
      <c r="N1783" s="7">
        <v>5.6349999999999998</v>
      </c>
      <c r="O1783" s="7">
        <v>5.6680000000000001</v>
      </c>
      <c r="P1783" s="7">
        <v>5.7530000000000001</v>
      </c>
      <c r="Q1783" s="7">
        <v>5.4489999999999998</v>
      </c>
      <c r="R1783" s="7">
        <v>5.7320000000000002</v>
      </c>
      <c r="S1783" s="7">
        <f t="shared" si="27"/>
        <v>5.3304166666666664</v>
      </c>
    </row>
    <row r="1784" spans="1:19">
      <c r="A1784" s="5" t="str">
        <f>B1784&amp;"-"&amp;COUNTIF($B$2:B1784,B1784)</f>
        <v>MINAS GERAIS-218</v>
      </c>
      <c r="B1784" s="5" t="s">
        <v>1126</v>
      </c>
      <c r="C1784" s="5" t="s">
        <v>1273</v>
      </c>
      <c r="D1784" s="6">
        <v>-426279</v>
      </c>
      <c r="E1784" s="6">
        <v>-195184</v>
      </c>
      <c r="F1784" s="7">
        <v>4.6749999999999998</v>
      </c>
      <c r="G1784" s="7">
        <v>5.5140000000000002</v>
      </c>
      <c r="H1784" s="7">
        <v>5.8810000000000002</v>
      </c>
      <c r="I1784" s="7">
        <v>4.8620000000000001</v>
      </c>
      <c r="J1784" s="7">
        <v>4.4489999999999998</v>
      </c>
      <c r="K1784" s="7">
        <v>3.7639999999999998</v>
      </c>
      <c r="L1784" s="7">
        <v>3.6320000000000001</v>
      </c>
      <c r="M1784" s="7">
        <v>3.7949999999999999</v>
      </c>
      <c r="N1784" s="7">
        <v>4.4619999999999997</v>
      </c>
      <c r="O1784" s="7">
        <v>4.7969999999999997</v>
      </c>
      <c r="P1784" s="7">
        <v>4.9560000000000004</v>
      </c>
      <c r="Q1784" s="7">
        <v>4.5860000000000003</v>
      </c>
      <c r="R1784" s="7">
        <v>5.3940000000000001</v>
      </c>
      <c r="S1784" s="7">
        <f t="shared" si="27"/>
        <v>4.6743333333333323</v>
      </c>
    </row>
    <row r="1785" spans="1:19">
      <c r="A1785" s="5" t="str">
        <f>B1785&amp;"-"&amp;COUNTIF($B$2:B1785,B1785)</f>
        <v>MINAS GERAIS-219</v>
      </c>
      <c r="B1785" s="5" t="s">
        <v>1126</v>
      </c>
      <c r="C1785" s="5" t="s">
        <v>1274</v>
      </c>
      <c r="D1785" s="6">
        <v>-421843</v>
      </c>
      <c r="E1785" s="6">
        <v>-166153</v>
      </c>
      <c r="F1785" s="7">
        <v>5.149</v>
      </c>
      <c r="G1785" s="7">
        <v>6.14</v>
      </c>
      <c r="H1785" s="7">
        <v>6.327</v>
      </c>
      <c r="I1785" s="7">
        <v>5.3959999999999999</v>
      </c>
      <c r="J1785" s="7">
        <v>4.7729999999999997</v>
      </c>
      <c r="K1785" s="7">
        <v>4.12</v>
      </c>
      <c r="L1785" s="7">
        <v>3.8170000000000002</v>
      </c>
      <c r="M1785" s="7">
        <v>4.056</v>
      </c>
      <c r="N1785" s="7">
        <v>4.7750000000000004</v>
      </c>
      <c r="O1785" s="7">
        <v>5.4589999999999996</v>
      </c>
      <c r="P1785" s="7">
        <v>5.6340000000000003</v>
      </c>
      <c r="Q1785" s="7">
        <v>5.2560000000000002</v>
      </c>
      <c r="R1785" s="7">
        <v>6.0359999999999996</v>
      </c>
      <c r="S1785" s="7">
        <f t="shared" si="27"/>
        <v>5.1490833333333335</v>
      </c>
    </row>
    <row r="1786" spans="1:19">
      <c r="A1786" s="5" t="str">
        <f>B1786&amp;"-"&amp;COUNTIF($B$2:B1786,B1786)</f>
        <v>MINAS GERAIS-220</v>
      </c>
      <c r="B1786" s="5" t="s">
        <v>1126</v>
      </c>
      <c r="C1786" s="5" t="s">
        <v>1275</v>
      </c>
      <c r="D1786" s="6">
        <v>-432564</v>
      </c>
      <c r="E1786" s="6">
        <v>-215902</v>
      </c>
      <c r="F1786" s="7">
        <v>4.6210000000000004</v>
      </c>
      <c r="G1786" s="7">
        <v>5.5990000000000002</v>
      </c>
      <c r="H1786" s="7">
        <v>5.9370000000000003</v>
      </c>
      <c r="I1786" s="7">
        <v>4.9349999999999996</v>
      </c>
      <c r="J1786" s="7">
        <v>4.2779999999999996</v>
      </c>
      <c r="K1786" s="7">
        <v>3.585</v>
      </c>
      <c r="L1786" s="7">
        <v>3.3839999999999999</v>
      </c>
      <c r="M1786" s="7">
        <v>3.597</v>
      </c>
      <c r="N1786" s="7">
        <v>4.3380000000000001</v>
      </c>
      <c r="O1786" s="7">
        <v>4.6379999999999999</v>
      </c>
      <c r="P1786" s="7">
        <v>4.91</v>
      </c>
      <c r="Q1786" s="7">
        <v>4.7480000000000002</v>
      </c>
      <c r="R1786" s="7">
        <v>5.4989999999999997</v>
      </c>
      <c r="S1786" s="7">
        <f t="shared" si="27"/>
        <v>4.6206666666666658</v>
      </c>
    </row>
    <row r="1787" spans="1:19">
      <c r="A1787" s="5" t="str">
        <f>B1787&amp;"-"&amp;COUNTIF($B$2:B1787,B1787)</f>
        <v>MINAS GERAIS-221</v>
      </c>
      <c r="B1787" s="5" t="s">
        <v>1126</v>
      </c>
      <c r="C1787" s="5" t="s">
        <v>1276</v>
      </c>
      <c r="D1787" s="6">
        <v>-44221</v>
      </c>
      <c r="E1787" s="6">
        <v>-210282</v>
      </c>
      <c r="F1787" s="7">
        <v>4.8070000000000004</v>
      </c>
      <c r="G1787" s="7">
        <v>5.5750000000000002</v>
      </c>
      <c r="H1787" s="7">
        <v>5.806</v>
      </c>
      <c r="I1787" s="7">
        <v>4.8440000000000003</v>
      </c>
      <c r="J1787" s="7">
        <v>4.4320000000000004</v>
      </c>
      <c r="K1787" s="7">
        <v>3.843</v>
      </c>
      <c r="L1787" s="7">
        <v>3.6760000000000002</v>
      </c>
      <c r="M1787" s="7">
        <v>3.9180000000000001</v>
      </c>
      <c r="N1787" s="7">
        <v>4.8780000000000001</v>
      </c>
      <c r="O1787" s="7">
        <v>5.0629999999999997</v>
      </c>
      <c r="P1787" s="7">
        <v>5.202</v>
      </c>
      <c r="Q1787" s="7">
        <v>4.9480000000000004</v>
      </c>
      <c r="R1787" s="7">
        <v>5.5060000000000002</v>
      </c>
      <c r="S1787" s="7">
        <f t="shared" si="27"/>
        <v>4.8075833333333335</v>
      </c>
    </row>
    <row r="1788" spans="1:19">
      <c r="A1788" s="5" t="str">
        <f>B1788&amp;"-"&amp;COUNTIF($B$2:B1788,B1788)</f>
        <v>MINAS GERAIS-222</v>
      </c>
      <c r="B1788" s="5" t="s">
        <v>1126</v>
      </c>
      <c r="C1788" s="5" t="s">
        <v>5374</v>
      </c>
      <c r="D1788" s="6">
        <v>-434652</v>
      </c>
      <c r="E1788" s="6">
        <v>-180732</v>
      </c>
      <c r="F1788" s="7">
        <v>5.1120000000000001</v>
      </c>
      <c r="G1788" s="7">
        <v>5.931</v>
      </c>
      <c r="H1788" s="7">
        <v>6.1989999999999998</v>
      </c>
      <c r="I1788" s="7">
        <v>5.1429999999999998</v>
      </c>
      <c r="J1788" s="7">
        <v>4.7380000000000004</v>
      </c>
      <c r="K1788" s="7">
        <v>4.1989999999999998</v>
      </c>
      <c r="L1788" s="7">
        <v>4.0670000000000002</v>
      </c>
      <c r="M1788" s="7">
        <v>4.3369999999999997</v>
      </c>
      <c r="N1788" s="7">
        <v>5.0910000000000002</v>
      </c>
      <c r="O1788" s="7">
        <v>5.5439999999999996</v>
      </c>
      <c r="P1788" s="7">
        <v>5.4969999999999999</v>
      </c>
      <c r="Q1788" s="7">
        <v>4.9349999999999996</v>
      </c>
      <c r="R1788" s="7">
        <v>5.6589999999999998</v>
      </c>
      <c r="S1788" s="7">
        <f t="shared" si="27"/>
        <v>5.1116666666666672</v>
      </c>
    </row>
    <row r="1789" spans="1:19">
      <c r="A1789" s="5" t="str">
        <f>B1789&amp;"-"&amp;COUNTIF($B$2:B1789,B1789)</f>
        <v>MINAS GERAIS-223</v>
      </c>
      <c r="B1789" s="5" t="s">
        <v>1126</v>
      </c>
      <c r="C1789" s="5" t="s">
        <v>5121</v>
      </c>
      <c r="D1789" s="6">
        <v>-409187</v>
      </c>
      <c r="E1789" s="6">
        <v>-172386</v>
      </c>
      <c r="F1789" s="7">
        <v>4.9880000000000004</v>
      </c>
      <c r="G1789" s="7">
        <v>6.1980000000000004</v>
      </c>
      <c r="H1789" s="7">
        <v>6.3949999999999996</v>
      </c>
      <c r="I1789" s="7">
        <v>5.4409999999999998</v>
      </c>
      <c r="J1789" s="7">
        <v>4.6870000000000003</v>
      </c>
      <c r="K1789" s="7">
        <v>3.883</v>
      </c>
      <c r="L1789" s="7">
        <v>3.5190000000000001</v>
      </c>
      <c r="M1789" s="7">
        <v>3.6970000000000001</v>
      </c>
      <c r="N1789" s="7">
        <v>4.359</v>
      </c>
      <c r="O1789" s="7">
        <v>5.0209999999999999</v>
      </c>
      <c r="P1789" s="7">
        <v>5.2889999999999997</v>
      </c>
      <c r="Q1789" s="7">
        <v>5.1989999999999998</v>
      </c>
      <c r="R1789" s="7">
        <v>6.1680000000000001</v>
      </c>
      <c r="S1789" s="7">
        <f t="shared" si="27"/>
        <v>4.9880000000000004</v>
      </c>
    </row>
    <row r="1790" spans="1:19">
      <c r="A1790" s="5" t="str">
        <f>B1790&amp;"-"&amp;COUNTIF($B$2:B1790,B1790)</f>
        <v>MINAS GERAIS-224</v>
      </c>
      <c r="B1790" s="5" t="s">
        <v>1126</v>
      </c>
      <c r="C1790" s="5" t="s">
        <v>5586</v>
      </c>
      <c r="D1790" s="6">
        <v>-428575</v>
      </c>
      <c r="E1790" s="6">
        <v>-167165</v>
      </c>
      <c r="F1790" s="7">
        <v>5.1660000000000004</v>
      </c>
      <c r="G1790" s="7">
        <v>6.0759999999999996</v>
      </c>
      <c r="H1790" s="7">
        <v>6.3479999999999999</v>
      </c>
      <c r="I1790" s="7">
        <v>5.327</v>
      </c>
      <c r="J1790" s="7">
        <v>4.718</v>
      </c>
      <c r="K1790" s="7">
        <v>4.1559999999999997</v>
      </c>
      <c r="L1790" s="7">
        <v>3.903</v>
      </c>
      <c r="M1790" s="7">
        <v>4.149</v>
      </c>
      <c r="N1790" s="7">
        <v>5.0179999999999998</v>
      </c>
      <c r="O1790" s="7">
        <v>5.5369999999999999</v>
      </c>
      <c r="P1790" s="7">
        <v>5.6820000000000004</v>
      </c>
      <c r="Q1790" s="7">
        <v>5.1619999999999999</v>
      </c>
      <c r="R1790" s="7">
        <v>5.9189999999999996</v>
      </c>
      <c r="S1790" s="7">
        <f t="shared" si="27"/>
        <v>5.1662499999999989</v>
      </c>
    </row>
    <row r="1791" spans="1:19">
      <c r="A1791" s="5" t="str">
        <f>B1791&amp;"-"&amp;COUNTIF($B$2:B1791,B1791)</f>
        <v>MINAS GERAIS-225</v>
      </c>
      <c r="B1791" s="5" t="s">
        <v>1126</v>
      </c>
      <c r="C1791" s="5" t="s">
        <v>1277</v>
      </c>
      <c r="D1791" s="6">
        <v>-455171</v>
      </c>
      <c r="E1791" s="6">
        <v>-208738</v>
      </c>
      <c r="F1791" s="7">
        <v>4.9989999999999997</v>
      </c>
      <c r="G1791" s="7">
        <v>5.6449999999999996</v>
      </c>
      <c r="H1791" s="7">
        <v>5.8650000000000002</v>
      </c>
      <c r="I1791" s="7">
        <v>4.9939999999999998</v>
      </c>
      <c r="J1791" s="7">
        <v>4.7880000000000003</v>
      </c>
      <c r="K1791" s="7">
        <v>4.1210000000000004</v>
      </c>
      <c r="L1791" s="7">
        <v>3.8639999999999999</v>
      </c>
      <c r="M1791" s="7">
        <v>4.1449999999999996</v>
      </c>
      <c r="N1791" s="7">
        <v>5.0170000000000003</v>
      </c>
      <c r="O1791" s="7">
        <v>5.1859999999999999</v>
      </c>
      <c r="P1791" s="7">
        <v>5.4669999999999996</v>
      </c>
      <c r="Q1791" s="7">
        <v>5.226</v>
      </c>
      <c r="R1791" s="7">
        <v>5.6749999999999998</v>
      </c>
      <c r="S1791" s="7">
        <f t="shared" si="27"/>
        <v>4.999416666666666</v>
      </c>
    </row>
    <row r="1792" spans="1:19">
      <c r="A1792" s="5" t="str">
        <f>B1792&amp;"-"&amp;COUNTIF($B$2:B1792,B1792)</f>
        <v>MINAS GERAIS-226</v>
      </c>
      <c r="B1792" s="5" t="s">
        <v>1126</v>
      </c>
      <c r="C1792" s="5" t="s">
        <v>1278</v>
      </c>
      <c r="D1792" s="6">
        <v>-438169</v>
      </c>
      <c r="E1792" s="6">
        <v>-208329</v>
      </c>
      <c r="F1792" s="7">
        <v>4.8310000000000004</v>
      </c>
      <c r="G1792" s="7">
        <v>5.633</v>
      </c>
      <c r="H1792" s="7">
        <v>5.9139999999999997</v>
      </c>
      <c r="I1792" s="7">
        <v>4.8979999999999997</v>
      </c>
      <c r="J1792" s="7">
        <v>4.4690000000000003</v>
      </c>
      <c r="K1792" s="7">
        <v>3.8570000000000002</v>
      </c>
      <c r="L1792" s="7">
        <v>3.6909999999999998</v>
      </c>
      <c r="M1792" s="7">
        <v>3.8889999999999998</v>
      </c>
      <c r="N1792" s="7">
        <v>4.8209999999999997</v>
      </c>
      <c r="O1792" s="7">
        <v>5.0410000000000004</v>
      </c>
      <c r="P1792" s="7">
        <v>5.2249999999999996</v>
      </c>
      <c r="Q1792" s="7">
        <v>4.9630000000000001</v>
      </c>
      <c r="R1792" s="7">
        <v>5.5679999999999996</v>
      </c>
      <c r="S1792" s="7">
        <f t="shared" si="27"/>
        <v>4.8307499999999992</v>
      </c>
    </row>
    <row r="1793" spans="1:19">
      <c r="A1793" s="5" t="str">
        <f>B1793&amp;"-"&amp;COUNTIF($B$2:B1793,B1793)</f>
        <v>MINAS GERAIS-227</v>
      </c>
      <c r="B1793" s="5" t="s">
        <v>1126</v>
      </c>
      <c r="C1793" s="5" t="s">
        <v>1279</v>
      </c>
      <c r="D1793" s="6">
        <v>-452677</v>
      </c>
      <c r="E1793" s="6">
        <v>-222085</v>
      </c>
      <c r="F1793" s="7">
        <v>4.7729999999999997</v>
      </c>
      <c r="G1793" s="7">
        <v>5.3170000000000002</v>
      </c>
      <c r="H1793" s="7">
        <v>5.5940000000000003</v>
      </c>
      <c r="I1793" s="7">
        <v>4.8239999999999998</v>
      </c>
      <c r="J1793" s="7">
        <v>4.49</v>
      </c>
      <c r="K1793" s="7">
        <v>3.8679999999999999</v>
      </c>
      <c r="L1793" s="7">
        <v>3.605</v>
      </c>
      <c r="M1793" s="7">
        <v>3.8420000000000001</v>
      </c>
      <c r="N1793" s="7">
        <v>4.7380000000000004</v>
      </c>
      <c r="O1793" s="7">
        <v>4.9569999999999999</v>
      </c>
      <c r="P1793" s="7">
        <v>5.3310000000000004</v>
      </c>
      <c r="Q1793" s="7">
        <v>5.1859999999999999</v>
      </c>
      <c r="R1793" s="7">
        <v>5.524</v>
      </c>
      <c r="S1793" s="7">
        <f t="shared" si="27"/>
        <v>4.7730000000000006</v>
      </c>
    </row>
    <row r="1794" spans="1:19">
      <c r="A1794" s="5" t="str">
        <f>B1794&amp;"-"&amp;COUNTIF($B$2:B1794,B1794)</f>
        <v>MINAS GERAIS-228</v>
      </c>
      <c r="B1794" s="5" t="s">
        <v>1126</v>
      </c>
      <c r="C1794" s="5" t="s">
        <v>4962</v>
      </c>
      <c r="D1794" s="6">
        <v>-443338</v>
      </c>
      <c r="E1794" s="6">
        <v>-203928</v>
      </c>
      <c r="F1794" s="7">
        <v>5.0140000000000002</v>
      </c>
      <c r="G1794" s="7">
        <v>5.6459999999999999</v>
      </c>
      <c r="H1794" s="7">
        <v>5.843</v>
      </c>
      <c r="I1794" s="7">
        <v>5.0060000000000002</v>
      </c>
      <c r="J1794" s="7">
        <v>4.6849999999999996</v>
      </c>
      <c r="K1794" s="7">
        <v>4.16</v>
      </c>
      <c r="L1794" s="7">
        <v>3.9950000000000001</v>
      </c>
      <c r="M1794" s="7">
        <v>4.2729999999999997</v>
      </c>
      <c r="N1794" s="7">
        <v>5.1109999999999998</v>
      </c>
      <c r="O1794" s="7">
        <v>5.3559999999999999</v>
      </c>
      <c r="P1794" s="7">
        <v>5.45</v>
      </c>
      <c r="Q1794" s="7">
        <v>5.1379999999999999</v>
      </c>
      <c r="R1794" s="7">
        <v>5.4989999999999997</v>
      </c>
      <c r="S1794" s="7">
        <f t="shared" si="27"/>
        <v>5.0135000000000005</v>
      </c>
    </row>
    <row r="1795" spans="1:19">
      <c r="A1795" s="5" t="str">
        <f>B1795&amp;"-"&amp;COUNTIF($B$2:B1795,B1795)</f>
        <v>MINAS GERAIS-229</v>
      </c>
      <c r="B1795" s="5" t="s">
        <v>1126</v>
      </c>
      <c r="C1795" s="5" t="s">
        <v>1280</v>
      </c>
      <c r="D1795" s="6">
        <v>-448071</v>
      </c>
      <c r="E1795" s="6">
        <v>-218405</v>
      </c>
      <c r="F1795" s="7">
        <v>4.8179999999999996</v>
      </c>
      <c r="G1795" s="7">
        <v>5.399</v>
      </c>
      <c r="H1795" s="7">
        <v>5.6980000000000004</v>
      </c>
      <c r="I1795" s="7">
        <v>4.92</v>
      </c>
      <c r="J1795" s="7">
        <v>4.532</v>
      </c>
      <c r="K1795" s="7">
        <v>3.855</v>
      </c>
      <c r="L1795" s="7">
        <v>3.6269999999999998</v>
      </c>
      <c r="M1795" s="7">
        <v>3.899</v>
      </c>
      <c r="N1795" s="7">
        <v>4.7960000000000003</v>
      </c>
      <c r="O1795" s="7">
        <v>5.0359999999999996</v>
      </c>
      <c r="P1795" s="7">
        <v>5.3380000000000001</v>
      </c>
      <c r="Q1795" s="7">
        <v>5.165</v>
      </c>
      <c r="R1795" s="7">
        <v>5.5430000000000001</v>
      </c>
      <c r="S1795" s="7">
        <f t="shared" ref="S1795:S1858" si="28">(G1795+H1795+I1795+J1795+K1795+L1795+M1795+N1795+O1795+P1795+Q1795+R1795)/12</f>
        <v>4.8173333333333339</v>
      </c>
    </row>
    <row r="1796" spans="1:19">
      <c r="A1796" s="5" t="str">
        <f>B1796&amp;"-"&amp;COUNTIF($B$2:B1796,B1796)</f>
        <v>MINAS GERAIS-230</v>
      </c>
      <c r="B1796" s="5" t="s">
        <v>1126</v>
      </c>
      <c r="C1796" s="5" t="s">
        <v>1281</v>
      </c>
      <c r="D1796" s="6">
        <v>-466728</v>
      </c>
      <c r="E1796" s="6">
        <v>-189461</v>
      </c>
      <c r="F1796" s="7">
        <v>5.2690000000000001</v>
      </c>
      <c r="G1796" s="7">
        <v>5.6820000000000004</v>
      </c>
      <c r="H1796" s="7">
        <v>6.0819999999999999</v>
      </c>
      <c r="I1796" s="7">
        <v>5.0419999999999998</v>
      </c>
      <c r="J1796" s="7">
        <v>5.0119999999999996</v>
      </c>
      <c r="K1796" s="7">
        <v>4.6340000000000003</v>
      </c>
      <c r="L1796" s="7">
        <v>4.3680000000000003</v>
      </c>
      <c r="M1796" s="7">
        <v>4.6669999999999998</v>
      </c>
      <c r="N1796" s="7">
        <v>5.625</v>
      </c>
      <c r="O1796" s="7">
        <v>5.6180000000000003</v>
      </c>
      <c r="P1796" s="7">
        <v>5.6109999999999998</v>
      </c>
      <c r="Q1796" s="7">
        <v>5.2649999999999997</v>
      </c>
      <c r="R1796" s="7">
        <v>5.6180000000000003</v>
      </c>
      <c r="S1796" s="7">
        <f t="shared" si="28"/>
        <v>5.2686666666666673</v>
      </c>
    </row>
    <row r="1797" spans="1:19">
      <c r="A1797" s="5" t="str">
        <f>B1797&amp;"-"&amp;COUNTIF($B$2:B1797,B1797)</f>
        <v>MINAS GERAIS-231</v>
      </c>
      <c r="B1797" s="5" t="s">
        <v>1126</v>
      </c>
      <c r="C1797" s="5" t="s">
        <v>1282</v>
      </c>
      <c r="D1797" s="6">
        <v>-41099</v>
      </c>
      <c r="E1797" s="6">
        <v>-189653</v>
      </c>
      <c r="F1797" s="7">
        <v>4.758</v>
      </c>
      <c r="G1797" s="7">
        <v>5.883</v>
      </c>
      <c r="H1797" s="7">
        <v>6.024</v>
      </c>
      <c r="I1797" s="7">
        <v>5.1029999999999998</v>
      </c>
      <c r="J1797" s="7">
        <v>4.46</v>
      </c>
      <c r="K1797" s="7">
        <v>3.8109999999999999</v>
      </c>
      <c r="L1797" s="7">
        <v>3.5049999999999999</v>
      </c>
      <c r="M1797" s="7">
        <v>3.6240000000000001</v>
      </c>
      <c r="N1797" s="7">
        <v>4.2720000000000002</v>
      </c>
      <c r="O1797" s="7">
        <v>4.8360000000000003</v>
      </c>
      <c r="P1797" s="7">
        <v>5.05</v>
      </c>
      <c r="Q1797" s="7">
        <v>4.88</v>
      </c>
      <c r="R1797" s="7">
        <v>5.65</v>
      </c>
      <c r="S1797" s="7">
        <f t="shared" si="28"/>
        <v>4.758166666666666</v>
      </c>
    </row>
    <row r="1798" spans="1:19">
      <c r="A1798" s="5" t="str">
        <f>B1798&amp;"-"&amp;COUNTIF($B$2:B1798,B1798)</f>
        <v>MINAS GERAIS-232</v>
      </c>
      <c r="B1798" s="5" t="s">
        <v>1126</v>
      </c>
      <c r="C1798" s="5" t="s">
        <v>1283</v>
      </c>
      <c r="D1798" s="6">
        <v>-41856</v>
      </c>
      <c r="E1798" s="6">
        <v>-159332</v>
      </c>
      <c r="F1798" s="7">
        <v>5.1719999999999997</v>
      </c>
      <c r="G1798" s="7">
        <v>6.18</v>
      </c>
      <c r="H1798" s="7">
        <v>6.2519999999999998</v>
      </c>
      <c r="I1798" s="7">
        <v>5.4589999999999996</v>
      </c>
      <c r="J1798" s="7">
        <v>4.7549999999999999</v>
      </c>
      <c r="K1798" s="7">
        <v>4.1159999999999997</v>
      </c>
      <c r="L1798" s="7">
        <v>3.78</v>
      </c>
      <c r="M1798" s="7">
        <v>4.0259999999999998</v>
      </c>
      <c r="N1798" s="7">
        <v>4.7350000000000003</v>
      </c>
      <c r="O1798" s="7">
        <v>5.6360000000000001</v>
      </c>
      <c r="P1798" s="7">
        <v>5.6989999999999998</v>
      </c>
      <c r="Q1798" s="7">
        <v>5.3479999999999999</v>
      </c>
      <c r="R1798" s="7">
        <v>6.077</v>
      </c>
      <c r="S1798" s="7">
        <f t="shared" si="28"/>
        <v>5.1719166666666663</v>
      </c>
    </row>
    <row r="1799" spans="1:19">
      <c r="A1799" s="5" t="str">
        <f>B1799&amp;"-"&amp;COUNTIF($B$2:B1799,B1799)</f>
        <v>MINAS GERAIS-233</v>
      </c>
      <c r="B1799" s="5" t="s">
        <v>1126</v>
      </c>
      <c r="C1799" s="5" t="s">
        <v>1284</v>
      </c>
      <c r="D1799" s="6">
        <v>-444306</v>
      </c>
      <c r="E1799" s="6">
        <v>-187532</v>
      </c>
      <c r="F1799" s="7">
        <v>5.4180000000000001</v>
      </c>
      <c r="G1799" s="7">
        <v>6.056</v>
      </c>
      <c r="H1799" s="7">
        <v>6.3540000000000001</v>
      </c>
      <c r="I1799" s="7">
        <v>5.4749999999999996</v>
      </c>
      <c r="J1799" s="7">
        <v>5.1660000000000004</v>
      </c>
      <c r="K1799" s="7">
        <v>4.5919999999999996</v>
      </c>
      <c r="L1799" s="7">
        <v>4.2709999999999999</v>
      </c>
      <c r="M1799" s="7">
        <v>4.6719999999999997</v>
      </c>
      <c r="N1799" s="7">
        <v>5.34</v>
      </c>
      <c r="O1799" s="7">
        <v>5.7859999999999996</v>
      </c>
      <c r="P1799" s="7">
        <v>5.8460000000000001</v>
      </c>
      <c r="Q1799" s="7">
        <v>5.5430000000000001</v>
      </c>
      <c r="R1799" s="7">
        <v>5.9109999999999996</v>
      </c>
      <c r="S1799" s="7">
        <f t="shared" si="28"/>
        <v>5.4176666666666664</v>
      </c>
    </row>
    <row r="1800" spans="1:19">
      <c r="A1800" s="5" t="str">
        <f>B1800&amp;"-"&amp;COUNTIF($B$2:B1800,B1800)</f>
        <v>MINAS GERAIS-234</v>
      </c>
      <c r="B1800" s="5" t="s">
        <v>1126</v>
      </c>
      <c r="C1800" s="5" t="s">
        <v>1285</v>
      </c>
      <c r="D1800" s="6">
        <v>-436595</v>
      </c>
      <c r="E1800" s="6">
        <v>-184482</v>
      </c>
      <c r="F1800" s="7">
        <v>5.1109999999999998</v>
      </c>
      <c r="G1800" s="7">
        <v>5.7439999999999998</v>
      </c>
      <c r="H1800" s="7">
        <v>6.0129999999999999</v>
      </c>
      <c r="I1800" s="7">
        <v>5.0279999999999996</v>
      </c>
      <c r="J1800" s="7">
        <v>4.6420000000000003</v>
      </c>
      <c r="K1800" s="7">
        <v>4.2629999999999999</v>
      </c>
      <c r="L1800" s="7">
        <v>4.1340000000000003</v>
      </c>
      <c r="M1800" s="7">
        <v>4.476</v>
      </c>
      <c r="N1800" s="7">
        <v>5.2270000000000003</v>
      </c>
      <c r="O1800" s="7">
        <v>5.6109999999999998</v>
      </c>
      <c r="P1800" s="7">
        <v>5.5910000000000002</v>
      </c>
      <c r="Q1800" s="7">
        <v>5.0229999999999997</v>
      </c>
      <c r="R1800" s="7">
        <v>5.5789999999999997</v>
      </c>
      <c r="S1800" s="7">
        <f t="shared" si="28"/>
        <v>5.1109166666666663</v>
      </c>
    </row>
    <row r="1801" spans="1:19">
      <c r="A1801" s="5" t="str">
        <f>B1801&amp;"-"&amp;COUNTIF($B$2:B1801,B1801)</f>
        <v>MINAS GERAIS-235</v>
      </c>
      <c r="B1801" s="5" t="s">
        <v>1126</v>
      </c>
      <c r="C1801" s="5" t="s">
        <v>1286</v>
      </c>
      <c r="D1801" s="6">
        <v>-452796</v>
      </c>
      <c r="E1801" s="6">
        <v>-225041</v>
      </c>
      <c r="F1801" s="7">
        <v>4.6749999999999998</v>
      </c>
      <c r="G1801" s="7">
        <v>5.1920000000000002</v>
      </c>
      <c r="H1801" s="7">
        <v>5.4240000000000004</v>
      </c>
      <c r="I1801" s="7">
        <v>4.665</v>
      </c>
      <c r="J1801" s="7">
        <v>4.3470000000000004</v>
      </c>
      <c r="K1801" s="7">
        <v>3.7589999999999999</v>
      </c>
      <c r="L1801" s="7">
        <v>3.581</v>
      </c>
      <c r="M1801" s="7">
        <v>3.7719999999999998</v>
      </c>
      <c r="N1801" s="7">
        <v>4.6840000000000002</v>
      </c>
      <c r="O1801" s="7">
        <v>4.8780000000000001</v>
      </c>
      <c r="P1801" s="7">
        <v>5.2220000000000004</v>
      </c>
      <c r="Q1801" s="7">
        <v>5.141</v>
      </c>
      <c r="R1801" s="7">
        <v>5.44</v>
      </c>
      <c r="S1801" s="7">
        <f t="shared" si="28"/>
        <v>4.6754166666666661</v>
      </c>
    </row>
    <row r="1802" spans="1:19">
      <c r="A1802" s="5" t="str">
        <f>B1802&amp;"-"&amp;COUNTIF($B$2:B1802,B1802)</f>
        <v>MINAS GERAIS-236</v>
      </c>
      <c r="B1802" s="5" t="s">
        <v>1126</v>
      </c>
      <c r="C1802" s="5" t="s">
        <v>5122</v>
      </c>
      <c r="D1802" s="6">
        <v>-468459</v>
      </c>
      <c r="E1802" s="6">
        <v>-203472</v>
      </c>
      <c r="F1802" s="7">
        <v>5.0449999999999999</v>
      </c>
      <c r="G1802" s="7">
        <v>5.4669999999999996</v>
      </c>
      <c r="H1802" s="7">
        <v>5.7060000000000004</v>
      </c>
      <c r="I1802" s="7">
        <v>4.915</v>
      </c>
      <c r="J1802" s="7">
        <v>4.8460000000000001</v>
      </c>
      <c r="K1802" s="7">
        <v>4.2930000000000001</v>
      </c>
      <c r="L1802" s="7">
        <v>4.07</v>
      </c>
      <c r="M1802" s="7">
        <v>4.3220000000000001</v>
      </c>
      <c r="N1802" s="7">
        <v>5.202</v>
      </c>
      <c r="O1802" s="7">
        <v>5.2370000000000001</v>
      </c>
      <c r="P1802" s="7">
        <v>5.5410000000000004</v>
      </c>
      <c r="Q1802" s="7">
        <v>5.3920000000000003</v>
      </c>
      <c r="R1802" s="7">
        <v>5.5449999999999999</v>
      </c>
      <c r="S1802" s="7">
        <f t="shared" si="28"/>
        <v>5.0446666666666671</v>
      </c>
    </row>
    <row r="1803" spans="1:19">
      <c r="A1803" s="5" t="str">
        <f>B1803&amp;"-"&amp;COUNTIF($B$2:B1803,B1803)</f>
        <v>MINAS GERAIS-237</v>
      </c>
      <c r="B1803" s="5" t="s">
        <v>1126</v>
      </c>
      <c r="C1803" s="5" t="s">
        <v>1287</v>
      </c>
      <c r="D1803" s="6">
        <v>-477746</v>
      </c>
      <c r="E1803" s="6">
        <v>-199741</v>
      </c>
      <c r="F1803" s="7">
        <v>5.1550000000000002</v>
      </c>
      <c r="G1803" s="7">
        <v>5.5730000000000004</v>
      </c>
      <c r="H1803" s="7">
        <v>5.89</v>
      </c>
      <c r="I1803" s="7">
        <v>5.101</v>
      </c>
      <c r="J1803" s="7">
        <v>5.0190000000000001</v>
      </c>
      <c r="K1803" s="7">
        <v>4.343</v>
      </c>
      <c r="L1803" s="7">
        <v>4.1189999999999998</v>
      </c>
      <c r="M1803" s="7">
        <v>4.3869999999999996</v>
      </c>
      <c r="N1803" s="7">
        <v>5.2750000000000004</v>
      </c>
      <c r="O1803" s="7">
        <v>5.1790000000000003</v>
      </c>
      <c r="P1803" s="7">
        <v>5.58</v>
      </c>
      <c r="Q1803" s="7">
        <v>5.5720000000000001</v>
      </c>
      <c r="R1803" s="7">
        <v>5.8209999999999997</v>
      </c>
      <c r="S1803" s="7">
        <f t="shared" si="28"/>
        <v>5.1549166666666659</v>
      </c>
    </row>
    <row r="1804" spans="1:19">
      <c r="A1804" s="5" t="str">
        <f>B1804&amp;"-"&amp;COUNTIF($B$2:B1804,B1804)</f>
        <v>MINAS GERAIS-238</v>
      </c>
      <c r="B1804" s="5" t="s">
        <v>1126</v>
      </c>
      <c r="C1804" s="5" t="s">
        <v>1288</v>
      </c>
      <c r="D1804" s="6">
        <v>-429621</v>
      </c>
      <c r="E1804" s="6">
        <v>-214605</v>
      </c>
      <c r="F1804" s="7">
        <v>4.7149999999999999</v>
      </c>
      <c r="G1804" s="7">
        <v>5.84</v>
      </c>
      <c r="H1804" s="7">
        <v>6.0039999999999996</v>
      </c>
      <c r="I1804" s="7">
        <v>4.9950000000000001</v>
      </c>
      <c r="J1804" s="7">
        <v>4.3639999999999999</v>
      </c>
      <c r="K1804" s="7">
        <v>3.6419999999999999</v>
      </c>
      <c r="L1804" s="7">
        <v>3.4489999999999998</v>
      </c>
      <c r="M1804" s="7">
        <v>3.6389999999999998</v>
      </c>
      <c r="N1804" s="7">
        <v>4.3949999999999996</v>
      </c>
      <c r="O1804" s="7">
        <v>4.7430000000000003</v>
      </c>
      <c r="P1804" s="7">
        <v>5.0170000000000003</v>
      </c>
      <c r="Q1804" s="7">
        <v>4.859</v>
      </c>
      <c r="R1804" s="7">
        <v>5.6310000000000002</v>
      </c>
      <c r="S1804" s="7">
        <f t="shared" si="28"/>
        <v>4.7148333333333339</v>
      </c>
    </row>
    <row r="1805" spans="1:19">
      <c r="A1805" s="5" t="str">
        <f>B1805&amp;"-"&amp;COUNTIF($B$2:B1805,B1805)</f>
        <v>MINAS GERAIS-239</v>
      </c>
      <c r="B1805" s="5" t="s">
        <v>1126</v>
      </c>
      <c r="C1805" s="5" t="s">
        <v>1289</v>
      </c>
      <c r="D1805" s="6">
        <v>-443338</v>
      </c>
      <c r="E1805" s="6">
        <v>-206655</v>
      </c>
      <c r="F1805" s="7">
        <v>4.952</v>
      </c>
      <c r="G1805" s="7">
        <v>5.6289999999999996</v>
      </c>
      <c r="H1805" s="7">
        <v>5.8410000000000002</v>
      </c>
      <c r="I1805" s="7">
        <v>4.9800000000000004</v>
      </c>
      <c r="J1805" s="7">
        <v>4.6399999999999997</v>
      </c>
      <c r="K1805" s="7">
        <v>4.0129999999999999</v>
      </c>
      <c r="L1805" s="7">
        <v>3.8980000000000001</v>
      </c>
      <c r="M1805" s="7">
        <v>4.0839999999999996</v>
      </c>
      <c r="N1805" s="7">
        <v>5.0110000000000001</v>
      </c>
      <c r="O1805" s="7">
        <v>5.2370000000000001</v>
      </c>
      <c r="P1805" s="7">
        <v>5.431</v>
      </c>
      <c r="Q1805" s="7">
        <v>5.0940000000000003</v>
      </c>
      <c r="R1805" s="7">
        <v>5.57</v>
      </c>
      <c r="S1805" s="7">
        <f t="shared" si="28"/>
        <v>4.9523333333333337</v>
      </c>
    </row>
    <row r="1806" spans="1:19">
      <c r="A1806" s="5" t="str">
        <f>B1806&amp;"-"&amp;COUNTIF($B$2:B1806,B1806)</f>
        <v>MINAS GERAIS-240</v>
      </c>
      <c r="B1806" s="5" t="s">
        <v>1126</v>
      </c>
      <c r="C1806" s="5" t="s">
        <v>1290</v>
      </c>
      <c r="D1806" s="6">
        <v>-435182</v>
      </c>
      <c r="E1806" s="6">
        <v>-211435</v>
      </c>
      <c r="F1806" s="7">
        <v>4.5750000000000002</v>
      </c>
      <c r="G1806" s="7">
        <v>5.34</v>
      </c>
      <c r="H1806" s="7">
        <v>5.7220000000000004</v>
      </c>
      <c r="I1806" s="7">
        <v>4.7290000000000001</v>
      </c>
      <c r="J1806" s="7">
        <v>4.2030000000000003</v>
      </c>
      <c r="K1806" s="7">
        <v>3.613</v>
      </c>
      <c r="L1806" s="7">
        <v>3.4390000000000001</v>
      </c>
      <c r="M1806" s="7">
        <v>3.621</v>
      </c>
      <c r="N1806" s="7">
        <v>4.4969999999999999</v>
      </c>
      <c r="O1806" s="7">
        <v>4.7590000000000003</v>
      </c>
      <c r="P1806" s="7">
        <v>4.9260000000000002</v>
      </c>
      <c r="Q1806" s="7">
        <v>4.6070000000000002</v>
      </c>
      <c r="R1806" s="7">
        <v>5.4450000000000003</v>
      </c>
      <c r="S1806" s="7">
        <f t="shared" si="28"/>
        <v>4.5750833333333336</v>
      </c>
    </row>
    <row r="1807" spans="1:19">
      <c r="A1807" s="5" t="str">
        <f>B1807&amp;"-"&amp;COUNTIF($B$2:B1807,B1807)</f>
        <v>MINAS GERAIS-241</v>
      </c>
      <c r="B1807" s="5" t="s">
        <v>1126</v>
      </c>
      <c r="C1807" s="5" t="s">
        <v>1291</v>
      </c>
      <c r="D1807" s="6">
        <v>-436035</v>
      </c>
      <c r="E1807" s="6">
        <v>-182418</v>
      </c>
      <c r="F1807" s="7">
        <v>5.1260000000000003</v>
      </c>
      <c r="G1807" s="7">
        <v>5.819</v>
      </c>
      <c r="H1807" s="7">
        <v>6.1109999999999998</v>
      </c>
      <c r="I1807" s="7">
        <v>5.0890000000000004</v>
      </c>
      <c r="J1807" s="7">
        <v>4.6900000000000004</v>
      </c>
      <c r="K1807" s="7">
        <v>4.2640000000000002</v>
      </c>
      <c r="L1807" s="7">
        <v>4.1379999999999999</v>
      </c>
      <c r="M1807" s="7">
        <v>4.4080000000000004</v>
      </c>
      <c r="N1807" s="7">
        <v>5.2279999999999998</v>
      </c>
      <c r="O1807" s="7">
        <v>5.601</v>
      </c>
      <c r="P1807" s="7">
        <v>5.5510000000000002</v>
      </c>
      <c r="Q1807" s="7">
        <v>5.0060000000000002</v>
      </c>
      <c r="R1807" s="7">
        <v>5.6</v>
      </c>
      <c r="S1807" s="7">
        <f t="shared" si="28"/>
        <v>5.1254166666666672</v>
      </c>
    </row>
    <row r="1808" spans="1:19">
      <c r="A1808" s="5" t="str">
        <f>B1808&amp;"-"&amp;COUNTIF($B$2:B1808,B1808)</f>
        <v>MINAS GERAIS-242</v>
      </c>
      <c r="B1808" s="5" t="s">
        <v>1126</v>
      </c>
      <c r="C1808" s="5" t="s">
        <v>1292</v>
      </c>
      <c r="D1808" s="6">
        <v>-431956</v>
      </c>
      <c r="E1808" s="6">
        <v>-204884</v>
      </c>
      <c r="F1808" s="7">
        <v>4.6849999999999996</v>
      </c>
      <c r="G1808" s="7">
        <v>5.5750000000000002</v>
      </c>
      <c r="H1808" s="7">
        <v>5.867</v>
      </c>
      <c r="I1808" s="7">
        <v>4.8899999999999997</v>
      </c>
      <c r="J1808" s="7">
        <v>4.391</v>
      </c>
      <c r="K1808" s="7">
        <v>3.754</v>
      </c>
      <c r="L1808" s="7">
        <v>3.5640000000000001</v>
      </c>
      <c r="M1808" s="7">
        <v>3.7709999999999999</v>
      </c>
      <c r="N1808" s="7">
        <v>4.5990000000000002</v>
      </c>
      <c r="O1808" s="7">
        <v>4.8360000000000003</v>
      </c>
      <c r="P1808" s="7">
        <v>4.9470000000000001</v>
      </c>
      <c r="Q1808" s="7">
        <v>4.6879999999999997</v>
      </c>
      <c r="R1808" s="7">
        <v>5.3360000000000003</v>
      </c>
      <c r="S1808" s="7">
        <f t="shared" si="28"/>
        <v>4.6848333333333336</v>
      </c>
    </row>
    <row r="1809" spans="1:19">
      <c r="A1809" s="5" t="str">
        <f>B1809&amp;"-"&amp;COUNTIF($B$2:B1809,B1809)</f>
        <v>MINAS GERAIS-243</v>
      </c>
      <c r="B1809" s="5" t="s">
        <v>1126</v>
      </c>
      <c r="C1809" s="5" t="s">
        <v>1293</v>
      </c>
      <c r="D1809" s="6">
        <v>-42777</v>
      </c>
      <c r="E1809" s="6">
        <v>-19843</v>
      </c>
      <c r="F1809" s="7">
        <v>4.7030000000000003</v>
      </c>
      <c r="G1809" s="7">
        <v>5.5549999999999997</v>
      </c>
      <c r="H1809" s="7">
        <v>5.8959999999999999</v>
      </c>
      <c r="I1809" s="7">
        <v>4.8689999999999998</v>
      </c>
      <c r="J1809" s="7">
        <v>4.5019999999999998</v>
      </c>
      <c r="K1809" s="7">
        <v>3.8010000000000002</v>
      </c>
      <c r="L1809" s="7">
        <v>3.617</v>
      </c>
      <c r="M1809" s="7">
        <v>3.8380000000000001</v>
      </c>
      <c r="N1809" s="7">
        <v>4.5069999999999997</v>
      </c>
      <c r="O1809" s="7">
        <v>4.8</v>
      </c>
      <c r="P1809" s="7">
        <v>4.9660000000000002</v>
      </c>
      <c r="Q1809" s="7">
        <v>4.6769999999999996</v>
      </c>
      <c r="R1809" s="7">
        <v>5.41</v>
      </c>
      <c r="S1809" s="7">
        <f t="shared" si="28"/>
        <v>4.7031666666666654</v>
      </c>
    </row>
    <row r="1810" spans="1:19">
      <c r="A1810" s="5" t="str">
        <f>B1810&amp;"-"&amp;COUNTIF($B$2:B1810,B1810)</f>
        <v>MINAS GERAIS-244</v>
      </c>
      <c r="B1810" s="5" t="s">
        <v>1126</v>
      </c>
      <c r="C1810" s="5" t="s">
        <v>4337</v>
      </c>
      <c r="D1810" s="6">
        <v>-430006</v>
      </c>
      <c r="E1810" s="6">
        <v>-209922</v>
      </c>
      <c r="F1810" s="7">
        <v>4.6559999999999997</v>
      </c>
      <c r="G1810" s="7">
        <v>5.601</v>
      </c>
      <c r="H1810" s="7">
        <v>5.86</v>
      </c>
      <c r="I1810" s="7">
        <v>4.8460000000000001</v>
      </c>
      <c r="J1810" s="7">
        <v>4.2450000000000001</v>
      </c>
      <c r="K1810" s="7">
        <v>3.641</v>
      </c>
      <c r="L1810" s="7">
        <v>3.532</v>
      </c>
      <c r="M1810" s="7">
        <v>3.702</v>
      </c>
      <c r="N1810" s="7">
        <v>4.47</v>
      </c>
      <c r="O1810" s="7">
        <v>4.7770000000000001</v>
      </c>
      <c r="P1810" s="7">
        <v>4.9880000000000004</v>
      </c>
      <c r="Q1810" s="7">
        <v>4.76</v>
      </c>
      <c r="R1810" s="7">
        <v>5.4459999999999997</v>
      </c>
      <c r="S1810" s="7">
        <f t="shared" si="28"/>
        <v>4.6556666666666668</v>
      </c>
    </row>
    <row r="1811" spans="1:19">
      <c r="A1811" s="5" t="str">
        <f>B1811&amp;"-"&amp;COUNTIF($B$2:B1811,B1811)</f>
        <v>MINAS GERAIS-245</v>
      </c>
      <c r="B1811" s="5" t="s">
        <v>1126</v>
      </c>
      <c r="C1811" s="5" t="s">
        <v>5123</v>
      </c>
      <c r="D1811" s="6">
        <v>-448916</v>
      </c>
      <c r="E1811" s="6">
        <v>-201451</v>
      </c>
      <c r="F1811" s="7">
        <v>5.165</v>
      </c>
      <c r="G1811" s="7">
        <v>5.8780000000000001</v>
      </c>
      <c r="H1811" s="7">
        <v>6.03</v>
      </c>
      <c r="I1811" s="7">
        <v>5.1440000000000001</v>
      </c>
      <c r="J1811" s="7">
        <v>4.9169999999999998</v>
      </c>
      <c r="K1811" s="7">
        <v>4.282</v>
      </c>
      <c r="L1811" s="7">
        <v>4.109</v>
      </c>
      <c r="M1811" s="7">
        <v>4.3380000000000001</v>
      </c>
      <c r="N1811" s="7">
        <v>5.2460000000000004</v>
      </c>
      <c r="O1811" s="7">
        <v>5.476</v>
      </c>
      <c r="P1811" s="7">
        <v>5.5830000000000002</v>
      </c>
      <c r="Q1811" s="7">
        <v>5.3310000000000004</v>
      </c>
      <c r="R1811" s="7">
        <v>5.6459999999999999</v>
      </c>
      <c r="S1811" s="7">
        <f t="shared" si="28"/>
        <v>5.165</v>
      </c>
    </row>
    <row r="1812" spans="1:19">
      <c r="A1812" s="5" t="str">
        <f>B1812&amp;"-"&amp;COUNTIF($B$2:B1812,B1812)</f>
        <v>MINAS GERAIS-246</v>
      </c>
      <c r="B1812" s="5" t="s">
        <v>1126</v>
      </c>
      <c r="C1812" s="5" t="s">
        <v>1294</v>
      </c>
      <c r="D1812" s="6">
        <v>-421442</v>
      </c>
      <c r="E1812" s="6">
        <v>-206139</v>
      </c>
      <c r="F1812" s="7">
        <v>4.8150000000000004</v>
      </c>
      <c r="G1812" s="7">
        <v>5.7839999999999998</v>
      </c>
      <c r="H1812" s="7">
        <v>6.0339999999999998</v>
      </c>
      <c r="I1812" s="7">
        <v>4.9660000000000002</v>
      </c>
      <c r="J1812" s="7">
        <v>4.4790000000000001</v>
      </c>
      <c r="K1812" s="7">
        <v>3.8330000000000002</v>
      </c>
      <c r="L1812" s="7">
        <v>3.7069999999999999</v>
      </c>
      <c r="M1812" s="7">
        <v>3.8620000000000001</v>
      </c>
      <c r="N1812" s="7">
        <v>4.6100000000000003</v>
      </c>
      <c r="O1812" s="7">
        <v>5.0289999999999999</v>
      </c>
      <c r="P1812" s="7">
        <v>5.1120000000000001</v>
      </c>
      <c r="Q1812" s="7">
        <v>4.782</v>
      </c>
      <c r="R1812" s="7">
        <v>5.5789999999999997</v>
      </c>
      <c r="S1812" s="7">
        <f t="shared" si="28"/>
        <v>4.814750000000001</v>
      </c>
    </row>
    <row r="1813" spans="1:19">
      <c r="A1813" s="5" t="str">
        <f>B1813&amp;"-"&amp;COUNTIF($B$2:B1813,B1813)</f>
        <v>MINAS GERAIS-247</v>
      </c>
      <c r="B1813" s="5" t="s">
        <v>1126</v>
      </c>
      <c r="C1813" s="5" t="s">
        <v>1295</v>
      </c>
      <c r="D1813" s="6">
        <v>-414784</v>
      </c>
      <c r="E1813" s="6">
        <v>-18776</v>
      </c>
      <c r="F1813" s="7">
        <v>4.8719999999999999</v>
      </c>
      <c r="G1813" s="7">
        <v>6.0419999999999998</v>
      </c>
      <c r="H1813" s="7">
        <v>6.1719999999999997</v>
      </c>
      <c r="I1813" s="7">
        <v>5.2610000000000001</v>
      </c>
      <c r="J1813" s="7">
        <v>4.5960000000000001</v>
      </c>
      <c r="K1813" s="7">
        <v>3.8849999999999998</v>
      </c>
      <c r="L1813" s="7">
        <v>3.6419999999999999</v>
      </c>
      <c r="M1813" s="7">
        <v>3.7360000000000002</v>
      </c>
      <c r="N1813" s="7">
        <v>4.3840000000000003</v>
      </c>
      <c r="O1813" s="7">
        <v>4.8890000000000002</v>
      </c>
      <c r="P1813" s="7">
        <v>5.141</v>
      </c>
      <c r="Q1813" s="7">
        <v>4.9610000000000003</v>
      </c>
      <c r="R1813" s="7">
        <v>5.7590000000000003</v>
      </c>
      <c r="S1813" s="7">
        <f t="shared" si="28"/>
        <v>4.8723333333333327</v>
      </c>
    </row>
    <row r="1814" spans="1:19">
      <c r="A1814" s="5" t="str">
        <f>B1814&amp;"-"&amp;COUNTIF($B$2:B1814,B1814)</f>
        <v>MINAS GERAIS-248</v>
      </c>
      <c r="B1814" s="5" t="s">
        <v>1126</v>
      </c>
      <c r="C1814" s="5" t="s">
        <v>4963</v>
      </c>
      <c r="D1814" s="6">
        <v>-426218</v>
      </c>
      <c r="E1814" s="6">
        <v>-188053</v>
      </c>
      <c r="F1814" s="7">
        <v>4.6849999999999996</v>
      </c>
      <c r="G1814" s="7">
        <v>5.6289999999999996</v>
      </c>
      <c r="H1814" s="7">
        <v>5.8719999999999999</v>
      </c>
      <c r="I1814" s="7">
        <v>4.8609999999999998</v>
      </c>
      <c r="J1814" s="7">
        <v>4.3410000000000002</v>
      </c>
      <c r="K1814" s="7">
        <v>3.73</v>
      </c>
      <c r="L1814" s="7">
        <v>3.6059999999999999</v>
      </c>
      <c r="M1814" s="7">
        <v>3.7480000000000002</v>
      </c>
      <c r="N1814" s="7">
        <v>4.4109999999999996</v>
      </c>
      <c r="O1814" s="7">
        <v>4.9119999999999999</v>
      </c>
      <c r="P1814" s="7">
        <v>5.048</v>
      </c>
      <c r="Q1814" s="7">
        <v>4.6529999999999996</v>
      </c>
      <c r="R1814" s="7">
        <v>5.4169999999999998</v>
      </c>
      <c r="S1814" s="7">
        <f t="shared" si="28"/>
        <v>4.6856666666666671</v>
      </c>
    </row>
    <row r="1815" spans="1:19">
      <c r="A1815" s="5" t="str">
        <f>B1815&amp;"-"&amp;COUNTIF($B$2:B1815,B1815)</f>
        <v>MINAS GERAIS-249</v>
      </c>
      <c r="B1815" s="5" t="s">
        <v>1126</v>
      </c>
      <c r="C1815" s="5" t="s">
        <v>1296</v>
      </c>
      <c r="D1815" s="6">
        <v>-413466</v>
      </c>
      <c r="E1815" s="6">
        <v>-157225</v>
      </c>
      <c r="F1815" s="7">
        <v>5.0529999999999999</v>
      </c>
      <c r="G1815" s="7">
        <v>5.968</v>
      </c>
      <c r="H1815" s="7">
        <v>6.1539999999999999</v>
      </c>
      <c r="I1815" s="7">
        <v>5.3769999999999998</v>
      </c>
      <c r="J1815" s="7">
        <v>4.6879999999999997</v>
      </c>
      <c r="K1815" s="7">
        <v>4.0709999999999997</v>
      </c>
      <c r="L1815" s="7">
        <v>3.6589999999999998</v>
      </c>
      <c r="M1815" s="7">
        <v>3.8849999999999998</v>
      </c>
      <c r="N1815" s="7">
        <v>4.5439999999999996</v>
      </c>
      <c r="O1815" s="7">
        <v>5.4669999999999996</v>
      </c>
      <c r="P1815" s="7">
        <v>5.5369999999999999</v>
      </c>
      <c r="Q1815" s="7">
        <v>5.2770000000000001</v>
      </c>
      <c r="R1815" s="7">
        <v>6.0149999999999997</v>
      </c>
      <c r="S1815" s="7">
        <f t="shared" si="28"/>
        <v>5.0534999999999988</v>
      </c>
    </row>
    <row r="1816" spans="1:19">
      <c r="A1816" s="5" t="str">
        <f>B1816&amp;"-"&amp;COUNTIF($B$2:B1816,B1816)</f>
        <v>MINAS GERAIS-250</v>
      </c>
      <c r="B1816" s="5" t="s">
        <v>1126</v>
      </c>
      <c r="C1816" s="5" t="s">
        <v>1297</v>
      </c>
      <c r="D1816" s="6">
        <v>-461908</v>
      </c>
      <c r="E1816" s="6">
        <v>-215096</v>
      </c>
      <c r="F1816" s="7">
        <v>4.9109999999999996</v>
      </c>
      <c r="G1816" s="7">
        <v>5.5919999999999996</v>
      </c>
      <c r="H1816" s="7">
        <v>5.7759999999999998</v>
      </c>
      <c r="I1816" s="7">
        <v>4.9119999999999999</v>
      </c>
      <c r="J1816" s="7">
        <v>4.6139999999999999</v>
      </c>
      <c r="K1816" s="7">
        <v>3.9950000000000001</v>
      </c>
      <c r="L1816" s="7">
        <v>3.7149999999999999</v>
      </c>
      <c r="M1816" s="7">
        <v>3.9860000000000002</v>
      </c>
      <c r="N1816" s="7">
        <v>4.9349999999999996</v>
      </c>
      <c r="O1816" s="7">
        <v>5.0759999999999996</v>
      </c>
      <c r="P1816" s="7">
        <v>5.4039999999999999</v>
      </c>
      <c r="Q1816" s="7">
        <v>5.2960000000000003</v>
      </c>
      <c r="R1816" s="7">
        <v>5.63</v>
      </c>
      <c r="S1816" s="7">
        <f t="shared" si="28"/>
        <v>4.9109166666666662</v>
      </c>
    </row>
    <row r="1817" spans="1:19">
      <c r="A1817" s="5" t="str">
        <f>B1817&amp;"-"&amp;COUNTIF($B$2:B1817,B1817)</f>
        <v>MINAS GERAIS-251</v>
      </c>
      <c r="B1817" s="5" t="s">
        <v>1126</v>
      </c>
      <c r="C1817" s="5" t="s">
        <v>5124</v>
      </c>
      <c r="D1817" s="5">
        <v>-41</v>
      </c>
      <c r="E1817" s="6">
        <v>-157258</v>
      </c>
      <c r="F1817" s="7">
        <v>4.9950000000000001</v>
      </c>
      <c r="G1817" s="7">
        <v>5.9530000000000003</v>
      </c>
      <c r="H1817" s="7">
        <v>6.0510000000000002</v>
      </c>
      <c r="I1817" s="7">
        <v>5.3739999999999997</v>
      </c>
      <c r="J1817" s="7">
        <v>4.6589999999999998</v>
      </c>
      <c r="K1817" s="7">
        <v>4.0140000000000002</v>
      </c>
      <c r="L1817" s="7">
        <v>3.5990000000000002</v>
      </c>
      <c r="M1817" s="7">
        <v>3.855</v>
      </c>
      <c r="N1817" s="7">
        <v>4.468</v>
      </c>
      <c r="O1817" s="7">
        <v>5.3220000000000001</v>
      </c>
      <c r="P1817" s="7">
        <v>5.4180000000000001</v>
      </c>
      <c r="Q1817" s="7">
        <v>5.2169999999999996</v>
      </c>
      <c r="R1817" s="7">
        <v>6.008</v>
      </c>
      <c r="S1817" s="7">
        <f t="shared" si="28"/>
        <v>4.9948333333333332</v>
      </c>
    </row>
    <row r="1818" spans="1:19">
      <c r="A1818" s="5" t="str">
        <f>B1818&amp;"-"&amp;COUNTIF($B$2:B1818,B1818)</f>
        <v>MINAS GERAIS-252</v>
      </c>
      <c r="B1818" s="5" t="s">
        <v>1126</v>
      </c>
      <c r="C1818" s="5" t="s">
        <v>1298</v>
      </c>
      <c r="D1818" s="6">
        <v>-462652</v>
      </c>
      <c r="E1818" s="6">
        <v>-166521</v>
      </c>
      <c r="F1818" s="7">
        <v>5.5359999999999996</v>
      </c>
      <c r="G1818" s="7">
        <v>6.0730000000000004</v>
      </c>
      <c r="H1818" s="7">
        <v>6.2910000000000004</v>
      </c>
      <c r="I1818" s="7">
        <v>5.43</v>
      </c>
      <c r="J1818" s="7">
        <v>5.3250000000000002</v>
      </c>
      <c r="K1818" s="7">
        <v>4.9210000000000003</v>
      </c>
      <c r="L1818" s="7">
        <v>4.6239999999999997</v>
      </c>
      <c r="M1818" s="7">
        <v>5.0259999999999998</v>
      </c>
      <c r="N1818" s="7">
        <v>5.8449999999999998</v>
      </c>
      <c r="O1818" s="7">
        <v>5.8209999999999997</v>
      </c>
      <c r="P1818" s="7">
        <v>5.8840000000000003</v>
      </c>
      <c r="Q1818" s="7">
        <v>5.3150000000000004</v>
      </c>
      <c r="R1818" s="7">
        <v>5.8719999999999999</v>
      </c>
      <c r="S1818" s="7">
        <f t="shared" si="28"/>
        <v>5.5355833333333324</v>
      </c>
    </row>
    <row r="1819" spans="1:19">
      <c r="A1819" s="5" t="str">
        <f>B1819&amp;"-"&amp;COUNTIF($B$2:B1819,B1819)</f>
        <v>MINAS GERAIS-253</v>
      </c>
      <c r="B1819" s="5" t="s">
        <v>1126</v>
      </c>
      <c r="C1819" s="5" t="s">
        <v>1299</v>
      </c>
      <c r="D1819" s="6">
        <v>-421142</v>
      </c>
      <c r="E1819" s="6">
        <v>-193695</v>
      </c>
      <c r="F1819" s="7">
        <v>4.8049999999999997</v>
      </c>
      <c r="G1819" s="7">
        <v>5.8250000000000002</v>
      </c>
      <c r="H1819" s="7">
        <v>6.0129999999999999</v>
      </c>
      <c r="I1819" s="7">
        <v>5.12</v>
      </c>
      <c r="J1819" s="7">
        <v>4.5609999999999999</v>
      </c>
      <c r="K1819" s="7">
        <v>3.88</v>
      </c>
      <c r="L1819" s="7">
        <v>3.6360000000000001</v>
      </c>
      <c r="M1819" s="7">
        <v>3.7770000000000001</v>
      </c>
      <c r="N1819" s="7">
        <v>4.431</v>
      </c>
      <c r="O1819" s="7">
        <v>4.8310000000000004</v>
      </c>
      <c r="P1819" s="7">
        <v>5.024</v>
      </c>
      <c r="Q1819" s="7">
        <v>4.8230000000000004</v>
      </c>
      <c r="R1819" s="7">
        <v>5.7350000000000003</v>
      </c>
      <c r="S1819" s="7">
        <f t="shared" si="28"/>
        <v>4.8046666666666669</v>
      </c>
    </row>
    <row r="1820" spans="1:19">
      <c r="A1820" s="5" t="str">
        <f>B1820&amp;"-"&amp;COUNTIF($B$2:B1820,B1820)</f>
        <v>MINAS GERAIS-254</v>
      </c>
      <c r="B1820" s="5" t="s">
        <v>1126</v>
      </c>
      <c r="C1820" s="5" t="s">
        <v>1300</v>
      </c>
      <c r="D1820" s="6">
        <v>-432547</v>
      </c>
      <c r="E1820" s="6">
        <v>-189615</v>
      </c>
      <c r="F1820" s="7">
        <v>4.835</v>
      </c>
      <c r="G1820" s="7">
        <v>5.7080000000000002</v>
      </c>
      <c r="H1820" s="7">
        <v>6.0010000000000003</v>
      </c>
      <c r="I1820" s="7">
        <v>5.03</v>
      </c>
      <c r="J1820" s="7">
        <v>4.5339999999999998</v>
      </c>
      <c r="K1820" s="7">
        <v>3.887</v>
      </c>
      <c r="L1820" s="7">
        <v>3.7</v>
      </c>
      <c r="M1820" s="7">
        <v>3.8879999999999999</v>
      </c>
      <c r="N1820" s="7">
        <v>4.6769999999999996</v>
      </c>
      <c r="O1820" s="7">
        <v>5.0149999999999997</v>
      </c>
      <c r="P1820" s="7">
        <v>5.1790000000000003</v>
      </c>
      <c r="Q1820" s="7">
        <v>4.8680000000000003</v>
      </c>
      <c r="R1820" s="7">
        <v>5.5309999999999997</v>
      </c>
      <c r="S1820" s="7">
        <f t="shared" si="28"/>
        <v>4.8348333333333331</v>
      </c>
    </row>
    <row r="1821" spans="1:19">
      <c r="A1821" s="5" t="str">
        <f>B1821&amp;"-"&amp;COUNTIF($B$2:B1821,B1821)</f>
        <v>MINAS GERAIS-255</v>
      </c>
      <c r="B1821" s="5" t="s">
        <v>1126</v>
      </c>
      <c r="C1821" s="5" t="s">
        <v>4338</v>
      </c>
      <c r="D1821" s="6">
        <v>-42963</v>
      </c>
      <c r="E1821" s="6">
        <v>-201632</v>
      </c>
      <c r="F1821" s="7">
        <v>4.7249999999999996</v>
      </c>
      <c r="G1821" s="7">
        <v>5.548</v>
      </c>
      <c r="H1821" s="7">
        <v>5.875</v>
      </c>
      <c r="I1821" s="7">
        <v>4.899</v>
      </c>
      <c r="J1821" s="7">
        <v>4.4429999999999996</v>
      </c>
      <c r="K1821" s="7">
        <v>3.7989999999999999</v>
      </c>
      <c r="L1821" s="7">
        <v>3.6320000000000001</v>
      </c>
      <c r="M1821" s="7">
        <v>3.82</v>
      </c>
      <c r="N1821" s="7">
        <v>4.6280000000000001</v>
      </c>
      <c r="O1821" s="7">
        <v>4.9009999999999998</v>
      </c>
      <c r="P1821" s="7">
        <v>5.0119999999999996</v>
      </c>
      <c r="Q1821" s="7">
        <v>4.7309999999999999</v>
      </c>
      <c r="R1821" s="7">
        <v>5.4039999999999999</v>
      </c>
      <c r="S1821" s="7">
        <f t="shared" si="28"/>
        <v>4.7243333333333339</v>
      </c>
    </row>
    <row r="1822" spans="1:19">
      <c r="A1822" s="5" t="str">
        <f>B1822&amp;"-"&amp;COUNTIF($B$2:B1822,B1822)</f>
        <v>MINAS GERAIS-256</v>
      </c>
      <c r="B1822" s="5" t="s">
        <v>1126</v>
      </c>
      <c r="C1822" s="5" t="s">
        <v>4665</v>
      </c>
      <c r="D1822" s="6">
        <v>-451647</v>
      </c>
      <c r="E1822" s="6">
        <v>-222516</v>
      </c>
      <c r="F1822" s="7">
        <v>4.6619999999999999</v>
      </c>
      <c r="G1822" s="7">
        <v>5.077</v>
      </c>
      <c r="H1822" s="7">
        <v>5.4829999999999997</v>
      </c>
      <c r="I1822" s="7">
        <v>4.6630000000000003</v>
      </c>
      <c r="J1822" s="7">
        <v>4.3810000000000002</v>
      </c>
      <c r="K1822" s="7">
        <v>3.8149999999999999</v>
      </c>
      <c r="L1822" s="7">
        <v>3.4929999999999999</v>
      </c>
      <c r="M1822" s="7">
        <v>3.7709999999999999</v>
      </c>
      <c r="N1822" s="7">
        <v>4.6870000000000003</v>
      </c>
      <c r="O1822" s="7">
        <v>4.8860000000000001</v>
      </c>
      <c r="P1822" s="7">
        <v>5.2030000000000003</v>
      </c>
      <c r="Q1822" s="7">
        <v>5.04</v>
      </c>
      <c r="R1822" s="7">
        <v>5.4420000000000002</v>
      </c>
      <c r="S1822" s="7">
        <f t="shared" si="28"/>
        <v>4.6617500000000005</v>
      </c>
    </row>
    <row r="1823" spans="1:19">
      <c r="A1823" s="5" t="str">
        <f>B1823&amp;"-"&amp;COUNTIF($B$2:B1823,B1823)</f>
        <v>MINAS GERAIS-257</v>
      </c>
      <c r="B1823" s="5" t="s">
        <v>1126</v>
      </c>
      <c r="C1823" s="5" t="s">
        <v>4339</v>
      </c>
      <c r="D1823" s="6">
        <v>-428074</v>
      </c>
      <c r="E1823" s="6">
        <v>-213195</v>
      </c>
      <c r="F1823" s="7">
        <v>4.8040000000000003</v>
      </c>
      <c r="G1823" s="7">
        <v>5.8550000000000004</v>
      </c>
      <c r="H1823" s="7">
        <v>6.0960000000000001</v>
      </c>
      <c r="I1823" s="7">
        <v>5.1109999999999998</v>
      </c>
      <c r="J1823" s="7">
        <v>4.43</v>
      </c>
      <c r="K1823" s="7">
        <v>3.71</v>
      </c>
      <c r="L1823" s="7">
        <v>3.524</v>
      </c>
      <c r="M1823" s="7">
        <v>3.7</v>
      </c>
      <c r="N1823" s="7">
        <v>4.4589999999999996</v>
      </c>
      <c r="O1823" s="7">
        <v>4.8520000000000003</v>
      </c>
      <c r="P1823" s="7">
        <v>5.1710000000000003</v>
      </c>
      <c r="Q1823" s="7">
        <v>5.0090000000000003</v>
      </c>
      <c r="R1823" s="7">
        <v>5.7329999999999997</v>
      </c>
      <c r="S1823" s="7">
        <f t="shared" si="28"/>
        <v>4.8041666666666671</v>
      </c>
    </row>
    <row r="1824" spans="1:19">
      <c r="A1824" s="5" t="str">
        <f>B1824&amp;"-"&amp;COUNTIF($B$2:B1824,B1824)</f>
        <v>MINAS GERAIS-258</v>
      </c>
      <c r="B1824" s="5" t="s">
        <v>1126</v>
      </c>
      <c r="C1824" s="5" t="s">
        <v>1301</v>
      </c>
      <c r="D1824" s="6">
        <v>-440211</v>
      </c>
      <c r="E1824" s="6">
        <v>-211144</v>
      </c>
      <c r="F1824" s="7">
        <v>4.774</v>
      </c>
      <c r="G1824" s="7">
        <v>5.5510000000000002</v>
      </c>
      <c r="H1824" s="7">
        <v>5.8179999999999996</v>
      </c>
      <c r="I1824" s="7">
        <v>4.8419999999999996</v>
      </c>
      <c r="J1824" s="7">
        <v>4.4039999999999999</v>
      </c>
      <c r="K1824" s="7">
        <v>3.8079999999999998</v>
      </c>
      <c r="L1824" s="7">
        <v>3.6309999999999998</v>
      </c>
      <c r="M1824" s="7">
        <v>3.8639999999999999</v>
      </c>
      <c r="N1824" s="7">
        <v>4.7889999999999997</v>
      </c>
      <c r="O1824" s="7">
        <v>4.9619999999999997</v>
      </c>
      <c r="P1824" s="7">
        <v>5.1639999999999997</v>
      </c>
      <c r="Q1824" s="7">
        <v>4.9560000000000004</v>
      </c>
      <c r="R1824" s="7">
        <v>5.4969999999999999</v>
      </c>
      <c r="S1824" s="7">
        <f t="shared" si="28"/>
        <v>4.7738333333333332</v>
      </c>
    </row>
    <row r="1825" spans="1:19">
      <c r="A1825" s="5" t="str">
        <f>B1825&amp;"-"&amp;COUNTIF($B$2:B1825,B1825)</f>
        <v>MINAS GERAIS-259</v>
      </c>
      <c r="B1825" s="5" t="s">
        <v>1126</v>
      </c>
      <c r="C1825" s="5" t="s">
        <v>5375</v>
      </c>
      <c r="D1825" s="6">
        <v>-429257</v>
      </c>
      <c r="E1825" s="6">
        <v>-190521</v>
      </c>
      <c r="F1825" s="7">
        <v>4.7880000000000003</v>
      </c>
      <c r="G1825" s="7">
        <v>5.758</v>
      </c>
      <c r="H1825" s="7">
        <v>5.9820000000000002</v>
      </c>
      <c r="I1825" s="7">
        <v>4.9619999999999997</v>
      </c>
      <c r="J1825" s="7">
        <v>4.43</v>
      </c>
      <c r="K1825" s="7">
        <v>3.843</v>
      </c>
      <c r="L1825" s="7">
        <v>3.68</v>
      </c>
      <c r="M1825" s="7">
        <v>3.879</v>
      </c>
      <c r="N1825" s="7">
        <v>4.5720000000000001</v>
      </c>
      <c r="O1825" s="7">
        <v>4.9820000000000002</v>
      </c>
      <c r="P1825" s="7">
        <v>5.1020000000000003</v>
      </c>
      <c r="Q1825" s="7">
        <v>4.7809999999999997</v>
      </c>
      <c r="R1825" s="7">
        <v>5.4889999999999999</v>
      </c>
      <c r="S1825" s="7">
        <f t="shared" si="28"/>
        <v>4.7883333333333331</v>
      </c>
    </row>
    <row r="1826" spans="1:19">
      <c r="A1826" s="5" t="str">
        <f>B1826&amp;"-"&amp;COUNTIF($B$2:B1826,B1826)</f>
        <v>MINAS GERAIS-260</v>
      </c>
      <c r="B1826" s="5" t="s">
        <v>1126</v>
      </c>
      <c r="C1826" s="5" t="s">
        <v>5587</v>
      </c>
      <c r="D1826" s="6">
        <v>-456001</v>
      </c>
      <c r="E1826" s="6">
        <v>-194646</v>
      </c>
      <c r="F1826" s="7">
        <v>5.2709999999999999</v>
      </c>
      <c r="G1826" s="7">
        <v>5.8490000000000002</v>
      </c>
      <c r="H1826" s="7">
        <v>6.1449999999999996</v>
      </c>
      <c r="I1826" s="7">
        <v>5.1289999999999996</v>
      </c>
      <c r="J1826" s="7">
        <v>4.9710000000000001</v>
      </c>
      <c r="K1826" s="7">
        <v>4.5570000000000004</v>
      </c>
      <c r="L1826" s="7">
        <v>4.3090000000000002</v>
      </c>
      <c r="M1826" s="7">
        <v>4.5490000000000004</v>
      </c>
      <c r="N1826" s="7">
        <v>5.5279999999999996</v>
      </c>
      <c r="O1826" s="7">
        <v>5.6120000000000001</v>
      </c>
      <c r="P1826" s="7">
        <v>5.649</v>
      </c>
      <c r="Q1826" s="7">
        <v>5.2830000000000004</v>
      </c>
      <c r="R1826" s="7">
        <v>5.673</v>
      </c>
      <c r="S1826" s="7">
        <f t="shared" si="28"/>
        <v>5.2711666666666668</v>
      </c>
    </row>
    <row r="1827" spans="1:19">
      <c r="A1827" s="5" t="str">
        <f>B1827&amp;"-"&amp;COUNTIF($B$2:B1827,B1827)</f>
        <v>MINAS GERAIS-261</v>
      </c>
      <c r="B1827" s="5" t="s">
        <v>1126</v>
      </c>
      <c r="C1827" s="5" t="s">
        <v>1302</v>
      </c>
      <c r="D1827" s="6">
        <v>-431838</v>
      </c>
      <c r="E1827" s="6">
        <v>-20979</v>
      </c>
      <c r="F1827" s="7">
        <v>4.649</v>
      </c>
      <c r="G1827" s="7">
        <v>5.5789999999999997</v>
      </c>
      <c r="H1827" s="7">
        <v>5.8440000000000003</v>
      </c>
      <c r="I1827" s="7">
        <v>4.8159999999999998</v>
      </c>
      <c r="J1827" s="7">
        <v>4.2539999999999996</v>
      </c>
      <c r="K1827" s="7">
        <v>3.641</v>
      </c>
      <c r="L1827" s="7">
        <v>3.5150000000000001</v>
      </c>
      <c r="M1827" s="7">
        <v>3.706</v>
      </c>
      <c r="N1827" s="7">
        <v>4.4669999999999996</v>
      </c>
      <c r="O1827" s="7">
        <v>4.7779999999999996</v>
      </c>
      <c r="P1827" s="7">
        <v>4.9850000000000003</v>
      </c>
      <c r="Q1827" s="7">
        <v>4.7439999999999998</v>
      </c>
      <c r="R1827" s="7">
        <v>5.4569999999999999</v>
      </c>
      <c r="S1827" s="7">
        <f t="shared" si="28"/>
        <v>4.6488333333333332</v>
      </c>
    </row>
    <row r="1828" spans="1:19">
      <c r="A1828" s="5" t="str">
        <f>B1828&amp;"-"&amp;COUNTIF($B$2:B1828,B1828)</f>
        <v>MINAS GERAIS-262</v>
      </c>
      <c r="B1828" s="5" t="s">
        <v>1126</v>
      </c>
      <c r="C1828" s="5" t="s">
        <v>5125</v>
      </c>
      <c r="D1828" s="6">
        <v>-459011</v>
      </c>
      <c r="E1828" s="6">
        <v>-202873</v>
      </c>
      <c r="F1828" s="7">
        <v>5.1070000000000002</v>
      </c>
      <c r="G1828" s="7">
        <v>5.673</v>
      </c>
      <c r="H1828" s="7">
        <v>5.984</v>
      </c>
      <c r="I1828" s="7">
        <v>4.9770000000000003</v>
      </c>
      <c r="J1828" s="7">
        <v>4.8719999999999999</v>
      </c>
      <c r="K1828" s="7">
        <v>4.3520000000000003</v>
      </c>
      <c r="L1828" s="7">
        <v>4.0960000000000001</v>
      </c>
      <c r="M1828" s="7">
        <v>4.3609999999999998</v>
      </c>
      <c r="N1828" s="7">
        <v>5.3159999999999998</v>
      </c>
      <c r="O1828" s="7">
        <v>5.3769999999999998</v>
      </c>
      <c r="P1828" s="7">
        <v>5.5119999999999996</v>
      </c>
      <c r="Q1828" s="7">
        <v>5.1619999999999999</v>
      </c>
      <c r="R1828" s="7">
        <v>5.5990000000000002</v>
      </c>
      <c r="S1828" s="7">
        <f t="shared" si="28"/>
        <v>5.1067500000000008</v>
      </c>
    </row>
    <row r="1829" spans="1:19">
      <c r="A1829" s="5" t="str">
        <f>B1829&amp;"-"&amp;COUNTIF($B$2:B1829,B1829)</f>
        <v>MINAS GERAIS-263</v>
      </c>
      <c r="B1829" s="5" t="s">
        <v>1126</v>
      </c>
      <c r="C1829" s="5" t="s">
        <v>1303</v>
      </c>
      <c r="D1829" s="6">
        <v>-476085</v>
      </c>
      <c r="E1829" s="6">
        <v>-184341</v>
      </c>
      <c r="F1829" s="7">
        <v>5.3680000000000003</v>
      </c>
      <c r="G1829" s="7">
        <v>5.7240000000000002</v>
      </c>
      <c r="H1829" s="7">
        <v>6.0510000000000002</v>
      </c>
      <c r="I1829" s="7">
        <v>5.2930000000000001</v>
      </c>
      <c r="J1829" s="7">
        <v>5.2130000000000001</v>
      </c>
      <c r="K1829" s="7">
        <v>4.72</v>
      </c>
      <c r="L1829" s="7">
        <v>4.3949999999999996</v>
      </c>
      <c r="M1829" s="7">
        <v>4.6740000000000004</v>
      </c>
      <c r="N1829" s="7">
        <v>5.5979999999999999</v>
      </c>
      <c r="O1829" s="7">
        <v>5.5650000000000004</v>
      </c>
      <c r="P1829" s="7">
        <v>5.7489999999999997</v>
      </c>
      <c r="Q1829" s="7">
        <v>5.6040000000000001</v>
      </c>
      <c r="R1829" s="7">
        <v>5.8330000000000002</v>
      </c>
      <c r="S1829" s="7">
        <f t="shared" si="28"/>
        <v>5.3682499999999997</v>
      </c>
    </row>
    <row r="1830" spans="1:19">
      <c r="A1830" s="5" t="str">
        <f>B1830&amp;"-"&amp;COUNTIF($B$2:B1830,B1830)</f>
        <v>MINAS GERAIS-264</v>
      </c>
      <c r="B1830" s="5" t="s">
        <v>1126</v>
      </c>
      <c r="C1830" s="5" t="s">
        <v>4340</v>
      </c>
      <c r="D1830" s="6">
        <v>-417981</v>
      </c>
      <c r="E1830" s="6">
        <v>-202063</v>
      </c>
      <c r="F1830" s="7">
        <v>4.7279999999999998</v>
      </c>
      <c r="G1830" s="7">
        <v>5.766</v>
      </c>
      <c r="H1830" s="7">
        <v>5.9480000000000004</v>
      </c>
      <c r="I1830" s="7">
        <v>5.0010000000000003</v>
      </c>
      <c r="J1830" s="7">
        <v>4.5359999999999996</v>
      </c>
      <c r="K1830" s="7">
        <v>3.8090000000000002</v>
      </c>
      <c r="L1830" s="7">
        <v>3.617</v>
      </c>
      <c r="M1830" s="7">
        <v>3.7770000000000001</v>
      </c>
      <c r="N1830" s="7">
        <v>4.4349999999999996</v>
      </c>
      <c r="O1830" s="7">
        <v>4.7619999999999996</v>
      </c>
      <c r="P1830" s="7">
        <v>4.8630000000000004</v>
      </c>
      <c r="Q1830" s="7">
        <v>4.7850000000000001</v>
      </c>
      <c r="R1830" s="7">
        <v>5.4409999999999998</v>
      </c>
      <c r="S1830" s="7">
        <f t="shared" si="28"/>
        <v>4.7283333333333344</v>
      </c>
    </row>
    <row r="1831" spans="1:19">
      <c r="A1831" s="5" t="str">
        <f>B1831&amp;"-"&amp;COUNTIF($B$2:B1831,B1831)</f>
        <v>MINAS GERAIS-265</v>
      </c>
      <c r="B1831" s="5" t="s">
        <v>1126</v>
      </c>
      <c r="C1831" s="5" t="s">
        <v>5126</v>
      </c>
      <c r="D1831" s="6">
        <v>-455695</v>
      </c>
      <c r="E1831" s="6">
        <v>-216093</v>
      </c>
      <c r="F1831" s="7">
        <v>4.9080000000000004</v>
      </c>
      <c r="G1831" s="7">
        <v>5.53</v>
      </c>
      <c r="H1831" s="7">
        <v>5.8</v>
      </c>
      <c r="I1831" s="7">
        <v>4.9619999999999997</v>
      </c>
      <c r="J1831" s="7">
        <v>4.6150000000000002</v>
      </c>
      <c r="K1831" s="7">
        <v>3.9660000000000002</v>
      </c>
      <c r="L1831" s="7">
        <v>3.722</v>
      </c>
      <c r="M1831" s="7">
        <v>3.9990000000000001</v>
      </c>
      <c r="N1831" s="7">
        <v>4.851</v>
      </c>
      <c r="O1831" s="7">
        <v>5.0970000000000004</v>
      </c>
      <c r="P1831" s="7">
        <v>5.4009999999999998</v>
      </c>
      <c r="Q1831" s="7">
        <v>5.2880000000000003</v>
      </c>
      <c r="R1831" s="7">
        <v>5.673</v>
      </c>
      <c r="S1831" s="7">
        <f t="shared" si="28"/>
        <v>4.9086666666666678</v>
      </c>
    </row>
    <row r="1832" spans="1:19">
      <c r="A1832" s="5" t="str">
        <f>B1832&amp;"-"&amp;COUNTIF($B$2:B1832,B1832)</f>
        <v>MINAS GERAIS-266</v>
      </c>
      <c r="B1832" s="5" t="s">
        <v>1126</v>
      </c>
      <c r="C1832" s="5" t="s">
        <v>1304</v>
      </c>
      <c r="D1832" s="6">
        <v>-420507</v>
      </c>
      <c r="E1832" s="6">
        <v>-19207</v>
      </c>
      <c r="F1832" s="7">
        <v>4.83</v>
      </c>
      <c r="G1832" s="7">
        <v>5.9459999999999997</v>
      </c>
      <c r="H1832" s="7">
        <v>6.109</v>
      </c>
      <c r="I1832" s="7">
        <v>5.1289999999999996</v>
      </c>
      <c r="J1832" s="7">
        <v>4.5609999999999999</v>
      </c>
      <c r="K1832" s="7">
        <v>3.8580000000000001</v>
      </c>
      <c r="L1832" s="7">
        <v>3.6320000000000001</v>
      </c>
      <c r="M1832" s="7">
        <v>3.7149999999999999</v>
      </c>
      <c r="N1832" s="7">
        <v>4.3899999999999997</v>
      </c>
      <c r="O1832" s="7">
        <v>4.8650000000000002</v>
      </c>
      <c r="P1832" s="7">
        <v>5.0999999999999996</v>
      </c>
      <c r="Q1832" s="7">
        <v>4.8840000000000003</v>
      </c>
      <c r="R1832" s="7">
        <v>5.7750000000000004</v>
      </c>
      <c r="S1832" s="7">
        <f t="shared" si="28"/>
        <v>4.8303333333333338</v>
      </c>
    </row>
    <row r="1833" spans="1:19">
      <c r="A1833" s="5" t="str">
        <f>B1833&amp;"-"&amp;COUNTIF($B$2:B1833,B1833)</f>
        <v>MINAS GERAIS-267</v>
      </c>
      <c r="B1833" s="5" t="s">
        <v>1126</v>
      </c>
      <c r="C1833" s="5" t="s">
        <v>1305</v>
      </c>
      <c r="D1833" s="6">
        <v>-439473</v>
      </c>
      <c r="E1833" s="6">
        <v>-172836</v>
      </c>
      <c r="F1833" s="7">
        <v>5.5609999999999999</v>
      </c>
      <c r="G1833" s="7">
        <v>6.2409999999999997</v>
      </c>
      <c r="H1833" s="7">
        <v>6.5659999999999998</v>
      </c>
      <c r="I1833" s="7">
        <v>5.5549999999999997</v>
      </c>
      <c r="J1833" s="7">
        <v>5.2619999999999996</v>
      </c>
      <c r="K1833" s="7">
        <v>4.7389999999999999</v>
      </c>
      <c r="L1833" s="7">
        <v>4.4640000000000004</v>
      </c>
      <c r="M1833" s="7">
        <v>4.7930000000000001</v>
      </c>
      <c r="N1833" s="7">
        <v>5.58</v>
      </c>
      <c r="O1833" s="7">
        <v>6.0259999999999998</v>
      </c>
      <c r="P1833" s="7">
        <v>5.98</v>
      </c>
      <c r="Q1833" s="7">
        <v>5.476</v>
      </c>
      <c r="R1833" s="7">
        <v>6.056</v>
      </c>
      <c r="S1833" s="7">
        <f t="shared" si="28"/>
        <v>5.5614999999999997</v>
      </c>
    </row>
    <row r="1834" spans="1:19">
      <c r="A1834" s="5" t="str">
        <f>B1834&amp;"-"&amp;COUNTIF($B$2:B1834,B1834)</f>
        <v>MINAS GERAIS-268</v>
      </c>
      <c r="B1834" s="5" t="s">
        <v>1126</v>
      </c>
      <c r="C1834" s="5" t="s">
        <v>1306</v>
      </c>
      <c r="D1834" s="6">
        <v>-422309</v>
      </c>
      <c r="E1834" s="6">
        <v>-196223</v>
      </c>
      <c r="F1834" s="7">
        <v>4.7460000000000004</v>
      </c>
      <c r="G1834" s="7">
        <v>5.7859999999999996</v>
      </c>
      <c r="H1834" s="7">
        <v>5.9139999999999997</v>
      </c>
      <c r="I1834" s="7">
        <v>5.0140000000000002</v>
      </c>
      <c r="J1834" s="7">
        <v>4.4800000000000004</v>
      </c>
      <c r="K1834" s="7">
        <v>3.8109999999999999</v>
      </c>
      <c r="L1834" s="7">
        <v>3.597</v>
      </c>
      <c r="M1834" s="7">
        <v>3.76</v>
      </c>
      <c r="N1834" s="7">
        <v>4.4370000000000003</v>
      </c>
      <c r="O1834" s="7">
        <v>4.8220000000000001</v>
      </c>
      <c r="P1834" s="7">
        <v>4.9610000000000003</v>
      </c>
      <c r="Q1834" s="7">
        <v>4.7839999999999998</v>
      </c>
      <c r="R1834" s="7">
        <v>5.5880000000000001</v>
      </c>
      <c r="S1834" s="7">
        <f t="shared" si="28"/>
        <v>4.7461666666666664</v>
      </c>
    </row>
    <row r="1835" spans="1:19">
      <c r="A1835" s="5" t="str">
        <f>B1835&amp;"-"&amp;COUNTIF($B$2:B1835,B1835)</f>
        <v>MINAS GERAIS-269</v>
      </c>
      <c r="B1835" s="5" t="s">
        <v>1126</v>
      </c>
      <c r="C1835" s="5" t="s">
        <v>1307</v>
      </c>
      <c r="D1835" s="6">
        <v>-440658</v>
      </c>
      <c r="E1835" s="6">
        <v>-206711</v>
      </c>
      <c r="F1835" s="7">
        <v>4.8719999999999999</v>
      </c>
      <c r="G1835" s="7">
        <v>5.6420000000000003</v>
      </c>
      <c r="H1835" s="7">
        <v>5.8520000000000003</v>
      </c>
      <c r="I1835" s="7">
        <v>4.9059999999999997</v>
      </c>
      <c r="J1835" s="7">
        <v>4.5229999999999997</v>
      </c>
      <c r="K1835" s="7">
        <v>3.9129999999999998</v>
      </c>
      <c r="L1835" s="7">
        <v>3.7509999999999999</v>
      </c>
      <c r="M1835" s="7">
        <v>3.9670000000000001</v>
      </c>
      <c r="N1835" s="7">
        <v>4.9269999999999996</v>
      </c>
      <c r="O1835" s="7">
        <v>5.1360000000000001</v>
      </c>
      <c r="P1835" s="7">
        <v>5.2960000000000003</v>
      </c>
      <c r="Q1835" s="7">
        <v>5.0229999999999997</v>
      </c>
      <c r="R1835" s="7">
        <v>5.5270000000000001</v>
      </c>
      <c r="S1835" s="7">
        <f t="shared" si="28"/>
        <v>4.8719166666666673</v>
      </c>
    </row>
    <row r="1836" spans="1:19">
      <c r="A1836" s="5" t="str">
        <f>B1836&amp;"-"&amp;COUNTIF($B$2:B1836,B1836)</f>
        <v>MINAS GERAIS-270</v>
      </c>
      <c r="B1836" s="5" t="s">
        <v>1126</v>
      </c>
      <c r="C1836" s="5" t="s">
        <v>5588</v>
      </c>
      <c r="D1836" s="6">
        <v>-426548</v>
      </c>
      <c r="E1836" s="6">
        <v>-208407</v>
      </c>
      <c r="F1836" s="7">
        <v>4.8250000000000002</v>
      </c>
      <c r="G1836" s="7">
        <v>5.7220000000000004</v>
      </c>
      <c r="H1836" s="7">
        <v>6.0460000000000003</v>
      </c>
      <c r="I1836" s="7">
        <v>5.0179999999999998</v>
      </c>
      <c r="J1836" s="7">
        <v>4.423</v>
      </c>
      <c r="K1836" s="7">
        <v>3.8250000000000002</v>
      </c>
      <c r="L1836" s="7">
        <v>3.6549999999999998</v>
      </c>
      <c r="M1836" s="7">
        <v>3.8410000000000002</v>
      </c>
      <c r="N1836" s="7">
        <v>4.6349999999999998</v>
      </c>
      <c r="O1836" s="7">
        <v>4.9569999999999999</v>
      </c>
      <c r="P1836" s="7">
        <v>5.1959999999999997</v>
      </c>
      <c r="Q1836" s="7">
        <v>4.9589999999999996</v>
      </c>
      <c r="R1836" s="7">
        <v>5.6219999999999999</v>
      </c>
      <c r="S1836" s="7">
        <f t="shared" si="28"/>
        <v>4.8249166666666667</v>
      </c>
    </row>
    <row r="1837" spans="1:19">
      <c r="A1837" s="5" t="str">
        <f>B1837&amp;"-"&amp;COUNTIF($B$2:B1837,B1837)</f>
        <v>MINAS GERAIS-271</v>
      </c>
      <c r="B1837" s="5" t="s">
        <v>1126</v>
      </c>
      <c r="C1837" s="5" t="s">
        <v>1308</v>
      </c>
      <c r="D1837" s="6">
        <v>-44314</v>
      </c>
      <c r="E1837" s="6">
        <v>-19763</v>
      </c>
      <c r="F1837" s="7">
        <v>5.1980000000000004</v>
      </c>
      <c r="G1837" s="7">
        <v>5.9050000000000002</v>
      </c>
      <c r="H1837" s="7">
        <v>6.0869999999999997</v>
      </c>
      <c r="I1837" s="7">
        <v>5.18</v>
      </c>
      <c r="J1837" s="7">
        <v>4.91</v>
      </c>
      <c r="K1837" s="7">
        <v>4.3070000000000004</v>
      </c>
      <c r="L1837" s="7">
        <v>4.1399999999999997</v>
      </c>
      <c r="M1837" s="7">
        <v>4.3780000000000001</v>
      </c>
      <c r="N1837" s="7">
        <v>5.22</v>
      </c>
      <c r="O1837" s="7">
        <v>5.5469999999999997</v>
      </c>
      <c r="P1837" s="7">
        <v>5.625</v>
      </c>
      <c r="Q1837" s="7">
        <v>5.3659999999999997</v>
      </c>
      <c r="R1837" s="7">
        <v>5.7039999999999997</v>
      </c>
      <c r="S1837" s="7">
        <f t="shared" si="28"/>
        <v>5.1974166666666664</v>
      </c>
    </row>
    <row r="1838" spans="1:19">
      <c r="A1838" s="5" t="str">
        <f>B1838&amp;"-"&amp;COUNTIF($B$2:B1838,B1838)</f>
        <v>MINAS GERAIS-272</v>
      </c>
      <c r="B1838" s="5" t="s">
        <v>1126</v>
      </c>
      <c r="C1838" s="5" t="s">
        <v>1309</v>
      </c>
      <c r="D1838" s="6">
        <v>-459552</v>
      </c>
      <c r="E1838" s="6">
        <v>-220458</v>
      </c>
      <c r="F1838" s="7">
        <v>4.7050000000000001</v>
      </c>
      <c r="G1838" s="7">
        <v>5.149</v>
      </c>
      <c r="H1838" s="7">
        <v>5.4939999999999998</v>
      </c>
      <c r="I1838" s="7">
        <v>4.6550000000000002</v>
      </c>
      <c r="J1838" s="7">
        <v>4.4029999999999996</v>
      </c>
      <c r="K1838" s="7">
        <v>3.8370000000000002</v>
      </c>
      <c r="L1838" s="7">
        <v>3.5950000000000002</v>
      </c>
      <c r="M1838" s="7">
        <v>3.8639999999999999</v>
      </c>
      <c r="N1838" s="7">
        <v>4.7670000000000003</v>
      </c>
      <c r="O1838" s="7">
        <v>4.9139999999999997</v>
      </c>
      <c r="P1838" s="7">
        <v>5.2469999999999999</v>
      </c>
      <c r="Q1838" s="7">
        <v>5.0789999999999997</v>
      </c>
      <c r="R1838" s="7">
        <v>5.4489999999999998</v>
      </c>
      <c r="S1838" s="7">
        <f t="shared" si="28"/>
        <v>4.7044166666666669</v>
      </c>
    </row>
    <row r="1839" spans="1:19">
      <c r="A1839" s="5" t="str">
        <f>B1839&amp;"-"&amp;COUNTIF($B$2:B1839,B1839)</f>
        <v>MINAS GERAIS-273</v>
      </c>
      <c r="B1839" s="5" t="s">
        <v>1126</v>
      </c>
      <c r="C1839" s="5" t="s">
        <v>1310</v>
      </c>
      <c r="D1839" s="6">
        <v>-419123</v>
      </c>
      <c r="E1839" s="6">
        <v>-206512</v>
      </c>
      <c r="F1839" s="7">
        <v>4.8090000000000002</v>
      </c>
      <c r="G1839" s="7">
        <v>5.8689999999999998</v>
      </c>
      <c r="H1839" s="7">
        <v>6.0730000000000004</v>
      </c>
      <c r="I1839" s="7">
        <v>4.9530000000000003</v>
      </c>
      <c r="J1839" s="7">
        <v>4.4249999999999998</v>
      </c>
      <c r="K1839" s="7">
        <v>3.8109999999999999</v>
      </c>
      <c r="L1839" s="7">
        <v>3.7149999999999999</v>
      </c>
      <c r="M1839" s="7">
        <v>3.8370000000000002</v>
      </c>
      <c r="N1839" s="7">
        <v>4.5960000000000001</v>
      </c>
      <c r="O1839" s="7">
        <v>4.9640000000000004</v>
      </c>
      <c r="P1839" s="7">
        <v>5.0839999999999996</v>
      </c>
      <c r="Q1839" s="7">
        <v>4.7859999999999996</v>
      </c>
      <c r="R1839" s="7">
        <v>5.5970000000000004</v>
      </c>
      <c r="S1839" s="7">
        <f t="shared" si="28"/>
        <v>4.809166666666667</v>
      </c>
    </row>
    <row r="1840" spans="1:19">
      <c r="A1840" s="5" t="str">
        <f>B1840&amp;"-"&amp;COUNTIF($B$2:B1840,B1840)</f>
        <v>MINAS GERAIS-274</v>
      </c>
      <c r="B1840" s="5" t="s">
        <v>1126</v>
      </c>
      <c r="C1840" s="5" t="s">
        <v>1311</v>
      </c>
      <c r="D1840" s="6">
        <v>-428094</v>
      </c>
      <c r="E1840" s="6">
        <v>-149254</v>
      </c>
      <c r="F1840" s="7">
        <v>5.7430000000000003</v>
      </c>
      <c r="G1840" s="7">
        <v>6.548</v>
      </c>
      <c r="H1840" s="7">
        <v>6.6379999999999999</v>
      </c>
      <c r="I1840" s="7">
        <v>5.9169999999999998</v>
      </c>
      <c r="J1840" s="7">
        <v>5.3949999999999996</v>
      </c>
      <c r="K1840" s="7">
        <v>4.8129999999999997</v>
      </c>
      <c r="L1840" s="7">
        <v>4.6139999999999999</v>
      </c>
      <c r="M1840" s="7">
        <v>4.8369999999999997</v>
      </c>
      <c r="N1840" s="7">
        <v>5.5419999999999998</v>
      </c>
      <c r="O1840" s="7">
        <v>6.0170000000000003</v>
      </c>
      <c r="P1840" s="7">
        <v>6.2759999999999998</v>
      </c>
      <c r="Q1840" s="7">
        <v>5.8280000000000003</v>
      </c>
      <c r="R1840" s="7">
        <v>6.4880000000000004</v>
      </c>
      <c r="S1840" s="7">
        <f t="shared" si="28"/>
        <v>5.7427500000000009</v>
      </c>
    </row>
    <row r="1841" spans="1:19">
      <c r="A1841" s="5" t="str">
        <f>B1841&amp;"-"&amp;COUNTIF($B$2:B1841,B1841)</f>
        <v>MINAS GERAIS-275</v>
      </c>
      <c r="B1841" s="5" t="s">
        <v>1126</v>
      </c>
      <c r="C1841" s="5" t="s">
        <v>1312</v>
      </c>
      <c r="D1841" s="6">
        <v>-460194</v>
      </c>
      <c r="E1841" s="6">
        <v>-224582</v>
      </c>
      <c r="F1841" s="7">
        <v>4.694</v>
      </c>
      <c r="G1841" s="7">
        <v>5.1280000000000001</v>
      </c>
      <c r="H1841" s="7">
        <v>5.4889999999999999</v>
      </c>
      <c r="I1841" s="7">
        <v>4.7</v>
      </c>
      <c r="J1841" s="7">
        <v>4.444</v>
      </c>
      <c r="K1841" s="7">
        <v>3.7690000000000001</v>
      </c>
      <c r="L1841" s="7">
        <v>3.5150000000000001</v>
      </c>
      <c r="M1841" s="7">
        <v>3.7669999999999999</v>
      </c>
      <c r="N1841" s="7">
        <v>4.6689999999999996</v>
      </c>
      <c r="O1841" s="7">
        <v>4.82</v>
      </c>
      <c r="P1841" s="7">
        <v>5.2320000000000002</v>
      </c>
      <c r="Q1841" s="7">
        <v>5.2160000000000002</v>
      </c>
      <c r="R1841" s="7">
        <v>5.5709999999999997</v>
      </c>
      <c r="S1841" s="7">
        <f t="shared" si="28"/>
        <v>4.6933333333333334</v>
      </c>
    </row>
    <row r="1842" spans="1:19">
      <c r="A1842" s="5" t="str">
        <f>B1842&amp;"-"&amp;COUNTIF($B$2:B1842,B1842)</f>
        <v>MINAS GERAIS-276</v>
      </c>
      <c r="B1842" s="5" t="s">
        <v>1126</v>
      </c>
      <c r="C1842" s="5" t="s">
        <v>1313</v>
      </c>
      <c r="D1842" s="6">
        <v>-424578</v>
      </c>
      <c r="E1842" s="6">
        <v>-217417</v>
      </c>
      <c r="F1842" s="7">
        <v>4.7220000000000004</v>
      </c>
      <c r="G1842" s="7">
        <v>5.8890000000000002</v>
      </c>
      <c r="H1842" s="7">
        <v>6.0389999999999997</v>
      </c>
      <c r="I1842" s="7">
        <v>5.0810000000000004</v>
      </c>
      <c r="J1842" s="7">
        <v>4.4089999999999998</v>
      </c>
      <c r="K1842" s="7">
        <v>3.6469999999999998</v>
      </c>
      <c r="L1842" s="7">
        <v>3.4159999999999999</v>
      </c>
      <c r="M1842" s="7">
        <v>3.5489999999999999</v>
      </c>
      <c r="N1842" s="7">
        <v>4.2720000000000002</v>
      </c>
      <c r="O1842" s="7">
        <v>4.6840000000000002</v>
      </c>
      <c r="P1842" s="7">
        <v>4.9980000000000002</v>
      </c>
      <c r="Q1842" s="7">
        <v>4.944</v>
      </c>
      <c r="R1842" s="7">
        <v>5.742</v>
      </c>
      <c r="S1842" s="7">
        <f t="shared" si="28"/>
        <v>4.7224999999999993</v>
      </c>
    </row>
    <row r="1843" spans="1:19">
      <c r="A1843" s="5" t="str">
        <f>B1843&amp;"-"&amp;COUNTIF($B$2:B1843,B1843)</f>
        <v>MINAS GERAIS-277</v>
      </c>
      <c r="B1843" s="5" t="s">
        <v>1126</v>
      </c>
      <c r="C1843" s="5" t="s">
        <v>5589</v>
      </c>
      <c r="D1843" s="5" t="s">
        <v>1314</v>
      </c>
      <c r="E1843" s="6">
        <v>-195188</v>
      </c>
      <c r="F1843" s="7">
        <v>5.2409999999999997</v>
      </c>
      <c r="G1843" s="7">
        <v>5.8170000000000002</v>
      </c>
      <c r="H1843" s="7">
        <v>6.1070000000000002</v>
      </c>
      <c r="I1843" s="7">
        <v>5.0979999999999999</v>
      </c>
      <c r="J1843" s="7">
        <v>4.9459999999999997</v>
      </c>
      <c r="K1843" s="7">
        <v>4.5439999999999996</v>
      </c>
      <c r="L1843" s="7">
        <v>4.298</v>
      </c>
      <c r="M1843" s="7">
        <v>4.5419999999999998</v>
      </c>
      <c r="N1843" s="7">
        <v>5.4969999999999999</v>
      </c>
      <c r="O1843" s="7">
        <v>5.5730000000000004</v>
      </c>
      <c r="P1843" s="7">
        <v>5.6189999999999998</v>
      </c>
      <c r="Q1843" s="7">
        <v>5.2190000000000003</v>
      </c>
      <c r="R1843" s="7">
        <v>5.6340000000000003</v>
      </c>
      <c r="S1843" s="7">
        <f t="shared" si="28"/>
        <v>5.2411666666666665</v>
      </c>
    </row>
    <row r="1844" spans="1:19">
      <c r="A1844" s="5" t="str">
        <f>B1844&amp;"-"&amp;COUNTIF($B$2:B1844,B1844)</f>
        <v>MINAS GERAIS-278</v>
      </c>
      <c r="B1844" s="5" t="s">
        <v>1126</v>
      </c>
      <c r="C1844" s="5" t="s">
        <v>1315</v>
      </c>
      <c r="D1844" s="6">
        <v>-47696</v>
      </c>
      <c r="E1844" s="6">
        <v>-187404</v>
      </c>
      <c r="F1844" s="7">
        <v>5.2919999999999998</v>
      </c>
      <c r="G1844" s="7">
        <v>5.6719999999999997</v>
      </c>
      <c r="H1844" s="7">
        <v>5.9969999999999999</v>
      </c>
      <c r="I1844" s="7">
        <v>5.1870000000000003</v>
      </c>
      <c r="J1844" s="7">
        <v>5.0389999999999997</v>
      </c>
      <c r="K1844" s="7">
        <v>4.6219999999999999</v>
      </c>
      <c r="L1844" s="7">
        <v>4.3620000000000001</v>
      </c>
      <c r="M1844" s="7">
        <v>4.6349999999999998</v>
      </c>
      <c r="N1844" s="7">
        <v>5.548</v>
      </c>
      <c r="O1844" s="7">
        <v>5.5519999999999996</v>
      </c>
      <c r="P1844" s="7">
        <v>5.6379999999999999</v>
      </c>
      <c r="Q1844" s="7">
        <v>5.4880000000000004</v>
      </c>
      <c r="R1844" s="7">
        <v>5.7619999999999996</v>
      </c>
      <c r="S1844" s="7">
        <f t="shared" si="28"/>
        <v>5.2918333333333338</v>
      </c>
    </row>
    <row r="1845" spans="1:19">
      <c r="A1845" s="5" t="str">
        <f>B1845&amp;"-"&amp;COUNTIF($B$2:B1845,B1845)</f>
        <v>MINAS GERAIS-279</v>
      </c>
      <c r="B1845" s="5" t="s">
        <v>1126</v>
      </c>
      <c r="C1845" s="5" t="s">
        <v>5127</v>
      </c>
      <c r="D1845" s="6">
        <v>-421882</v>
      </c>
      <c r="E1845" s="6">
        <v>-211006</v>
      </c>
      <c r="F1845" s="7">
        <v>4.8529999999999998</v>
      </c>
      <c r="G1845" s="7">
        <v>5.9939999999999998</v>
      </c>
      <c r="H1845" s="7">
        <v>6.2039999999999997</v>
      </c>
      <c r="I1845" s="7">
        <v>5.0919999999999996</v>
      </c>
      <c r="J1845" s="7">
        <v>4.508</v>
      </c>
      <c r="K1845" s="7">
        <v>3.8159999999999998</v>
      </c>
      <c r="L1845" s="7">
        <v>3.6</v>
      </c>
      <c r="M1845" s="7">
        <v>3.7309999999999999</v>
      </c>
      <c r="N1845" s="7">
        <v>4.5199999999999996</v>
      </c>
      <c r="O1845" s="7">
        <v>4.8959999999999999</v>
      </c>
      <c r="P1845" s="7">
        <v>5.1379999999999999</v>
      </c>
      <c r="Q1845" s="7">
        <v>4.9409999999999998</v>
      </c>
      <c r="R1845" s="7">
        <v>5.8049999999999997</v>
      </c>
      <c r="S1845" s="7">
        <f t="shared" si="28"/>
        <v>4.8537500000000007</v>
      </c>
    </row>
    <row r="1846" spans="1:19">
      <c r="A1846" s="5" t="str">
        <f>B1846&amp;"-"&amp;COUNTIF($B$2:B1846,B1846)</f>
        <v>MINAS GERAIS-280</v>
      </c>
      <c r="B1846" s="5" t="s">
        <v>1126</v>
      </c>
      <c r="C1846" s="5" t="s">
        <v>4964</v>
      </c>
      <c r="D1846" s="6">
        <v>-435072</v>
      </c>
      <c r="E1846" s="6">
        <v>-215503</v>
      </c>
      <c r="F1846" s="7">
        <v>4.5309999999999997</v>
      </c>
      <c r="G1846" s="7">
        <v>5.3259999999999996</v>
      </c>
      <c r="H1846" s="7">
        <v>5.77</v>
      </c>
      <c r="I1846" s="7">
        <v>4.6970000000000001</v>
      </c>
      <c r="J1846" s="7">
        <v>4.1589999999999998</v>
      </c>
      <c r="K1846" s="7">
        <v>3.5569999999999999</v>
      </c>
      <c r="L1846" s="7">
        <v>3.4220000000000002</v>
      </c>
      <c r="M1846" s="7">
        <v>3.6030000000000002</v>
      </c>
      <c r="N1846" s="7">
        <v>4.38</v>
      </c>
      <c r="O1846" s="7">
        <v>4.6390000000000002</v>
      </c>
      <c r="P1846" s="7">
        <v>4.8230000000000004</v>
      </c>
      <c r="Q1846" s="7">
        <v>4.6139999999999999</v>
      </c>
      <c r="R1846" s="7">
        <v>5.38</v>
      </c>
      <c r="S1846" s="7">
        <f t="shared" si="28"/>
        <v>4.5308333333333337</v>
      </c>
    </row>
    <row r="1847" spans="1:19">
      <c r="A1847" s="5" t="str">
        <f>B1847&amp;"-"&amp;COUNTIF($B$2:B1847,B1847)</f>
        <v>MINAS GERAIS-281</v>
      </c>
      <c r="B1847" s="5" t="s">
        <v>1126</v>
      </c>
      <c r="C1847" s="5" t="s">
        <v>1316</v>
      </c>
      <c r="D1847" s="6">
        <v>-463182</v>
      </c>
      <c r="E1847" s="6">
        <v>-228545</v>
      </c>
      <c r="F1847" s="7">
        <v>4.7450000000000001</v>
      </c>
      <c r="G1847" s="7">
        <v>5.2709999999999999</v>
      </c>
      <c r="H1847" s="7">
        <v>5.5019999999999998</v>
      </c>
      <c r="I1847" s="7">
        <v>4.8109999999999999</v>
      </c>
      <c r="J1847" s="7">
        <v>4.5250000000000004</v>
      </c>
      <c r="K1847" s="7">
        <v>3.7610000000000001</v>
      </c>
      <c r="L1847" s="7">
        <v>3.4990000000000001</v>
      </c>
      <c r="M1847" s="7">
        <v>3.6339999999999999</v>
      </c>
      <c r="N1847" s="7">
        <v>4.6269999999999998</v>
      </c>
      <c r="O1847" s="7">
        <v>4.7670000000000003</v>
      </c>
      <c r="P1847" s="7">
        <v>5.2939999999999996</v>
      </c>
      <c r="Q1847" s="7">
        <v>5.4320000000000004</v>
      </c>
      <c r="R1847" s="7">
        <v>5.8129999999999997</v>
      </c>
      <c r="S1847" s="7">
        <f t="shared" si="28"/>
        <v>4.7446666666666673</v>
      </c>
    </row>
    <row r="1848" spans="1:19">
      <c r="A1848" s="5" t="str">
        <f>B1848&amp;"-"&amp;COUNTIF($B$2:B1848,B1848)</f>
        <v>MINAS GERAIS-282</v>
      </c>
      <c r="B1848" s="5" t="s">
        <v>1126</v>
      </c>
      <c r="C1848" s="5" t="s">
        <v>1317</v>
      </c>
      <c r="D1848" s="6">
        <v>-45829</v>
      </c>
      <c r="E1848" s="6">
        <v>-214094</v>
      </c>
      <c r="F1848" s="7">
        <v>4.9409999999999998</v>
      </c>
      <c r="G1848" s="7">
        <v>5.6509999999999998</v>
      </c>
      <c r="H1848" s="7">
        <v>5.8650000000000002</v>
      </c>
      <c r="I1848" s="7">
        <v>4.9909999999999997</v>
      </c>
      <c r="J1848" s="7">
        <v>4.6449999999999996</v>
      </c>
      <c r="K1848" s="7">
        <v>3.9860000000000002</v>
      </c>
      <c r="L1848" s="7">
        <v>3.7090000000000001</v>
      </c>
      <c r="M1848" s="7">
        <v>4.0060000000000002</v>
      </c>
      <c r="N1848" s="7">
        <v>4.84</v>
      </c>
      <c r="O1848" s="7">
        <v>5.0629999999999997</v>
      </c>
      <c r="P1848" s="7">
        <v>5.4379999999999997</v>
      </c>
      <c r="Q1848" s="7">
        <v>5.34</v>
      </c>
      <c r="R1848" s="7">
        <v>5.7569999999999997</v>
      </c>
      <c r="S1848" s="7">
        <f t="shared" si="28"/>
        <v>4.9409166666666673</v>
      </c>
    </row>
    <row r="1849" spans="1:19">
      <c r="A1849" s="5" t="str">
        <f>B1849&amp;"-"&amp;COUNTIF($B$2:B1849,B1849)</f>
        <v>MINAS GERAIS-283</v>
      </c>
      <c r="B1849" s="5" t="s">
        <v>1126</v>
      </c>
      <c r="C1849" s="5" t="s">
        <v>1318</v>
      </c>
      <c r="D1849" s="6">
        <v>-420217</v>
      </c>
      <c r="E1849" s="6">
        <v>-208102</v>
      </c>
      <c r="F1849" s="7">
        <v>4.8410000000000002</v>
      </c>
      <c r="G1849" s="7">
        <v>5.9420000000000002</v>
      </c>
      <c r="H1849" s="7">
        <v>6.1849999999999996</v>
      </c>
      <c r="I1849" s="7">
        <v>5.0380000000000003</v>
      </c>
      <c r="J1849" s="7">
        <v>4.508</v>
      </c>
      <c r="K1849" s="7">
        <v>3.8</v>
      </c>
      <c r="L1849" s="7">
        <v>3.6789999999999998</v>
      </c>
      <c r="M1849" s="7">
        <v>3.7919999999999998</v>
      </c>
      <c r="N1849" s="7">
        <v>4.5590000000000002</v>
      </c>
      <c r="O1849" s="7">
        <v>4.9459999999999997</v>
      </c>
      <c r="P1849" s="7">
        <v>5.0869999999999997</v>
      </c>
      <c r="Q1849" s="7">
        <v>4.8630000000000004</v>
      </c>
      <c r="R1849" s="7">
        <v>5.6980000000000004</v>
      </c>
      <c r="S1849" s="7">
        <f t="shared" si="28"/>
        <v>4.8414166666666656</v>
      </c>
    </row>
    <row r="1850" spans="1:19">
      <c r="A1850" s="5" t="str">
        <f>B1850&amp;"-"&amp;COUNTIF($B$2:B1850,B1850)</f>
        <v>MINAS GERAIS-284</v>
      </c>
      <c r="B1850" s="5" t="s">
        <v>1126</v>
      </c>
      <c r="C1850" s="5" t="s">
        <v>1319</v>
      </c>
      <c r="D1850" s="6">
        <v>-432426</v>
      </c>
      <c r="E1850" s="6">
        <v>-18076</v>
      </c>
      <c r="F1850" s="7">
        <v>5.0350000000000001</v>
      </c>
      <c r="G1850" s="7">
        <v>5.8</v>
      </c>
      <c r="H1850" s="7">
        <v>6.1520000000000001</v>
      </c>
      <c r="I1850" s="7">
        <v>5.1189999999999998</v>
      </c>
      <c r="J1850" s="7">
        <v>4.6379999999999999</v>
      </c>
      <c r="K1850" s="7">
        <v>4.1280000000000001</v>
      </c>
      <c r="L1850" s="7">
        <v>3.9889999999999999</v>
      </c>
      <c r="M1850" s="7">
        <v>4.1980000000000004</v>
      </c>
      <c r="N1850" s="7">
        <v>4.9649999999999999</v>
      </c>
      <c r="O1850" s="7">
        <v>5.4269999999999996</v>
      </c>
      <c r="P1850" s="7">
        <v>5.4219999999999997</v>
      </c>
      <c r="Q1850" s="7">
        <v>4.9340000000000002</v>
      </c>
      <c r="R1850" s="7">
        <v>5.6429999999999998</v>
      </c>
      <c r="S1850" s="7">
        <f t="shared" si="28"/>
        <v>5.034583333333333</v>
      </c>
    </row>
    <row r="1851" spans="1:19">
      <c r="A1851" s="5" t="str">
        <f>B1851&amp;"-"&amp;COUNTIF($B$2:B1851,B1851)</f>
        <v>MINAS GERAIS-285</v>
      </c>
      <c r="B1851" s="5" t="s">
        <v>1126</v>
      </c>
      <c r="C1851" s="5" t="s">
        <v>1320</v>
      </c>
      <c r="D1851" s="6">
        <v>-407608</v>
      </c>
      <c r="E1851" s="6">
        <v>-166353</v>
      </c>
      <c r="F1851" s="7">
        <v>4.87</v>
      </c>
      <c r="G1851" s="7">
        <v>5.9470000000000001</v>
      </c>
      <c r="H1851" s="7">
        <v>6.1219999999999999</v>
      </c>
      <c r="I1851" s="7">
        <v>5.2649999999999997</v>
      </c>
      <c r="J1851" s="7">
        <v>4.5940000000000003</v>
      </c>
      <c r="K1851" s="7">
        <v>3.8570000000000002</v>
      </c>
      <c r="L1851" s="7">
        <v>3.4870000000000001</v>
      </c>
      <c r="M1851" s="7">
        <v>3.6219999999999999</v>
      </c>
      <c r="N1851" s="7">
        <v>4.2480000000000002</v>
      </c>
      <c r="O1851" s="7">
        <v>5.0510000000000002</v>
      </c>
      <c r="P1851" s="7">
        <v>5.202</v>
      </c>
      <c r="Q1851" s="7">
        <v>5.0830000000000002</v>
      </c>
      <c r="R1851" s="7">
        <v>5.968</v>
      </c>
      <c r="S1851" s="7">
        <f t="shared" si="28"/>
        <v>4.8704999999999998</v>
      </c>
    </row>
    <row r="1852" spans="1:19">
      <c r="A1852" s="5" t="str">
        <f>B1852&amp;"-"&amp;COUNTIF($B$2:B1852,B1852)</f>
        <v>MINAS GERAIS-286</v>
      </c>
      <c r="B1852" s="5" t="s">
        <v>1126</v>
      </c>
      <c r="C1852" s="5" t="s">
        <v>4965</v>
      </c>
      <c r="D1852" s="6">
        <v>-449006</v>
      </c>
      <c r="E1852" s="6">
        <v>-187546</v>
      </c>
      <c r="F1852" s="7">
        <v>5.4269999999999996</v>
      </c>
      <c r="G1852" s="7">
        <v>6.0570000000000004</v>
      </c>
      <c r="H1852" s="7">
        <v>6.3289999999999997</v>
      </c>
      <c r="I1852" s="7">
        <v>5.444</v>
      </c>
      <c r="J1852" s="7">
        <v>5.26</v>
      </c>
      <c r="K1852" s="7">
        <v>4.6269999999999998</v>
      </c>
      <c r="L1852" s="7">
        <v>4.3159999999999998</v>
      </c>
      <c r="M1852" s="7">
        <v>4.7190000000000003</v>
      </c>
      <c r="N1852" s="7">
        <v>5.4089999999999998</v>
      </c>
      <c r="O1852" s="7">
        <v>5.7960000000000003</v>
      </c>
      <c r="P1852" s="7">
        <v>5.7569999999999997</v>
      </c>
      <c r="Q1852" s="7">
        <v>5.5179999999999998</v>
      </c>
      <c r="R1852" s="7">
        <v>5.8890000000000002</v>
      </c>
      <c r="S1852" s="7">
        <f t="shared" si="28"/>
        <v>5.4267499999999993</v>
      </c>
    </row>
    <row r="1853" spans="1:19">
      <c r="A1853" s="5" t="str">
        <f>B1853&amp;"-"&amp;COUNTIF($B$2:B1853,B1853)</f>
        <v>MINAS GERAIS-287</v>
      </c>
      <c r="B1853" s="5" t="s">
        <v>1126</v>
      </c>
      <c r="C1853" s="5" t="s">
        <v>1321</v>
      </c>
      <c r="D1853" s="6">
        <v>-420802</v>
      </c>
      <c r="E1853" s="6">
        <v>-191525</v>
      </c>
      <c r="F1853" s="7">
        <v>4.83</v>
      </c>
      <c r="G1853" s="7">
        <v>5.9459999999999997</v>
      </c>
      <c r="H1853" s="7">
        <v>6.109</v>
      </c>
      <c r="I1853" s="7">
        <v>5.1289999999999996</v>
      </c>
      <c r="J1853" s="7">
        <v>4.5609999999999999</v>
      </c>
      <c r="K1853" s="7">
        <v>3.8580000000000001</v>
      </c>
      <c r="L1853" s="7">
        <v>3.6320000000000001</v>
      </c>
      <c r="M1853" s="7">
        <v>3.7149999999999999</v>
      </c>
      <c r="N1853" s="7">
        <v>4.3899999999999997</v>
      </c>
      <c r="O1853" s="7">
        <v>4.8650000000000002</v>
      </c>
      <c r="P1853" s="7">
        <v>5.0999999999999996</v>
      </c>
      <c r="Q1853" s="7">
        <v>4.8840000000000003</v>
      </c>
      <c r="R1853" s="7">
        <v>5.7750000000000004</v>
      </c>
      <c r="S1853" s="7">
        <f t="shared" si="28"/>
        <v>4.8303333333333338</v>
      </c>
    </row>
    <row r="1854" spans="1:19">
      <c r="A1854" s="5" t="str">
        <f>B1854&amp;"-"&amp;COUNTIF($B$2:B1854,B1854)</f>
        <v>MINAS GERAIS-288</v>
      </c>
      <c r="B1854" s="5" t="s">
        <v>1126</v>
      </c>
      <c r="C1854" s="5" t="s">
        <v>1322</v>
      </c>
      <c r="D1854" s="6">
        <v>-430196</v>
      </c>
      <c r="E1854" s="6">
        <v>-192348</v>
      </c>
      <c r="F1854" s="7">
        <v>4.8179999999999996</v>
      </c>
      <c r="G1854" s="7">
        <v>5.74</v>
      </c>
      <c r="H1854" s="7">
        <v>6.024</v>
      </c>
      <c r="I1854" s="7">
        <v>5.0380000000000003</v>
      </c>
      <c r="J1854" s="7">
        <v>4.53</v>
      </c>
      <c r="K1854" s="7">
        <v>3.87</v>
      </c>
      <c r="L1854" s="7">
        <v>3.6469999999999998</v>
      </c>
      <c r="M1854" s="7">
        <v>3.89</v>
      </c>
      <c r="N1854" s="7">
        <v>4.633</v>
      </c>
      <c r="O1854" s="7">
        <v>4.9749999999999996</v>
      </c>
      <c r="P1854" s="7">
        <v>5.16</v>
      </c>
      <c r="Q1854" s="7">
        <v>4.8029999999999999</v>
      </c>
      <c r="R1854" s="7">
        <v>5.4989999999999997</v>
      </c>
      <c r="S1854" s="7">
        <f t="shared" si="28"/>
        <v>4.8174166666666673</v>
      </c>
    </row>
    <row r="1855" spans="1:19">
      <c r="A1855" s="5" t="str">
        <f>B1855&amp;"-"&amp;COUNTIF($B$2:B1855,B1855)</f>
        <v>MINAS GERAIS-289</v>
      </c>
      <c r="B1855" s="5" t="s">
        <v>1126</v>
      </c>
      <c r="C1855" s="5" t="s">
        <v>1323</v>
      </c>
      <c r="D1855" s="6">
        <v>-422794</v>
      </c>
      <c r="E1855" s="6">
        <v>-207265</v>
      </c>
      <c r="F1855" s="7">
        <v>4.78</v>
      </c>
      <c r="G1855" s="7">
        <v>5.7919999999999998</v>
      </c>
      <c r="H1855" s="7">
        <v>6.0529999999999999</v>
      </c>
      <c r="I1855" s="7">
        <v>4.9089999999999998</v>
      </c>
      <c r="J1855" s="7">
        <v>4.383</v>
      </c>
      <c r="K1855" s="7">
        <v>3.7919999999999998</v>
      </c>
      <c r="L1855" s="7">
        <v>3.7029999999999998</v>
      </c>
      <c r="M1855" s="7">
        <v>3.8420000000000001</v>
      </c>
      <c r="N1855" s="7">
        <v>4.617</v>
      </c>
      <c r="O1855" s="7">
        <v>4.9870000000000001</v>
      </c>
      <c r="P1855" s="7">
        <v>5.0330000000000004</v>
      </c>
      <c r="Q1855" s="7">
        <v>4.7110000000000003</v>
      </c>
      <c r="R1855" s="7">
        <v>5.5449999999999999</v>
      </c>
      <c r="S1855" s="7">
        <f t="shared" si="28"/>
        <v>4.7805833333333334</v>
      </c>
    </row>
    <row r="1856" spans="1:19">
      <c r="A1856" s="5" t="str">
        <f>B1856&amp;"-"&amp;COUNTIF($B$2:B1856,B1856)</f>
        <v>MINAS GERAIS-290</v>
      </c>
      <c r="B1856" s="5" t="s">
        <v>1126</v>
      </c>
      <c r="C1856" s="5" t="s">
        <v>1324</v>
      </c>
      <c r="D1856" s="6">
        <v>-444321</v>
      </c>
      <c r="E1856" s="6">
        <v>-198885</v>
      </c>
      <c r="F1856" s="7">
        <v>5.1639999999999997</v>
      </c>
      <c r="G1856" s="7">
        <v>5.8739999999999997</v>
      </c>
      <c r="H1856" s="7">
        <v>6.0549999999999997</v>
      </c>
      <c r="I1856" s="7">
        <v>5.13</v>
      </c>
      <c r="J1856" s="7">
        <v>4.8620000000000001</v>
      </c>
      <c r="K1856" s="7">
        <v>4.2910000000000004</v>
      </c>
      <c r="L1856" s="7">
        <v>4.133</v>
      </c>
      <c r="M1856" s="7">
        <v>4.375</v>
      </c>
      <c r="N1856" s="7">
        <v>5.2389999999999999</v>
      </c>
      <c r="O1856" s="7">
        <v>5.5</v>
      </c>
      <c r="P1856" s="7">
        <v>5.5860000000000003</v>
      </c>
      <c r="Q1856" s="7">
        <v>5.3079999999999998</v>
      </c>
      <c r="R1856" s="7">
        <v>5.6189999999999998</v>
      </c>
      <c r="S1856" s="7">
        <f t="shared" si="28"/>
        <v>5.1643333333333326</v>
      </c>
    </row>
    <row r="1857" spans="1:19">
      <c r="A1857" s="5" t="str">
        <f>B1857&amp;"-"&amp;COUNTIF($B$2:B1857,B1857)</f>
        <v>MINAS GERAIS-291</v>
      </c>
      <c r="B1857" s="5" t="s">
        <v>1126</v>
      </c>
      <c r="C1857" s="5" t="s">
        <v>1325</v>
      </c>
      <c r="D1857" s="6">
        <v>-454272</v>
      </c>
      <c r="E1857" s="6">
        <v>-204623</v>
      </c>
      <c r="F1857" s="7">
        <v>5.0419999999999998</v>
      </c>
      <c r="G1857" s="7">
        <v>5.6280000000000001</v>
      </c>
      <c r="H1857" s="7">
        <v>5.8559999999999999</v>
      </c>
      <c r="I1857" s="7">
        <v>4.923</v>
      </c>
      <c r="J1857" s="7">
        <v>4.8010000000000002</v>
      </c>
      <c r="K1857" s="7">
        <v>4.2190000000000003</v>
      </c>
      <c r="L1857" s="7">
        <v>4.0119999999999996</v>
      </c>
      <c r="M1857" s="7">
        <v>4.2619999999999996</v>
      </c>
      <c r="N1857" s="7">
        <v>5.1840000000000002</v>
      </c>
      <c r="O1857" s="7">
        <v>5.3339999999999996</v>
      </c>
      <c r="P1857" s="7">
        <v>5.4870000000000001</v>
      </c>
      <c r="Q1857" s="7">
        <v>5.1710000000000003</v>
      </c>
      <c r="R1857" s="7">
        <v>5.6280000000000001</v>
      </c>
      <c r="S1857" s="7">
        <f t="shared" si="28"/>
        <v>5.0420833333333333</v>
      </c>
    </row>
    <row r="1858" spans="1:19">
      <c r="A1858" s="5" t="str">
        <f>B1858&amp;"-"&amp;COUNTIF($B$2:B1858,B1858)</f>
        <v>MINAS GERAIS-292</v>
      </c>
      <c r="B1858" s="5" t="s">
        <v>1126</v>
      </c>
      <c r="C1858" s="5" t="s">
        <v>812</v>
      </c>
      <c r="D1858" s="6">
        <v>-462323</v>
      </c>
      <c r="E1858" s="6">
        <v>-149532</v>
      </c>
      <c r="F1858" s="7">
        <v>5.5419999999999998</v>
      </c>
      <c r="G1858" s="7">
        <v>5.9130000000000003</v>
      </c>
      <c r="H1858" s="7">
        <v>6.0890000000000004</v>
      </c>
      <c r="I1858" s="7">
        <v>5.3460000000000001</v>
      </c>
      <c r="J1858" s="7">
        <v>5.3179999999999996</v>
      </c>
      <c r="K1858" s="7">
        <v>4.9790000000000001</v>
      </c>
      <c r="L1858" s="7">
        <v>4.83</v>
      </c>
      <c r="M1858" s="7">
        <v>5.2320000000000002</v>
      </c>
      <c r="N1858" s="7">
        <v>5.8940000000000001</v>
      </c>
      <c r="O1858" s="7">
        <v>6.0309999999999997</v>
      </c>
      <c r="P1858" s="7">
        <v>5.83</v>
      </c>
      <c r="Q1858" s="7">
        <v>5.28</v>
      </c>
      <c r="R1858" s="7">
        <v>5.76</v>
      </c>
      <c r="S1858" s="7">
        <f t="shared" si="28"/>
        <v>5.5418333333333329</v>
      </c>
    </row>
    <row r="1859" spans="1:19">
      <c r="A1859" s="5" t="str">
        <f>B1859&amp;"-"&amp;COUNTIF($B$2:B1859,B1859)</f>
        <v>MINAS GERAIS-293</v>
      </c>
      <c r="B1859" s="5" t="s">
        <v>1126</v>
      </c>
      <c r="C1859" s="5" t="s">
        <v>1326</v>
      </c>
      <c r="D1859" s="6">
        <v>-467124</v>
      </c>
      <c r="E1859" s="6">
        <v>-208512</v>
      </c>
      <c r="F1859" s="7">
        <v>5.048</v>
      </c>
      <c r="G1859" s="7">
        <v>5.617</v>
      </c>
      <c r="H1859" s="7">
        <v>5.8540000000000001</v>
      </c>
      <c r="I1859" s="7">
        <v>5.0259999999999998</v>
      </c>
      <c r="J1859" s="7">
        <v>4.7969999999999997</v>
      </c>
      <c r="K1859" s="7">
        <v>4.1959999999999997</v>
      </c>
      <c r="L1859" s="7">
        <v>3.9550000000000001</v>
      </c>
      <c r="M1859" s="7">
        <v>4.1909999999999998</v>
      </c>
      <c r="N1859" s="7">
        <v>5.0890000000000004</v>
      </c>
      <c r="O1859" s="7">
        <v>5.149</v>
      </c>
      <c r="P1859" s="7">
        <v>5.5490000000000004</v>
      </c>
      <c r="Q1859" s="7">
        <v>5.4820000000000002</v>
      </c>
      <c r="R1859" s="7">
        <v>5.6769999999999996</v>
      </c>
      <c r="S1859" s="7">
        <f t="shared" ref="S1859:S1922" si="29">(G1859+H1859+I1859+J1859+K1859+L1859+M1859+N1859+O1859+P1859+Q1859+R1859)/12</f>
        <v>5.0484999999999998</v>
      </c>
    </row>
    <row r="1860" spans="1:19">
      <c r="A1860" s="5" t="str">
        <f>B1860&amp;"-"&amp;COUNTIF($B$2:B1860,B1860)</f>
        <v>MINAS GERAIS-294</v>
      </c>
      <c r="B1860" s="5" t="s">
        <v>1126</v>
      </c>
      <c r="C1860" s="5" t="s">
        <v>1327</v>
      </c>
      <c r="D1860" s="6">
        <v>-44447</v>
      </c>
      <c r="E1860" s="6">
        <v>-19561</v>
      </c>
      <c r="F1860" s="7">
        <v>5.2249999999999996</v>
      </c>
      <c r="G1860" s="7">
        <v>5.9260000000000002</v>
      </c>
      <c r="H1860" s="7">
        <v>6.0389999999999997</v>
      </c>
      <c r="I1860" s="7">
        <v>5.2069999999999999</v>
      </c>
      <c r="J1860" s="7">
        <v>4.915</v>
      </c>
      <c r="K1860" s="7">
        <v>4.3470000000000004</v>
      </c>
      <c r="L1860" s="7">
        <v>4.133</v>
      </c>
      <c r="M1860" s="7">
        <v>4.4340000000000002</v>
      </c>
      <c r="N1860" s="7">
        <v>5.3079999999999998</v>
      </c>
      <c r="O1860" s="7">
        <v>5.5990000000000002</v>
      </c>
      <c r="P1860" s="7">
        <v>5.6429999999999998</v>
      </c>
      <c r="Q1860" s="7">
        <v>5.4249999999999998</v>
      </c>
      <c r="R1860" s="7">
        <v>5.7240000000000002</v>
      </c>
      <c r="S1860" s="7">
        <f t="shared" si="29"/>
        <v>5.2250000000000005</v>
      </c>
    </row>
    <row r="1861" spans="1:19">
      <c r="A1861" s="5" t="str">
        <f>B1861&amp;"-"&amp;COUNTIF($B$2:B1861,B1861)</f>
        <v>MINAS GERAIS-295</v>
      </c>
      <c r="B1861" s="5" t="s">
        <v>1126</v>
      </c>
      <c r="C1861" s="5" t="s">
        <v>5128</v>
      </c>
      <c r="D1861" s="6">
        <v>-42009</v>
      </c>
      <c r="E1861" s="5" t="s">
        <v>1328</v>
      </c>
      <c r="F1861" s="7">
        <v>4.95</v>
      </c>
      <c r="G1861" s="7">
        <v>6.0359999999999996</v>
      </c>
      <c r="H1861" s="7">
        <v>6.173</v>
      </c>
      <c r="I1861" s="7">
        <v>5.3049999999999997</v>
      </c>
      <c r="J1861" s="7">
        <v>4.59</v>
      </c>
      <c r="K1861" s="7">
        <v>3.9340000000000002</v>
      </c>
      <c r="L1861" s="7">
        <v>3.6949999999999998</v>
      </c>
      <c r="M1861" s="7">
        <v>3.8290000000000002</v>
      </c>
      <c r="N1861" s="7">
        <v>4.5190000000000001</v>
      </c>
      <c r="O1861" s="7">
        <v>5.077</v>
      </c>
      <c r="P1861" s="7">
        <v>5.3959999999999999</v>
      </c>
      <c r="Q1861" s="7">
        <v>5.0039999999999996</v>
      </c>
      <c r="R1861" s="7">
        <v>5.843</v>
      </c>
      <c r="S1861" s="7">
        <f t="shared" si="29"/>
        <v>4.9500833333333327</v>
      </c>
    </row>
    <row r="1862" spans="1:19">
      <c r="A1862" s="5" t="str">
        <f>B1862&amp;"-"&amp;COUNTIF($B$2:B1862,B1862)</f>
        <v>MINAS GERAIS-296</v>
      </c>
      <c r="B1862" s="5" t="s">
        <v>1126</v>
      </c>
      <c r="C1862" s="5" t="s">
        <v>5129</v>
      </c>
      <c r="D1862" s="6">
        <v>-423572</v>
      </c>
      <c r="E1862" s="6">
        <v>-169887</v>
      </c>
      <c r="F1862" s="7">
        <v>5.218</v>
      </c>
      <c r="G1862" s="7">
        <v>6.2880000000000003</v>
      </c>
      <c r="H1862" s="7">
        <v>6.45</v>
      </c>
      <c r="I1862" s="7">
        <v>5.5279999999999996</v>
      </c>
      <c r="J1862" s="7">
        <v>4.798</v>
      </c>
      <c r="K1862" s="7">
        <v>4.1180000000000003</v>
      </c>
      <c r="L1862" s="7">
        <v>3.9180000000000001</v>
      </c>
      <c r="M1862" s="7">
        <v>4.1310000000000002</v>
      </c>
      <c r="N1862" s="7">
        <v>4.899</v>
      </c>
      <c r="O1862" s="7">
        <v>5.4539999999999997</v>
      </c>
      <c r="P1862" s="7">
        <v>5.7030000000000003</v>
      </c>
      <c r="Q1862" s="7">
        <v>5.3049999999999997</v>
      </c>
      <c r="R1862" s="7">
        <v>6.0279999999999996</v>
      </c>
      <c r="S1862" s="7">
        <f t="shared" si="29"/>
        <v>5.2183333333333337</v>
      </c>
    </row>
    <row r="1863" spans="1:19">
      <c r="A1863" s="5" t="str">
        <f>B1863&amp;"-"&amp;COUNTIF($B$2:B1863,B1863)</f>
        <v>MINAS GERAIS-297</v>
      </c>
      <c r="B1863" s="5" t="s">
        <v>1126</v>
      </c>
      <c r="C1863" s="5" t="s">
        <v>1329</v>
      </c>
      <c r="D1863" s="6">
        <v>-442321</v>
      </c>
      <c r="E1863" s="6">
        <v>-173111</v>
      </c>
      <c r="F1863" s="7">
        <v>5.6269999999999998</v>
      </c>
      <c r="G1863" s="7">
        <v>6.3129999999999997</v>
      </c>
      <c r="H1863" s="7">
        <v>6.6189999999999998</v>
      </c>
      <c r="I1863" s="7">
        <v>5.6909999999999998</v>
      </c>
      <c r="J1863" s="7">
        <v>5.3849999999999998</v>
      </c>
      <c r="K1863" s="7">
        <v>4.8470000000000004</v>
      </c>
      <c r="L1863" s="7">
        <v>4.5250000000000004</v>
      </c>
      <c r="M1863" s="7">
        <v>4.8789999999999996</v>
      </c>
      <c r="N1863" s="7">
        <v>5.5750000000000002</v>
      </c>
      <c r="O1863" s="7">
        <v>6.01</v>
      </c>
      <c r="P1863" s="7">
        <v>6.03</v>
      </c>
      <c r="Q1863" s="7">
        <v>5.5780000000000003</v>
      </c>
      <c r="R1863" s="7">
        <v>6.0679999999999996</v>
      </c>
      <c r="S1863" s="7">
        <f t="shared" si="29"/>
        <v>5.626666666666666</v>
      </c>
    </row>
    <row r="1864" spans="1:19">
      <c r="A1864" s="5" t="str">
        <f>B1864&amp;"-"&amp;COUNTIF($B$2:B1864,B1864)</f>
        <v>MINAS GERAIS-298</v>
      </c>
      <c r="B1864" s="5" t="s">
        <v>1126</v>
      </c>
      <c r="C1864" s="5" t="s">
        <v>5590</v>
      </c>
      <c r="D1864" s="5" t="s">
        <v>1330</v>
      </c>
      <c r="E1864" s="6">
        <v>-164832</v>
      </c>
      <c r="F1864" s="7">
        <v>5.6210000000000004</v>
      </c>
      <c r="G1864" s="7">
        <v>6.3220000000000001</v>
      </c>
      <c r="H1864" s="7">
        <v>6.6150000000000002</v>
      </c>
      <c r="I1864" s="7">
        <v>5.6609999999999996</v>
      </c>
      <c r="J1864" s="7">
        <v>5.351</v>
      </c>
      <c r="K1864" s="7">
        <v>4.774</v>
      </c>
      <c r="L1864" s="7">
        <v>4.5049999999999999</v>
      </c>
      <c r="M1864" s="7">
        <v>4.798</v>
      </c>
      <c r="N1864" s="7">
        <v>5.5030000000000001</v>
      </c>
      <c r="O1864" s="7">
        <v>6.0250000000000004</v>
      </c>
      <c r="P1864" s="7">
        <v>6.109</v>
      </c>
      <c r="Q1864" s="7">
        <v>5.5869999999999997</v>
      </c>
      <c r="R1864" s="7">
        <v>6.1970000000000001</v>
      </c>
      <c r="S1864" s="7">
        <f t="shared" si="29"/>
        <v>5.6205833333333333</v>
      </c>
    </row>
    <row r="1865" spans="1:19">
      <c r="A1865" s="5" t="str">
        <f>B1865&amp;"-"&amp;COUNTIF($B$2:B1865,B1865)</f>
        <v>MINAS GERAIS-299</v>
      </c>
      <c r="B1865" s="5" t="s">
        <v>1126</v>
      </c>
      <c r="C1865" s="5" t="s">
        <v>1331</v>
      </c>
      <c r="D1865" s="6">
        <v>-414329</v>
      </c>
      <c r="E1865" s="6">
        <v>-180714</v>
      </c>
      <c r="F1865" s="7">
        <v>4.8250000000000002</v>
      </c>
      <c r="G1865" s="7">
        <v>5.9930000000000003</v>
      </c>
      <c r="H1865" s="7">
        <v>6.0979999999999999</v>
      </c>
      <c r="I1865" s="7">
        <v>5.2450000000000001</v>
      </c>
      <c r="J1865" s="7">
        <v>4.5750000000000002</v>
      </c>
      <c r="K1865" s="7">
        <v>3.7949999999999999</v>
      </c>
      <c r="L1865" s="7">
        <v>3.5760000000000001</v>
      </c>
      <c r="M1865" s="7">
        <v>3.681</v>
      </c>
      <c r="N1865" s="7">
        <v>4.3310000000000004</v>
      </c>
      <c r="O1865" s="7">
        <v>4.851</v>
      </c>
      <c r="P1865" s="7">
        <v>5.1100000000000003</v>
      </c>
      <c r="Q1865" s="7">
        <v>4.899</v>
      </c>
      <c r="R1865" s="7">
        <v>5.7519999999999998</v>
      </c>
      <c r="S1865" s="7">
        <f t="shared" si="29"/>
        <v>4.8255000000000008</v>
      </c>
    </row>
    <row r="1866" spans="1:19">
      <c r="A1866" s="5" t="str">
        <f>B1866&amp;"-"&amp;COUNTIF($B$2:B1866,B1866)</f>
        <v>MINAS GERAIS-300</v>
      </c>
      <c r="B1866" s="5" t="s">
        <v>1126</v>
      </c>
      <c r="C1866" s="5" t="s">
        <v>5291</v>
      </c>
      <c r="D1866" s="6">
        <v>-419124</v>
      </c>
      <c r="E1866" s="6">
        <v>-185561</v>
      </c>
      <c r="F1866" s="7">
        <v>4.9279999999999999</v>
      </c>
      <c r="G1866" s="7">
        <v>6.0869999999999997</v>
      </c>
      <c r="H1866" s="7">
        <v>6.2039999999999997</v>
      </c>
      <c r="I1866" s="7">
        <v>5.3490000000000002</v>
      </c>
      <c r="J1866" s="7">
        <v>4.649</v>
      </c>
      <c r="K1866" s="7">
        <v>3.9260000000000002</v>
      </c>
      <c r="L1866" s="7">
        <v>3.6629999999999998</v>
      </c>
      <c r="M1866" s="7">
        <v>3.7650000000000001</v>
      </c>
      <c r="N1866" s="7">
        <v>4.4139999999999997</v>
      </c>
      <c r="O1866" s="7">
        <v>4.9930000000000003</v>
      </c>
      <c r="P1866" s="7">
        <v>5.22</v>
      </c>
      <c r="Q1866" s="7">
        <v>4.9649999999999999</v>
      </c>
      <c r="R1866" s="7">
        <v>5.9020000000000001</v>
      </c>
      <c r="S1866" s="7">
        <f t="shared" si="29"/>
        <v>4.9280833333333334</v>
      </c>
    </row>
    <row r="1867" spans="1:19">
      <c r="A1867" s="5" t="str">
        <f>B1867&amp;"-"&amp;COUNTIF($B$2:B1867,B1867)</f>
        <v>MINAS GERAIS-301</v>
      </c>
      <c r="B1867" s="5" t="s">
        <v>1126</v>
      </c>
      <c r="C1867" s="5" t="s">
        <v>1332</v>
      </c>
      <c r="D1867" s="6">
        <v>-42766</v>
      </c>
      <c r="E1867" s="6">
        <v>-18168</v>
      </c>
      <c r="F1867" s="7">
        <v>4.8739999999999997</v>
      </c>
      <c r="G1867" s="7">
        <v>5.8259999999999996</v>
      </c>
      <c r="H1867" s="7">
        <v>6.1109999999999998</v>
      </c>
      <c r="I1867" s="7">
        <v>5.1130000000000004</v>
      </c>
      <c r="J1867" s="7">
        <v>4.492</v>
      </c>
      <c r="K1867" s="7">
        <v>3.907</v>
      </c>
      <c r="L1867" s="7">
        <v>3.7330000000000001</v>
      </c>
      <c r="M1867" s="7">
        <v>3.8359999999999999</v>
      </c>
      <c r="N1867" s="7">
        <v>4.6509999999999998</v>
      </c>
      <c r="O1867" s="7">
        <v>5.1310000000000002</v>
      </c>
      <c r="P1867" s="7">
        <v>5.3220000000000001</v>
      </c>
      <c r="Q1867" s="7">
        <v>4.7919999999999998</v>
      </c>
      <c r="R1867" s="7">
        <v>5.5720000000000001</v>
      </c>
      <c r="S1867" s="7">
        <f t="shared" si="29"/>
        <v>4.8738333333333337</v>
      </c>
    </row>
    <row r="1868" spans="1:19">
      <c r="A1868" s="5" t="str">
        <f>B1868&amp;"-"&amp;COUNTIF($B$2:B1868,B1868)</f>
        <v>MINAS GERAIS-302</v>
      </c>
      <c r="B1868" s="5" t="s">
        <v>1126</v>
      </c>
      <c r="C1868" s="5" t="s">
        <v>1333</v>
      </c>
      <c r="D1868" s="6">
        <v>-492011</v>
      </c>
      <c r="E1868" s="6">
        <v>-202832</v>
      </c>
      <c r="F1868" s="7">
        <v>5.1749999999999998</v>
      </c>
      <c r="G1868" s="7">
        <v>5.7679999999999998</v>
      </c>
      <c r="H1868" s="7">
        <v>5.9850000000000003</v>
      </c>
      <c r="I1868" s="7">
        <v>5.2030000000000003</v>
      </c>
      <c r="J1868" s="7">
        <v>5.0179999999999998</v>
      </c>
      <c r="K1868" s="7">
        <v>4.2279999999999998</v>
      </c>
      <c r="L1868" s="7">
        <v>3.9649999999999999</v>
      </c>
      <c r="M1868" s="7">
        <v>4.2210000000000001</v>
      </c>
      <c r="N1868" s="7">
        <v>5.0750000000000002</v>
      </c>
      <c r="O1868" s="7">
        <v>5.0620000000000003</v>
      </c>
      <c r="P1868" s="7">
        <v>5.5750000000000002</v>
      </c>
      <c r="Q1868" s="7">
        <v>5.82</v>
      </c>
      <c r="R1868" s="7">
        <v>6.181</v>
      </c>
      <c r="S1868" s="7">
        <f t="shared" si="29"/>
        <v>5.1750833333333333</v>
      </c>
    </row>
    <row r="1869" spans="1:19">
      <c r="A1869" s="5" t="str">
        <f>B1869&amp;"-"&amp;COUNTIF($B$2:B1869,B1869)</f>
        <v>MINAS GERAIS-303</v>
      </c>
      <c r="B1869" s="5" t="s">
        <v>1126</v>
      </c>
      <c r="C1869" s="5" t="s">
        <v>1334</v>
      </c>
      <c r="D1869" s="6">
        <v>-409233</v>
      </c>
      <c r="E1869" s="6">
        <v>-168903</v>
      </c>
      <c r="F1869" s="7">
        <v>4.976</v>
      </c>
      <c r="G1869" s="7">
        <v>6.0810000000000004</v>
      </c>
      <c r="H1869" s="7">
        <v>6.32</v>
      </c>
      <c r="I1869" s="7">
        <v>5.3949999999999996</v>
      </c>
      <c r="J1869" s="7">
        <v>4.6779999999999999</v>
      </c>
      <c r="K1869" s="7">
        <v>3.9009999999999998</v>
      </c>
      <c r="L1869" s="7">
        <v>3.5609999999999999</v>
      </c>
      <c r="M1869" s="7">
        <v>3.706</v>
      </c>
      <c r="N1869" s="7">
        <v>4.4320000000000004</v>
      </c>
      <c r="O1869" s="7">
        <v>5.1340000000000003</v>
      </c>
      <c r="P1869" s="7">
        <v>5.3150000000000004</v>
      </c>
      <c r="Q1869" s="7">
        <v>5.1050000000000004</v>
      </c>
      <c r="R1869" s="7">
        <v>6.0839999999999996</v>
      </c>
      <c r="S1869" s="7">
        <f t="shared" si="29"/>
        <v>4.976</v>
      </c>
    </row>
    <row r="1870" spans="1:19">
      <c r="A1870" s="5" t="str">
        <f>B1870&amp;"-"&amp;COUNTIF($B$2:B1870,B1870)</f>
        <v>MINAS GERAIS-304</v>
      </c>
      <c r="B1870" s="5" t="s">
        <v>1126</v>
      </c>
      <c r="C1870" s="5" t="s">
        <v>1335</v>
      </c>
      <c r="D1870" s="6">
        <v>-425235</v>
      </c>
      <c r="E1870" s="6">
        <v>-161172</v>
      </c>
      <c r="F1870" s="7">
        <v>5.258</v>
      </c>
      <c r="G1870" s="7">
        <v>6.165</v>
      </c>
      <c r="H1870" s="7">
        <v>6.415</v>
      </c>
      <c r="I1870" s="7">
        <v>5.4550000000000001</v>
      </c>
      <c r="J1870" s="7">
        <v>4.806</v>
      </c>
      <c r="K1870" s="7">
        <v>4.2039999999999997</v>
      </c>
      <c r="L1870" s="7">
        <v>3.9</v>
      </c>
      <c r="M1870" s="7">
        <v>4.2430000000000003</v>
      </c>
      <c r="N1870" s="7">
        <v>5.04</v>
      </c>
      <c r="O1870" s="7">
        <v>5.6820000000000004</v>
      </c>
      <c r="P1870" s="7">
        <v>5.7759999999999998</v>
      </c>
      <c r="Q1870" s="7">
        <v>5.3109999999999999</v>
      </c>
      <c r="R1870" s="7">
        <v>6.1</v>
      </c>
      <c r="S1870" s="7">
        <f t="shared" si="29"/>
        <v>5.2580833333333343</v>
      </c>
    </row>
    <row r="1871" spans="1:19">
      <c r="A1871" s="5" t="str">
        <f>B1871&amp;"-"&amp;COUNTIF($B$2:B1871,B1871)</f>
        <v>MINAS GERAIS-305</v>
      </c>
      <c r="B1871" s="5" t="s">
        <v>1126</v>
      </c>
      <c r="C1871" s="5" t="s">
        <v>1336</v>
      </c>
      <c r="D1871" s="6">
        <v>-489359</v>
      </c>
      <c r="E1871" s="6">
        <v>-200263</v>
      </c>
      <c r="F1871" s="7">
        <v>5.17</v>
      </c>
      <c r="G1871" s="7">
        <v>5.7130000000000001</v>
      </c>
      <c r="H1871" s="7">
        <v>5.9340000000000002</v>
      </c>
      <c r="I1871" s="7">
        <v>5.1710000000000003</v>
      </c>
      <c r="J1871" s="7">
        <v>4.99</v>
      </c>
      <c r="K1871" s="7">
        <v>4.3049999999999997</v>
      </c>
      <c r="L1871" s="7">
        <v>4.032</v>
      </c>
      <c r="M1871" s="7">
        <v>4.2939999999999996</v>
      </c>
      <c r="N1871" s="7">
        <v>5.202</v>
      </c>
      <c r="O1871" s="7">
        <v>5.1239999999999997</v>
      </c>
      <c r="P1871" s="7">
        <v>5.5540000000000003</v>
      </c>
      <c r="Q1871" s="7">
        <v>5.7030000000000003</v>
      </c>
      <c r="R1871" s="7">
        <v>6.0149999999999997</v>
      </c>
      <c r="S1871" s="7">
        <f t="shared" si="29"/>
        <v>5.1697500000000005</v>
      </c>
    </row>
    <row r="1872" spans="1:19">
      <c r="A1872" s="5" t="str">
        <f>B1872&amp;"-"&amp;COUNTIF($B$2:B1872,B1872)</f>
        <v>MINAS GERAIS-306</v>
      </c>
      <c r="B1872" s="5" t="s">
        <v>1126</v>
      </c>
      <c r="C1872" s="5" t="s">
        <v>4966</v>
      </c>
      <c r="D1872" s="6">
        <v>-440626</v>
      </c>
      <c r="E1872" s="6">
        <v>-193676</v>
      </c>
      <c r="F1872" s="7">
        <v>5.2910000000000004</v>
      </c>
      <c r="G1872" s="7">
        <v>5.9909999999999997</v>
      </c>
      <c r="H1872" s="7">
        <v>6.141</v>
      </c>
      <c r="I1872" s="7">
        <v>5.359</v>
      </c>
      <c r="J1872" s="7">
        <v>4.9489999999999998</v>
      </c>
      <c r="K1872" s="7">
        <v>4.391</v>
      </c>
      <c r="L1872" s="7">
        <v>4.1440000000000001</v>
      </c>
      <c r="M1872" s="7">
        <v>4.4740000000000002</v>
      </c>
      <c r="N1872" s="7">
        <v>5.2830000000000004</v>
      </c>
      <c r="O1872" s="7">
        <v>5.6870000000000003</v>
      </c>
      <c r="P1872" s="7">
        <v>5.726</v>
      </c>
      <c r="Q1872" s="7">
        <v>5.4939999999999998</v>
      </c>
      <c r="R1872" s="7">
        <v>5.8579999999999997</v>
      </c>
      <c r="S1872" s="7">
        <f t="shared" si="29"/>
        <v>5.2914166666666658</v>
      </c>
    </row>
    <row r="1873" spans="1:19">
      <c r="A1873" s="5" t="str">
        <f>B1873&amp;"-"&amp;COUNTIF($B$2:B1873,B1873)</f>
        <v>MINAS GERAIS-307</v>
      </c>
      <c r="B1873" s="5" t="s">
        <v>1126</v>
      </c>
      <c r="C1873" s="5" t="s">
        <v>4341</v>
      </c>
      <c r="D1873" s="6">
        <v>-41539</v>
      </c>
      <c r="E1873" s="6">
        <v>-190009</v>
      </c>
      <c r="F1873" s="7">
        <v>4.9290000000000003</v>
      </c>
      <c r="G1873" s="7">
        <v>6.1310000000000002</v>
      </c>
      <c r="H1873" s="7">
        <v>6.2380000000000004</v>
      </c>
      <c r="I1873" s="7">
        <v>5.343</v>
      </c>
      <c r="J1873" s="7">
        <v>4.6870000000000003</v>
      </c>
      <c r="K1873" s="7">
        <v>3.9169999999999998</v>
      </c>
      <c r="L1873" s="7">
        <v>3.6909999999999998</v>
      </c>
      <c r="M1873" s="7">
        <v>3.7490000000000001</v>
      </c>
      <c r="N1873" s="7">
        <v>4.4139999999999997</v>
      </c>
      <c r="O1873" s="7">
        <v>4.9050000000000002</v>
      </c>
      <c r="P1873" s="7">
        <v>5.1849999999999996</v>
      </c>
      <c r="Q1873" s="7">
        <v>5.0149999999999997</v>
      </c>
      <c r="R1873" s="7">
        <v>5.8789999999999996</v>
      </c>
      <c r="S1873" s="7">
        <f t="shared" si="29"/>
        <v>4.9295</v>
      </c>
    </row>
    <row r="1874" spans="1:19">
      <c r="A1874" s="5" t="str">
        <f>B1874&amp;"-"&amp;COUNTIF($B$2:B1874,B1874)</f>
        <v>MINAS GERAIS-308</v>
      </c>
      <c r="B1874" s="5" t="s">
        <v>1126</v>
      </c>
      <c r="C1874" s="5" t="s">
        <v>1337</v>
      </c>
      <c r="D1874" s="6">
        <v>-431203</v>
      </c>
      <c r="E1874" s="6">
        <v>-150838</v>
      </c>
      <c r="F1874" s="7">
        <v>5.7130000000000001</v>
      </c>
      <c r="G1874" s="7">
        <v>6.4210000000000003</v>
      </c>
      <c r="H1874" s="7">
        <v>6.593</v>
      </c>
      <c r="I1874" s="7">
        <v>5.8609999999999998</v>
      </c>
      <c r="J1874" s="7">
        <v>5.4109999999999996</v>
      </c>
      <c r="K1874" s="7">
        <v>4.8280000000000003</v>
      </c>
      <c r="L1874" s="7">
        <v>4.6150000000000002</v>
      </c>
      <c r="M1874" s="7">
        <v>4.9089999999999998</v>
      </c>
      <c r="N1874" s="7">
        <v>5.63</v>
      </c>
      <c r="O1874" s="7">
        <v>6.1459999999999999</v>
      </c>
      <c r="P1874" s="7">
        <v>6.1459999999999999</v>
      </c>
      <c r="Q1874" s="7">
        <v>5.6440000000000001</v>
      </c>
      <c r="R1874" s="7">
        <v>6.3490000000000002</v>
      </c>
      <c r="S1874" s="7">
        <f t="shared" si="29"/>
        <v>5.7127499999999998</v>
      </c>
    </row>
    <row r="1875" spans="1:19">
      <c r="A1875" s="5" t="str">
        <f>B1875&amp;"-"&amp;COUNTIF($B$2:B1875,B1875)</f>
        <v>MINAS GERAIS-309</v>
      </c>
      <c r="B1875" s="5" t="s">
        <v>1126</v>
      </c>
      <c r="C1875" s="5" t="s">
        <v>4967</v>
      </c>
      <c r="D1875" s="6">
        <v>-436923</v>
      </c>
      <c r="E1875" s="6">
        <v>-168485</v>
      </c>
      <c r="F1875" s="7">
        <v>5.5549999999999997</v>
      </c>
      <c r="G1875" s="7">
        <v>6.2889999999999997</v>
      </c>
      <c r="H1875" s="7">
        <v>6.5049999999999999</v>
      </c>
      <c r="I1875" s="7">
        <v>5.54</v>
      </c>
      <c r="J1875" s="7">
        <v>5.2510000000000003</v>
      </c>
      <c r="K1875" s="7">
        <v>4.7519999999999998</v>
      </c>
      <c r="L1875" s="7">
        <v>4.4669999999999996</v>
      </c>
      <c r="M1875" s="7">
        <v>4.7530000000000001</v>
      </c>
      <c r="N1875" s="7">
        <v>5.5439999999999996</v>
      </c>
      <c r="O1875" s="7">
        <v>6.0170000000000003</v>
      </c>
      <c r="P1875" s="7">
        <v>5.9649999999999999</v>
      </c>
      <c r="Q1875" s="7">
        <v>5.4370000000000003</v>
      </c>
      <c r="R1875" s="7">
        <v>6.1360000000000001</v>
      </c>
      <c r="S1875" s="7">
        <f t="shared" si="29"/>
        <v>5.554666666666666</v>
      </c>
    </row>
    <row r="1876" spans="1:19">
      <c r="A1876" s="5" t="str">
        <f>B1876&amp;"-"&amp;COUNTIF($B$2:B1876,B1876)</f>
        <v>MINAS GERAIS-310</v>
      </c>
      <c r="B1876" s="5" t="s">
        <v>1126</v>
      </c>
      <c r="C1876" s="5" t="s">
        <v>1338</v>
      </c>
      <c r="D1876" s="6">
        <v>-412239</v>
      </c>
      <c r="E1876" s="6">
        <v>-189811</v>
      </c>
      <c r="F1876" s="7">
        <v>4.8789999999999996</v>
      </c>
      <c r="G1876" s="7">
        <v>6.0880000000000001</v>
      </c>
      <c r="H1876" s="7">
        <v>6.1879999999999997</v>
      </c>
      <c r="I1876" s="7">
        <v>5.306</v>
      </c>
      <c r="J1876" s="7">
        <v>4.6109999999999998</v>
      </c>
      <c r="K1876" s="7">
        <v>3.8940000000000001</v>
      </c>
      <c r="L1876" s="7">
        <v>3.609</v>
      </c>
      <c r="M1876" s="7">
        <v>3.7330000000000001</v>
      </c>
      <c r="N1876" s="7">
        <v>4.351</v>
      </c>
      <c r="O1876" s="7">
        <v>4.8499999999999996</v>
      </c>
      <c r="P1876" s="7">
        <v>5.0910000000000002</v>
      </c>
      <c r="Q1876" s="7">
        <v>5.016</v>
      </c>
      <c r="R1876" s="7">
        <v>5.8120000000000003</v>
      </c>
      <c r="S1876" s="7">
        <f t="shared" si="29"/>
        <v>4.879083333333333</v>
      </c>
    </row>
    <row r="1877" spans="1:19">
      <c r="A1877" s="5" t="str">
        <f>B1877&amp;"-"&amp;COUNTIF($B$2:B1877,B1877)</f>
        <v>MINAS GERAIS-311</v>
      </c>
      <c r="B1877" s="5" t="s">
        <v>1126</v>
      </c>
      <c r="C1877" s="5" t="s">
        <v>5591</v>
      </c>
      <c r="D1877" s="6">
        <v>-43196</v>
      </c>
      <c r="E1877" s="6">
        <v>-215365</v>
      </c>
      <c r="F1877" s="7">
        <v>4.665</v>
      </c>
      <c r="G1877" s="7">
        <v>5.7169999999999996</v>
      </c>
      <c r="H1877" s="7">
        <v>5.94</v>
      </c>
      <c r="I1877" s="7">
        <v>4.92</v>
      </c>
      <c r="J1877" s="7">
        <v>4.2850000000000001</v>
      </c>
      <c r="K1877" s="7">
        <v>3.62</v>
      </c>
      <c r="L1877" s="7">
        <v>3.4359999999999999</v>
      </c>
      <c r="M1877" s="7">
        <v>3.6150000000000002</v>
      </c>
      <c r="N1877" s="7">
        <v>4.391</v>
      </c>
      <c r="O1877" s="7">
        <v>4.7030000000000003</v>
      </c>
      <c r="P1877" s="7">
        <v>4.97</v>
      </c>
      <c r="Q1877" s="7">
        <v>4.8049999999999997</v>
      </c>
      <c r="R1877" s="7">
        <v>5.5860000000000003</v>
      </c>
      <c r="S1877" s="7">
        <f t="shared" si="29"/>
        <v>4.6656666666666666</v>
      </c>
    </row>
    <row r="1878" spans="1:19">
      <c r="A1878" s="5" t="str">
        <f>B1878&amp;"-"&amp;COUNTIF($B$2:B1878,B1878)</f>
        <v>MINAS GERAIS-312</v>
      </c>
      <c r="B1878" s="5" t="s">
        <v>1126</v>
      </c>
      <c r="C1878" s="5" t="s">
        <v>4666</v>
      </c>
      <c r="D1878" s="6">
        <v>-45856</v>
      </c>
      <c r="E1878" s="6">
        <v>-22655</v>
      </c>
      <c r="F1878" s="7">
        <v>4.6120000000000001</v>
      </c>
      <c r="G1878" s="7">
        <v>5.0410000000000004</v>
      </c>
      <c r="H1878" s="7">
        <v>5.383</v>
      </c>
      <c r="I1878" s="7">
        <v>4.5940000000000003</v>
      </c>
      <c r="J1878" s="7">
        <v>4.319</v>
      </c>
      <c r="K1878" s="7">
        <v>3.694</v>
      </c>
      <c r="L1878" s="7">
        <v>3.4460000000000002</v>
      </c>
      <c r="M1878" s="7">
        <v>3.69</v>
      </c>
      <c r="N1878" s="7">
        <v>4.6559999999999997</v>
      </c>
      <c r="O1878" s="7">
        <v>4.7709999999999999</v>
      </c>
      <c r="P1878" s="7">
        <v>5.1660000000000004</v>
      </c>
      <c r="Q1878" s="7">
        <v>5.0910000000000002</v>
      </c>
      <c r="R1878" s="7">
        <v>5.4950000000000001</v>
      </c>
      <c r="S1878" s="7">
        <f t="shared" si="29"/>
        <v>4.612166666666667</v>
      </c>
    </row>
    <row r="1879" spans="1:19">
      <c r="A1879" s="5" t="str">
        <f>B1879&amp;"-"&amp;COUNTIF($B$2:B1879,B1879)</f>
        <v>MINAS GERAIS-313</v>
      </c>
      <c r="B1879" s="5" t="s">
        <v>1126</v>
      </c>
      <c r="C1879" s="5" t="s">
        <v>1339</v>
      </c>
      <c r="D1879" s="6">
        <v>-424773</v>
      </c>
      <c r="E1879" s="6">
        <v>-188201</v>
      </c>
      <c r="F1879" s="7">
        <v>4.6369999999999996</v>
      </c>
      <c r="G1879" s="7">
        <v>5.5819999999999999</v>
      </c>
      <c r="H1879" s="7">
        <v>5.8029999999999999</v>
      </c>
      <c r="I1879" s="7">
        <v>4.8630000000000004</v>
      </c>
      <c r="J1879" s="7">
        <v>4.3079999999999998</v>
      </c>
      <c r="K1879" s="7">
        <v>3.6920000000000002</v>
      </c>
      <c r="L1879" s="7">
        <v>3.5470000000000002</v>
      </c>
      <c r="M1879" s="7">
        <v>3.665</v>
      </c>
      <c r="N1879" s="7">
        <v>4.3680000000000003</v>
      </c>
      <c r="O1879" s="7">
        <v>4.8490000000000002</v>
      </c>
      <c r="P1879" s="7">
        <v>4.9960000000000004</v>
      </c>
      <c r="Q1879" s="7">
        <v>4.5679999999999996</v>
      </c>
      <c r="R1879" s="7">
        <v>5.4050000000000002</v>
      </c>
      <c r="S1879" s="7">
        <f t="shared" si="29"/>
        <v>4.6371666666666673</v>
      </c>
    </row>
    <row r="1880" spans="1:19">
      <c r="A1880" s="5" t="str">
        <f>B1880&amp;"-"&amp;COUNTIF($B$2:B1880,B1880)</f>
        <v>MINAS GERAIS-314</v>
      </c>
      <c r="B1880" s="5" t="s">
        <v>1126</v>
      </c>
      <c r="C1880" s="5" t="s">
        <v>1340</v>
      </c>
      <c r="D1880" s="6">
        <v>-437427</v>
      </c>
      <c r="E1880" s="6">
        <v>-184524</v>
      </c>
      <c r="F1880" s="7">
        <v>5.1669999999999998</v>
      </c>
      <c r="G1880" s="7">
        <v>5.8129999999999997</v>
      </c>
      <c r="H1880" s="7">
        <v>6.1</v>
      </c>
      <c r="I1880" s="7">
        <v>5.1050000000000004</v>
      </c>
      <c r="J1880" s="7">
        <v>4.7460000000000004</v>
      </c>
      <c r="K1880" s="7">
        <v>4.3550000000000004</v>
      </c>
      <c r="L1880" s="7">
        <v>4.1689999999999996</v>
      </c>
      <c r="M1880" s="7">
        <v>4.4749999999999996</v>
      </c>
      <c r="N1880" s="7">
        <v>5.2480000000000002</v>
      </c>
      <c r="O1880" s="7">
        <v>5.6509999999999998</v>
      </c>
      <c r="P1880" s="7">
        <v>5.6340000000000003</v>
      </c>
      <c r="Q1880" s="7">
        <v>5.0839999999999996</v>
      </c>
      <c r="R1880" s="7">
        <v>5.6260000000000003</v>
      </c>
      <c r="S1880" s="7">
        <f t="shared" si="29"/>
        <v>5.1671666666666676</v>
      </c>
    </row>
    <row r="1881" spans="1:19">
      <c r="A1881" s="5" t="str">
        <f>B1881&amp;"-"&amp;COUNTIF($B$2:B1881,B1881)</f>
        <v>MINAS GERAIS-315</v>
      </c>
      <c r="B1881" s="5" t="s">
        <v>1126</v>
      </c>
      <c r="C1881" s="5" t="s">
        <v>1341</v>
      </c>
      <c r="D1881" s="6">
        <v>-419559</v>
      </c>
      <c r="E1881" s="6">
        <v>-188549</v>
      </c>
      <c r="F1881" s="7">
        <v>4.8849999999999998</v>
      </c>
      <c r="G1881" s="7">
        <v>5.984</v>
      </c>
      <c r="H1881" s="7">
        <v>6.1219999999999999</v>
      </c>
      <c r="I1881" s="7">
        <v>5.26</v>
      </c>
      <c r="J1881" s="7">
        <v>4.5910000000000002</v>
      </c>
      <c r="K1881" s="7">
        <v>3.875</v>
      </c>
      <c r="L1881" s="7">
        <v>3.637</v>
      </c>
      <c r="M1881" s="7">
        <v>3.7509999999999999</v>
      </c>
      <c r="N1881" s="7">
        <v>4.5060000000000002</v>
      </c>
      <c r="O1881" s="7">
        <v>4.9660000000000002</v>
      </c>
      <c r="P1881" s="7">
        <v>5.1920000000000002</v>
      </c>
      <c r="Q1881" s="7">
        <v>4.9329999999999998</v>
      </c>
      <c r="R1881" s="7">
        <v>5.7990000000000004</v>
      </c>
      <c r="S1881" s="7">
        <f t="shared" si="29"/>
        <v>4.8846666666666669</v>
      </c>
    </row>
    <row r="1882" spans="1:19">
      <c r="A1882" s="5" t="str">
        <f>B1882&amp;"-"&amp;COUNTIF($B$2:B1882,B1882)</f>
        <v>MINAS GERAIS-316</v>
      </c>
      <c r="B1882" s="5" t="s">
        <v>1126</v>
      </c>
      <c r="C1882" s="5" t="s">
        <v>3999</v>
      </c>
      <c r="D1882" s="6">
        <v>-428927</v>
      </c>
      <c r="E1882" s="6">
        <v>-165667</v>
      </c>
      <c r="F1882" s="7">
        <v>5.18</v>
      </c>
      <c r="G1882" s="7">
        <v>6.0510000000000002</v>
      </c>
      <c r="H1882" s="7">
        <v>6.34</v>
      </c>
      <c r="I1882" s="7">
        <v>5.3289999999999997</v>
      </c>
      <c r="J1882" s="7">
        <v>4.7290000000000001</v>
      </c>
      <c r="K1882" s="7">
        <v>4.1740000000000004</v>
      </c>
      <c r="L1882" s="7">
        <v>3.93</v>
      </c>
      <c r="M1882" s="7">
        <v>4.1989999999999998</v>
      </c>
      <c r="N1882" s="7">
        <v>5.056</v>
      </c>
      <c r="O1882" s="7">
        <v>5.5540000000000003</v>
      </c>
      <c r="P1882" s="7">
        <v>5.6909999999999998</v>
      </c>
      <c r="Q1882" s="7">
        <v>5.1790000000000003</v>
      </c>
      <c r="R1882" s="7">
        <v>5.9240000000000004</v>
      </c>
      <c r="S1882" s="7">
        <f t="shared" si="29"/>
        <v>5.1796666666666669</v>
      </c>
    </row>
    <row r="1883" spans="1:19">
      <c r="A1883" s="5" t="str">
        <f>B1883&amp;"-"&amp;COUNTIF($B$2:B1883,B1883)</f>
        <v>MINAS GERAIS-317</v>
      </c>
      <c r="B1883" s="5" t="s">
        <v>1126</v>
      </c>
      <c r="C1883" s="5" t="s">
        <v>1342</v>
      </c>
      <c r="D1883" s="6">
        <v>-477226</v>
      </c>
      <c r="E1883" s="6">
        <v>-184968</v>
      </c>
      <c r="F1883" s="7">
        <v>5.3730000000000002</v>
      </c>
      <c r="G1883" s="7">
        <v>5.76</v>
      </c>
      <c r="H1883" s="7">
        <v>6.1040000000000001</v>
      </c>
      <c r="I1883" s="7">
        <v>5.351</v>
      </c>
      <c r="J1883" s="7">
        <v>5.1950000000000003</v>
      </c>
      <c r="K1883" s="7">
        <v>4.6820000000000004</v>
      </c>
      <c r="L1883" s="7">
        <v>4.3780000000000001</v>
      </c>
      <c r="M1883" s="7">
        <v>4.6020000000000003</v>
      </c>
      <c r="N1883" s="7">
        <v>5.52</v>
      </c>
      <c r="O1883" s="7">
        <v>5.5620000000000003</v>
      </c>
      <c r="P1883" s="7">
        <v>5.73</v>
      </c>
      <c r="Q1883" s="7">
        <v>5.66</v>
      </c>
      <c r="R1883" s="7">
        <v>5.9320000000000004</v>
      </c>
      <c r="S1883" s="7">
        <f t="shared" si="29"/>
        <v>5.3730000000000002</v>
      </c>
    </row>
    <row r="1884" spans="1:19">
      <c r="A1884" s="5" t="str">
        <f>B1884&amp;"-"&amp;COUNTIF($B$2:B1884,B1884)</f>
        <v>MINAS GERAIS-318</v>
      </c>
      <c r="B1884" s="5" t="s">
        <v>1126</v>
      </c>
      <c r="C1884" s="5" t="s">
        <v>5376</v>
      </c>
      <c r="D1884" s="6">
        <v>-429316</v>
      </c>
      <c r="E1884" s="6">
        <v>-187718</v>
      </c>
      <c r="F1884" s="7">
        <v>4.7679999999999998</v>
      </c>
      <c r="G1884" s="7">
        <v>5.6909999999999998</v>
      </c>
      <c r="H1884" s="7">
        <v>5.9390000000000001</v>
      </c>
      <c r="I1884" s="7">
        <v>4.8970000000000002</v>
      </c>
      <c r="J1884" s="7">
        <v>4.3639999999999999</v>
      </c>
      <c r="K1884" s="7">
        <v>3.8370000000000002</v>
      </c>
      <c r="L1884" s="7">
        <v>3.6779999999999999</v>
      </c>
      <c r="M1884" s="7">
        <v>3.8330000000000002</v>
      </c>
      <c r="N1884" s="7">
        <v>4.5250000000000004</v>
      </c>
      <c r="O1884" s="7">
        <v>4.984</v>
      </c>
      <c r="P1884" s="7">
        <v>5.1550000000000002</v>
      </c>
      <c r="Q1884" s="7">
        <v>4.806</v>
      </c>
      <c r="R1884" s="7">
        <v>5.508</v>
      </c>
      <c r="S1884" s="7">
        <f t="shared" si="29"/>
        <v>4.7680833333333341</v>
      </c>
    </row>
    <row r="1885" spans="1:19">
      <c r="A1885" s="5" t="str">
        <f>B1885&amp;"-"&amp;COUNTIF($B$2:B1885,B1885)</f>
        <v>MINAS GERAIS-319</v>
      </c>
      <c r="B1885" s="5" t="s">
        <v>1126</v>
      </c>
      <c r="C1885" s="5" t="s">
        <v>4342</v>
      </c>
      <c r="D1885" s="6">
        <v>-459156</v>
      </c>
      <c r="E1885" s="6">
        <v>-207636</v>
      </c>
      <c r="F1885" s="7">
        <v>5.0599999999999996</v>
      </c>
      <c r="G1885" s="7">
        <v>5.6070000000000002</v>
      </c>
      <c r="H1885" s="7">
        <v>5.9359999999999999</v>
      </c>
      <c r="I1885" s="7">
        <v>4.9960000000000004</v>
      </c>
      <c r="J1885" s="7">
        <v>4.8659999999999997</v>
      </c>
      <c r="K1885" s="7">
        <v>4.2160000000000002</v>
      </c>
      <c r="L1885" s="7">
        <v>3.984</v>
      </c>
      <c r="M1885" s="7">
        <v>4.2240000000000002</v>
      </c>
      <c r="N1885" s="7">
        <v>5.0869999999999997</v>
      </c>
      <c r="O1885" s="7">
        <v>5.1820000000000004</v>
      </c>
      <c r="P1885" s="7">
        <v>5.5469999999999997</v>
      </c>
      <c r="Q1885" s="7">
        <v>5.375</v>
      </c>
      <c r="R1885" s="7">
        <v>5.7039999999999997</v>
      </c>
      <c r="S1885" s="7">
        <f t="shared" si="29"/>
        <v>5.0603333333333342</v>
      </c>
    </row>
    <row r="1886" spans="1:19">
      <c r="A1886" s="5" t="str">
        <f>B1886&amp;"-"&amp;COUNTIF($B$2:B1886,B1886)</f>
        <v>MINAS GERAIS-320</v>
      </c>
      <c r="B1886" s="5" t="s">
        <v>1126</v>
      </c>
      <c r="C1886" s="5" t="s">
        <v>1343</v>
      </c>
      <c r="D1886" s="6">
        <v>-430098</v>
      </c>
      <c r="E1886" s="6">
        <v>-20572</v>
      </c>
      <c r="F1886" s="7">
        <v>4.702</v>
      </c>
      <c r="G1886" s="7">
        <v>5.5890000000000004</v>
      </c>
      <c r="H1886" s="7">
        <v>5.9</v>
      </c>
      <c r="I1886" s="7">
        <v>4.91</v>
      </c>
      <c r="J1886" s="7">
        <v>4.4020000000000001</v>
      </c>
      <c r="K1886" s="7">
        <v>3.7330000000000001</v>
      </c>
      <c r="L1886" s="7">
        <v>3.552</v>
      </c>
      <c r="M1886" s="7">
        <v>3.76</v>
      </c>
      <c r="N1886" s="7">
        <v>4.5910000000000002</v>
      </c>
      <c r="O1886" s="7">
        <v>4.843</v>
      </c>
      <c r="P1886" s="7">
        <v>5</v>
      </c>
      <c r="Q1886" s="7">
        <v>4.7409999999999997</v>
      </c>
      <c r="R1886" s="7">
        <v>5.3979999999999997</v>
      </c>
      <c r="S1886" s="7">
        <f t="shared" si="29"/>
        <v>4.7015833333333328</v>
      </c>
    </row>
    <row r="1887" spans="1:19">
      <c r="A1887" s="5" t="str">
        <f>B1887&amp;"-"&amp;COUNTIF($B$2:B1887,B1887)</f>
        <v>MINAS GERAIS-321</v>
      </c>
      <c r="B1887" s="5" t="s">
        <v>1126</v>
      </c>
      <c r="C1887" s="5" t="s">
        <v>1344</v>
      </c>
      <c r="D1887" s="6">
        <v>-43673</v>
      </c>
      <c r="E1887" s="6">
        <v>-17014</v>
      </c>
      <c r="F1887" s="7">
        <v>5.5039999999999996</v>
      </c>
      <c r="G1887" s="7">
        <v>6.165</v>
      </c>
      <c r="H1887" s="7">
        <v>6.4359999999999999</v>
      </c>
      <c r="I1887" s="7">
        <v>5.4589999999999996</v>
      </c>
      <c r="J1887" s="7">
        <v>5.1310000000000002</v>
      </c>
      <c r="K1887" s="7">
        <v>4.7039999999999997</v>
      </c>
      <c r="L1887" s="7">
        <v>4.431</v>
      </c>
      <c r="M1887" s="7">
        <v>4.7430000000000003</v>
      </c>
      <c r="N1887" s="7">
        <v>5.508</v>
      </c>
      <c r="O1887" s="7">
        <v>5.9960000000000004</v>
      </c>
      <c r="P1887" s="7">
        <v>5.9580000000000002</v>
      </c>
      <c r="Q1887" s="7">
        <v>5.4429999999999996</v>
      </c>
      <c r="R1887" s="7">
        <v>6.0709999999999997</v>
      </c>
      <c r="S1887" s="7">
        <f t="shared" si="29"/>
        <v>5.5037500000000001</v>
      </c>
    </row>
    <row r="1888" spans="1:19">
      <c r="A1888" s="5" t="str">
        <f>B1888&amp;"-"&amp;COUNTIF($B$2:B1888,B1888)</f>
        <v>MINAS GERAIS-322</v>
      </c>
      <c r="B1888" s="5" t="s">
        <v>1126</v>
      </c>
      <c r="C1888" s="5" t="s">
        <v>4343</v>
      </c>
      <c r="D1888" s="6">
        <v>-467967</v>
      </c>
      <c r="E1888" s="6">
        <v>-213014</v>
      </c>
      <c r="F1888" s="7">
        <v>4.9379999999999997</v>
      </c>
      <c r="G1888" s="7">
        <v>5.4770000000000003</v>
      </c>
      <c r="H1888" s="7">
        <v>5.6340000000000003</v>
      </c>
      <c r="I1888" s="7">
        <v>4.8570000000000002</v>
      </c>
      <c r="J1888" s="7">
        <v>4.7240000000000002</v>
      </c>
      <c r="K1888" s="7">
        <v>4.069</v>
      </c>
      <c r="L1888" s="7">
        <v>3.8759999999999999</v>
      </c>
      <c r="M1888" s="7">
        <v>4.1029999999999998</v>
      </c>
      <c r="N1888" s="7">
        <v>5.0209999999999999</v>
      </c>
      <c r="O1888" s="7">
        <v>5.0880000000000001</v>
      </c>
      <c r="P1888" s="7">
        <v>5.4240000000000004</v>
      </c>
      <c r="Q1888" s="7">
        <v>5.3949999999999996</v>
      </c>
      <c r="R1888" s="7">
        <v>5.5910000000000002</v>
      </c>
      <c r="S1888" s="7">
        <f t="shared" si="29"/>
        <v>4.9382500000000009</v>
      </c>
    </row>
    <row r="1889" spans="1:19">
      <c r="A1889" s="5" t="str">
        <f>B1889&amp;"-"&amp;COUNTIF($B$2:B1889,B1889)</f>
        <v>MINAS GERAIS-323</v>
      </c>
      <c r="B1889" s="5" t="s">
        <v>1126</v>
      </c>
      <c r="C1889" s="5" t="s">
        <v>1345</v>
      </c>
      <c r="D1889" s="6">
        <v>-430331</v>
      </c>
      <c r="E1889" s="6">
        <v>-213568</v>
      </c>
      <c r="F1889" s="7">
        <v>4.7119999999999997</v>
      </c>
      <c r="G1889" s="7">
        <v>5.7729999999999997</v>
      </c>
      <c r="H1889" s="7">
        <v>5.9960000000000004</v>
      </c>
      <c r="I1889" s="7">
        <v>4.9640000000000004</v>
      </c>
      <c r="J1889" s="7">
        <v>4.3470000000000004</v>
      </c>
      <c r="K1889" s="7">
        <v>3.6579999999999999</v>
      </c>
      <c r="L1889" s="7">
        <v>3.4729999999999999</v>
      </c>
      <c r="M1889" s="7">
        <v>3.6309999999999998</v>
      </c>
      <c r="N1889" s="7">
        <v>4.4139999999999997</v>
      </c>
      <c r="O1889" s="7">
        <v>4.7530000000000001</v>
      </c>
      <c r="P1889" s="7">
        <v>5.0380000000000003</v>
      </c>
      <c r="Q1889" s="7">
        <v>4.851</v>
      </c>
      <c r="R1889" s="7">
        <v>5.6390000000000002</v>
      </c>
      <c r="S1889" s="7">
        <f t="shared" si="29"/>
        <v>4.7114166666666666</v>
      </c>
    </row>
    <row r="1890" spans="1:19">
      <c r="A1890" s="5" t="str">
        <f>B1890&amp;"-"&amp;COUNTIF($B$2:B1890,B1890)</f>
        <v>MINAS GERAIS-324</v>
      </c>
      <c r="B1890" s="5" t="s">
        <v>1126</v>
      </c>
      <c r="C1890" s="5" t="s">
        <v>5592</v>
      </c>
      <c r="D1890" s="6">
        <v>-430338</v>
      </c>
      <c r="E1890" s="6">
        <v>-217308</v>
      </c>
      <c r="F1890" s="7">
        <v>4.6399999999999997</v>
      </c>
      <c r="G1890" s="7">
        <v>5.734</v>
      </c>
      <c r="H1890" s="7">
        <v>5.992</v>
      </c>
      <c r="I1890" s="7">
        <v>4.9829999999999997</v>
      </c>
      <c r="J1890" s="7">
        <v>4.2679999999999998</v>
      </c>
      <c r="K1890" s="7">
        <v>3.5819999999999999</v>
      </c>
      <c r="L1890" s="7">
        <v>3.3410000000000002</v>
      </c>
      <c r="M1890" s="7">
        <v>3.556</v>
      </c>
      <c r="N1890" s="7">
        <v>4.3</v>
      </c>
      <c r="O1890" s="7">
        <v>4.6459999999999999</v>
      </c>
      <c r="P1890" s="7">
        <v>4.944</v>
      </c>
      <c r="Q1890" s="7">
        <v>4.7709999999999999</v>
      </c>
      <c r="R1890" s="7">
        <v>5.5670000000000002</v>
      </c>
      <c r="S1890" s="7">
        <f t="shared" si="29"/>
        <v>4.6403333333333334</v>
      </c>
    </row>
    <row r="1891" spans="1:19">
      <c r="A1891" s="5" t="str">
        <f>B1891&amp;"-"&amp;COUNTIF($B$2:B1891,B1891)</f>
        <v>MINAS GERAIS-325</v>
      </c>
      <c r="B1891" s="5" t="s">
        <v>1126</v>
      </c>
      <c r="C1891" s="5" t="s">
        <v>1346</v>
      </c>
      <c r="D1891" s="6">
        <v>-471001</v>
      </c>
      <c r="E1891" s="6">
        <v>-177678</v>
      </c>
      <c r="F1891" s="7">
        <v>5.391</v>
      </c>
      <c r="G1891" s="7">
        <v>5.7519999999999998</v>
      </c>
      <c r="H1891" s="7">
        <v>6.1269999999999998</v>
      </c>
      <c r="I1891" s="7">
        <v>5.1749999999999998</v>
      </c>
      <c r="J1891" s="7">
        <v>5.2249999999999996</v>
      </c>
      <c r="K1891" s="7">
        <v>4.78</v>
      </c>
      <c r="L1891" s="7">
        <v>4.5250000000000004</v>
      </c>
      <c r="M1891" s="7">
        <v>4.819</v>
      </c>
      <c r="N1891" s="7">
        <v>5.7220000000000004</v>
      </c>
      <c r="O1891" s="7">
        <v>5.6980000000000004</v>
      </c>
      <c r="P1891" s="7">
        <v>5.8090000000000002</v>
      </c>
      <c r="Q1891" s="7">
        <v>5.4189999999999996</v>
      </c>
      <c r="R1891" s="7">
        <v>5.6459999999999999</v>
      </c>
      <c r="S1891" s="7">
        <f t="shared" si="29"/>
        <v>5.3914166666666654</v>
      </c>
    </row>
    <row r="1892" spans="1:19">
      <c r="A1892" s="5" t="str">
        <f>B1892&amp;"-"&amp;COUNTIF($B$2:B1892,B1892)</f>
        <v>MINAS GERAIS-326</v>
      </c>
      <c r="B1892" s="5" t="s">
        <v>1126</v>
      </c>
      <c r="C1892" s="5" t="s">
        <v>4344</v>
      </c>
      <c r="D1892" s="6">
        <v>-467084</v>
      </c>
      <c r="E1892" s="6">
        <v>-213055</v>
      </c>
      <c r="F1892" s="7">
        <v>4.9379999999999997</v>
      </c>
      <c r="G1892" s="7">
        <v>5.4770000000000003</v>
      </c>
      <c r="H1892" s="7">
        <v>5.6340000000000003</v>
      </c>
      <c r="I1892" s="7">
        <v>4.8570000000000002</v>
      </c>
      <c r="J1892" s="7">
        <v>4.7240000000000002</v>
      </c>
      <c r="K1892" s="7">
        <v>4.069</v>
      </c>
      <c r="L1892" s="7">
        <v>3.8759999999999999</v>
      </c>
      <c r="M1892" s="7">
        <v>4.1029999999999998</v>
      </c>
      <c r="N1892" s="7">
        <v>5.0209999999999999</v>
      </c>
      <c r="O1892" s="7">
        <v>5.0880000000000001</v>
      </c>
      <c r="P1892" s="7">
        <v>5.4240000000000004</v>
      </c>
      <c r="Q1892" s="7">
        <v>5.3949999999999996</v>
      </c>
      <c r="R1892" s="7">
        <v>5.5910000000000002</v>
      </c>
      <c r="S1892" s="7">
        <f t="shared" si="29"/>
        <v>4.9382500000000009</v>
      </c>
    </row>
    <row r="1893" spans="1:19">
      <c r="A1893" s="5" t="str">
        <f>B1893&amp;"-"&amp;COUNTIF($B$2:B1893,B1893)</f>
        <v>MINAS GERAIS-327</v>
      </c>
      <c r="B1893" s="5" t="s">
        <v>1126</v>
      </c>
      <c r="C1893" s="5" t="s">
        <v>1347</v>
      </c>
      <c r="D1893" s="6">
        <v>-427891</v>
      </c>
      <c r="E1893" s="6">
        <v>-211555</v>
      </c>
      <c r="F1893" s="7">
        <v>4.7910000000000004</v>
      </c>
      <c r="G1893" s="7">
        <v>5.7869999999999999</v>
      </c>
      <c r="H1893" s="7">
        <v>6.0410000000000004</v>
      </c>
      <c r="I1893" s="7">
        <v>5.0229999999999997</v>
      </c>
      <c r="J1893" s="7">
        <v>4.4240000000000004</v>
      </c>
      <c r="K1893" s="7">
        <v>3.7240000000000002</v>
      </c>
      <c r="L1893" s="7">
        <v>3.5449999999999999</v>
      </c>
      <c r="M1893" s="7">
        <v>3.6989999999999998</v>
      </c>
      <c r="N1893" s="7">
        <v>4.5010000000000003</v>
      </c>
      <c r="O1893" s="7">
        <v>4.8959999999999999</v>
      </c>
      <c r="P1893" s="7">
        <v>5.1680000000000001</v>
      </c>
      <c r="Q1893" s="7">
        <v>4.9770000000000003</v>
      </c>
      <c r="R1893" s="7">
        <v>5.7130000000000001</v>
      </c>
      <c r="S1893" s="7">
        <f t="shared" si="29"/>
        <v>4.7915000000000001</v>
      </c>
    </row>
    <row r="1894" spans="1:19">
      <c r="A1894" s="5" t="str">
        <f>B1894&amp;"-"&amp;COUNTIF($B$2:B1894,B1894)</f>
        <v>MINAS GERAIS-328</v>
      </c>
      <c r="B1894" s="5" t="s">
        <v>1126</v>
      </c>
      <c r="C1894" s="5" t="s">
        <v>4968</v>
      </c>
      <c r="D1894" s="6">
        <v>-46797</v>
      </c>
      <c r="E1894" s="6">
        <v>-188447</v>
      </c>
      <c r="F1894" s="7">
        <v>5.2389999999999999</v>
      </c>
      <c r="G1894" s="7">
        <v>5.5640000000000001</v>
      </c>
      <c r="H1894" s="7">
        <v>5.9459999999999997</v>
      </c>
      <c r="I1894" s="7">
        <v>4.9779999999999998</v>
      </c>
      <c r="J1894" s="7">
        <v>4.9779999999999998</v>
      </c>
      <c r="K1894" s="7">
        <v>4.665</v>
      </c>
      <c r="L1894" s="7">
        <v>4.3840000000000003</v>
      </c>
      <c r="M1894" s="7">
        <v>4.6920000000000002</v>
      </c>
      <c r="N1894" s="7">
        <v>5.6390000000000002</v>
      </c>
      <c r="O1894" s="7">
        <v>5.6159999999999997</v>
      </c>
      <c r="P1894" s="7">
        <v>5.5960000000000001</v>
      </c>
      <c r="Q1894" s="7">
        <v>5.2670000000000003</v>
      </c>
      <c r="R1894" s="7">
        <v>5.54</v>
      </c>
      <c r="S1894" s="7">
        <f t="shared" si="29"/>
        <v>5.2387500000000005</v>
      </c>
    </row>
    <row r="1895" spans="1:19">
      <c r="A1895" s="5" t="str">
        <f>B1895&amp;"-"&amp;COUNTIF($B$2:B1895,B1895)</f>
        <v>MINAS GERAIS-329</v>
      </c>
      <c r="B1895" s="5" t="s">
        <v>1126</v>
      </c>
      <c r="C1895" s="5" t="s">
        <v>1348</v>
      </c>
      <c r="D1895" s="6">
        <v>-42721</v>
      </c>
      <c r="E1895" s="6">
        <v>-210103</v>
      </c>
      <c r="F1895" s="7">
        <v>4.8579999999999997</v>
      </c>
      <c r="G1895" s="7">
        <v>5.8639999999999999</v>
      </c>
      <c r="H1895" s="7">
        <v>6.1020000000000003</v>
      </c>
      <c r="I1895" s="7">
        <v>5.0789999999999997</v>
      </c>
      <c r="J1895" s="7">
        <v>4.4710000000000001</v>
      </c>
      <c r="K1895" s="7">
        <v>3.8159999999999998</v>
      </c>
      <c r="L1895" s="7">
        <v>3.63</v>
      </c>
      <c r="M1895" s="7">
        <v>3.8290000000000002</v>
      </c>
      <c r="N1895" s="7">
        <v>4.6210000000000004</v>
      </c>
      <c r="O1895" s="7">
        <v>4.9470000000000001</v>
      </c>
      <c r="P1895" s="7">
        <v>5.21</v>
      </c>
      <c r="Q1895" s="7">
        <v>5.0270000000000001</v>
      </c>
      <c r="R1895" s="7">
        <v>5.7009999999999996</v>
      </c>
      <c r="S1895" s="7">
        <f t="shared" si="29"/>
        <v>4.858083333333334</v>
      </c>
    </row>
    <row r="1896" spans="1:19">
      <c r="A1896" s="5" t="str">
        <f>B1896&amp;"-"&amp;COUNTIF($B$2:B1896,B1896)</f>
        <v>MINAS GERAIS-330</v>
      </c>
      <c r="B1896" s="5" t="s">
        <v>1126</v>
      </c>
      <c r="C1896" s="5" t="s">
        <v>5377</v>
      </c>
      <c r="D1896" s="6">
        <v>-49788</v>
      </c>
      <c r="E1896" s="6">
        <v>-192147</v>
      </c>
      <c r="F1896" s="7">
        <v>5.2430000000000003</v>
      </c>
      <c r="G1896" s="7">
        <v>5.76</v>
      </c>
      <c r="H1896" s="7">
        <v>5.7789999999999999</v>
      </c>
      <c r="I1896" s="7">
        <v>5.2430000000000003</v>
      </c>
      <c r="J1896" s="7">
        <v>5.0149999999999997</v>
      </c>
      <c r="K1896" s="7">
        <v>4.46</v>
      </c>
      <c r="L1896" s="7">
        <v>4.181</v>
      </c>
      <c r="M1896" s="7">
        <v>4.4379999999999997</v>
      </c>
      <c r="N1896" s="7">
        <v>5.3250000000000002</v>
      </c>
      <c r="O1896" s="7">
        <v>5.2439999999999998</v>
      </c>
      <c r="P1896" s="7">
        <v>5.6020000000000003</v>
      </c>
      <c r="Q1896" s="7">
        <v>5.8760000000000003</v>
      </c>
      <c r="R1896" s="7">
        <v>5.99</v>
      </c>
      <c r="S1896" s="7">
        <f t="shared" si="29"/>
        <v>5.2427500000000009</v>
      </c>
    </row>
    <row r="1897" spans="1:19">
      <c r="A1897" s="5" t="str">
        <f>B1897&amp;"-"&amp;COUNTIF($B$2:B1897,B1897)</f>
        <v>MINAS GERAIS-331</v>
      </c>
      <c r="B1897" s="5" t="s">
        <v>1126</v>
      </c>
      <c r="C1897" s="5" t="s">
        <v>1349</v>
      </c>
      <c r="D1897" s="6">
        <v>-455457</v>
      </c>
      <c r="E1897" s="6">
        <v>-220649</v>
      </c>
      <c r="F1897" s="7">
        <v>4.8330000000000002</v>
      </c>
      <c r="G1897" s="7">
        <v>5.3860000000000001</v>
      </c>
      <c r="H1897" s="7">
        <v>5.694</v>
      </c>
      <c r="I1897" s="7">
        <v>4.835</v>
      </c>
      <c r="J1897" s="7">
        <v>4.5579999999999998</v>
      </c>
      <c r="K1897" s="7">
        <v>3.911</v>
      </c>
      <c r="L1897" s="7">
        <v>3.6619999999999999</v>
      </c>
      <c r="M1897" s="7">
        <v>3.8780000000000001</v>
      </c>
      <c r="N1897" s="7">
        <v>4.7779999999999996</v>
      </c>
      <c r="O1897" s="7">
        <v>4.9580000000000002</v>
      </c>
      <c r="P1897" s="7">
        <v>5.4059999999999997</v>
      </c>
      <c r="Q1897" s="7">
        <v>5.2720000000000002</v>
      </c>
      <c r="R1897" s="7">
        <v>5.6550000000000002</v>
      </c>
      <c r="S1897" s="7">
        <f t="shared" si="29"/>
        <v>4.8327499999999999</v>
      </c>
    </row>
    <row r="1898" spans="1:19">
      <c r="A1898" s="5" t="str">
        <f>B1898&amp;"-"&amp;COUNTIF($B$2:B1898,B1898)</f>
        <v>MINAS GERAIS-332</v>
      </c>
      <c r="B1898" s="5" t="s">
        <v>1126</v>
      </c>
      <c r="C1898" s="5" t="s">
        <v>1350</v>
      </c>
      <c r="D1898" s="6">
        <v>-422151</v>
      </c>
      <c r="E1898" s="6">
        <v>-194392</v>
      </c>
      <c r="F1898" s="7">
        <v>4.83</v>
      </c>
      <c r="G1898" s="7">
        <v>5.8689999999999998</v>
      </c>
      <c r="H1898" s="7">
        <v>6.0510000000000002</v>
      </c>
      <c r="I1898" s="7">
        <v>5.1280000000000001</v>
      </c>
      <c r="J1898" s="7">
        <v>4.5949999999999998</v>
      </c>
      <c r="K1898" s="7">
        <v>3.899</v>
      </c>
      <c r="L1898" s="7">
        <v>3.6389999999999998</v>
      </c>
      <c r="M1898" s="7">
        <v>3.79</v>
      </c>
      <c r="N1898" s="7">
        <v>4.452</v>
      </c>
      <c r="O1898" s="7">
        <v>4.8499999999999996</v>
      </c>
      <c r="P1898" s="7">
        <v>5.0579999999999998</v>
      </c>
      <c r="Q1898" s="7">
        <v>4.8620000000000001</v>
      </c>
      <c r="R1898" s="7">
        <v>5.766</v>
      </c>
      <c r="S1898" s="7">
        <f t="shared" si="29"/>
        <v>4.8299166666666666</v>
      </c>
    </row>
    <row r="1899" spans="1:19">
      <c r="A1899" s="5" t="str">
        <f>B1899&amp;"-"&amp;COUNTIF($B$2:B1899,B1899)</f>
        <v>MINAS GERAIS-333</v>
      </c>
      <c r="B1899" s="5" t="s">
        <v>1126</v>
      </c>
      <c r="C1899" s="5" t="s">
        <v>1351</v>
      </c>
      <c r="D1899" s="6">
        <v>-439643</v>
      </c>
      <c r="E1899" s="6">
        <v>-214335</v>
      </c>
      <c r="F1899" s="7">
        <v>4.7300000000000004</v>
      </c>
      <c r="G1899" s="7">
        <v>5.4989999999999997</v>
      </c>
      <c r="H1899" s="7">
        <v>5.7930000000000001</v>
      </c>
      <c r="I1899" s="7">
        <v>4.8360000000000003</v>
      </c>
      <c r="J1899" s="7">
        <v>4.3499999999999996</v>
      </c>
      <c r="K1899" s="7">
        <v>3.77</v>
      </c>
      <c r="L1899" s="7">
        <v>3.5950000000000002</v>
      </c>
      <c r="M1899" s="7">
        <v>3.766</v>
      </c>
      <c r="N1899" s="7">
        <v>4.6660000000000004</v>
      </c>
      <c r="O1899" s="7">
        <v>4.8979999999999997</v>
      </c>
      <c r="P1899" s="7">
        <v>5.0960000000000001</v>
      </c>
      <c r="Q1899" s="7">
        <v>4.9340000000000002</v>
      </c>
      <c r="R1899" s="7">
        <v>5.5529999999999999</v>
      </c>
      <c r="S1899" s="7">
        <f t="shared" si="29"/>
        <v>4.7296666666666667</v>
      </c>
    </row>
    <row r="1900" spans="1:19">
      <c r="A1900" s="5" t="str">
        <f>B1900&amp;"-"&amp;COUNTIF($B$2:B1900,B1900)</f>
        <v>MINAS GERAIS-334</v>
      </c>
      <c r="B1900" s="5" t="s">
        <v>1126</v>
      </c>
      <c r="C1900" s="5" t="s">
        <v>5593</v>
      </c>
      <c r="D1900" s="6">
        <v>-465474</v>
      </c>
      <c r="E1900" s="6">
        <v>-19489</v>
      </c>
      <c r="F1900" s="7">
        <v>5.1340000000000003</v>
      </c>
      <c r="G1900" s="7">
        <v>5.5270000000000001</v>
      </c>
      <c r="H1900" s="7">
        <v>5.8689999999999998</v>
      </c>
      <c r="I1900" s="7">
        <v>4.92</v>
      </c>
      <c r="J1900" s="7">
        <v>4.8460000000000001</v>
      </c>
      <c r="K1900" s="7">
        <v>4.4349999999999996</v>
      </c>
      <c r="L1900" s="7">
        <v>4.2249999999999996</v>
      </c>
      <c r="M1900" s="7">
        <v>4.4560000000000004</v>
      </c>
      <c r="N1900" s="7">
        <v>5.5259999999999998</v>
      </c>
      <c r="O1900" s="7">
        <v>5.444</v>
      </c>
      <c r="P1900" s="7">
        <v>5.5289999999999999</v>
      </c>
      <c r="Q1900" s="7">
        <v>5.2240000000000002</v>
      </c>
      <c r="R1900" s="7">
        <v>5.61</v>
      </c>
      <c r="S1900" s="7">
        <f t="shared" si="29"/>
        <v>5.1342500000000006</v>
      </c>
    </row>
    <row r="1901" spans="1:19">
      <c r="A1901" s="5" t="str">
        <f>B1901&amp;"-"&amp;COUNTIF($B$2:B1901,B1901)</f>
        <v>MINAS GERAIS-335</v>
      </c>
      <c r="B1901" s="5" t="s">
        <v>1126</v>
      </c>
      <c r="C1901" s="5" t="s">
        <v>1352</v>
      </c>
      <c r="D1901" s="6">
        <v>-449092</v>
      </c>
      <c r="E1901" s="6">
        <v>-168579</v>
      </c>
      <c r="F1901" s="7">
        <v>5.673</v>
      </c>
      <c r="G1901" s="7">
        <v>6.3540000000000001</v>
      </c>
      <c r="H1901" s="7">
        <v>6.53</v>
      </c>
      <c r="I1901" s="7">
        <v>5.6230000000000002</v>
      </c>
      <c r="J1901" s="7">
        <v>5.5369999999999999</v>
      </c>
      <c r="K1901" s="7">
        <v>4.9260000000000002</v>
      </c>
      <c r="L1901" s="7">
        <v>4.649</v>
      </c>
      <c r="M1901" s="7">
        <v>4.9329999999999998</v>
      </c>
      <c r="N1901" s="7">
        <v>5.7460000000000004</v>
      </c>
      <c r="O1901" s="7">
        <v>6.0350000000000001</v>
      </c>
      <c r="P1901" s="7">
        <v>6.109</v>
      </c>
      <c r="Q1901" s="7">
        <v>5.5990000000000002</v>
      </c>
      <c r="R1901" s="7">
        <v>6.0359999999999996</v>
      </c>
      <c r="S1901" s="7">
        <f t="shared" si="29"/>
        <v>5.6730833333333335</v>
      </c>
    </row>
    <row r="1902" spans="1:19">
      <c r="A1902" s="5" t="str">
        <f>B1902&amp;"-"&amp;COUNTIF($B$2:B1902,B1902)</f>
        <v>MINAS GERAIS-336</v>
      </c>
      <c r="B1902" s="5" t="s">
        <v>1126</v>
      </c>
      <c r="C1902" s="5" t="s">
        <v>1353</v>
      </c>
      <c r="D1902" s="6">
        <v>-441641</v>
      </c>
      <c r="E1902" s="6">
        <v>-15667</v>
      </c>
      <c r="F1902" s="7">
        <v>5.7329999999999997</v>
      </c>
      <c r="G1902" s="7">
        <v>6.3470000000000004</v>
      </c>
      <c r="H1902" s="7">
        <v>6.6280000000000001</v>
      </c>
      <c r="I1902" s="7">
        <v>5.7370000000000001</v>
      </c>
      <c r="J1902" s="7">
        <v>5.6319999999999997</v>
      </c>
      <c r="K1902" s="7">
        <v>5.0049999999999999</v>
      </c>
      <c r="L1902" s="7">
        <v>4.7279999999999998</v>
      </c>
      <c r="M1902" s="7">
        <v>5.077</v>
      </c>
      <c r="N1902" s="7">
        <v>5.7830000000000004</v>
      </c>
      <c r="O1902" s="7">
        <v>6.1210000000000004</v>
      </c>
      <c r="P1902" s="7">
        <v>6.093</v>
      </c>
      <c r="Q1902" s="7">
        <v>5.4989999999999997</v>
      </c>
      <c r="R1902" s="7">
        <v>6.1520000000000001</v>
      </c>
      <c r="S1902" s="7">
        <f t="shared" si="29"/>
        <v>5.7334999999999994</v>
      </c>
    </row>
    <row r="1903" spans="1:19">
      <c r="A1903" s="5" t="str">
        <f>B1903&amp;"-"&amp;COUNTIF($B$2:B1903,B1903)</f>
        <v>MINAS GERAIS-337</v>
      </c>
      <c r="B1903" s="5" t="s">
        <v>1126</v>
      </c>
      <c r="C1903" s="5" t="s">
        <v>1354</v>
      </c>
      <c r="D1903" s="6">
        <v>-471225</v>
      </c>
      <c r="E1903" s="6">
        <v>-204615</v>
      </c>
      <c r="F1903" s="7">
        <v>5.0759999999999996</v>
      </c>
      <c r="G1903" s="7">
        <v>5.5380000000000003</v>
      </c>
      <c r="H1903" s="7">
        <v>5.7850000000000001</v>
      </c>
      <c r="I1903" s="7">
        <v>4.9729999999999999</v>
      </c>
      <c r="J1903" s="7">
        <v>4.8330000000000002</v>
      </c>
      <c r="K1903" s="7">
        <v>4.2629999999999999</v>
      </c>
      <c r="L1903" s="7">
        <v>4.0620000000000003</v>
      </c>
      <c r="M1903" s="7">
        <v>4.327</v>
      </c>
      <c r="N1903" s="7">
        <v>5.2160000000000002</v>
      </c>
      <c r="O1903" s="7">
        <v>5.2030000000000003</v>
      </c>
      <c r="P1903" s="7">
        <v>5.5220000000000002</v>
      </c>
      <c r="Q1903" s="7">
        <v>5.5380000000000003</v>
      </c>
      <c r="R1903" s="7">
        <v>5.6529999999999996</v>
      </c>
      <c r="S1903" s="7">
        <f t="shared" si="29"/>
        <v>5.0760833333333339</v>
      </c>
    </row>
    <row r="1904" spans="1:19">
      <c r="A1904" s="5" t="str">
        <f>B1904&amp;"-"&amp;COUNTIF($B$2:B1904,B1904)</f>
        <v>MINAS GERAIS-338</v>
      </c>
      <c r="B1904" s="5" t="s">
        <v>1126</v>
      </c>
      <c r="C1904" s="5" t="s">
        <v>4345</v>
      </c>
      <c r="D1904" s="6">
        <v>-440573</v>
      </c>
      <c r="E1904" s="6">
        <v>-200257</v>
      </c>
      <c r="F1904" s="7">
        <v>5.0910000000000002</v>
      </c>
      <c r="G1904" s="7">
        <v>5.6589999999999998</v>
      </c>
      <c r="H1904" s="7">
        <v>5.9080000000000004</v>
      </c>
      <c r="I1904" s="7">
        <v>5.093</v>
      </c>
      <c r="J1904" s="7">
        <v>4.7409999999999997</v>
      </c>
      <c r="K1904" s="7">
        <v>4.2009999999999996</v>
      </c>
      <c r="L1904" s="7">
        <v>4.032</v>
      </c>
      <c r="M1904" s="7">
        <v>4.2919999999999998</v>
      </c>
      <c r="N1904" s="7">
        <v>5.1749999999999998</v>
      </c>
      <c r="O1904" s="7">
        <v>5.5380000000000003</v>
      </c>
      <c r="P1904" s="7">
        <v>5.6219999999999999</v>
      </c>
      <c r="Q1904" s="7">
        <v>5.2510000000000003</v>
      </c>
      <c r="R1904" s="7">
        <v>5.5810000000000004</v>
      </c>
      <c r="S1904" s="7">
        <f t="shared" si="29"/>
        <v>5.0910833333333327</v>
      </c>
    </row>
    <row r="1905" spans="1:19">
      <c r="A1905" s="5" t="str">
        <f>B1905&amp;"-"&amp;COUNTIF($B$2:B1905,B1905)</f>
        <v>MINAS GERAIS-339</v>
      </c>
      <c r="B1905" s="5" t="s">
        <v>1126</v>
      </c>
      <c r="C1905" s="5" t="s">
        <v>4844</v>
      </c>
      <c r="D1905" s="6">
        <v>-464372</v>
      </c>
      <c r="E1905" s="6">
        <v>-220609</v>
      </c>
      <c r="F1905" s="7">
        <v>4.7649999999999997</v>
      </c>
      <c r="G1905" s="7">
        <v>5.202</v>
      </c>
      <c r="H1905" s="7">
        <v>5.42</v>
      </c>
      <c r="I1905" s="7">
        <v>4.7480000000000002</v>
      </c>
      <c r="J1905" s="7">
        <v>4.5199999999999996</v>
      </c>
      <c r="K1905" s="7">
        <v>3.883</v>
      </c>
      <c r="L1905" s="7">
        <v>3.6960000000000002</v>
      </c>
      <c r="M1905" s="7">
        <v>3.891</v>
      </c>
      <c r="N1905" s="7">
        <v>4.8019999999999996</v>
      </c>
      <c r="O1905" s="7">
        <v>4.944</v>
      </c>
      <c r="P1905" s="7">
        <v>5.282</v>
      </c>
      <c r="Q1905" s="7">
        <v>5.3179999999999996</v>
      </c>
      <c r="R1905" s="7">
        <v>5.476</v>
      </c>
      <c r="S1905" s="7">
        <f t="shared" si="29"/>
        <v>4.7651666666666666</v>
      </c>
    </row>
    <row r="1906" spans="1:19">
      <c r="A1906" s="5" t="str">
        <f>B1906&amp;"-"&amp;COUNTIF($B$2:B1906,B1906)</f>
        <v>MINAS GERAIS-340</v>
      </c>
      <c r="B1906" s="5" t="s">
        <v>1126</v>
      </c>
      <c r="C1906" s="5" t="s">
        <v>1355</v>
      </c>
      <c r="D1906" s="6">
        <v>-447483</v>
      </c>
      <c r="E1906" s="6">
        <v>-211546</v>
      </c>
      <c r="F1906" s="7">
        <v>4.9160000000000004</v>
      </c>
      <c r="G1906" s="7">
        <v>5.63</v>
      </c>
      <c r="H1906" s="7">
        <v>5.7990000000000004</v>
      </c>
      <c r="I1906" s="7">
        <v>5.0010000000000003</v>
      </c>
      <c r="J1906" s="7">
        <v>4.6440000000000001</v>
      </c>
      <c r="K1906" s="7">
        <v>3.9510000000000001</v>
      </c>
      <c r="L1906" s="7">
        <v>3.7389999999999999</v>
      </c>
      <c r="M1906" s="7">
        <v>3.9740000000000002</v>
      </c>
      <c r="N1906" s="7">
        <v>4.9329999999999998</v>
      </c>
      <c r="O1906" s="7">
        <v>5.1289999999999996</v>
      </c>
      <c r="P1906" s="7">
        <v>5.3789999999999996</v>
      </c>
      <c r="Q1906" s="7">
        <v>5.1920000000000002</v>
      </c>
      <c r="R1906" s="7">
        <v>5.6239999999999997</v>
      </c>
      <c r="S1906" s="7">
        <f t="shared" si="29"/>
        <v>4.9162499999999998</v>
      </c>
    </row>
    <row r="1907" spans="1:19">
      <c r="A1907" s="5" t="str">
        <f>B1907&amp;"-"&amp;COUNTIF($B$2:B1907,B1907)</f>
        <v>MINAS GERAIS-341</v>
      </c>
      <c r="B1907" s="5" t="s">
        <v>1126</v>
      </c>
      <c r="C1907" s="5" t="s">
        <v>1356</v>
      </c>
      <c r="D1907" s="6">
        <v>-449045</v>
      </c>
      <c r="E1907" s="6">
        <v>-162194</v>
      </c>
      <c r="F1907" s="7">
        <v>5.7030000000000003</v>
      </c>
      <c r="G1907" s="7">
        <v>6.3280000000000003</v>
      </c>
      <c r="H1907" s="7">
        <v>6.516</v>
      </c>
      <c r="I1907" s="7">
        <v>5.6950000000000003</v>
      </c>
      <c r="J1907" s="7">
        <v>5.5190000000000001</v>
      </c>
      <c r="K1907" s="7">
        <v>4.97</v>
      </c>
      <c r="L1907" s="7">
        <v>4.71</v>
      </c>
      <c r="M1907" s="7">
        <v>5.0049999999999999</v>
      </c>
      <c r="N1907" s="7">
        <v>5.8860000000000001</v>
      </c>
      <c r="O1907" s="7">
        <v>5.9930000000000003</v>
      </c>
      <c r="P1907" s="7">
        <v>6.06</v>
      </c>
      <c r="Q1907" s="7">
        <v>5.61</v>
      </c>
      <c r="R1907" s="7">
        <v>6.1449999999999996</v>
      </c>
      <c r="S1907" s="7">
        <f t="shared" si="29"/>
        <v>5.7030833333333346</v>
      </c>
    </row>
    <row r="1908" spans="1:19">
      <c r="A1908" s="5" t="str">
        <f>B1908&amp;"-"&amp;COUNTIF($B$2:B1908,B1908)</f>
        <v>MINAS GERAIS-342</v>
      </c>
      <c r="B1908" s="5" t="s">
        <v>1126</v>
      </c>
      <c r="C1908" s="5" t="s">
        <v>4346</v>
      </c>
      <c r="D1908" s="6">
        <v>-442998</v>
      </c>
      <c r="E1908" s="6">
        <v>-200711</v>
      </c>
      <c r="F1908" s="7">
        <v>5.1230000000000002</v>
      </c>
      <c r="G1908" s="7">
        <v>5.8579999999999997</v>
      </c>
      <c r="H1908" s="7">
        <v>5.9950000000000001</v>
      </c>
      <c r="I1908" s="7">
        <v>5.101</v>
      </c>
      <c r="J1908" s="7">
        <v>4.766</v>
      </c>
      <c r="K1908" s="7">
        <v>4.2140000000000004</v>
      </c>
      <c r="L1908" s="7">
        <v>4.069</v>
      </c>
      <c r="M1908" s="7">
        <v>4.3330000000000002</v>
      </c>
      <c r="N1908" s="7">
        <v>5.2089999999999996</v>
      </c>
      <c r="O1908" s="7">
        <v>5.4850000000000003</v>
      </c>
      <c r="P1908" s="7">
        <v>5.5919999999999996</v>
      </c>
      <c r="Q1908" s="7">
        <v>5.2910000000000004</v>
      </c>
      <c r="R1908" s="7">
        <v>5.56</v>
      </c>
      <c r="S1908" s="7">
        <f t="shared" si="29"/>
        <v>5.1227499999999999</v>
      </c>
    </row>
    <row r="1909" spans="1:19">
      <c r="A1909" s="5" t="str">
        <f>B1909&amp;"-"&amp;COUNTIF($B$2:B1909,B1909)</f>
        <v>MINAS GERAIS-343</v>
      </c>
      <c r="B1909" s="5" t="s">
        <v>1126</v>
      </c>
      <c r="C1909" s="5" t="s">
        <v>1357</v>
      </c>
      <c r="D1909" s="6">
        <v>-447067</v>
      </c>
      <c r="E1909" s="6">
        <v>-199481</v>
      </c>
      <c r="F1909" s="7">
        <v>5.1820000000000004</v>
      </c>
      <c r="G1909" s="7">
        <v>5.875</v>
      </c>
      <c r="H1909" s="7">
        <v>6.0679999999999996</v>
      </c>
      <c r="I1909" s="7">
        <v>5.1769999999999996</v>
      </c>
      <c r="J1909" s="7">
        <v>4.9009999999999998</v>
      </c>
      <c r="K1909" s="7">
        <v>4.3049999999999997</v>
      </c>
      <c r="L1909" s="7">
        <v>4.1349999999999998</v>
      </c>
      <c r="M1909" s="7">
        <v>4.3730000000000002</v>
      </c>
      <c r="N1909" s="7">
        <v>5.2510000000000003</v>
      </c>
      <c r="O1909" s="7">
        <v>5.4930000000000003</v>
      </c>
      <c r="P1909" s="7">
        <v>5.59</v>
      </c>
      <c r="Q1909" s="7">
        <v>5.3760000000000003</v>
      </c>
      <c r="R1909" s="7">
        <v>5.6420000000000003</v>
      </c>
      <c r="S1909" s="7">
        <f t="shared" si="29"/>
        <v>5.1821666666666664</v>
      </c>
    </row>
    <row r="1910" spans="1:19">
      <c r="A1910" s="5" t="str">
        <f>B1910&amp;"-"&amp;COUNTIF($B$2:B1910,B1910)</f>
        <v>MINAS GERAIS-344</v>
      </c>
      <c r="B1910" s="5" t="s">
        <v>1126</v>
      </c>
      <c r="C1910" s="5" t="s">
        <v>1358</v>
      </c>
      <c r="D1910" s="6">
        <v>-457115</v>
      </c>
      <c r="E1910" s="6">
        <v>-201781</v>
      </c>
      <c r="F1910" s="7">
        <v>5.1589999999999998</v>
      </c>
      <c r="G1910" s="7">
        <v>5.7939999999999996</v>
      </c>
      <c r="H1910" s="7">
        <v>6.0060000000000002</v>
      </c>
      <c r="I1910" s="7">
        <v>5.0490000000000004</v>
      </c>
      <c r="J1910" s="7">
        <v>4.8979999999999997</v>
      </c>
      <c r="K1910" s="7">
        <v>4.3719999999999999</v>
      </c>
      <c r="L1910" s="7">
        <v>4.1230000000000002</v>
      </c>
      <c r="M1910" s="7">
        <v>4.4029999999999996</v>
      </c>
      <c r="N1910" s="7">
        <v>5.3529999999999998</v>
      </c>
      <c r="O1910" s="7">
        <v>5.4740000000000002</v>
      </c>
      <c r="P1910" s="7">
        <v>5.56</v>
      </c>
      <c r="Q1910" s="7">
        <v>5.1989999999999998</v>
      </c>
      <c r="R1910" s="7">
        <v>5.6779999999999999</v>
      </c>
      <c r="S1910" s="7">
        <f t="shared" si="29"/>
        <v>5.1590833333333341</v>
      </c>
    </row>
    <row r="1911" spans="1:19">
      <c r="A1911" s="5" t="str">
        <f>B1911&amp;"-"&amp;COUNTIF($B$2:B1911,B1911)</f>
        <v>MINAS GERAIS-345</v>
      </c>
      <c r="B1911" s="5" t="s">
        <v>1126</v>
      </c>
      <c r="C1911" s="5" t="s">
        <v>1359</v>
      </c>
      <c r="D1911" s="6">
        <v>-449236</v>
      </c>
      <c r="E1911" s="6">
        <v>-211743</v>
      </c>
      <c r="F1911" s="7">
        <v>4.9400000000000004</v>
      </c>
      <c r="G1911" s="7">
        <v>5.6150000000000002</v>
      </c>
      <c r="H1911" s="7">
        <v>5.7960000000000003</v>
      </c>
      <c r="I1911" s="7">
        <v>5.0179999999999998</v>
      </c>
      <c r="J1911" s="7">
        <v>4.6769999999999996</v>
      </c>
      <c r="K1911" s="7">
        <v>3.9729999999999999</v>
      </c>
      <c r="L1911" s="7">
        <v>3.7669999999999999</v>
      </c>
      <c r="M1911" s="7">
        <v>4.0179999999999998</v>
      </c>
      <c r="N1911" s="7">
        <v>4.9240000000000004</v>
      </c>
      <c r="O1911" s="7">
        <v>5.1639999999999997</v>
      </c>
      <c r="P1911" s="7">
        <v>5.4080000000000004</v>
      </c>
      <c r="Q1911" s="7">
        <v>5.2539999999999996</v>
      </c>
      <c r="R1911" s="7">
        <v>5.6669999999999998</v>
      </c>
      <c r="S1911" s="7">
        <f t="shared" si="29"/>
        <v>4.9400833333333329</v>
      </c>
    </row>
    <row r="1912" spans="1:19">
      <c r="A1912" s="5" t="str">
        <f>B1912&amp;"-"&amp;COUNTIF($B$2:B1912,B1912)</f>
        <v>MINAS GERAIS-346</v>
      </c>
      <c r="B1912" s="5" t="s">
        <v>1126</v>
      </c>
      <c r="C1912" s="5" t="s">
        <v>1360</v>
      </c>
      <c r="D1912" s="6">
        <v>-458312</v>
      </c>
      <c r="E1912" s="6">
        <v>-209407</v>
      </c>
      <c r="F1912" s="7">
        <v>4.9939999999999998</v>
      </c>
      <c r="G1912" s="7">
        <v>5.5090000000000003</v>
      </c>
      <c r="H1912" s="7">
        <v>5.8559999999999999</v>
      </c>
      <c r="I1912" s="7">
        <v>4.9409999999999998</v>
      </c>
      <c r="J1912" s="7">
        <v>4.7160000000000002</v>
      </c>
      <c r="K1912" s="7">
        <v>4.1379999999999999</v>
      </c>
      <c r="L1912" s="7">
        <v>3.9249999999999998</v>
      </c>
      <c r="M1912" s="7">
        <v>4.18</v>
      </c>
      <c r="N1912" s="7">
        <v>5.0940000000000003</v>
      </c>
      <c r="O1912" s="7">
        <v>5.202</v>
      </c>
      <c r="P1912" s="7">
        <v>5.4809999999999999</v>
      </c>
      <c r="Q1912" s="7">
        <v>5.2549999999999999</v>
      </c>
      <c r="R1912" s="7">
        <v>5.6349999999999998</v>
      </c>
      <c r="S1912" s="7">
        <f t="shared" si="29"/>
        <v>4.9943333333333335</v>
      </c>
    </row>
    <row r="1913" spans="1:19">
      <c r="A1913" s="5" t="str">
        <f>B1913&amp;"-"&amp;COUNTIF($B$2:B1913,B1913)</f>
        <v>MINAS GERAIS-347</v>
      </c>
      <c r="B1913" s="5" t="s">
        <v>1126</v>
      </c>
      <c r="C1913" s="5" t="s">
        <v>4347</v>
      </c>
      <c r="D1913" s="6">
        <v>-419698</v>
      </c>
      <c r="E1913" s="6">
        <v>-196022</v>
      </c>
      <c r="F1913" s="7">
        <v>4.6760000000000002</v>
      </c>
      <c r="G1913" s="7">
        <v>5.6929999999999996</v>
      </c>
      <c r="H1913" s="7">
        <v>5.8609999999999998</v>
      </c>
      <c r="I1913" s="7">
        <v>4.9089999999999998</v>
      </c>
      <c r="J1913" s="7">
        <v>4.4980000000000002</v>
      </c>
      <c r="K1913" s="7">
        <v>3.7360000000000002</v>
      </c>
      <c r="L1913" s="7">
        <v>3.5329999999999999</v>
      </c>
      <c r="M1913" s="7">
        <v>3.7210000000000001</v>
      </c>
      <c r="N1913" s="7">
        <v>4.3710000000000004</v>
      </c>
      <c r="O1913" s="7">
        <v>4.7279999999999998</v>
      </c>
      <c r="P1913" s="7">
        <v>4.8639999999999999</v>
      </c>
      <c r="Q1913" s="7">
        <v>4.7220000000000004</v>
      </c>
      <c r="R1913" s="7">
        <v>5.4779999999999998</v>
      </c>
      <c r="S1913" s="7">
        <f t="shared" si="29"/>
        <v>4.676166666666667</v>
      </c>
    </row>
    <row r="1914" spans="1:19">
      <c r="A1914" s="5" t="str">
        <f>B1914&amp;"-"&amp;COUNTIF($B$2:B1914,B1914)</f>
        <v>MINAS GERAIS-348</v>
      </c>
      <c r="B1914" s="5" t="s">
        <v>1126</v>
      </c>
      <c r="C1914" s="5" t="s">
        <v>1361</v>
      </c>
      <c r="D1914" s="6">
        <v>-463268</v>
      </c>
      <c r="E1914" s="6">
        <v>-22314</v>
      </c>
      <c r="F1914" s="7">
        <v>4.8380000000000001</v>
      </c>
      <c r="G1914" s="7">
        <v>5.3</v>
      </c>
      <c r="H1914" s="7">
        <v>5.5670000000000002</v>
      </c>
      <c r="I1914" s="7">
        <v>4.9089999999999998</v>
      </c>
      <c r="J1914" s="7">
        <v>4.6159999999999997</v>
      </c>
      <c r="K1914" s="7">
        <v>3.9060000000000001</v>
      </c>
      <c r="L1914" s="7">
        <v>3.6480000000000001</v>
      </c>
      <c r="M1914" s="7">
        <v>3.879</v>
      </c>
      <c r="N1914" s="7">
        <v>4.7329999999999997</v>
      </c>
      <c r="O1914" s="7">
        <v>4.9509999999999996</v>
      </c>
      <c r="P1914" s="7">
        <v>5.3929999999999998</v>
      </c>
      <c r="Q1914" s="7">
        <v>5.4749999999999996</v>
      </c>
      <c r="R1914" s="7">
        <v>5.6859999999999999</v>
      </c>
      <c r="S1914" s="7">
        <f t="shared" si="29"/>
        <v>4.8385833333333332</v>
      </c>
    </row>
    <row r="1915" spans="1:19">
      <c r="A1915" s="5" t="str">
        <f>B1915&amp;"-"&amp;COUNTIF($B$2:B1915,B1915)</f>
        <v>MINAS GERAIS-349</v>
      </c>
      <c r="B1915" s="5" t="s">
        <v>1126</v>
      </c>
      <c r="C1915" s="5" t="s">
        <v>1362</v>
      </c>
      <c r="D1915" s="6">
        <v>-421977</v>
      </c>
      <c r="E1915" s="6">
        <v>-154923</v>
      </c>
      <c r="F1915" s="7">
        <v>5.194</v>
      </c>
      <c r="G1915" s="7">
        <v>6.0449999999999999</v>
      </c>
      <c r="H1915" s="7">
        <v>6.3040000000000003</v>
      </c>
      <c r="I1915" s="7">
        <v>5.4429999999999996</v>
      </c>
      <c r="J1915" s="7">
        <v>4.7549999999999999</v>
      </c>
      <c r="K1915" s="7">
        <v>4.165</v>
      </c>
      <c r="L1915" s="7">
        <v>3.8220000000000001</v>
      </c>
      <c r="M1915" s="7">
        <v>4.1219999999999999</v>
      </c>
      <c r="N1915" s="7">
        <v>4.8559999999999999</v>
      </c>
      <c r="O1915" s="7">
        <v>5.6689999999999996</v>
      </c>
      <c r="P1915" s="7">
        <v>5.7229999999999999</v>
      </c>
      <c r="Q1915" s="7">
        <v>5.351</v>
      </c>
      <c r="R1915" s="7">
        <v>6.0759999999999996</v>
      </c>
      <c r="S1915" s="7">
        <f t="shared" si="29"/>
        <v>5.1942499999999994</v>
      </c>
    </row>
    <row r="1916" spans="1:19">
      <c r="A1916" s="5" t="str">
        <f>B1916&amp;"-"&amp;COUNTIF($B$2:B1916,B1916)</f>
        <v>MINAS GERAIS-350</v>
      </c>
      <c r="B1916" s="5" t="s">
        <v>1126</v>
      </c>
      <c r="C1916" s="5" t="s">
        <v>5130</v>
      </c>
      <c r="D1916" s="6">
        <v>-479185</v>
      </c>
      <c r="E1916" s="6">
        <v>-190373</v>
      </c>
      <c r="F1916" s="7">
        <v>5.1970000000000001</v>
      </c>
      <c r="G1916" s="7">
        <v>5.4870000000000001</v>
      </c>
      <c r="H1916" s="7">
        <v>5.8730000000000002</v>
      </c>
      <c r="I1916" s="7">
        <v>5.0110000000000001</v>
      </c>
      <c r="J1916" s="7">
        <v>4.9109999999999996</v>
      </c>
      <c r="K1916" s="7">
        <v>4.4950000000000001</v>
      </c>
      <c r="L1916" s="7">
        <v>4.2919999999999998</v>
      </c>
      <c r="M1916" s="7">
        <v>4.5140000000000002</v>
      </c>
      <c r="N1916" s="7">
        <v>5.5010000000000003</v>
      </c>
      <c r="O1916" s="7">
        <v>5.4349999999999996</v>
      </c>
      <c r="P1916" s="7">
        <v>5.5970000000000004</v>
      </c>
      <c r="Q1916" s="7">
        <v>5.5279999999999996</v>
      </c>
      <c r="R1916" s="7">
        <v>5.7220000000000004</v>
      </c>
      <c r="S1916" s="7">
        <f t="shared" si="29"/>
        <v>5.1971666666666669</v>
      </c>
    </row>
    <row r="1917" spans="1:19">
      <c r="A1917" s="5" t="str">
        <f>B1917&amp;"-"&amp;COUNTIF($B$2:B1917,B1917)</f>
        <v>MINAS GERAIS-351</v>
      </c>
      <c r="B1917" s="5" t="s">
        <v>1126</v>
      </c>
      <c r="C1917" s="5" t="s">
        <v>1363</v>
      </c>
      <c r="D1917" s="6">
        <v>-449155</v>
      </c>
      <c r="E1917" s="6">
        <v>-214029</v>
      </c>
      <c r="F1917" s="7">
        <v>4.899</v>
      </c>
      <c r="G1917" s="7">
        <v>5.56</v>
      </c>
      <c r="H1917" s="7">
        <v>5.7510000000000003</v>
      </c>
      <c r="I1917" s="7">
        <v>4.9180000000000001</v>
      </c>
      <c r="J1917" s="7">
        <v>4.6180000000000003</v>
      </c>
      <c r="K1917" s="7">
        <v>3.931</v>
      </c>
      <c r="L1917" s="7">
        <v>3.7490000000000001</v>
      </c>
      <c r="M1917" s="7">
        <v>3.996</v>
      </c>
      <c r="N1917" s="7">
        <v>4.8849999999999998</v>
      </c>
      <c r="O1917" s="7">
        <v>5.0940000000000003</v>
      </c>
      <c r="P1917" s="7">
        <v>5.3929999999999998</v>
      </c>
      <c r="Q1917" s="7">
        <v>5.2460000000000004</v>
      </c>
      <c r="R1917" s="7">
        <v>5.6420000000000003</v>
      </c>
      <c r="S1917" s="7">
        <f t="shared" si="29"/>
        <v>4.8985833333333337</v>
      </c>
    </row>
    <row r="1918" spans="1:19">
      <c r="A1918" s="5" t="str">
        <f>B1918&amp;"-"&amp;COUNTIF($B$2:B1918,B1918)</f>
        <v>MINAS GERAIS-352</v>
      </c>
      <c r="B1918" s="5" t="s">
        <v>1126</v>
      </c>
      <c r="C1918" s="5" t="s">
        <v>4845</v>
      </c>
      <c r="D1918" s="6">
        <v>-443938</v>
      </c>
      <c r="E1918" s="6">
        <v>-194903</v>
      </c>
      <c r="F1918" s="7">
        <v>5.25</v>
      </c>
      <c r="G1918" s="7">
        <v>5.976</v>
      </c>
      <c r="H1918" s="7">
        <v>6.1360000000000001</v>
      </c>
      <c r="I1918" s="7">
        <v>5.202</v>
      </c>
      <c r="J1918" s="7">
        <v>4.9329999999999998</v>
      </c>
      <c r="K1918" s="7">
        <v>4.37</v>
      </c>
      <c r="L1918" s="7">
        <v>4.1619999999999999</v>
      </c>
      <c r="M1918" s="7">
        <v>4.4809999999999999</v>
      </c>
      <c r="N1918" s="7">
        <v>5.3140000000000001</v>
      </c>
      <c r="O1918" s="7">
        <v>5.6440000000000001</v>
      </c>
      <c r="P1918" s="7">
        <v>5.6559999999999997</v>
      </c>
      <c r="Q1918" s="7">
        <v>5.4119999999999999</v>
      </c>
      <c r="R1918" s="7">
        <v>5.7149999999999999</v>
      </c>
      <c r="S1918" s="7">
        <f t="shared" si="29"/>
        <v>5.2500833333333325</v>
      </c>
    </row>
    <row r="1919" spans="1:19">
      <c r="A1919" s="5" t="str">
        <f>B1919&amp;"-"&amp;COUNTIF($B$2:B1919,B1919)</f>
        <v>MINAS GERAIS-353</v>
      </c>
      <c r="B1919" s="5" t="s">
        <v>1126</v>
      </c>
      <c r="C1919" s="5" t="s">
        <v>1364</v>
      </c>
      <c r="D1919" s="6">
        <v>-421176</v>
      </c>
      <c r="E1919" s="6">
        <v>-195473</v>
      </c>
      <c r="F1919" s="7">
        <v>4.7439999999999998</v>
      </c>
      <c r="G1919" s="7">
        <v>5.7489999999999997</v>
      </c>
      <c r="H1919" s="7">
        <v>5.9989999999999997</v>
      </c>
      <c r="I1919" s="7">
        <v>5.0460000000000003</v>
      </c>
      <c r="J1919" s="7">
        <v>4.468</v>
      </c>
      <c r="K1919" s="7">
        <v>3.8109999999999999</v>
      </c>
      <c r="L1919" s="7">
        <v>3.5720000000000001</v>
      </c>
      <c r="M1919" s="7">
        <v>3.7120000000000002</v>
      </c>
      <c r="N1919" s="7">
        <v>4.3819999999999997</v>
      </c>
      <c r="O1919" s="7">
        <v>4.7789999999999999</v>
      </c>
      <c r="P1919" s="7">
        <v>4.9580000000000002</v>
      </c>
      <c r="Q1919" s="7">
        <v>4.7750000000000004</v>
      </c>
      <c r="R1919" s="7">
        <v>5.6760000000000002</v>
      </c>
      <c r="S1919" s="7">
        <f t="shared" si="29"/>
        <v>4.7439166666666663</v>
      </c>
    </row>
    <row r="1920" spans="1:19">
      <c r="A1920" s="5" t="str">
        <f>B1920&amp;"-"&amp;COUNTIF($B$2:B1920,B1920)</f>
        <v>MINAS GERAIS-354</v>
      </c>
      <c r="B1920" s="5" t="s">
        <v>1126</v>
      </c>
      <c r="C1920" s="5" t="s">
        <v>1365</v>
      </c>
      <c r="D1920" s="6">
        <v>-44361</v>
      </c>
      <c r="E1920" s="6">
        <v>-18729</v>
      </c>
      <c r="F1920" s="7">
        <v>5.4370000000000003</v>
      </c>
      <c r="G1920" s="7">
        <v>6.1280000000000001</v>
      </c>
      <c r="H1920" s="7">
        <v>6.375</v>
      </c>
      <c r="I1920" s="7">
        <v>5.5039999999999996</v>
      </c>
      <c r="J1920" s="7">
        <v>5.2619999999999996</v>
      </c>
      <c r="K1920" s="7">
        <v>4.62</v>
      </c>
      <c r="L1920" s="7">
        <v>4.2329999999999997</v>
      </c>
      <c r="M1920" s="7">
        <v>4.6660000000000004</v>
      </c>
      <c r="N1920" s="7">
        <v>5.3090000000000002</v>
      </c>
      <c r="O1920" s="7">
        <v>5.798</v>
      </c>
      <c r="P1920" s="7">
        <v>5.87</v>
      </c>
      <c r="Q1920" s="7">
        <v>5.5469999999999997</v>
      </c>
      <c r="R1920" s="7">
        <v>5.9379999999999997</v>
      </c>
      <c r="S1920" s="7">
        <f t="shared" si="29"/>
        <v>5.4374999999999991</v>
      </c>
    </row>
    <row r="1921" spans="1:19">
      <c r="A1921" s="5" t="str">
        <f>B1921&amp;"-"&amp;COUNTIF($B$2:B1921,B1921)</f>
        <v>MINAS GERAIS-355</v>
      </c>
      <c r="B1921" s="5" t="s">
        <v>1126</v>
      </c>
      <c r="C1921" s="5" t="s">
        <v>1366</v>
      </c>
      <c r="D1921" s="6">
        <v>-42419</v>
      </c>
      <c r="E1921" s="6">
        <v>-19414</v>
      </c>
      <c r="F1921" s="7">
        <v>4.9160000000000004</v>
      </c>
      <c r="G1921" s="7">
        <v>5.9589999999999996</v>
      </c>
      <c r="H1921" s="7">
        <v>6.22</v>
      </c>
      <c r="I1921" s="7">
        <v>5.1769999999999996</v>
      </c>
      <c r="J1921" s="7">
        <v>4.7119999999999997</v>
      </c>
      <c r="K1921" s="7">
        <v>3.9510000000000001</v>
      </c>
      <c r="L1921" s="7">
        <v>3.7309999999999999</v>
      </c>
      <c r="M1921" s="7">
        <v>3.9289999999999998</v>
      </c>
      <c r="N1921" s="7">
        <v>4.6100000000000003</v>
      </c>
      <c r="O1921" s="7">
        <v>4.9660000000000002</v>
      </c>
      <c r="P1921" s="7">
        <v>5.1369999999999996</v>
      </c>
      <c r="Q1921" s="7">
        <v>4.9130000000000003</v>
      </c>
      <c r="R1921" s="7">
        <v>5.6920000000000002</v>
      </c>
      <c r="S1921" s="7">
        <f t="shared" si="29"/>
        <v>4.9164166666666675</v>
      </c>
    </row>
    <row r="1922" spans="1:19">
      <c r="A1922" s="5" t="str">
        <f>B1922&amp;"-"&amp;COUNTIF($B$2:B1922,B1922)</f>
        <v>MINAS GERAIS-356</v>
      </c>
      <c r="B1922" s="5" t="s">
        <v>1126</v>
      </c>
      <c r="C1922" s="5" t="s">
        <v>1367</v>
      </c>
      <c r="D1922" s="6">
        <v>-417168</v>
      </c>
      <c r="E1922" s="6">
        <v>-197996</v>
      </c>
      <c r="F1922" s="7">
        <v>4.7389999999999999</v>
      </c>
      <c r="G1922" s="7">
        <v>5.7789999999999999</v>
      </c>
      <c r="H1922" s="7">
        <v>6.016</v>
      </c>
      <c r="I1922" s="7">
        <v>5.0229999999999997</v>
      </c>
      <c r="J1922" s="7">
        <v>4.6440000000000001</v>
      </c>
      <c r="K1922" s="7">
        <v>3.85</v>
      </c>
      <c r="L1922" s="7">
        <v>3.5880000000000001</v>
      </c>
      <c r="M1922" s="7">
        <v>3.758</v>
      </c>
      <c r="N1922" s="7">
        <v>4.4050000000000002</v>
      </c>
      <c r="O1922" s="7">
        <v>4.694</v>
      </c>
      <c r="P1922" s="7">
        <v>4.8419999999999996</v>
      </c>
      <c r="Q1922" s="7">
        <v>4.7489999999999997</v>
      </c>
      <c r="R1922" s="7">
        <v>5.5129999999999999</v>
      </c>
      <c r="S1922" s="7">
        <f t="shared" si="29"/>
        <v>4.7384166666666667</v>
      </c>
    </row>
    <row r="1923" spans="1:19">
      <c r="A1923" s="5" t="str">
        <f>B1923&amp;"-"&amp;COUNTIF($B$2:B1923,B1923)</f>
        <v>MINAS GERAIS-357</v>
      </c>
      <c r="B1923" s="5" t="s">
        <v>1126</v>
      </c>
      <c r="C1923" s="5" t="s">
        <v>1368</v>
      </c>
      <c r="D1923" s="6">
        <v>-42548</v>
      </c>
      <c r="E1923" s="6">
        <v>-194707</v>
      </c>
      <c r="F1923" s="7">
        <v>4.8440000000000003</v>
      </c>
      <c r="G1923" s="7">
        <v>5.7839999999999998</v>
      </c>
      <c r="H1923" s="7">
        <v>6.1440000000000001</v>
      </c>
      <c r="I1923" s="7">
        <v>5.085</v>
      </c>
      <c r="J1923" s="7">
        <v>4.6120000000000001</v>
      </c>
      <c r="K1923" s="7">
        <v>3.875</v>
      </c>
      <c r="L1923" s="7">
        <v>3.6949999999999998</v>
      </c>
      <c r="M1923" s="7">
        <v>3.8980000000000001</v>
      </c>
      <c r="N1923" s="7">
        <v>4.548</v>
      </c>
      <c r="O1923" s="7">
        <v>4.9489999999999998</v>
      </c>
      <c r="P1923" s="7">
        <v>5.1180000000000003</v>
      </c>
      <c r="Q1923" s="7">
        <v>4.8179999999999996</v>
      </c>
      <c r="R1923" s="7">
        <v>5.6020000000000003</v>
      </c>
      <c r="S1923" s="7">
        <f t="shared" ref="S1923:S1986" si="30">(G1923+H1923+I1923+J1923+K1923+L1923+M1923+N1923+O1923+P1923+Q1923+R1923)/12</f>
        <v>4.8440000000000003</v>
      </c>
    </row>
    <row r="1924" spans="1:19">
      <c r="A1924" s="5" t="str">
        <f>B1924&amp;"-"&amp;COUNTIF($B$2:B1924,B1924)</f>
        <v>MINAS GERAIS-358</v>
      </c>
      <c r="B1924" s="5" t="s">
        <v>1126</v>
      </c>
      <c r="C1924" s="5" t="s">
        <v>4667</v>
      </c>
      <c r="D1924" s="6">
        <v>-49944</v>
      </c>
      <c r="E1924" s="6">
        <v>-186932</v>
      </c>
      <c r="F1924" s="7">
        <v>5.2969999999999997</v>
      </c>
      <c r="G1924" s="7">
        <v>5.94</v>
      </c>
      <c r="H1924" s="7">
        <v>5.8460000000000001</v>
      </c>
      <c r="I1924" s="7">
        <v>5.343</v>
      </c>
      <c r="J1924" s="7">
        <v>5.125</v>
      </c>
      <c r="K1924" s="7">
        <v>4.5469999999999997</v>
      </c>
      <c r="L1924" s="7">
        <v>4.22</v>
      </c>
      <c r="M1924" s="7">
        <v>4.3899999999999997</v>
      </c>
      <c r="N1924" s="7">
        <v>5.2859999999999996</v>
      </c>
      <c r="O1924" s="7">
        <v>5.2670000000000003</v>
      </c>
      <c r="P1924" s="7">
        <v>5.6210000000000004</v>
      </c>
      <c r="Q1924" s="7">
        <v>5.9080000000000004</v>
      </c>
      <c r="R1924" s="7">
        <v>6.0720000000000001</v>
      </c>
      <c r="S1924" s="7">
        <f t="shared" si="30"/>
        <v>5.297083333333334</v>
      </c>
    </row>
    <row r="1925" spans="1:19">
      <c r="A1925" s="5" t="str">
        <f>B1925&amp;"-"&amp;COUNTIF($B$2:B1925,B1925)</f>
        <v>MINAS GERAIS-359</v>
      </c>
      <c r="B1925" s="5" t="s">
        <v>1126</v>
      </c>
      <c r="C1925" s="5" t="s">
        <v>4846</v>
      </c>
      <c r="D1925" s="6">
        <v>-461919</v>
      </c>
      <c r="E1925" s="6">
        <v>-221017</v>
      </c>
      <c r="F1925" s="7">
        <v>4.6769999999999996</v>
      </c>
      <c r="G1925" s="7">
        <v>5.0970000000000004</v>
      </c>
      <c r="H1925" s="7">
        <v>5.3879999999999999</v>
      </c>
      <c r="I1925" s="7">
        <v>4.6269999999999998</v>
      </c>
      <c r="J1925" s="7">
        <v>4.3920000000000003</v>
      </c>
      <c r="K1925" s="7">
        <v>3.839</v>
      </c>
      <c r="L1925" s="7">
        <v>3.5880000000000001</v>
      </c>
      <c r="M1925" s="7">
        <v>3.8570000000000002</v>
      </c>
      <c r="N1925" s="7">
        <v>4.78</v>
      </c>
      <c r="O1925" s="7">
        <v>4.9039999999999999</v>
      </c>
      <c r="P1925" s="7">
        <v>5.1920000000000002</v>
      </c>
      <c r="Q1925" s="7">
        <v>5.1100000000000003</v>
      </c>
      <c r="R1925" s="7">
        <v>5.3540000000000001</v>
      </c>
      <c r="S1925" s="7">
        <f t="shared" si="30"/>
        <v>4.6773333333333325</v>
      </c>
    </row>
    <row r="1926" spans="1:19">
      <c r="A1926" s="5" t="str">
        <f>B1926&amp;"-"&amp;COUNTIF($B$2:B1926,B1926)</f>
        <v>MINAS GERAIS-360</v>
      </c>
      <c r="B1926" s="5" t="s">
        <v>1126</v>
      </c>
      <c r="C1926" s="5" t="s">
        <v>1369</v>
      </c>
      <c r="D1926" s="6">
        <v>-474629</v>
      </c>
      <c r="E1926" s="6">
        <v>-189872</v>
      </c>
      <c r="F1926" s="7">
        <v>5.1550000000000002</v>
      </c>
      <c r="G1926" s="7">
        <v>5.5259999999999998</v>
      </c>
      <c r="H1926" s="7">
        <v>5.81</v>
      </c>
      <c r="I1926" s="7">
        <v>4.8760000000000003</v>
      </c>
      <c r="J1926" s="7">
        <v>4.8209999999999997</v>
      </c>
      <c r="K1926" s="7">
        <v>4.5369999999999999</v>
      </c>
      <c r="L1926" s="7">
        <v>4.2389999999999999</v>
      </c>
      <c r="M1926" s="7">
        <v>4.5469999999999997</v>
      </c>
      <c r="N1926" s="7">
        <v>5.5170000000000003</v>
      </c>
      <c r="O1926" s="7">
        <v>5.46</v>
      </c>
      <c r="P1926" s="7">
        <v>5.524</v>
      </c>
      <c r="Q1926" s="7">
        <v>5.3739999999999997</v>
      </c>
      <c r="R1926" s="7">
        <v>5.6319999999999997</v>
      </c>
      <c r="S1926" s="7">
        <f t="shared" si="30"/>
        <v>5.1552500000000006</v>
      </c>
    </row>
    <row r="1927" spans="1:19">
      <c r="A1927" s="5" t="str">
        <f>B1927&amp;"-"&amp;COUNTIF($B$2:B1927,B1927)</f>
        <v>MINAS GERAIS-361</v>
      </c>
      <c r="B1927" s="5" t="s">
        <v>1126</v>
      </c>
      <c r="C1927" s="5" t="s">
        <v>4847</v>
      </c>
      <c r="D1927" s="6">
        <v>-467529</v>
      </c>
      <c r="E1927" s="6">
        <v>-20738</v>
      </c>
      <c r="F1927" s="7">
        <v>5.1319999999999997</v>
      </c>
      <c r="G1927" s="7">
        <v>5.7690000000000001</v>
      </c>
      <c r="H1927" s="7">
        <v>5.9779999999999998</v>
      </c>
      <c r="I1927" s="7">
        <v>5.1040000000000001</v>
      </c>
      <c r="J1927" s="7">
        <v>4.8460000000000001</v>
      </c>
      <c r="K1927" s="7">
        <v>4.2389999999999999</v>
      </c>
      <c r="L1927" s="7">
        <v>4.0369999999999999</v>
      </c>
      <c r="M1927" s="7">
        <v>4.2549999999999999</v>
      </c>
      <c r="N1927" s="7">
        <v>5.1429999999999998</v>
      </c>
      <c r="O1927" s="7">
        <v>5.1680000000000001</v>
      </c>
      <c r="P1927" s="7">
        <v>5.6210000000000004</v>
      </c>
      <c r="Q1927" s="7">
        <v>5.6079999999999997</v>
      </c>
      <c r="R1927" s="7">
        <v>5.8140000000000001</v>
      </c>
      <c r="S1927" s="7">
        <f t="shared" si="30"/>
        <v>5.1318333333333337</v>
      </c>
    </row>
    <row r="1928" spans="1:19">
      <c r="A1928" s="5" t="str">
        <f>B1928&amp;"-"&amp;COUNTIF($B$2:B1928,B1928)</f>
        <v>MINAS GERAIS-362</v>
      </c>
      <c r="B1928" s="5" t="s">
        <v>1126</v>
      </c>
      <c r="C1928" s="5" t="s">
        <v>4848</v>
      </c>
      <c r="D1928" s="6">
        <v>-445805</v>
      </c>
      <c r="E1928" s="6">
        <v>-200823</v>
      </c>
      <c r="F1928" s="7">
        <v>5.1020000000000003</v>
      </c>
      <c r="G1928" s="7">
        <v>5.7510000000000003</v>
      </c>
      <c r="H1928" s="7">
        <v>5.9619999999999997</v>
      </c>
      <c r="I1928" s="7">
        <v>5.04</v>
      </c>
      <c r="J1928" s="7">
        <v>4.8280000000000003</v>
      </c>
      <c r="K1928" s="7">
        <v>4.2</v>
      </c>
      <c r="L1928" s="7">
        <v>4.08</v>
      </c>
      <c r="M1928" s="7">
        <v>4.3319999999999999</v>
      </c>
      <c r="N1928" s="7">
        <v>5.1890000000000001</v>
      </c>
      <c r="O1928" s="7">
        <v>5.4480000000000004</v>
      </c>
      <c r="P1928" s="7">
        <v>5.5439999999999996</v>
      </c>
      <c r="Q1928" s="7">
        <v>5.26</v>
      </c>
      <c r="R1928" s="7">
        <v>5.5860000000000003</v>
      </c>
      <c r="S1928" s="7">
        <f t="shared" si="30"/>
        <v>5.1016666666666657</v>
      </c>
    </row>
    <row r="1929" spans="1:19">
      <c r="A1929" s="5" t="str">
        <f>B1929&amp;"-"&amp;COUNTIF($B$2:B1929,B1929)</f>
        <v>MINAS GERAIS-363</v>
      </c>
      <c r="B1929" s="5" t="s">
        <v>1126</v>
      </c>
      <c r="C1929" s="5" t="s">
        <v>1370</v>
      </c>
      <c r="D1929" s="6">
        <v>-432316</v>
      </c>
      <c r="E1929" s="6">
        <v>-196244</v>
      </c>
      <c r="F1929" s="7">
        <v>4.7679999999999998</v>
      </c>
      <c r="G1929" s="7">
        <v>5.5110000000000001</v>
      </c>
      <c r="H1929" s="7">
        <v>5.8179999999999996</v>
      </c>
      <c r="I1929" s="7">
        <v>4.819</v>
      </c>
      <c r="J1929" s="7">
        <v>4.4320000000000004</v>
      </c>
      <c r="K1929" s="7">
        <v>3.919</v>
      </c>
      <c r="L1929" s="7">
        <v>3.7559999999999998</v>
      </c>
      <c r="M1929" s="7">
        <v>3.9470000000000001</v>
      </c>
      <c r="N1929" s="7">
        <v>4.7210000000000001</v>
      </c>
      <c r="O1929" s="7">
        <v>5.0090000000000003</v>
      </c>
      <c r="P1929" s="7">
        <v>5.0739999999999998</v>
      </c>
      <c r="Q1929" s="7">
        <v>4.7530000000000001</v>
      </c>
      <c r="R1929" s="7">
        <v>5.4530000000000003</v>
      </c>
      <c r="S1929" s="7">
        <f t="shared" si="30"/>
        <v>4.7676666666666669</v>
      </c>
    </row>
    <row r="1930" spans="1:19">
      <c r="A1930" s="5" t="str">
        <f>B1930&amp;"-"&amp;COUNTIF($B$2:B1930,B1930)</f>
        <v>MINAS GERAIS-364</v>
      </c>
      <c r="B1930" s="5" t="s">
        <v>1126</v>
      </c>
      <c r="C1930" s="5" t="s">
        <v>1371</v>
      </c>
      <c r="D1930" s="6">
        <v>-412329</v>
      </c>
      <c r="E1930" s="6">
        <v>-185696</v>
      </c>
      <c r="F1930" s="7">
        <v>4.8220000000000001</v>
      </c>
      <c r="G1930" s="7">
        <v>5.93</v>
      </c>
      <c r="H1930" s="7">
        <v>6.0590000000000002</v>
      </c>
      <c r="I1930" s="7">
        <v>5.1859999999999999</v>
      </c>
      <c r="J1930" s="7">
        <v>4.5940000000000003</v>
      </c>
      <c r="K1930" s="7">
        <v>3.85</v>
      </c>
      <c r="L1930" s="7">
        <v>3.605</v>
      </c>
      <c r="M1930" s="7">
        <v>3.7330000000000001</v>
      </c>
      <c r="N1930" s="7">
        <v>4.3419999999999996</v>
      </c>
      <c r="O1930" s="7">
        <v>4.8689999999999998</v>
      </c>
      <c r="P1930" s="7">
        <v>5.0789999999999997</v>
      </c>
      <c r="Q1930" s="7">
        <v>4.9169999999999998</v>
      </c>
      <c r="R1930" s="7">
        <v>5.6909999999999998</v>
      </c>
      <c r="S1930" s="7">
        <f t="shared" si="30"/>
        <v>4.82125</v>
      </c>
    </row>
    <row r="1931" spans="1:19">
      <c r="A1931" s="5" t="str">
        <f>B1931&amp;"-"&amp;COUNTIF($B$2:B1931,B1931)</f>
        <v>MINAS GERAIS-365</v>
      </c>
      <c r="B1931" s="5" t="s">
        <v>1126</v>
      </c>
      <c r="C1931" s="5" t="s">
        <v>1372</v>
      </c>
      <c r="D1931" s="6">
        <v>-438042</v>
      </c>
      <c r="E1931" s="6">
        <v>-202506</v>
      </c>
      <c r="F1931" s="7">
        <v>4.8310000000000004</v>
      </c>
      <c r="G1931" s="7">
        <v>5.4260000000000002</v>
      </c>
      <c r="H1931" s="7">
        <v>5.6580000000000004</v>
      </c>
      <c r="I1931" s="7">
        <v>4.8250000000000002</v>
      </c>
      <c r="J1931" s="7">
        <v>4.49</v>
      </c>
      <c r="K1931" s="7">
        <v>4.0049999999999999</v>
      </c>
      <c r="L1931" s="7">
        <v>3.8940000000000001</v>
      </c>
      <c r="M1931" s="7">
        <v>4.13</v>
      </c>
      <c r="N1931" s="7">
        <v>5.0110000000000001</v>
      </c>
      <c r="O1931" s="7">
        <v>5.1820000000000004</v>
      </c>
      <c r="P1931" s="7">
        <v>5.1929999999999996</v>
      </c>
      <c r="Q1931" s="7">
        <v>4.8819999999999997</v>
      </c>
      <c r="R1931" s="7">
        <v>5.2759999999999998</v>
      </c>
      <c r="S1931" s="7">
        <f t="shared" si="30"/>
        <v>4.8310000000000004</v>
      </c>
    </row>
    <row r="1932" spans="1:19">
      <c r="A1932" s="5" t="str">
        <f>B1932&amp;"-"&amp;COUNTIF($B$2:B1932,B1932)</f>
        <v>MINAS GERAIS-366</v>
      </c>
      <c r="B1932" s="5" t="s">
        <v>1126</v>
      </c>
      <c r="C1932" s="5" t="s">
        <v>1373</v>
      </c>
      <c r="D1932" s="6">
        <v>-433073</v>
      </c>
      <c r="E1932" s="6">
        <v>-170629</v>
      </c>
      <c r="F1932" s="7">
        <v>5.407</v>
      </c>
      <c r="G1932" s="7">
        <v>6.1630000000000003</v>
      </c>
      <c r="H1932" s="7">
        <v>6.4649999999999999</v>
      </c>
      <c r="I1932" s="7">
        <v>5.33</v>
      </c>
      <c r="J1932" s="7">
        <v>4.875</v>
      </c>
      <c r="K1932" s="7">
        <v>4.5019999999999998</v>
      </c>
      <c r="L1932" s="7">
        <v>4.3540000000000001</v>
      </c>
      <c r="M1932" s="7">
        <v>4.5819999999999999</v>
      </c>
      <c r="N1932" s="7">
        <v>5.4690000000000003</v>
      </c>
      <c r="O1932" s="7">
        <v>5.9379999999999997</v>
      </c>
      <c r="P1932" s="7">
        <v>5.9870000000000001</v>
      </c>
      <c r="Q1932" s="7">
        <v>5.2619999999999996</v>
      </c>
      <c r="R1932" s="7">
        <v>5.952</v>
      </c>
      <c r="S1932" s="7">
        <f t="shared" si="30"/>
        <v>5.4065833333333337</v>
      </c>
    </row>
    <row r="1933" spans="1:19">
      <c r="A1933" s="5" t="str">
        <f>B1933&amp;"-"&amp;COUNTIF($B$2:B1933,B1933)</f>
        <v>MINAS GERAIS-367</v>
      </c>
      <c r="B1933" s="5" t="s">
        <v>1126</v>
      </c>
      <c r="C1933" s="5" t="s">
        <v>1374</v>
      </c>
      <c r="D1933" s="6">
        <v>-440983</v>
      </c>
      <c r="E1933" s="6">
        <v>-150963</v>
      </c>
      <c r="F1933" s="7">
        <v>5.8090000000000002</v>
      </c>
      <c r="G1933" s="7">
        <v>6.4169999999999998</v>
      </c>
      <c r="H1933" s="7">
        <v>6.7149999999999999</v>
      </c>
      <c r="I1933" s="7">
        <v>5.9409999999999998</v>
      </c>
      <c r="J1933" s="7">
        <v>5.7039999999999997</v>
      </c>
      <c r="K1933" s="7">
        <v>5.03</v>
      </c>
      <c r="L1933" s="7">
        <v>4.8010000000000002</v>
      </c>
      <c r="M1933" s="7">
        <v>5.0759999999999996</v>
      </c>
      <c r="N1933" s="7">
        <v>5.6589999999999998</v>
      </c>
      <c r="O1933" s="7">
        <v>6.0620000000000003</v>
      </c>
      <c r="P1933" s="7">
        <v>6.2640000000000002</v>
      </c>
      <c r="Q1933" s="7">
        <v>5.7290000000000001</v>
      </c>
      <c r="R1933" s="7">
        <v>6.3140000000000001</v>
      </c>
      <c r="S1933" s="7">
        <f t="shared" si="30"/>
        <v>5.8093333333333339</v>
      </c>
    </row>
    <row r="1934" spans="1:19">
      <c r="A1934" s="5" t="str">
        <f>B1934&amp;"-"&amp;COUNTIF($B$2:B1934,B1934)</f>
        <v>MINAS GERAIS-368</v>
      </c>
      <c r="B1934" s="5" t="s">
        <v>1126</v>
      </c>
      <c r="C1934" s="5" t="s">
        <v>1375</v>
      </c>
      <c r="D1934" s="6">
        <v>-444879</v>
      </c>
      <c r="E1934" s="6">
        <v>-203952</v>
      </c>
      <c r="F1934" s="7">
        <v>5.0060000000000002</v>
      </c>
      <c r="G1934" s="7">
        <v>5.5960000000000001</v>
      </c>
      <c r="H1934" s="7">
        <v>5.7939999999999996</v>
      </c>
      <c r="I1934" s="7">
        <v>4.9740000000000002</v>
      </c>
      <c r="J1934" s="7">
        <v>4.694</v>
      </c>
      <c r="K1934" s="7">
        <v>4.1740000000000004</v>
      </c>
      <c r="L1934" s="7">
        <v>4.0170000000000003</v>
      </c>
      <c r="M1934" s="7">
        <v>4.258</v>
      </c>
      <c r="N1934" s="7">
        <v>5.1479999999999997</v>
      </c>
      <c r="O1934" s="7">
        <v>5.3659999999999997</v>
      </c>
      <c r="P1934" s="7">
        <v>5.423</v>
      </c>
      <c r="Q1934" s="7">
        <v>5.1269999999999998</v>
      </c>
      <c r="R1934" s="7">
        <v>5.4980000000000002</v>
      </c>
      <c r="S1934" s="7">
        <f t="shared" si="30"/>
        <v>5.0057499999999999</v>
      </c>
    </row>
    <row r="1935" spans="1:19">
      <c r="A1935" s="5" t="str">
        <f>B1935&amp;"-"&amp;COUNTIF($B$2:B1935,B1935)</f>
        <v>MINAS GERAIS-369</v>
      </c>
      <c r="B1935" s="5" t="s">
        <v>1126</v>
      </c>
      <c r="C1935" s="5" t="s">
        <v>4348</v>
      </c>
      <c r="D1935" s="5" t="s">
        <v>1376</v>
      </c>
      <c r="E1935" s="6">
        <v>-174019</v>
      </c>
      <c r="F1935" s="7">
        <v>4.8760000000000003</v>
      </c>
      <c r="G1935" s="7">
        <v>5.9749999999999996</v>
      </c>
      <c r="H1935" s="7">
        <v>6.2619999999999996</v>
      </c>
      <c r="I1935" s="7">
        <v>5.2240000000000002</v>
      </c>
      <c r="J1935" s="7">
        <v>4.452</v>
      </c>
      <c r="K1935" s="7">
        <v>3.83</v>
      </c>
      <c r="L1935" s="7">
        <v>3.5590000000000002</v>
      </c>
      <c r="M1935" s="7">
        <v>3.706</v>
      </c>
      <c r="N1935" s="7">
        <v>4.468</v>
      </c>
      <c r="O1935" s="7">
        <v>4.9889999999999999</v>
      </c>
      <c r="P1935" s="7">
        <v>5.319</v>
      </c>
      <c r="Q1935" s="7">
        <v>4.9729999999999999</v>
      </c>
      <c r="R1935" s="7">
        <v>5.7530000000000001</v>
      </c>
      <c r="S1935" s="7">
        <f t="shared" si="30"/>
        <v>4.8758333333333335</v>
      </c>
    </row>
    <row r="1936" spans="1:19">
      <c r="A1936" s="5" t="str">
        <f>B1936&amp;"-"&amp;COUNTIF($B$2:B1936,B1936)</f>
        <v>MINAS GERAIS-370</v>
      </c>
      <c r="B1936" s="5" t="s">
        <v>1126</v>
      </c>
      <c r="C1936" s="5" t="s">
        <v>5594</v>
      </c>
      <c r="D1936" s="6">
        <v>-454602</v>
      </c>
      <c r="E1936" s="6">
        <v>-22423</v>
      </c>
      <c r="F1936" s="7">
        <v>4.8390000000000004</v>
      </c>
      <c r="G1936" s="7">
        <v>5.383</v>
      </c>
      <c r="H1936" s="7">
        <v>5.6619999999999999</v>
      </c>
      <c r="I1936" s="7">
        <v>4.9219999999999997</v>
      </c>
      <c r="J1936" s="7">
        <v>4.5570000000000004</v>
      </c>
      <c r="K1936" s="7">
        <v>3.85</v>
      </c>
      <c r="L1936" s="7">
        <v>3.6110000000000002</v>
      </c>
      <c r="M1936" s="7">
        <v>3.8279999999999998</v>
      </c>
      <c r="N1936" s="7">
        <v>4.7030000000000003</v>
      </c>
      <c r="O1936" s="7">
        <v>4.9649999999999999</v>
      </c>
      <c r="P1936" s="7">
        <v>5.423</v>
      </c>
      <c r="Q1936" s="7">
        <v>5.4029999999999996</v>
      </c>
      <c r="R1936" s="7">
        <v>5.7670000000000003</v>
      </c>
      <c r="S1936" s="7">
        <f t="shared" si="30"/>
        <v>4.839500000000001</v>
      </c>
    </row>
    <row r="1937" spans="1:19">
      <c r="A1937" s="5" t="str">
        <f>B1937&amp;"-"&amp;COUNTIF($B$2:B1937,B1937)</f>
        <v>MINAS GERAIS-371</v>
      </c>
      <c r="B1937" s="5" t="s">
        <v>1126</v>
      </c>
      <c r="C1937" s="5" t="s">
        <v>1377</v>
      </c>
      <c r="D1937" s="6">
        <v>-428565</v>
      </c>
      <c r="E1937" s="6">
        <v>-178556</v>
      </c>
      <c r="F1937" s="7">
        <v>4.9619999999999997</v>
      </c>
      <c r="G1937" s="7">
        <v>5.8490000000000002</v>
      </c>
      <c r="H1937" s="7">
        <v>6.109</v>
      </c>
      <c r="I1937" s="7">
        <v>5.0670000000000002</v>
      </c>
      <c r="J1937" s="7">
        <v>4.532</v>
      </c>
      <c r="K1937" s="7">
        <v>3.9889999999999999</v>
      </c>
      <c r="L1937" s="7">
        <v>3.8620000000000001</v>
      </c>
      <c r="M1937" s="7">
        <v>4.0129999999999999</v>
      </c>
      <c r="N1937" s="7">
        <v>4.8600000000000003</v>
      </c>
      <c r="O1937" s="7">
        <v>5.327</v>
      </c>
      <c r="P1937" s="7">
        <v>5.3840000000000003</v>
      </c>
      <c r="Q1937" s="7">
        <v>4.915</v>
      </c>
      <c r="R1937" s="7">
        <v>5.6289999999999996</v>
      </c>
      <c r="S1937" s="7">
        <f t="shared" si="30"/>
        <v>4.9613333333333332</v>
      </c>
    </row>
    <row r="1938" spans="1:19">
      <c r="A1938" s="5" t="str">
        <f>B1938&amp;"-"&amp;COUNTIF($B$2:B1938,B1938)</f>
        <v>MINAS GERAIS-372</v>
      </c>
      <c r="B1938" s="5" t="s">
        <v>1126</v>
      </c>
      <c r="C1938" s="5" t="s">
        <v>1378</v>
      </c>
      <c r="D1938" s="6">
        <v>-428133</v>
      </c>
      <c r="E1938" s="6">
        <v>-214184</v>
      </c>
      <c r="F1938" s="7">
        <v>4.7210000000000001</v>
      </c>
      <c r="G1938" s="7">
        <v>5.8120000000000003</v>
      </c>
      <c r="H1938" s="7">
        <v>6.0410000000000004</v>
      </c>
      <c r="I1938" s="7">
        <v>5.0410000000000004</v>
      </c>
      <c r="J1938" s="7">
        <v>4.3159999999999998</v>
      </c>
      <c r="K1938" s="7">
        <v>3.6469999999999998</v>
      </c>
      <c r="L1938" s="7">
        <v>3.4550000000000001</v>
      </c>
      <c r="M1938" s="7">
        <v>3.633</v>
      </c>
      <c r="N1938" s="7">
        <v>4.3979999999999997</v>
      </c>
      <c r="O1938" s="7">
        <v>4.7359999999999998</v>
      </c>
      <c r="P1938" s="7">
        <v>5.0490000000000004</v>
      </c>
      <c r="Q1938" s="7">
        <v>4.8739999999999997</v>
      </c>
      <c r="R1938" s="7">
        <v>5.6520000000000001</v>
      </c>
      <c r="S1938" s="7">
        <f t="shared" si="30"/>
        <v>4.7211666666666661</v>
      </c>
    </row>
    <row r="1939" spans="1:19">
      <c r="A1939" s="5" t="str">
        <f>B1939&amp;"-"&amp;COUNTIF($B$2:B1939,B1939)</f>
        <v>MINAS GERAIS-373</v>
      </c>
      <c r="B1939" s="5" t="s">
        <v>1126</v>
      </c>
      <c r="C1939" s="5" t="s">
        <v>4349</v>
      </c>
      <c r="D1939" s="6">
        <v>-433224</v>
      </c>
      <c r="E1939" s="6">
        <v>-194169</v>
      </c>
      <c r="F1939" s="7">
        <v>4.7080000000000002</v>
      </c>
      <c r="G1939" s="7">
        <v>5.4729999999999999</v>
      </c>
      <c r="H1939" s="7">
        <v>5.7560000000000002</v>
      </c>
      <c r="I1939" s="7">
        <v>4.8380000000000001</v>
      </c>
      <c r="J1939" s="7">
        <v>4.3719999999999999</v>
      </c>
      <c r="K1939" s="7">
        <v>3.8260000000000001</v>
      </c>
      <c r="L1939" s="7">
        <v>3.6970000000000001</v>
      </c>
      <c r="M1939" s="7">
        <v>3.89</v>
      </c>
      <c r="N1939" s="7">
        <v>4.6900000000000004</v>
      </c>
      <c r="O1939" s="7">
        <v>4.97</v>
      </c>
      <c r="P1939" s="7">
        <v>5.0039999999999996</v>
      </c>
      <c r="Q1939" s="7">
        <v>4.6440000000000001</v>
      </c>
      <c r="R1939" s="7">
        <v>5.335</v>
      </c>
      <c r="S1939" s="7">
        <f t="shared" si="30"/>
        <v>4.7079166666666667</v>
      </c>
    </row>
    <row r="1940" spans="1:19">
      <c r="A1940" s="5" t="str">
        <f>B1940&amp;"-"&amp;COUNTIF($B$2:B1940,B1940)</f>
        <v>MINAS GERAIS-374</v>
      </c>
      <c r="B1940" s="5" t="s">
        <v>1126</v>
      </c>
      <c r="C1940" s="5" t="s">
        <v>1379</v>
      </c>
      <c r="D1940" s="6">
        <v>-416833</v>
      </c>
      <c r="E1940" s="6">
        <v>-180354</v>
      </c>
      <c r="F1940" s="7">
        <v>4.8470000000000004</v>
      </c>
      <c r="G1940" s="7">
        <v>5.9279999999999999</v>
      </c>
      <c r="H1940" s="7">
        <v>6.181</v>
      </c>
      <c r="I1940" s="7">
        <v>5.2430000000000003</v>
      </c>
      <c r="J1940" s="7">
        <v>4.5460000000000003</v>
      </c>
      <c r="K1940" s="7">
        <v>3.79</v>
      </c>
      <c r="L1940" s="7">
        <v>3.5670000000000002</v>
      </c>
      <c r="M1940" s="7">
        <v>3.6970000000000001</v>
      </c>
      <c r="N1940" s="7">
        <v>4.4189999999999996</v>
      </c>
      <c r="O1940" s="7">
        <v>4.907</v>
      </c>
      <c r="P1940" s="7">
        <v>5.2169999999999996</v>
      </c>
      <c r="Q1940" s="7">
        <v>4.9219999999999997</v>
      </c>
      <c r="R1940" s="7">
        <v>5.75</v>
      </c>
      <c r="S1940" s="7">
        <f t="shared" si="30"/>
        <v>4.8472499999999989</v>
      </c>
    </row>
    <row r="1941" spans="1:19">
      <c r="A1941" s="5" t="str">
        <f>B1941&amp;"-"&amp;COUNTIF($B$2:B1941,B1941)</f>
        <v>MINAS GERAIS-375</v>
      </c>
      <c r="B1941" s="5" t="s">
        <v>1126</v>
      </c>
      <c r="C1941" s="5" t="s">
        <v>1380</v>
      </c>
      <c r="D1941" s="6">
        <v>-470464</v>
      </c>
      <c r="E1941" s="6">
        <v>-210763</v>
      </c>
      <c r="F1941" s="7">
        <v>4.9930000000000003</v>
      </c>
      <c r="G1941" s="7">
        <v>5.508</v>
      </c>
      <c r="H1941" s="7">
        <v>5.6820000000000004</v>
      </c>
      <c r="I1941" s="7">
        <v>4.9160000000000004</v>
      </c>
      <c r="J1941" s="7">
        <v>4.6959999999999997</v>
      </c>
      <c r="K1941" s="7">
        <v>4.1459999999999999</v>
      </c>
      <c r="L1941" s="7">
        <v>3.9249999999999998</v>
      </c>
      <c r="M1941" s="7">
        <v>4.1689999999999996</v>
      </c>
      <c r="N1941" s="7">
        <v>5.0389999999999997</v>
      </c>
      <c r="O1941" s="7">
        <v>5.0830000000000002</v>
      </c>
      <c r="P1941" s="7">
        <v>5.4989999999999997</v>
      </c>
      <c r="Q1941" s="7">
        <v>5.5380000000000003</v>
      </c>
      <c r="R1941" s="7">
        <v>5.7190000000000003</v>
      </c>
      <c r="S1941" s="7">
        <f t="shared" si="30"/>
        <v>4.9933333333333341</v>
      </c>
    </row>
    <row r="1942" spans="1:19">
      <c r="A1942" s="5" t="str">
        <f>B1942&amp;"-"&amp;COUNTIF($B$2:B1942,B1942)</f>
        <v>MINAS GERAIS-376</v>
      </c>
      <c r="B1942" s="5" t="s">
        <v>1126</v>
      </c>
      <c r="C1942" s="5" t="s">
        <v>1381</v>
      </c>
      <c r="D1942" s="6">
        <v>-448684</v>
      </c>
      <c r="E1942" s="6">
        <v>-222864</v>
      </c>
      <c r="F1942" s="7">
        <v>4.8380000000000001</v>
      </c>
      <c r="G1942" s="7">
        <v>5.3810000000000002</v>
      </c>
      <c r="H1942" s="7">
        <v>5.6529999999999996</v>
      </c>
      <c r="I1942" s="7">
        <v>4.9390000000000001</v>
      </c>
      <c r="J1942" s="7">
        <v>4.5490000000000004</v>
      </c>
      <c r="K1942" s="7">
        <v>3.8889999999999998</v>
      </c>
      <c r="L1942" s="7">
        <v>3.6259999999999999</v>
      </c>
      <c r="M1942" s="7">
        <v>3.8380000000000001</v>
      </c>
      <c r="N1942" s="7">
        <v>4.7130000000000001</v>
      </c>
      <c r="O1942" s="7">
        <v>5.0019999999999998</v>
      </c>
      <c r="P1942" s="7">
        <v>5.4630000000000001</v>
      </c>
      <c r="Q1942" s="7">
        <v>5.2930000000000001</v>
      </c>
      <c r="R1942" s="7">
        <v>5.7069999999999999</v>
      </c>
      <c r="S1942" s="7">
        <f t="shared" si="30"/>
        <v>4.8377500000000007</v>
      </c>
    </row>
    <row r="1943" spans="1:19">
      <c r="A1943" s="5" t="str">
        <f>B1943&amp;"-"&amp;COUNTIF($B$2:B1943,B1943)</f>
        <v>MINAS GERAIS-377</v>
      </c>
      <c r="B1943" s="5" t="s">
        <v>1126</v>
      </c>
      <c r="C1943" s="5" t="s">
        <v>1382</v>
      </c>
      <c r="D1943" s="6">
        <v>-449386</v>
      </c>
      <c r="E1943" s="6">
        <v>-222947</v>
      </c>
      <c r="F1943" s="7">
        <v>4.8970000000000002</v>
      </c>
      <c r="G1943" s="7">
        <v>5.4859999999999998</v>
      </c>
      <c r="H1943" s="7">
        <v>5.7990000000000004</v>
      </c>
      <c r="I1943" s="7">
        <v>5.0069999999999997</v>
      </c>
      <c r="J1943" s="7">
        <v>4.6449999999999996</v>
      </c>
      <c r="K1943" s="7">
        <v>3.95</v>
      </c>
      <c r="L1943" s="7">
        <v>3.6259999999999999</v>
      </c>
      <c r="M1943" s="7">
        <v>3.8380000000000001</v>
      </c>
      <c r="N1943" s="7">
        <v>4.7</v>
      </c>
      <c r="O1943" s="7">
        <v>5.0250000000000004</v>
      </c>
      <c r="P1943" s="7">
        <v>5.4930000000000003</v>
      </c>
      <c r="Q1943" s="7">
        <v>5.4020000000000001</v>
      </c>
      <c r="R1943" s="7">
        <v>5.7889999999999997</v>
      </c>
      <c r="S1943" s="7">
        <f t="shared" si="30"/>
        <v>4.8966666666666674</v>
      </c>
    </row>
    <row r="1944" spans="1:19">
      <c r="A1944" s="5" t="str">
        <f>B1944&amp;"-"&amp;COUNTIF($B$2:B1944,B1944)</f>
        <v>MINAS GERAIS-378</v>
      </c>
      <c r="B1944" s="5" t="s">
        <v>1126</v>
      </c>
      <c r="C1944" s="5" t="s">
        <v>1383</v>
      </c>
      <c r="D1944" s="6">
        <v>-418634</v>
      </c>
      <c r="E1944" s="6">
        <v>-191741</v>
      </c>
      <c r="F1944" s="7">
        <v>4.8220000000000001</v>
      </c>
      <c r="G1944" s="7">
        <v>5.9640000000000004</v>
      </c>
      <c r="H1944" s="7">
        <v>6.0789999999999997</v>
      </c>
      <c r="I1944" s="7">
        <v>5.157</v>
      </c>
      <c r="J1944" s="7">
        <v>4.5359999999999996</v>
      </c>
      <c r="K1944" s="7">
        <v>3.7810000000000001</v>
      </c>
      <c r="L1944" s="7">
        <v>3.5640000000000001</v>
      </c>
      <c r="M1944" s="7">
        <v>3.7010000000000001</v>
      </c>
      <c r="N1944" s="7">
        <v>4.4029999999999996</v>
      </c>
      <c r="O1944" s="7">
        <v>4.8860000000000001</v>
      </c>
      <c r="P1944" s="7">
        <v>5.0940000000000003</v>
      </c>
      <c r="Q1944" s="7">
        <v>4.9130000000000003</v>
      </c>
      <c r="R1944" s="7">
        <v>5.7859999999999996</v>
      </c>
      <c r="S1944" s="7">
        <f t="shared" si="30"/>
        <v>4.8220000000000001</v>
      </c>
    </row>
    <row r="1945" spans="1:19">
      <c r="A1945" s="5" t="str">
        <f>B1945&amp;"-"&amp;COUNTIF($B$2:B1945,B1945)</f>
        <v>MINAS GERAIS-379</v>
      </c>
      <c r="B1945" s="5" t="s">
        <v>1126</v>
      </c>
      <c r="C1945" s="5" t="s">
        <v>1384</v>
      </c>
      <c r="D1945" s="6">
        <v>-41502</v>
      </c>
      <c r="E1945" s="6">
        <v>-165575</v>
      </c>
      <c r="F1945" s="7">
        <v>5.2249999999999996</v>
      </c>
      <c r="G1945" s="7">
        <v>6.2930000000000001</v>
      </c>
      <c r="H1945" s="7">
        <v>6.6</v>
      </c>
      <c r="I1945" s="7">
        <v>5.5750000000000002</v>
      </c>
      <c r="J1945" s="7">
        <v>4.84</v>
      </c>
      <c r="K1945" s="7">
        <v>4.1239999999999997</v>
      </c>
      <c r="L1945" s="7">
        <v>3.7269999999999999</v>
      </c>
      <c r="M1945" s="7">
        <v>3.9580000000000002</v>
      </c>
      <c r="N1945" s="7">
        <v>4.6779999999999999</v>
      </c>
      <c r="O1945" s="7">
        <v>5.4589999999999996</v>
      </c>
      <c r="P1945" s="7">
        <v>5.6989999999999998</v>
      </c>
      <c r="Q1945" s="7">
        <v>5.4770000000000003</v>
      </c>
      <c r="R1945" s="7">
        <v>6.2720000000000002</v>
      </c>
      <c r="S1945" s="7">
        <f t="shared" si="30"/>
        <v>5.2251666666666656</v>
      </c>
    </row>
    <row r="1946" spans="1:19">
      <c r="A1946" s="5" t="str">
        <f>B1946&amp;"-"&amp;COUNTIF($B$2:B1946,B1946)</f>
        <v>MINAS GERAIS-380</v>
      </c>
      <c r="B1946" s="5" t="s">
        <v>1126</v>
      </c>
      <c r="C1946" s="5" t="s">
        <v>1385</v>
      </c>
      <c r="D1946" s="6">
        <v>-493708</v>
      </c>
      <c r="E1946" s="6">
        <v>-199016</v>
      </c>
      <c r="F1946" s="7">
        <v>5.181</v>
      </c>
      <c r="G1946" s="7">
        <v>5.694</v>
      </c>
      <c r="H1946" s="7">
        <v>5.899</v>
      </c>
      <c r="I1946" s="7">
        <v>5.1929999999999996</v>
      </c>
      <c r="J1946" s="7">
        <v>4.9950000000000001</v>
      </c>
      <c r="K1946" s="7">
        <v>4.298</v>
      </c>
      <c r="L1946" s="7">
        <v>4.016</v>
      </c>
      <c r="M1946" s="7">
        <v>4.2960000000000003</v>
      </c>
      <c r="N1946" s="7">
        <v>5.1870000000000003</v>
      </c>
      <c r="O1946" s="7">
        <v>5.1120000000000001</v>
      </c>
      <c r="P1946" s="7">
        <v>5.5609999999999999</v>
      </c>
      <c r="Q1946" s="7">
        <v>5.8129999999999997</v>
      </c>
      <c r="R1946" s="7">
        <v>6.1059999999999999</v>
      </c>
      <c r="S1946" s="7">
        <f t="shared" si="30"/>
        <v>5.1808333333333332</v>
      </c>
    </row>
    <row r="1947" spans="1:19">
      <c r="A1947" s="5" t="str">
        <f>B1947&amp;"-"&amp;COUNTIF($B$2:B1947,B1947)</f>
        <v>MINAS GERAIS-381</v>
      </c>
      <c r="B1947" s="5" t="s">
        <v>1126</v>
      </c>
      <c r="C1947" s="5" t="s">
        <v>1386</v>
      </c>
      <c r="D1947" s="6">
        <v>-451274</v>
      </c>
      <c r="E1947" s="6">
        <v>-204708</v>
      </c>
      <c r="F1947" s="7">
        <v>5.0449999999999999</v>
      </c>
      <c r="G1947" s="7">
        <v>5.6559999999999997</v>
      </c>
      <c r="H1947" s="7">
        <v>5.8780000000000001</v>
      </c>
      <c r="I1947" s="7">
        <v>4.9889999999999999</v>
      </c>
      <c r="J1947" s="7">
        <v>4.819</v>
      </c>
      <c r="K1947" s="7">
        <v>4.2030000000000003</v>
      </c>
      <c r="L1947" s="7">
        <v>3.99</v>
      </c>
      <c r="M1947" s="7">
        <v>4.2709999999999999</v>
      </c>
      <c r="N1947" s="7">
        <v>5.15</v>
      </c>
      <c r="O1947" s="7">
        <v>5.3739999999999997</v>
      </c>
      <c r="P1947" s="7">
        <v>5.4950000000000001</v>
      </c>
      <c r="Q1947" s="7">
        <v>5.1619999999999999</v>
      </c>
      <c r="R1947" s="7">
        <v>5.55</v>
      </c>
      <c r="S1947" s="7">
        <f t="shared" si="30"/>
        <v>5.0447499999999996</v>
      </c>
    </row>
    <row r="1948" spans="1:19">
      <c r="A1948" s="5" t="str">
        <f>B1948&amp;"-"&amp;COUNTIF($B$2:B1948,B1948)</f>
        <v>MINAS GERAIS-382</v>
      </c>
      <c r="B1948" s="5" t="s">
        <v>1126</v>
      </c>
      <c r="C1948" s="5" t="s">
        <v>1387</v>
      </c>
      <c r="D1948" s="6">
        <v>-462244</v>
      </c>
      <c r="E1948" s="6">
        <v>-22767</v>
      </c>
      <c r="F1948" s="7">
        <v>4.7309999999999999</v>
      </c>
      <c r="G1948" s="7">
        <v>5.1230000000000002</v>
      </c>
      <c r="H1948" s="7">
        <v>5.444</v>
      </c>
      <c r="I1948" s="7">
        <v>4.7519999999999998</v>
      </c>
      <c r="J1948" s="7">
        <v>4.5019999999999998</v>
      </c>
      <c r="K1948" s="7">
        <v>3.7810000000000001</v>
      </c>
      <c r="L1948" s="7">
        <v>3.5539999999999998</v>
      </c>
      <c r="M1948" s="7">
        <v>3.718</v>
      </c>
      <c r="N1948" s="7">
        <v>4.6660000000000004</v>
      </c>
      <c r="O1948" s="7">
        <v>4.8479999999999999</v>
      </c>
      <c r="P1948" s="7">
        <v>5.2990000000000004</v>
      </c>
      <c r="Q1948" s="7">
        <v>5.3920000000000003</v>
      </c>
      <c r="R1948" s="7">
        <v>5.6879999999999997</v>
      </c>
      <c r="S1948" s="7">
        <f t="shared" si="30"/>
        <v>4.7305833333333327</v>
      </c>
    </row>
    <row r="1949" spans="1:19">
      <c r="A1949" s="5" t="str">
        <f>B1949&amp;"-"&amp;COUNTIF($B$2:B1949,B1949)</f>
        <v>MINAS GERAIS-383</v>
      </c>
      <c r="B1949" s="5" t="s">
        <v>1126</v>
      </c>
      <c r="C1949" s="5" t="s">
        <v>4668</v>
      </c>
      <c r="D1949" s="6">
        <v>-444215</v>
      </c>
      <c r="E1949" s="6">
        <v>-201987</v>
      </c>
      <c r="F1949" s="7">
        <v>5.0620000000000003</v>
      </c>
      <c r="G1949" s="7">
        <v>5.7210000000000001</v>
      </c>
      <c r="H1949" s="7">
        <v>5.8849999999999998</v>
      </c>
      <c r="I1949" s="7">
        <v>4.9989999999999997</v>
      </c>
      <c r="J1949" s="7">
        <v>4.7229999999999999</v>
      </c>
      <c r="K1949" s="7">
        <v>4.202</v>
      </c>
      <c r="L1949" s="7">
        <v>4.056</v>
      </c>
      <c r="M1949" s="7">
        <v>4.3029999999999999</v>
      </c>
      <c r="N1949" s="7">
        <v>5.1849999999999996</v>
      </c>
      <c r="O1949" s="7">
        <v>5.4470000000000001</v>
      </c>
      <c r="P1949" s="7">
        <v>5.5060000000000002</v>
      </c>
      <c r="Q1949" s="7">
        <v>5.2069999999999999</v>
      </c>
      <c r="R1949" s="7">
        <v>5.5110000000000001</v>
      </c>
      <c r="S1949" s="7">
        <f t="shared" si="30"/>
        <v>5.0620833333333346</v>
      </c>
    </row>
    <row r="1950" spans="1:19">
      <c r="A1950" s="5" t="str">
        <f>B1950&amp;"-"&amp;COUNTIF($B$2:B1950,B1950)</f>
        <v>MINAS GERAIS-384</v>
      </c>
      <c r="B1950" s="5" t="s">
        <v>1126</v>
      </c>
      <c r="C1950" s="5" t="s">
        <v>1388</v>
      </c>
      <c r="D1950" s="6">
        <v>-436145</v>
      </c>
      <c r="E1950" s="6">
        <v>-206773</v>
      </c>
      <c r="F1950" s="7">
        <v>4.78</v>
      </c>
      <c r="G1950" s="7">
        <v>5.55</v>
      </c>
      <c r="H1950" s="7">
        <v>5.9470000000000001</v>
      </c>
      <c r="I1950" s="7">
        <v>4.8609999999999998</v>
      </c>
      <c r="J1950" s="7">
        <v>4.4130000000000003</v>
      </c>
      <c r="K1950" s="7">
        <v>3.8559999999999999</v>
      </c>
      <c r="L1950" s="7">
        <v>3.641</v>
      </c>
      <c r="M1950" s="7">
        <v>3.8079999999999998</v>
      </c>
      <c r="N1950" s="7">
        <v>4.8120000000000003</v>
      </c>
      <c r="O1950" s="7">
        <v>5.0199999999999996</v>
      </c>
      <c r="P1950" s="7">
        <v>5.165</v>
      </c>
      <c r="Q1950" s="7">
        <v>4.8049999999999997</v>
      </c>
      <c r="R1950" s="7">
        <v>5.4850000000000003</v>
      </c>
      <c r="S1950" s="7">
        <f t="shared" si="30"/>
        <v>4.7802499999999997</v>
      </c>
    </row>
    <row r="1951" spans="1:19">
      <c r="A1951" s="5" t="str">
        <f>B1951&amp;"-"&amp;COUNTIF($B$2:B1951,B1951)</f>
        <v>MINAS GERAIS-385</v>
      </c>
      <c r="B1951" s="5" t="s">
        <v>1126</v>
      </c>
      <c r="C1951" s="5" t="s">
        <v>1389</v>
      </c>
      <c r="D1951" s="6">
        <v>-417681</v>
      </c>
      <c r="E1951" s="6">
        <v>-166139</v>
      </c>
      <c r="F1951" s="7">
        <v>5.2919999999999998</v>
      </c>
      <c r="G1951" s="7">
        <v>6.3890000000000002</v>
      </c>
      <c r="H1951" s="7">
        <v>6.625</v>
      </c>
      <c r="I1951" s="7">
        <v>5.6159999999999997</v>
      </c>
      <c r="J1951" s="7">
        <v>4.9089999999999998</v>
      </c>
      <c r="K1951" s="7">
        <v>4.181</v>
      </c>
      <c r="L1951" s="7">
        <v>3.8490000000000002</v>
      </c>
      <c r="M1951" s="7">
        <v>4.0529999999999999</v>
      </c>
      <c r="N1951" s="7">
        <v>4.8090000000000002</v>
      </c>
      <c r="O1951" s="7">
        <v>5.516</v>
      </c>
      <c r="P1951" s="7">
        <v>5.7460000000000004</v>
      </c>
      <c r="Q1951" s="7">
        <v>5.53</v>
      </c>
      <c r="R1951" s="7">
        <v>6.2789999999999999</v>
      </c>
      <c r="S1951" s="7">
        <f t="shared" si="30"/>
        <v>5.2918333333333329</v>
      </c>
    </row>
    <row r="1952" spans="1:19">
      <c r="A1952" s="5" t="str">
        <f>B1952&amp;"-"&amp;COUNTIF($B$2:B1952,B1952)</f>
        <v>MINAS GERAIS-386</v>
      </c>
      <c r="B1952" s="5" t="s">
        <v>1126</v>
      </c>
      <c r="C1952" s="5" t="s">
        <v>1390</v>
      </c>
      <c r="D1952" s="6">
        <v>-41175</v>
      </c>
      <c r="E1952" s="6">
        <v>-194004</v>
      </c>
      <c r="F1952" s="7">
        <v>4.9109999999999996</v>
      </c>
      <c r="G1952" s="7">
        <v>6.1349999999999998</v>
      </c>
      <c r="H1952" s="7">
        <v>6.3040000000000003</v>
      </c>
      <c r="I1952" s="7">
        <v>5.3419999999999996</v>
      </c>
      <c r="J1952" s="7">
        <v>4.67</v>
      </c>
      <c r="K1952" s="7">
        <v>3.98</v>
      </c>
      <c r="L1952" s="7">
        <v>3.6549999999999998</v>
      </c>
      <c r="M1952" s="7">
        <v>3.7690000000000001</v>
      </c>
      <c r="N1952" s="7">
        <v>4.3380000000000001</v>
      </c>
      <c r="O1952" s="7">
        <v>4.8609999999999998</v>
      </c>
      <c r="P1952" s="7">
        <v>5.0179999999999998</v>
      </c>
      <c r="Q1952" s="7">
        <v>5.0220000000000002</v>
      </c>
      <c r="R1952" s="7">
        <v>5.835</v>
      </c>
      <c r="S1952" s="7">
        <f t="shared" si="30"/>
        <v>4.9107500000000002</v>
      </c>
    </row>
    <row r="1953" spans="1:19">
      <c r="A1953" s="5" t="str">
        <f>B1953&amp;"-"&amp;COUNTIF($B$2:B1953,B1953)</f>
        <v>MINAS GERAIS-387</v>
      </c>
      <c r="B1953" s="5" t="s">
        <v>1126</v>
      </c>
      <c r="C1953" s="5" t="s">
        <v>1391</v>
      </c>
      <c r="D1953" s="6">
        <v>-494644</v>
      </c>
      <c r="E1953" s="6">
        <v>-189776</v>
      </c>
      <c r="F1953" s="7">
        <v>5.234</v>
      </c>
      <c r="G1953" s="7">
        <v>5.7220000000000004</v>
      </c>
      <c r="H1953" s="7">
        <v>5.7240000000000002</v>
      </c>
      <c r="I1953" s="7">
        <v>5.2290000000000001</v>
      </c>
      <c r="J1953" s="7">
        <v>4.9859999999999998</v>
      </c>
      <c r="K1953" s="7">
        <v>4.45</v>
      </c>
      <c r="L1953" s="7">
        <v>4.2549999999999999</v>
      </c>
      <c r="M1953" s="7">
        <v>4.4820000000000002</v>
      </c>
      <c r="N1953" s="7">
        <v>5.4210000000000003</v>
      </c>
      <c r="O1953" s="7">
        <v>5.29</v>
      </c>
      <c r="P1953" s="7">
        <v>5.6079999999999997</v>
      </c>
      <c r="Q1953" s="7">
        <v>5.7249999999999996</v>
      </c>
      <c r="R1953" s="7">
        <v>5.92</v>
      </c>
      <c r="S1953" s="7">
        <f t="shared" si="30"/>
        <v>5.2343333333333328</v>
      </c>
    </row>
    <row r="1954" spans="1:19">
      <c r="A1954" s="5" t="str">
        <f>B1954&amp;"-"&amp;COUNTIF($B$2:B1954,B1954)</f>
        <v>MINAS GERAIS-388</v>
      </c>
      <c r="B1954" s="5" t="s">
        <v>1126</v>
      </c>
      <c r="C1954" s="5" t="s">
        <v>1392</v>
      </c>
      <c r="D1954" s="6">
        <v>-448727</v>
      </c>
      <c r="E1954" s="6">
        <v>-213175</v>
      </c>
      <c r="F1954" s="7">
        <v>4.9390000000000001</v>
      </c>
      <c r="G1954" s="7">
        <v>5.6840000000000002</v>
      </c>
      <c r="H1954" s="7">
        <v>5.867</v>
      </c>
      <c r="I1954" s="7">
        <v>5.0190000000000001</v>
      </c>
      <c r="J1954" s="7">
        <v>4.6369999999999996</v>
      </c>
      <c r="K1954" s="7">
        <v>3.93</v>
      </c>
      <c r="L1954" s="7">
        <v>3.72</v>
      </c>
      <c r="M1954" s="7">
        <v>3.992</v>
      </c>
      <c r="N1954" s="7">
        <v>4.92</v>
      </c>
      <c r="O1954" s="7">
        <v>5.1150000000000002</v>
      </c>
      <c r="P1954" s="7">
        <v>5.4130000000000003</v>
      </c>
      <c r="Q1954" s="7">
        <v>5.258</v>
      </c>
      <c r="R1954" s="7">
        <v>5.7169999999999996</v>
      </c>
      <c r="S1954" s="7">
        <f t="shared" si="30"/>
        <v>4.9393333333333329</v>
      </c>
    </row>
    <row r="1955" spans="1:19">
      <c r="A1955" s="5" t="str">
        <f>B1955&amp;"-"&amp;COUNTIF($B$2:B1955,B1955)</f>
        <v>MINAS GERAIS-389</v>
      </c>
      <c r="B1955" s="5" t="s">
        <v>1126</v>
      </c>
      <c r="C1955" s="5" t="s">
        <v>1393</v>
      </c>
      <c r="D1955" s="6">
        <v>-50197</v>
      </c>
      <c r="E1955" s="6">
        <v>-19728</v>
      </c>
      <c r="F1955" s="7">
        <v>5.2060000000000004</v>
      </c>
      <c r="G1955" s="7">
        <v>5.7389999999999999</v>
      </c>
      <c r="H1955" s="7">
        <v>5.8730000000000002</v>
      </c>
      <c r="I1955" s="7">
        <v>5.31</v>
      </c>
      <c r="J1955" s="7">
        <v>4.9909999999999997</v>
      </c>
      <c r="K1955" s="7">
        <v>4.3170000000000002</v>
      </c>
      <c r="L1955" s="7">
        <v>4.0259999999999998</v>
      </c>
      <c r="M1955" s="7">
        <v>4.3289999999999997</v>
      </c>
      <c r="N1955" s="7">
        <v>5.1529999999999996</v>
      </c>
      <c r="O1955" s="7">
        <v>5.1680000000000001</v>
      </c>
      <c r="P1955" s="7">
        <v>5.6440000000000001</v>
      </c>
      <c r="Q1955" s="7">
        <v>5.8259999999999996</v>
      </c>
      <c r="R1955" s="7">
        <v>6.093</v>
      </c>
      <c r="S1955" s="7">
        <f t="shared" si="30"/>
        <v>5.2057499999999992</v>
      </c>
    </row>
    <row r="1956" spans="1:19">
      <c r="A1956" s="5" t="str">
        <f>B1956&amp;"-"&amp;COUNTIF($B$2:B1956,B1956)</f>
        <v>MINAS GERAIS-390</v>
      </c>
      <c r="B1956" s="5" t="s">
        <v>1126</v>
      </c>
      <c r="C1956" s="5" t="s">
        <v>1394</v>
      </c>
      <c r="D1956" s="6">
        <v>-446571</v>
      </c>
      <c r="E1956" s="6">
        <v>-213005</v>
      </c>
      <c r="F1956" s="7">
        <v>4.8920000000000003</v>
      </c>
      <c r="G1956" s="7">
        <v>5.6609999999999996</v>
      </c>
      <c r="H1956" s="7">
        <v>5.8049999999999997</v>
      </c>
      <c r="I1956" s="7">
        <v>5.0039999999999996</v>
      </c>
      <c r="J1956" s="7">
        <v>4.6020000000000003</v>
      </c>
      <c r="K1956" s="7">
        <v>3.92</v>
      </c>
      <c r="L1956" s="7">
        <v>3.6819999999999999</v>
      </c>
      <c r="M1956" s="7">
        <v>3.899</v>
      </c>
      <c r="N1956" s="7">
        <v>4.859</v>
      </c>
      <c r="O1956" s="7">
        <v>5.0919999999999996</v>
      </c>
      <c r="P1956" s="7">
        <v>5.3659999999999997</v>
      </c>
      <c r="Q1956" s="7">
        <v>5.1760000000000002</v>
      </c>
      <c r="R1956" s="7">
        <v>5.6360000000000001</v>
      </c>
      <c r="S1956" s="7">
        <f t="shared" si="30"/>
        <v>4.8918333333333335</v>
      </c>
    </row>
    <row r="1957" spans="1:19">
      <c r="A1957" s="5" t="str">
        <f>B1957&amp;"-"&amp;COUNTIF($B$2:B1957,B1957)</f>
        <v>MINAS GERAIS-391</v>
      </c>
      <c r="B1957" s="5" t="s">
        <v>1126</v>
      </c>
      <c r="C1957" s="5" t="s">
        <v>1395</v>
      </c>
      <c r="D1957" s="6">
        <v>-436692</v>
      </c>
      <c r="E1957" s="6">
        <v>-153437</v>
      </c>
      <c r="F1957" s="7">
        <v>5.7439999999999998</v>
      </c>
      <c r="G1957" s="7">
        <v>6.4729999999999999</v>
      </c>
      <c r="H1957" s="7">
        <v>6.7030000000000003</v>
      </c>
      <c r="I1957" s="7">
        <v>5.8760000000000003</v>
      </c>
      <c r="J1957" s="7">
        <v>5.5579999999999998</v>
      </c>
      <c r="K1957" s="7">
        <v>4.9320000000000004</v>
      </c>
      <c r="L1957" s="7">
        <v>4.6900000000000004</v>
      </c>
      <c r="M1957" s="7">
        <v>4.9489999999999998</v>
      </c>
      <c r="N1957" s="7">
        <v>5.5780000000000003</v>
      </c>
      <c r="O1957" s="7">
        <v>5.9340000000000002</v>
      </c>
      <c r="P1957" s="7">
        <v>6.18</v>
      </c>
      <c r="Q1957" s="7">
        <v>5.702</v>
      </c>
      <c r="R1957" s="7">
        <v>6.3609999999999998</v>
      </c>
      <c r="S1957" s="7">
        <f t="shared" si="30"/>
        <v>5.7446666666666664</v>
      </c>
    </row>
    <row r="1958" spans="1:19">
      <c r="A1958" s="5" t="str">
        <f>B1958&amp;"-"&amp;COUNTIF($B$2:B1958,B1958)</f>
        <v>MINAS GERAIS-392</v>
      </c>
      <c r="B1958" s="5" t="s">
        <v>1126</v>
      </c>
      <c r="C1958" s="5" t="s">
        <v>1396</v>
      </c>
      <c r="D1958" s="6">
        <v>-43745</v>
      </c>
      <c r="E1958" s="6">
        <v>-19514</v>
      </c>
      <c r="F1958" s="7">
        <v>5.26</v>
      </c>
      <c r="G1958" s="7">
        <v>5.9329999999999998</v>
      </c>
      <c r="H1958" s="7">
        <v>6.0919999999999996</v>
      </c>
      <c r="I1958" s="7">
        <v>5.3029999999999999</v>
      </c>
      <c r="J1958" s="7">
        <v>4.8869999999999996</v>
      </c>
      <c r="K1958" s="7">
        <v>4.3869999999999996</v>
      </c>
      <c r="L1958" s="7">
        <v>4.1340000000000003</v>
      </c>
      <c r="M1958" s="7">
        <v>4.4379999999999997</v>
      </c>
      <c r="N1958" s="7">
        <v>5.2670000000000003</v>
      </c>
      <c r="O1958" s="7">
        <v>5.6769999999999996</v>
      </c>
      <c r="P1958" s="7">
        <v>5.7489999999999997</v>
      </c>
      <c r="Q1958" s="7">
        <v>5.4820000000000002</v>
      </c>
      <c r="R1958" s="7">
        <v>5.774</v>
      </c>
      <c r="S1958" s="7">
        <f t="shared" si="30"/>
        <v>5.2602500000000001</v>
      </c>
    </row>
    <row r="1959" spans="1:19">
      <c r="A1959" s="5" t="str">
        <f>B1959&amp;"-"&amp;COUNTIF($B$2:B1959,B1959)</f>
        <v>MINAS GERAIS-393</v>
      </c>
      <c r="B1959" s="5" t="s">
        <v>1126</v>
      </c>
      <c r="C1959" s="5" t="s">
        <v>1397</v>
      </c>
      <c r="D1959" s="6">
        <v>-402953</v>
      </c>
      <c r="E1959" s="6">
        <v>-161432</v>
      </c>
      <c r="F1959" s="7">
        <v>4.9379999999999997</v>
      </c>
      <c r="G1959" s="7">
        <v>6.0140000000000002</v>
      </c>
      <c r="H1959" s="7">
        <v>6.1779999999999999</v>
      </c>
      <c r="I1959" s="7">
        <v>5.5010000000000003</v>
      </c>
      <c r="J1959" s="7">
        <v>4.7889999999999997</v>
      </c>
      <c r="K1959" s="7">
        <v>3.9510000000000001</v>
      </c>
      <c r="L1959" s="7">
        <v>3.5939999999999999</v>
      </c>
      <c r="M1959" s="7">
        <v>3.7320000000000002</v>
      </c>
      <c r="N1959" s="7">
        <v>4.2569999999999997</v>
      </c>
      <c r="O1959" s="7">
        <v>4.92</v>
      </c>
      <c r="P1959" s="7">
        <v>5.093</v>
      </c>
      <c r="Q1959" s="7">
        <v>5.1909999999999998</v>
      </c>
      <c r="R1959" s="7">
        <v>6.0380000000000003</v>
      </c>
      <c r="S1959" s="7">
        <f t="shared" si="30"/>
        <v>4.9381666666666666</v>
      </c>
    </row>
    <row r="1960" spans="1:19">
      <c r="A1960" s="5" t="str">
        <f>B1960&amp;"-"&amp;COUNTIF($B$2:B1960,B1960)</f>
        <v>MINAS GERAIS-394</v>
      </c>
      <c r="B1960" s="5" t="s">
        <v>1126</v>
      </c>
      <c r="C1960" s="5" t="s">
        <v>1398</v>
      </c>
      <c r="D1960" s="6">
        <v>-467363</v>
      </c>
      <c r="E1960" s="6">
        <v>-210141</v>
      </c>
      <c r="F1960" s="7">
        <v>4.9740000000000002</v>
      </c>
      <c r="G1960" s="7">
        <v>5.5170000000000003</v>
      </c>
      <c r="H1960" s="7">
        <v>5.7110000000000003</v>
      </c>
      <c r="I1960" s="7">
        <v>4.9580000000000002</v>
      </c>
      <c r="J1960" s="7">
        <v>4.6989999999999998</v>
      </c>
      <c r="K1960" s="7">
        <v>4.1070000000000002</v>
      </c>
      <c r="L1960" s="7">
        <v>3.8959999999999999</v>
      </c>
      <c r="M1960" s="7">
        <v>4.1580000000000004</v>
      </c>
      <c r="N1960" s="7">
        <v>5.0460000000000003</v>
      </c>
      <c r="O1960" s="7">
        <v>5.1280000000000001</v>
      </c>
      <c r="P1960" s="7">
        <v>5.48</v>
      </c>
      <c r="Q1960" s="7">
        <v>5.4020000000000001</v>
      </c>
      <c r="R1960" s="7">
        <v>5.5880000000000001</v>
      </c>
      <c r="S1960" s="7">
        <f t="shared" si="30"/>
        <v>4.9741666666666671</v>
      </c>
    </row>
    <row r="1961" spans="1:19">
      <c r="A1961" s="5" t="str">
        <f>B1961&amp;"-"&amp;COUNTIF($B$2:B1961,B1961)</f>
        <v>MINAS GERAIS-395</v>
      </c>
      <c r="B1961" s="5" t="s">
        <v>1126</v>
      </c>
      <c r="C1961" s="5" t="s">
        <v>1399</v>
      </c>
      <c r="D1961" s="6">
        <v>-46617</v>
      </c>
      <c r="E1961" s="6">
        <v>-222864</v>
      </c>
      <c r="F1961" s="7">
        <v>4.8609999999999998</v>
      </c>
      <c r="G1961" s="7">
        <v>5.4089999999999998</v>
      </c>
      <c r="H1961" s="7">
        <v>5.5549999999999997</v>
      </c>
      <c r="I1961" s="7">
        <v>4.9589999999999996</v>
      </c>
      <c r="J1961" s="7">
        <v>4.6289999999999996</v>
      </c>
      <c r="K1961" s="7">
        <v>3.9</v>
      </c>
      <c r="L1961" s="7">
        <v>3.661</v>
      </c>
      <c r="M1961" s="7">
        <v>3.875</v>
      </c>
      <c r="N1961" s="7">
        <v>4.7649999999999997</v>
      </c>
      <c r="O1961" s="7">
        <v>4.9329999999999998</v>
      </c>
      <c r="P1961" s="7">
        <v>5.4029999999999996</v>
      </c>
      <c r="Q1961" s="7">
        <v>5.5119999999999996</v>
      </c>
      <c r="R1961" s="7">
        <v>5.74</v>
      </c>
      <c r="S1961" s="7">
        <f t="shared" si="30"/>
        <v>4.8617499999999998</v>
      </c>
    </row>
    <row r="1962" spans="1:19">
      <c r="A1962" s="5" t="str">
        <f>B1962&amp;"-"&amp;COUNTIF($B$2:B1962,B1962)</f>
        <v>MINAS GERAIS-396</v>
      </c>
      <c r="B1962" s="5" t="s">
        <v>1126</v>
      </c>
      <c r="C1962" s="5" t="s">
        <v>4669</v>
      </c>
      <c r="D1962" s="6">
        <v>-427511</v>
      </c>
      <c r="E1962" s="6">
        <v>-196481</v>
      </c>
      <c r="F1962" s="7">
        <v>4.8460000000000001</v>
      </c>
      <c r="G1962" s="7">
        <v>5.8040000000000003</v>
      </c>
      <c r="H1962" s="7">
        <v>6.0860000000000003</v>
      </c>
      <c r="I1962" s="7">
        <v>5.0670000000000002</v>
      </c>
      <c r="J1962" s="7">
        <v>4.6280000000000001</v>
      </c>
      <c r="K1962" s="7">
        <v>3.89</v>
      </c>
      <c r="L1962" s="7">
        <v>3.7090000000000001</v>
      </c>
      <c r="M1962" s="7">
        <v>3.9249999999999998</v>
      </c>
      <c r="N1962" s="7">
        <v>4.6429999999999998</v>
      </c>
      <c r="O1962" s="7">
        <v>4.9470000000000001</v>
      </c>
      <c r="P1962" s="7">
        <v>5.1230000000000002</v>
      </c>
      <c r="Q1962" s="7">
        <v>4.7729999999999997</v>
      </c>
      <c r="R1962" s="7">
        <v>5.5570000000000004</v>
      </c>
      <c r="S1962" s="7">
        <f t="shared" si="30"/>
        <v>4.8460000000000001</v>
      </c>
    </row>
    <row r="1963" spans="1:19">
      <c r="A1963" s="5" t="str">
        <f>B1963&amp;"-"&amp;COUNTIF($B$2:B1963,B1963)</f>
        <v>MINAS GERAIS-397</v>
      </c>
      <c r="B1963" s="5" t="s">
        <v>1126</v>
      </c>
      <c r="C1963" s="5" t="s">
        <v>1400</v>
      </c>
      <c r="D1963" s="6">
        <v>-418094</v>
      </c>
      <c r="E1963" s="6">
        <v>-184615</v>
      </c>
      <c r="F1963" s="7">
        <v>4.9189999999999996</v>
      </c>
      <c r="G1963" s="7">
        <v>6.02</v>
      </c>
      <c r="H1963" s="7">
        <v>6.1890000000000001</v>
      </c>
      <c r="I1963" s="7">
        <v>5.3449999999999998</v>
      </c>
      <c r="J1963" s="7">
        <v>4.68</v>
      </c>
      <c r="K1963" s="7">
        <v>3.9350000000000001</v>
      </c>
      <c r="L1963" s="7">
        <v>3.6589999999999998</v>
      </c>
      <c r="M1963" s="7">
        <v>3.766</v>
      </c>
      <c r="N1963" s="7">
        <v>4.43</v>
      </c>
      <c r="O1963" s="7">
        <v>4.9580000000000002</v>
      </c>
      <c r="P1963" s="7">
        <v>5.2140000000000004</v>
      </c>
      <c r="Q1963" s="7">
        <v>4.9690000000000003</v>
      </c>
      <c r="R1963" s="7">
        <v>5.8680000000000003</v>
      </c>
      <c r="S1963" s="7">
        <f t="shared" si="30"/>
        <v>4.9194166666666659</v>
      </c>
    </row>
    <row r="1964" spans="1:19">
      <c r="A1964" s="5" t="str">
        <f>B1964&amp;"-"&amp;COUNTIF($B$2:B1964,B1964)</f>
        <v>MINAS GERAIS-398</v>
      </c>
      <c r="B1964" s="5" t="s">
        <v>1126</v>
      </c>
      <c r="C1964" s="5" t="s">
        <v>4849</v>
      </c>
      <c r="D1964" s="6">
        <v>-433135</v>
      </c>
      <c r="E1964" s="6">
        <v>-158027</v>
      </c>
      <c r="F1964" s="7">
        <v>5.7370000000000001</v>
      </c>
      <c r="G1964" s="7">
        <v>6.5759999999999996</v>
      </c>
      <c r="H1964" s="7">
        <v>6.7370000000000001</v>
      </c>
      <c r="I1964" s="7">
        <v>5.84</v>
      </c>
      <c r="J1964" s="7">
        <v>5.484</v>
      </c>
      <c r="K1964" s="7">
        <v>4.8659999999999997</v>
      </c>
      <c r="L1964" s="7">
        <v>4.5919999999999996</v>
      </c>
      <c r="M1964" s="7">
        <v>4.8319999999999999</v>
      </c>
      <c r="N1964" s="7">
        <v>5.5730000000000004</v>
      </c>
      <c r="O1964" s="7">
        <v>5.9870000000000001</v>
      </c>
      <c r="P1964" s="7">
        <v>6.1929999999999996</v>
      </c>
      <c r="Q1964" s="7">
        <v>5.7990000000000004</v>
      </c>
      <c r="R1964" s="7">
        <v>6.3719999999999999</v>
      </c>
      <c r="S1964" s="7">
        <f t="shared" si="30"/>
        <v>5.7375833333333333</v>
      </c>
    </row>
    <row r="1965" spans="1:19">
      <c r="A1965" s="5" t="str">
        <f>B1965&amp;"-"&amp;COUNTIF($B$2:B1965,B1965)</f>
        <v>MINAS GERAIS-399</v>
      </c>
      <c r="B1965" s="5" t="s">
        <v>1126</v>
      </c>
      <c r="C1965" s="5" t="s">
        <v>5595</v>
      </c>
      <c r="D1965" s="6">
        <v>-443643</v>
      </c>
      <c r="E1965" s="6">
        <v>-154806</v>
      </c>
      <c r="F1965" s="7">
        <v>5.8150000000000004</v>
      </c>
      <c r="G1965" s="7">
        <v>6.4870000000000001</v>
      </c>
      <c r="H1965" s="7">
        <v>6.718</v>
      </c>
      <c r="I1965" s="7">
        <v>5.9349999999999996</v>
      </c>
      <c r="J1965" s="7">
        <v>5.6769999999999996</v>
      </c>
      <c r="K1965" s="7">
        <v>5.0979999999999999</v>
      </c>
      <c r="L1965" s="7">
        <v>4.7859999999999996</v>
      </c>
      <c r="M1965" s="7">
        <v>5.1150000000000002</v>
      </c>
      <c r="N1965" s="7">
        <v>5.782</v>
      </c>
      <c r="O1965" s="7">
        <v>6.1050000000000004</v>
      </c>
      <c r="P1965" s="7">
        <v>6.2119999999999997</v>
      </c>
      <c r="Q1965" s="7">
        <v>5.6360000000000001</v>
      </c>
      <c r="R1965" s="7">
        <v>6.2329999999999997</v>
      </c>
      <c r="S1965" s="7">
        <f t="shared" si="30"/>
        <v>5.8153333333333341</v>
      </c>
    </row>
    <row r="1966" spans="1:19">
      <c r="A1966" s="5" t="str">
        <f>B1966&amp;"-"&amp;COUNTIF($B$2:B1966,B1966)</f>
        <v>MINAS GERAIS-400</v>
      </c>
      <c r="B1966" s="5" t="s">
        <v>1126</v>
      </c>
      <c r="C1966" s="5" t="s">
        <v>1401</v>
      </c>
      <c r="D1966" s="6">
        <v>-455019</v>
      </c>
      <c r="E1966" s="6">
        <v>-201447</v>
      </c>
      <c r="F1966" s="7">
        <v>5.1859999999999999</v>
      </c>
      <c r="G1966" s="7">
        <v>5.907</v>
      </c>
      <c r="H1966" s="7">
        <v>5.9649999999999999</v>
      </c>
      <c r="I1966" s="7">
        <v>5.1109999999999998</v>
      </c>
      <c r="J1966" s="7">
        <v>4.9690000000000003</v>
      </c>
      <c r="K1966" s="7">
        <v>4.3550000000000004</v>
      </c>
      <c r="L1966" s="7">
        <v>4.1319999999999997</v>
      </c>
      <c r="M1966" s="7">
        <v>4.4059999999999997</v>
      </c>
      <c r="N1966" s="7">
        <v>5.2830000000000004</v>
      </c>
      <c r="O1966" s="7">
        <v>5.4969999999999999</v>
      </c>
      <c r="P1966" s="7">
        <v>5.6050000000000004</v>
      </c>
      <c r="Q1966" s="7">
        <v>5.2990000000000004</v>
      </c>
      <c r="R1966" s="7">
        <v>5.7030000000000003</v>
      </c>
      <c r="S1966" s="7">
        <f t="shared" si="30"/>
        <v>5.1860000000000008</v>
      </c>
    </row>
    <row r="1967" spans="1:19">
      <c r="A1967" s="5" t="str">
        <f>B1967&amp;"-"&amp;COUNTIF($B$2:B1967,B1967)</f>
        <v>MINAS GERAIS-401</v>
      </c>
      <c r="B1967" s="5" t="s">
        <v>1126</v>
      </c>
      <c r="C1967" s="5" t="s">
        <v>1402</v>
      </c>
      <c r="D1967" s="6">
        <v>-442755</v>
      </c>
      <c r="E1967" s="6">
        <v>-159984</v>
      </c>
      <c r="F1967" s="7">
        <v>5.7140000000000004</v>
      </c>
      <c r="G1967" s="7">
        <v>6.3179999999999996</v>
      </c>
      <c r="H1967" s="7">
        <v>6.5609999999999999</v>
      </c>
      <c r="I1967" s="7">
        <v>5.7130000000000001</v>
      </c>
      <c r="J1967" s="7">
        <v>5.5510000000000002</v>
      </c>
      <c r="K1967" s="7">
        <v>4.9829999999999997</v>
      </c>
      <c r="L1967" s="7">
        <v>4.7300000000000004</v>
      </c>
      <c r="M1967" s="7">
        <v>5.0679999999999996</v>
      </c>
      <c r="N1967" s="7">
        <v>5.8129999999999997</v>
      </c>
      <c r="O1967" s="7">
        <v>6.1239999999999997</v>
      </c>
      <c r="P1967" s="7">
        <v>6.109</v>
      </c>
      <c r="Q1967" s="7">
        <v>5.4710000000000001</v>
      </c>
      <c r="R1967" s="7">
        <v>6.1260000000000003</v>
      </c>
      <c r="S1967" s="7">
        <f t="shared" si="30"/>
        <v>5.713916666666667</v>
      </c>
    </row>
    <row r="1968" spans="1:19">
      <c r="A1968" s="5" t="str">
        <f>B1968&amp;"-"&amp;COUNTIF($B$2:B1968,B1968)</f>
        <v>MINAS GERAIS-402</v>
      </c>
      <c r="B1968" s="5" t="s">
        <v>1126</v>
      </c>
      <c r="C1968" s="5" t="s">
        <v>1403</v>
      </c>
      <c r="D1968" s="6">
        <v>-439898</v>
      </c>
      <c r="E1968" s="6">
        <v>-205343</v>
      </c>
      <c r="F1968" s="7">
        <v>4.9450000000000003</v>
      </c>
      <c r="G1968" s="7">
        <v>5.6509999999999998</v>
      </c>
      <c r="H1968" s="7">
        <v>5.8449999999999998</v>
      </c>
      <c r="I1968" s="7">
        <v>4.9649999999999999</v>
      </c>
      <c r="J1968" s="7">
        <v>4.6280000000000001</v>
      </c>
      <c r="K1968" s="7">
        <v>4.1029999999999998</v>
      </c>
      <c r="L1968" s="7">
        <v>3.8980000000000001</v>
      </c>
      <c r="M1968" s="7">
        <v>4.0830000000000002</v>
      </c>
      <c r="N1968" s="7">
        <v>5.0289999999999999</v>
      </c>
      <c r="O1968" s="7">
        <v>5.234</v>
      </c>
      <c r="P1968" s="7">
        <v>5.3310000000000004</v>
      </c>
      <c r="Q1968" s="7">
        <v>5.0640000000000001</v>
      </c>
      <c r="R1968" s="7">
        <v>5.516</v>
      </c>
      <c r="S1968" s="7">
        <f t="shared" si="30"/>
        <v>4.9455833333333334</v>
      </c>
    </row>
    <row r="1969" spans="1:19">
      <c r="A1969" s="5" t="str">
        <f>B1969&amp;"-"&amp;COUNTIF($B$2:B1969,B1969)</f>
        <v>MINAS GERAIS-403</v>
      </c>
      <c r="B1969" s="5" t="s">
        <v>1126</v>
      </c>
      <c r="C1969" s="5" t="s">
        <v>1404</v>
      </c>
      <c r="D1969" s="6">
        <v>-422593</v>
      </c>
      <c r="E1969" s="6">
        <v>-170836</v>
      </c>
      <c r="F1969" s="7">
        <v>5.1779999999999999</v>
      </c>
      <c r="G1969" s="7">
        <v>6.258</v>
      </c>
      <c r="H1969" s="7">
        <v>6.4429999999999996</v>
      </c>
      <c r="I1969" s="7">
        <v>5.4370000000000003</v>
      </c>
      <c r="J1969" s="7">
        <v>4.7190000000000003</v>
      </c>
      <c r="K1969" s="7">
        <v>4.0810000000000004</v>
      </c>
      <c r="L1969" s="7">
        <v>3.859</v>
      </c>
      <c r="M1969" s="7">
        <v>4.0819999999999999</v>
      </c>
      <c r="N1969" s="7">
        <v>4.8529999999999998</v>
      </c>
      <c r="O1969" s="7">
        <v>5.4160000000000004</v>
      </c>
      <c r="P1969" s="7">
        <v>5.6230000000000002</v>
      </c>
      <c r="Q1969" s="7">
        <v>5.3019999999999996</v>
      </c>
      <c r="R1969" s="7">
        <v>6.0590000000000002</v>
      </c>
      <c r="S1969" s="7">
        <f t="shared" si="30"/>
        <v>5.1776666666666671</v>
      </c>
    </row>
    <row r="1970" spans="1:19">
      <c r="A1970" s="5" t="str">
        <f>B1970&amp;"-"&amp;COUNTIF($B$2:B1970,B1970)</f>
        <v>MINAS GERAIS-404</v>
      </c>
      <c r="B1970" s="5" t="s">
        <v>1126</v>
      </c>
      <c r="C1970" s="5" t="s">
        <v>1405</v>
      </c>
      <c r="D1970" s="6">
        <v>-426654</v>
      </c>
      <c r="E1970" s="6">
        <v>-204547</v>
      </c>
      <c r="F1970" s="7">
        <v>4.8840000000000003</v>
      </c>
      <c r="G1970" s="7">
        <v>5.8310000000000004</v>
      </c>
      <c r="H1970" s="7">
        <v>6.1</v>
      </c>
      <c r="I1970" s="7">
        <v>5.1379999999999999</v>
      </c>
      <c r="J1970" s="7">
        <v>4.556</v>
      </c>
      <c r="K1970" s="7">
        <v>3.907</v>
      </c>
      <c r="L1970" s="7">
        <v>3.6720000000000002</v>
      </c>
      <c r="M1970" s="7">
        <v>3.8879999999999999</v>
      </c>
      <c r="N1970" s="7">
        <v>4.67</v>
      </c>
      <c r="O1970" s="7">
        <v>4.9459999999999997</v>
      </c>
      <c r="P1970" s="7">
        <v>5.1989999999999998</v>
      </c>
      <c r="Q1970" s="7">
        <v>4.9859999999999998</v>
      </c>
      <c r="R1970" s="7">
        <v>5.7160000000000002</v>
      </c>
      <c r="S1970" s="7">
        <f t="shared" si="30"/>
        <v>4.8840833333333338</v>
      </c>
    </row>
    <row r="1971" spans="1:19">
      <c r="A1971" s="5" t="str">
        <f>B1971&amp;"-"&amp;COUNTIF($B$2:B1971,B1971)</f>
        <v>MINAS GERAIS-405</v>
      </c>
      <c r="B1971" s="5" t="s">
        <v>1126</v>
      </c>
      <c r="C1971" s="5" t="s">
        <v>1406</v>
      </c>
      <c r="D1971" s="6">
        <v>-444375</v>
      </c>
      <c r="E1971" s="6">
        <v>-172331</v>
      </c>
      <c r="F1971" s="7">
        <v>5.63</v>
      </c>
      <c r="G1971" s="7">
        <v>6.3090000000000002</v>
      </c>
      <c r="H1971" s="7">
        <v>6.5949999999999998</v>
      </c>
      <c r="I1971" s="7">
        <v>5.665</v>
      </c>
      <c r="J1971" s="7">
        <v>5.4889999999999999</v>
      </c>
      <c r="K1971" s="7">
        <v>4.92</v>
      </c>
      <c r="L1971" s="7">
        <v>4.5430000000000001</v>
      </c>
      <c r="M1971" s="7">
        <v>4.883</v>
      </c>
      <c r="N1971" s="7">
        <v>5.5410000000000004</v>
      </c>
      <c r="O1971" s="7">
        <v>5.9720000000000004</v>
      </c>
      <c r="P1971" s="7">
        <v>6.06</v>
      </c>
      <c r="Q1971" s="7">
        <v>5.5149999999999997</v>
      </c>
      <c r="R1971" s="7">
        <v>6.0659999999999998</v>
      </c>
      <c r="S1971" s="7">
        <f t="shared" si="30"/>
        <v>5.6298333333333339</v>
      </c>
    </row>
    <row r="1972" spans="1:19">
      <c r="A1972" s="5" t="str">
        <f>B1972&amp;"-"&amp;COUNTIF($B$2:B1972,B1972)</f>
        <v>MINAS GERAIS-406</v>
      </c>
      <c r="B1972" s="5" t="s">
        <v>1126</v>
      </c>
      <c r="C1972" s="5" t="s">
        <v>5596</v>
      </c>
      <c r="D1972" s="6">
        <v>-44028</v>
      </c>
      <c r="E1972" s="6">
        <v>-19236</v>
      </c>
      <c r="F1972" s="7">
        <v>5.3639999999999999</v>
      </c>
      <c r="G1972" s="7">
        <v>6.0570000000000004</v>
      </c>
      <c r="H1972" s="7">
        <v>6.28</v>
      </c>
      <c r="I1972" s="7">
        <v>5.444</v>
      </c>
      <c r="J1972" s="7">
        <v>5.0449999999999999</v>
      </c>
      <c r="K1972" s="7">
        <v>4.5069999999999997</v>
      </c>
      <c r="L1972" s="7">
        <v>4.21</v>
      </c>
      <c r="M1972" s="7">
        <v>4.569</v>
      </c>
      <c r="N1972" s="7">
        <v>5.3529999999999998</v>
      </c>
      <c r="O1972" s="7">
        <v>5.7190000000000003</v>
      </c>
      <c r="P1972" s="7">
        <v>5.8079999999999998</v>
      </c>
      <c r="Q1972" s="7">
        <v>5.5229999999999997</v>
      </c>
      <c r="R1972" s="7">
        <v>5.851</v>
      </c>
      <c r="S1972" s="7">
        <f t="shared" si="30"/>
        <v>5.363833333333333</v>
      </c>
    </row>
    <row r="1973" spans="1:19">
      <c r="A1973" s="5" t="str">
        <f>B1973&amp;"-"&amp;COUNTIF($B$2:B1973,B1973)</f>
        <v>MINAS GERAIS-407</v>
      </c>
      <c r="B1973" s="5" t="s">
        <v>1126</v>
      </c>
      <c r="C1973" s="5" t="s">
        <v>1407</v>
      </c>
      <c r="D1973" s="6">
        <v>-410121</v>
      </c>
      <c r="E1973" s="6">
        <v>-164379</v>
      </c>
      <c r="F1973" s="7">
        <v>5.0289999999999999</v>
      </c>
      <c r="G1973" s="7">
        <v>6.0949999999999998</v>
      </c>
      <c r="H1973" s="7">
        <v>6.2619999999999996</v>
      </c>
      <c r="I1973" s="7">
        <v>5.4390000000000001</v>
      </c>
      <c r="J1973" s="7">
        <v>4.766</v>
      </c>
      <c r="K1973" s="7">
        <v>3.9969999999999999</v>
      </c>
      <c r="L1973" s="7">
        <v>3.649</v>
      </c>
      <c r="M1973" s="7">
        <v>3.827</v>
      </c>
      <c r="N1973" s="7">
        <v>4.4649999999999999</v>
      </c>
      <c r="O1973" s="7">
        <v>5.234</v>
      </c>
      <c r="P1973" s="7">
        <v>5.3879999999999999</v>
      </c>
      <c r="Q1973" s="7">
        <v>5.181</v>
      </c>
      <c r="R1973" s="7">
        <v>6.0419999999999998</v>
      </c>
      <c r="S1973" s="7">
        <f t="shared" si="30"/>
        <v>5.0287499999999996</v>
      </c>
    </row>
    <row r="1974" spans="1:19">
      <c r="A1974" s="5" t="str">
        <f>B1974&amp;"-"&amp;COUNTIF($B$2:B1974,B1974)</f>
        <v>MINAS GERAIS-408</v>
      </c>
      <c r="B1974" s="5" t="s">
        <v>1126</v>
      </c>
      <c r="C1974" s="5" t="s">
        <v>4969</v>
      </c>
      <c r="D1974" s="6">
        <v>-452915</v>
      </c>
      <c r="E1974" s="6">
        <v>-219891</v>
      </c>
      <c r="F1974" s="7">
        <v>4.8339999999999996</v>
      </c>
      <c r="G1974" s="7">
        <v>5.4240000000000004</v>
      </c>
      <c r="H1974" s="7">
        <v>5.6609999999999996</v>
      </c>
      <c r="I1974" s="7">
        <v>4.8719999999999999</v>
      </c>
      <c r="J1974" s="7">
        <v>4.5599999999999996</v>
      </c>
      <c r="K1974" s="7">
        <v>3.9340000000000002</v>
      </c>
      <c r="L1974" s="7">
        <v>3.6269999999999998</v>
      </c>
      <c r="M1974" s="7">
        <v>3.8879999999999999</v>
      </c>
      <c r="N1974" s="7">
        <v>4.7859999999999996</v>
      </c>
      <c r="O1974" s="7">
        <v>5.0019999999999998</v>
      </c>
      <c r="P1974" s="7">
        <v>5.3819999999999997</v>
      </c>
      <c r="Q1974" s="7">
        <v>5.2729999999999997</v>
      </c>
      <c r="R1974" s="7">
        <v>5.6029999999999998</v>
      </c>
      <c r="S1974" s="7">
        <f t="shared" si="30"/>
        <v>4.8343333333333343</v>
      </c>
    </row>
    <row r="1975" spans="1:19">
      <c r="A1975" s="5" t="str">
        <f>B1975&amp;"-"&amp;COUNTIF($B$2:B1975,B1975)</f>
        <v>MINAS GERAIS-409</v>
      </c>
      <c r="B1975" s="5" t="s">
        <v>1126</v>
      </c>
      <c r="C1975" s="5" t="s">
        <v>4000</v>
      </c>
      <c r="D1975" s="6">
        <v>-431738</v>
      </c>
      <c r="E1975" s="6">
        <v>-198131</v>
      </c>
      <c r="F1975" s="7">
        <v>4.734</v>
      </c>
      <c r="G1975" s="7">
        <v>5.4989999999999997</v>
      </c>
      <c r="H1975" s="7">
        <v>5.8090000000000002</v>
      </c>
      <c r="I1975" s="7">
        <v>4.8789999999999996</v>
      </c>
      <c r="J1975" s="7">
        <v>4.4480000000000004</v>
      </c>
      <c r="K1975" s="7">
        <v>3.8260000000000001</v>
      </c>
      <c r="L1975" s="7">
        <v>3.6880000000000002</v>
      </c>
      <c r="M1975" s="7">
        <v>3.9020000000000001</v>
      </c>
      <c r="N1975" s="7">
        <v>4.681</v>
      </c>
      <c r="O1975" s="7">
        <v>4.9560000000000004</v>
      </c>
      <c r="P1975" s="7">
        <v>5.0220000000000002</v>
      </c>
      <c r="Q1975" s="7">
        <v>4.718</v>
      </c>
      <c r="R1975" s="7">
        <v>5.3789999999999996</v>
      </c>
      <c r="S1975" s="7">
        <f t="shared" si="30"/>
        <v>4.7339166666666666</v>
      </c>
    </row>
    <row r="1976" spans="1:19">
      <c r="A1976" s="5" t="str">
        <f>B1976&amp;"-"&amp;COUNTIF($B$2:B1976,B1976)</f>
        <v>MINAS GERAIS-410</v>
      </c>
      <c r="B1976" s="5" t="s">
        <v>1126</v>
      </c>
      <c r="C1976" s="5" t="s">
        <v>4001</v>
      </c>
      <c r="D1976" s="6">
        <v>-46176</v>
      </c>
      <c r="E1976" s="6">
        <v>-177418</v>
      </c>
      <c r="F1976" s="7">
        <v>5.5140000000000002</v>
      </c>
      <c r="G1976" s="7">
        <v>6.0940000000000003</v>
      </c>
      <c r="H1976" s="7">
        <v>6.3029999999999999</v>
      </c>
      <c r="I1976" s="7">
        <v>5.4219999999999997</v>
      </c>
      <c r="J1976" s="7">
        <v>5.234</v>
      </c>
      <c r="K1976" s="7">
        <v>4.8150000000000004</v>
      </c>
      <c r="L1976" s="7">
        <v>4.5659999999999998</v>
      </c>
      <c r="M1976" s="7">
        <v>4.891</v>
      </c>
      <c r="N1976" s="7">
        <v>5.7119999999999997</v>
      </c>
      <c r="O1976" s="7">
        <v>5.8289999999999997</v>
      </c>
      <c r="P1976" s="7">
        <v>5.8339999999999996</v>
      </c>
      <c r="Q1976" s="7">
        <v>5.5419999999999998</v>
      </c>
      <c r="R1976" s="7">
        <v>5.923</v>
      </c>
      <c r="S1976" s="7">
        <f t="shared" si="30"/>
        <v>5.513749999999999</v>
      </c>
    </row>
    <row r="1977" spans="1:19">
      <c r="A1977" s="5" t="str">
        <f>B1977&amp;"-"&amp;COUNTIF($B$2:B1977,B1977)</f>
        <v>MINAS GERAIS-411</v>
      </c>
      <c r="B1977" s="5" t="s">
        <v>1126</v>
      </c>
      <c r="C1977" s="5" t="s">
        <v>1408</v>
      </c>
      <c r="D1977" s="6">
        <v>-410232</v>
      </c>
      <c r="E1977" s="6">
        <v>-166527</v>
      </c>
      <c r="F1977" s="7">
        <v>5.0110000000000001</v>
      </c>
      <c r="G1977" s="7">
        <v>6.1639999999999997</v>
      </c>
      <c r="H1977" s="7">
        <v>6.3890000000000002</v>
      </c>
      <c r="I1977" s="7">
        <v>5.4550000000000001</v>
      </c>
      <c r="J1977" s="7">
        <v>4.7469999999999999</v>
      </c>
      <c r="K1977" s="7">
        <v>3.94</v>
      </c>
      <c r="L1977" s="7">
        <v>3.593</v>
      </c>
      <c r="M1977" s="7">
        <v>3.7189999999999999</v>
      </c>
      <c r="N1977" s="7">
        <v>4.34</v>
      </c>
      <c r="O1977" s="7">
        <v>5.117</v>
      </c>
      <c r="P1977" s="7">
        <v>5.34</v>
      </c>
      <c r="Q1977" s="7">
        <v>5.24</v>
      </c>
      <c r="R1977" s="7">
        <v>6.0910000000000002</v>
      </c>
      <c r="S1977" s="7">
        <f t="shared" si="30"/>
        <v>5.0112500000000004</v>
      </c>
    </row>
    <row r="1978" spans="1:19">
      <c r="A1978" s="5" t="str">
        <f>B1978&amp;"-"&amp;COUNTIF($B$2:B1978,B1978)</f>
        <v>MINAS GERAIS-412</v>
      </c>
      <c r="B1978" s="5" t="s">
        <v>1126</v>
      </c>
      <c r="C1978" s="5" t="s">
        <v>4350</v>
      </c>
      <c r="D1978" s="6">
        <v>-426778</v>
      </c>
      <c r="E1978" s="6">
        <v>-191734</v>
      </c>
      <c r="F1978" s="7">
        <v>4.9130000000000003</v>
      </c>
      <c r="G1978" s="7">
        <v>5.9290000000000003</v>
      </c>
      <c r="H1978" s="7">
        <v>6.1870000000000003</v>
      </c>
      <c r="I1978" s="7">
        <v>5.1870000000000003</v>
      </c>
      <c r="J1978" s="7">
        <v>4.6660000000000004</v>
      </c>
      <c r="K1978" s="7">
        <v>3.9489999999999998</v>
      </c>
      <c r="L1978" s="7">
        <v>3.7240000000000002</v>
      </c>
      <c r="M1978" s="7">
        <v>3.895</v>
      </c>
      <c r="N1978" s="7">
        <v>4.5860000000000003</v>
      </c>
      <c r="O1978" s="7">
        <v>4.9480000000000004</v>
      </c>
      <c r="P1978" s="7">
        <v>5.1719999999999997</v>
      </c>
      <c r="Q1978" s="7">
        <v>4.9550000000000001</v>
      </c>
      <c r="R1978" s="7">
        <v>5.7549999999999999</v>
      </c>
      <c r="S1978" s="7">
        <f t="shared" si="30"/>
        <v>4.91275</v>
      </c>
    </row>
    <row r="1979" spans="1:19">
      <c r="A1979" s="5" t="str">
        <f>B1979&amp;"-"&amp;COUNTIF($B$2:B1979,B1979)</f>
        <v>MINAS GERAIS-413</v>
      </c>
      <c r="B1979" s="5" t="s">
        <v>1126</v>
      </c>
      <c r="C1979" s="5" t="s">
        <v>1409</v>
      </c>
      <c r="D1979" s="6">
        <v>-44172</v>
      </c>
      <c r="E1979" s="6">
        <v>-17758</v>
      </c>
      <c r="F1979" s="7">
        <v>5.4420000000000002</v>
      </c>
      <c r="G1979" s="7">
        <v>6.0250000000000004</v>
      </c>
      <c r="H1979" s="7">
        <v>6.4029999999999996</v>
      </c>
      <c r="I1979" s="7">
        <v>5.327</v>
      </c>
      <c r="J1979" s="7">
        <v>5.1040000000000001</v>
      </c>
      <c r="K1979" s="7">
        <v>4.6609999999999996</v>
      </c>
      <c r="L1979" s="7">
        <v>4.4690000000000003</v>
      </c>
      <c r="M1979" s="7">
        <v>4.82</v>
      </c>
      <c r="N1979" s="7">
        <v>5.5570000000000004</v>
      </c>
      <c r="O1979" s="7">
        <v>5.96</v>
      </c>
      <c r="P1979" s="7">
        <v>5.8719999999999999</v>
      </c>
      <c r="Q1979" s="7">
        <v>5.2560000000000002</v>
      </c>
      <c r="R1979" s="7">
        <v>5.851</v>
      </c>
      <c r="S1979" s="7">
        <f t="shared" si="30"/>
        <v>5.4420833333333336</v>
      </c>
    </row>
    <row r="1980" spans="1:19">
      <c r="A1980" s="5" t="str">
        <f>B1980&amp;"-"&amp;COUNTIF($B$2:B1980,B1980)</f>
        <v>MINAS GERAIS-414</v>
      </c>
      <c r="B1980" s="5" t="s">
        <v>1126</v>
      </c>
      <c r="C1980" s="5" t="s">
        <v>4970</v>
      </c>
      <c r="D1980" s="6">
        <v>-40179</v>
      </c>
      <c r="E1980" s="6">
        <v>-158987</v>
      </c>
      <c r="F1980" s="7">
        <v>4.944</v>
      </c>
      <c r="G1980" s="7">
        <v>5.97</v>
      </c>
      <c r="H1980" s="7">
        <v>6.1429999999999998</v>
      </c>
      <c r="I1980" s="7">
        <v>5.5140000000000002</v>
      </c>
      <c r="J1980" s="7">
        <v>4.7969999999999997</v>
      </c>
      <c r="K1980" s="7">
        <v>3.9489999999999998</v>
      </c>
      <c r="L1980" s="7">
        <v>3.5489999999999999</v>
      </c>
      <c r="M1980" s="7">
        <v>3.7469999999999999</v>
      </c>
      <c r="N1980" s="7">
        <v>4.2549999999999999</v>
      </c>
      <c r="O1980" s="7">
        <v>4.97</v>
      </c>
      <c r="P1980" s="7">
        <v>5.12</v>
      </c>
      <c r="Q1980" s="7">
        <v>5.2119999999999997</v>
      </c>
      <c r="R1980" s="7">
        <v>6.0990000000000002</v>
      </c>
      <c r="S1980" s="7">
        <f t="shared" si="30"/>
        <v>4.9437500000000005</v>
      </c>
    </row>
    <row r="1981" spans="1:19">
      <c r="A1981" s="5" t="str">
        <f>B1981&amp;"-"&amp;COUNTIF($B$2:B1981,B1981)</f>
        <v>MINAS GERAIS-415</v>
      </c>
      <c r="B1981" s="5" t="s">
        <v>1126</v>
      </c>
      <c r="C1981" s="5" t="s">
        <v>4670</v>
      </c>
      <c r="D1981" s="6">
        <v>-426046</v>
      </c>
      <c r="E1981" s="6">
        <v>-169086</v>
      </c>
      <c r="F1981" s="7">
        <v>5.1349999999999998</v>
      </c>
      <c r="G1981" s="7">
        <v>6.0679999999999996</v>
      </c>
      <c r="H1981" s="7">
        <v>6.3520000000000003</v>
      </c>
      <c r="I1981" s="7">
        <v>5.2839999999999998</v>
      </c>
      <c r="J1981" s="7">
        <v>4.6900000000000004</v>
      </c>
      <c r="K1981" s="7">
        <v>4.069</v>
      </c>
      <c r="L1981" s="7">
        <v>3.9020000000000001</v>
      </c>
      <c r="M1981" s="7">
        <v>4.1479999999999997</v>
      </c>
      <c r="N1981" s="7">
        <v>4.9729999999999999</v>
      </c>
      <c r="O1981" s="7">
        <v>5.484</v>
      </c>
      <c r="P1981" s="7">
        <v>5.617</v>
      </c>
      <c r="Q1981" s="7">
        <v>5.1719999999999997</v>
      </c>
      <c r="R1981" s="7">
        <v>5.8630000000000004</v>
      </c>
      <c r="S1981" s="7">
        <f t="shared" si="30"/>
        <v>5.1351666666666667</v>
      </c>
    </row>
    <row r="1982" spans="1:19">
      <c r="A1982" s="5" t="str">
        <f>B1982&amp;"-"&amp;COUNTIF($B$2:B1982,B1982)</f>
        <v>MINAS GERAIS-416</v>
      </c>
      <c r="B1982" s="5" t="s">
        <v>1126</v>
      </c>
      <c r="C1982" s="5" t="s">
        <v>4351</v>
      </c>
      <c r="D1982" s="6">
        <v>-42495</v>
      </c>
      <c r="E1982" s="5" t="s">
        <v>1410</v>
      </c>
      <c r="F1982" s="7">
        <v>4.9379999999999997</v>
      </c>
      <c r="G1982" s="7">
        <v>5.9630000000000001</v>
      </c>
      <c r="H1982" s="7">
        <v>6.2450000000000001</v>
      </c>
      <c r="I1982" s="7">
        <v>5.2510000000000003</v>
      </c>
      <c r="J1982" s="7">
        <v>4.5759999999999996</v>
      </c>
      <c r="K1982" s="7">
        <v>3.9580000000000002</v>
      </c>
      <c r="L1982" s="7">
        <v>3.7349999999999999</v>
      </c>
      <c r="M1982" s="7">
        <v>3.8519999999999999</v>
      </c>
      <c r="N1982" s="7">
        <v>4.5910000000000002</v>
      </c>
      <c r="O1982" s="7">
        <v>5.101</v>
      </c>
      <c r="P1982" s="7">
        <v>5.3150000000000004</v>
      </c>
      <c r="Q1982" s="7">
        <v>4.931</v>
      </c>
      <c r="R1982" s="7">
        <v>5.734</v>
      </c>
      <c r="S1982" s="7">
        <f t="shared" si="30"/>
        <v>4.937666666666666</v>
      </c>
    </row>
    <row r="1983" spans="1:19">
      <c r="A1983" s="5" t="str">
        <f>B1983&amp;"-"&amp;COUNTIF($B$2:B1983,B1983)</f>
        <v>MINAS GERAIS-417</v>
      </c>
      <c r="B1983" s="5" t="s">
        <v>1126</v>
      </c>
      <c r="C1983" s="5" t="s">
        <v>5131</v>
      </c>
      <c r="D1983" s="6">
        <v>-425154</v>
      </c>
      <c r="E1983" s="6">
        <v>-165422</v>
      </c>
      <c r="F1983" s="7">
        <v>5.13</v>
      </c>
      <c r="G1983" s="7">
        <v>6.0579999999999998</v>
      </c>
      <c r="H1983" s="7">
        <v>6.3179999999999996</v>
      </c>
      <c r="I1983" s="7">
        <v>5.3319999999999999</v>
      </c>
      <c r="J1983" s="7">
        <v>4.6769999999999996</v>
      </c>
      <c r="K1983" s="7">
        <v>4.032</v>
      </c>
      <c r="L1983" s="7">
        <v>3.835</v>
      </c>
      <c r="M1983" s="7">
        <v>4.1239999999999997</v>
      </c>
      <c r="N1983" s="7">
        <v>4.9080000000000004</v>
      </c>
      <c r="O1983" s="7">
        <v>5.4960000000000004</v>
      </c>
      <c r="P1983" s="7">
        <v>5.6639999999999997</v>
      </c>
      <c r="Q1983" s="7">
        <v>5.2039999999999997</v>
      </c>
      <c r="R1983" s="7">
        <v>5.9080000000000004</v>
      </c>
      <c r="S1983" s="7">
        <f t="shared" si="30"/>
        <v>5.129666666666667</v>
      </c>
    </row>
    <row r="1984" spans="1:19">
      <c r="A1984" s="5" t="str">
        <f>B1984&amp;"-"&amp;COUNTIF($B$2:B1984,B1984)</f>
        <v>MINAS GERAIS-418</v>
      </c>
      <c r="B1984" s="5" t="s">
        <v>1126</v>
      </c>
      <c r="C1984" s="5" t="s">
        <v>1411</v>
      </c>
      <c r="D1984" s="6">
        <v>-443413</v>
      </c>
      <c r="E1984" s="6">
        <v>-199558</v>
      </c>
      <c r="F1984" s="7">
        <v>5.1310000000000002</v>
      </c>
      <c r="G1984" s="7">
        <v>5.851</v>
      </c>
      <c r="H1984" s="7">
        <v>6.0190000000000001</v>
      </c>
      <c r="I1984" s="7">
        <v>5.1550000000000002</v>
      </c>
      <c r="J1984" s="7">
        <v>4.8559999999999999</v>
      </c>
      <c r="K1984" s="7">
        <v>4.2229999999999999</v>
      </c>
      <c r="L1984" s="7">
        <v>4.08</v>
      </c>
      <c r="M1984" s="7">
        <v>4.3390000000000004</v>
      </c>
      <c r="N1984" s="7">
        <v>5.1849999999999996</v>
      </c>
      <c r="O1984" s="7">
        <v>5.444</v>
      </c>
      <c r="P1984" s="7">
        <v>5.5679999999999996</v>
      </c>
      <c r="Q1984" s="7">
        <v>5.2930000000000001</v>
      </c>
      <c r="R1984" s="7">
        <v>5.5620000000000003</v>
      </c>
      <c r="S1984" s="7">
        <f t="shared" si="30"/>
        <v>5.1312499999999996</v>
      </c>
    </row>
    <row r="1985" spans="1:19">
      <c r="A1985" s="5" t="str">
        <f>B1985&amp;"-"&amp;COUNTIF($B$2:B1985,B1985)</f>
        <v>MINAS GERAIS-419</v>
      </c>
      <c r="B1985" s="5" t="s">
        <v>1126</v>
      </c>
      <c r="C1985" s="5" t="s">
        <v>1412</v>
      </c>
      <c r="D1985" s="6">
        <v>-433401</v>
      </c>
      <c r="E1985" s="5" t="s">
        <v>1413</v>
      </c>
      <c r="F1985" s="7">
        <v>4.53</v>
      </c>
      <c r="G1985" s="7">
        <v>5.5110000000000001</v>
      </c>
      <c r="H1985" s="7">
        <v>5.8070000000000004</v>
      </c>
      <c r="I1985" s="7">
        <v>4.7640000000000002</v>
      </c>
      <c r="J1985" s="7">
        <v>4.1479999999999997</v>
      </c>
      <c r="K1985" s="7">
        <v>3.5190000000000001</v>
      </c>
      <c r="L1985" s="7">
        <v>3.3490000000000002</v>
      </c>
      <c r="M1985" s="7">
        <v>3.5190000000000001</v>
      </c>
      <c r="N1985" s="7">
        <v>4.2590000000000003</v>
      </c>
      <c r="O1985" s="7">
        <v>4.5439999999999996</v>
      </c>
      <c r="P1985" s="7">
        <v>4.8289999999999997</v>
      </c>
      <c r="Q1985" s="7">
        <v>4.702</v>
      </c>
      <c r="R1985" s="7">
        <v>5.41</v>
      </c>
      <c r="S1985" s="7">
        <f t="shared" si="30"/>
        <v>4.5300833333333337</v>
      </c>
    </row>
    <row r="1986" spans="1:19">
      <c r="A1986" s="5" t="str">
        <f>B1986&amp;"-"&amp;COUNTIF($B$2:B1986,B1986)</f>
        <v>MINAS GERAIS-420</v>
      </c>
      <c r="B1986" s="5" t="s">
        <v>1126</v>
      </c>
      <c r="C1986" s="5" t="s">
        <v>1414</v>
      </c>
      <c r="D1986" s="6">
        <v>-435868</v>
      </c>
      <c r="E1986" s="6">
        <v>-168478</v>
      </c>
      <c r="F1986" s="7">
        <v>5.548</v>
      </c>
      <c r="G1986" s="7">
        <v>6.29</v>
      </c>
      <c r="H1986" s="7">
        <v>6.49</v>
      </c>
      <c r="I1986" s="7">
        <v>5.5209999999999999</v>
      </c>
      <c r="J1986" s="7">
        <v>5.23</v>
      </c>
      <c r="K1986" s="7">
        <v>4.7370000000000001</v>
      </c>
      <c r="L1986" s="7">
        <v>4.476</v>
      </c>
      <c r="M1986" s="7">
        <v>4.7359999999999998</v>
      </c>
      <c r="N1986" s="7">
        <v>5.4880000000000004</v>
      </c>
      <c r="O1986" s="7">
        <v>6.016</v>
      </c>
      <c r="P1986" s="7">
        <v>6.0049999999999999</v>
      </c>
      <c r="Q1986" s="7">
        <v>5.4480000000000004</v>
      </c>
      <c r="R1986" s="7">
        <v>6.1340000000000003</v>
      </c>
      <c r="S1986" s="7">
        <f t="shared" si="30"/>
        <v>5.5475833333333329</v>
      </c>
    </row>
    <row r="1987" spans="1:19">
      <c r="A1987" s="5" t="str">
        <f>B1987&amp;"-"&amp;COUNTIF($B$2:B1987,B1987)</f>
        <v>MINAS GERAIS-421</v>
      </c>
      <c r="B1987" s="5" t="s">
        <v>1126</v>
      </c>
      <c r="C1987" s="5" t="s">
        <v>1415</v>
      </c>
      <c r="D1987" s="6">
        <v>-465739</v>
      </c>
      <c r="E1987" s="6">
        <v>-212498</v>
      </c>
      <c r="F1987" s="7">
        <v>4.8630000000000004</v>
      </c>
      <c r="G1987" s="7">
        <v>5.4189999999999996</v>
      </c>
      <c r="H1987" s="7">
        <v>5.5910000000000002</v>
      </c>
      <c r="I1987" s="7">
        <v>4.7549999999999999</v>
      </c>
      <c r="J1987" s="7">
        <v>4.5869999999999997</v>
      </c>
      <c r="K1987" s="7">
        <v>3.9910000000000001</v>
      </c>
      <c r="L1987" s="7">
        <v>3.7749999999999999</v>
      </c>
      <c r="M1987" s="7">
        <v>4.0759999999999996</v>
      </c>
      <c r="N1987" s="7">
        <v>5.0350000000000001</v>
      </c>
      <c r="O1987" s="7">
        <v>5.0789999999999997</v>
      </c>
      <c r="P1987" s="7">
        <v>5.3490000000000002</v>
      </c>
      <c r="Q1987" s="7">
        <v>5.23</v>
      </c>
      <c r="R1987" s="7">
        <v>5.4649999999999999</v>
      </c>
      <c r="S1987" s="7">
        <f t="shared" ref="S1987:S2050" si="31">(G1987+H1987+I1987+J1987+K1987+L1987+M1987+N1987+O1987+P1987+Q1987+R1987)/12</f>
        <v>4.8626666666666667</v>
      </c>
    </row>
    <row r="1988" spans="1:19">
      <c r="A1988" s="5" t="str">
        <f>B1988&amp;"-"&amp;COUNTIF($B$2:B1988,B1988)</f>
        <v>MINAS GERAIS-422</v>
      </c>
      <c r="B1988" s="5" t="s">
        <v>1126</v>
      </c>
      <c r="C1988" s="5" t="s">
        <v>1416</v>
      </c>
      <c r="D1988" s="5" t="s">
        <v>1417</v>
      </c>
      <c r="E1988" s="6">
        <v>-142667</v>
      </c>
      <c r="F1988" s="7">
        <v>5.8570000000000002</v>
      </c>
      <c r="G1988" s="7">
        <v>6.5609999999999999</v>
      </c>
      <c r="H1988" s="7">
        <v>6.5640000000000001</v>
      </c>
      <c r="I1988" s="7">
        <v>5.9320000000000004</v>
      </c>
      <c r="J1988" s="7">
        <v>5.6660000000000004</v>
      </c>
      <c r="K1988" s="7">
        <v>5.1109999999999998</v>
      </c>
      <c r="L1988" s="7">
        <v>4.8650000000000002</v>
      </c>
      <c r="M1988" s="7">
        <v>5.2619999999999996</v>
      </c>
      <c r="N1988" s="7">
        <v>5.774</v>
      </c>
      <c r="O1988" s="7">
        <v>6.1920000000000002</v>
      </c>
      <c r="P1988" s="7">
        <v>6.2649999999999997</v>
      </c>
      <c r="Q1988" s="7">
        <v>5.7480000000000002</v>
      </c>
      <c r="R1988" s="7">
        <v>6.3479999999999999</v>
      </c>
      <c r="S1988" s="7">
        <f t="shared" si="31"/>
        <v>5.8573333333333339</v>
      </c>
    </row>
    <row r="1989" spans="1:19">
      <c r="A1989" s="5" t="str">
        <f>B1989&amp;"-"&amp;COUNTIF($B$2:B1989,B1989)</f>
        <v>MINAS GERAIS-423</v>
      </c>
      <c r="B1989" s="5" t="s">
        <v>1126</v>
      </c>
      <c r="C1989" s="5" t="s">
        <v>1418</v>
      </c>
      <c r="D1989" s="6">
        <v>-417492</v>
      </c>
      <c r="E1989" s="6">
        <v>-176284</v>
      </c>
      <c r="F1989" s="7">
        <v>4.8979999999999997</v>
      </c>
      <c r="G1989" s="7">
        <v>5.9610000000000003</v>
      </c>
      <c r="H1989" s="7">
        <v>6.2210000000000001</v>
      </c>
      <c r="I1989" s="7">
        <v>5.2409999999999997</v>
      </c>
      <c r="J1989" s="7">
        <v>4.58</v>
      </c>
      <c r="K1989" s="7">
        <v>3.8849999999999998</v>
      </c>
      <c r="L1989" s="7">
        <v>3.589</v>
      </c>
      <c r="M1989" s="7">
        <v>3.7650000000000001</v>
      </c>
      <c r="N1989" s="7">
        <v>4.468</v>
      </c>
      <c r="O1989" s="7">
        <v>5.0060000000000002</v>
      </c>
      <c r="P1989" s="7">
        <v>5.3479999999999999</v>
      </c>
      <c r="Q1989" s="7">
        <v>4.9539999999999997</v>
      </c>
      <c r="R1989" s="7">
        <v>5.7519999999999998</v>
      </c>
      <c r="S1989" s="7">
        <f t="shared" si="31"/>
        <v>4.8975</v>
      </c>
    </row>
    <row r="1990" spans="1:19">
      <c r="A1990" s="5" t="str">
        <f>B1990&amp;"-"&amp;COUNTIF($B$2:B1990,B1990)</f>
        <v>MINAS GERAIS-424</v>
      </c>
      <c r="B1990" s="5" t="s">
        <v>1126</v>
      </c>
      <c r="C1990" s="5" t="s">
        <v>1419</v>
      </c>
      <c r="D1990" s="6">
        <v>-468067</v>
      </c>
      <c r="E1990" s="6">
        <v>-181764</v>
      </c>
      <c r="F1990" s="7">
        <v>5.4</v>
      </c>
      <c r="G1990" s="7">
        <v>5.8029999999999999</v>
      </c>
      <c r="H1990" s="7">
        <v>6.1029999999999998</v>
      </c>
      <c r="I1990" s="7">
        <v>5.1970000000000001</v>
      </c>
      <c r="J1990" s="7">
        <v>5.1669999999999998</v>
      </c>
      <c r="K1990" s="7">
        <v>4.7489999999999997</v>
      </c>
      <c r="L1990" s="7">
        <v>4.51</v>
      </c>
      <c r="M1990" s="7">
        <v>4.8090000000000002</v>
      </c>
      <c r="N1990" s="7">
        <v>5.7009999999999996</v>
      </c>
      <c r="O1990" s="7">
        <v>5.7590000000000003</v>
      </c>
      <c r="P1990" s="7">
        <v>5.798</v>
      </c>
      <c r="Q1990" s="7">
        <v>5.4690000000000003</v>
      </c>
      <c r="R1990" s="7">
        <v>5.7370000000000001</v>
      </c>
      <c r="S1990" s="7">
        <f t="shared" si="31"/>
        <v>5.4001666666666663</v>
      </c>
    </row>
    <row r="1991" spans="1:19">
      <c r="A1991" s="5" t="str">
        <f>B1991&amp;"-"&amp;COUNTIF($B$2:B1991,B1991)</f>
        <v>MINAS GERAIS-425</v>
      </c>
      <c r="B1991" s="5" t="s">
        <v>1126</v>
      </c>
      <c r="C1991" s="5" t="s">
        <v>1420</v>
      </c>
      <c r="D1991" s="6">
        <v>-455405</v>
      </c>
      <c r="E1991" s="6">
        <v>-200242</v>
      </c>
      <c r="F1991" s="7">
        <v>5.2080000000000002</v>
      </c>
      <c r="G1991" s="7">
        <v>5.891</v>
      </c>
      <c r="H1991" s="7">
        <v>6.0579999999999998</v>
      </c>
      <c r="I1991" s="7">
        <v>5.1680000000000001</v>
      </c>
      <c r="J1991" s="7">
        <v>4.9939999999999998</v>
      </c>
      <c r="K1991" s="7">
        <v>4.3840000000000003</v>
      </c>
      <c r="L1991" s="7">
        <v>4.1520000000000001</v>
      </c>
      <c r="M1991" s="7">
        <v>4.4119999999999999</v>
      </c>
      <c r="N1991" s="7">
        <v>5.3170000000000002</v>
      </c>
      <c r="O1991" s="7">
        <v>5.5090000000000003</v>
      </c>
      <c r="P1991" s="7">
        <v>5.6059999999999999</v>
      </c>
      <c r="Q1991" s="7">
        <v>5.3109999999999999</v>
      </c>
      <c r="R1991" s="7">
        <v>5.7</v>
      </c>
      <c r="S1991" s="7">
        <f t="shared" si="31"/>
        <v>5.2085000000000008</v>
      </c>
    </row>
    <row r="1992" spans="1:19">
      <c r="A1992" s="5" t="str">
        <f>B1992&amp;"-"&amp;COUNTIF($B$2:B1992,B1992)</f>
        <v>MINAS GERAIS-426</v>
      </c>
      <c r="B1992" s="5" t="s">
        <v>1126</v>
      </c>
      <c r="C1992" s="5" t="s">
        <v>1421</v>
      </c>
      <c r="D1992" s="6">
        <v>-445791</v>
      </c>
      <c r="E1992" s="6">
        <v>-169825</v>
      </c>
      <c r="F1992" s="7">
        <v>5.5670000000000002</v>
      </c>
      <c r="G1992" s="7">
        <v>6.19</v>
      </c>
      <c r="H1992" s="7">
        <v>6.4690000000000003</v>
      </c>
      <c r="I1992" s="7">
        <v>5.5049999999999999</v>
      </c>
      <c r="J1992" s="7">
        <v>5.3970000000000002</v>
      </c>
      <c r="K1992" s="7">
        <v>4.8650000000000002</v>
      </c>
      <c r="L1992" s="7">
        <v>4.54</v>
      </c>
      <c r="M1992" s="7">
        <v>4.8970000000000002</v>
      </c>
      <c r="N1992" s="7">
        <v>5.6520000000000001</v>
      </c>
      <c r="O1992" s="7">
        <v>5.9960000000000004</v>
      </c>
      <c r="P1992" s="7">
        <v>5.915</v>
      </c>
      <c r="Q1992" s="7">
        <v>5.44</v>
      </c>
      <c r="R1992" s="7">
        <v>5.9370000000000003</v>
      </c>
      <c r="S1992" s="7">
        <f t="shared" si="31"/>
        <v>5.5669166666666667</v>
      </c>
    </row>
    <row r="1993" spans="1:19">
      <c r="A1993" s="5" t="str">
        <f>B1993&amp;"-"&amp;COUNTIF($B$2:B1993,B1993)</f>
        <v>MINAS GERAIS-427</v>
      </c>
      <c r="B1993" s="5" t="s">
        <v>1126</v>
      </c>
      <c r="C1993" s="5" t="s">
        <v>1422</v>
      </c>
      <c r="D1993" s="6">
        <v>-440801</v>
      </c>
      <c r="E1993" s="6">
        <v>-209143</v>
      </c>
      <c r="F1993" s="7">
        <v>4.8159999999999998</v>
      </c>
      <c r="G1993" s="7">
        <v>5.5750000000000002</v>
      </c>
      <c r="H1993" s="7">
        <v>5.8419999999999996</v>
      </c>
      <c r="I1993" s="7">
        <v>4.8540000000000001</v>
      </c>
      <c r="J1993" s="7">
        <v>4.423</v>
      </c>
      <c r="K1993" s="7">
        <v>3.83</v>
      </c>
      <c r="L1993" s="7">
        <v>3.6960000000000002</v>
      </c>
      <c r="M1993" s="7">
        <v>3.9169999999999998</v>
      </c>
      <c r="N1993" s="7">
        <v>4.851</v>
      </c>
      <c r="O1993" s="7">
        <v>5.0529999999999999</v>
      </c>
      <c r="P1993" s="7">
        <v>5.25</v>
      </c>
      <c r="Q1993" s="7">
        <v>4.9580000000000002</v>
      </c>
      <c r="R1993" s="7">
        <v>5.5410000000000004</v>
      </c>
      <c r="S1993" s="7">
        <f t="shared" si="31"/>
        <v>4.815833333333333</v>
      </c>
    </row>
    <row r="1994" spans="1:19">
      <c r="A1994" s="5" t="str">
        <f>B1994&amp;"-"&amp;COUNTIF($B$2:B1994,B1994)</f>
        <v>MINAS GERAIS-428</v>
      </c>
      <c r="B1994" s="5" t="s">
        <v>1126</v>
      </c>
      <c r="C1994" s="5" t="s">
        <v>1423</v>
      </c>
      <c r="D1994" s="6">
        <v>-464016</v>
      </c>
      <c r="E1994" s="6">
        <v>-18772</v>
      </c>
      <c r="F1994" s="7">
        <v>5.3070000000000004</v>
      </c>
      <c r="G1994" s="7">
        <v>5.7590000000000003</v>
      </c>
      <c r="H1994" s="7">
        <v>6.0140000000000002</v>
      </c>
      <c r="I1994" s="7">
        <v>5.1159999999999997</v>
      </c>
      <c r="J1994" s="7">
        <v>5.0279999999999996</v>
      </c>
      <c r="K1994" s="7">
        <v>4.673</v>
      </c>
      <c r="L1994" s="7">
        <v>4.4009999999999998</v>
      </c>
      <c r="M1994" s="7">
        <v>4.7030000000000003</v>
      </c>
      <c r="N1994" s="7">
        <v>5.6429999999999998</v>
      </c>
      <c r="O1994" s="7">
        <v>5.6769999999999996</v>
      </c>
      <c r="P1994" s="7">
        <v>5.6639999999999997</v>
      </c>
      <c r="Q1994" s="7">
        <v>5.3559999999999999</v>
      </c>
      <c r="R1994" s="7">
        <v>5.65</v>
      </c>
      <c r="S1994" s="7">
        <f t="shared" si="31"/>
        <v>5.3069999999999995</v>
      </c>
    </row>
    <row r="1995" spans="1:19">
      <c r="A1995" s="5" t="str">
        <f>B1995&amp;"-"&amp;COUNTIF($B$2:B1995,B1995)</f>
        <v>MINAS GERAIS-429</v>
      </c>
      <c r="B1995" s="5" t="s">
        <v>1126</v>
      </c>
      <c r="C1995" s="5" t="s">
        <v>1424</v>
      </c>
      <c r="D1995" s="6">
        <v>-465187</v>
      </c>
      <c r="E1995" s="6">
        <v>-178436</v>
      </c>
      <c r="F1995" s="7">
        <v>5.51</v>
      </c>
      <c r="G1995" s="7">
        <v>6.0209999999999999</v>
      </c>
      <c r="H1995" s="7">
        <v>6.2969999999999997</v>
      </c>
      <c r="I1995" s="7">
        <v>5.407</v>
      </c>
      <c r="J1995" s="7">
        <v>5.2670000000000003</v>
      </c>
      <c r="K1995" s="7">
        <v>4.8019999999999996</v>
      </c>
      <c r="L1995" s="7">
        <v>4.5720000000000001</v>
      </c>
      <c r="M1995" s="7">
        <v>4.891</v>
      </c>
      <c r="N1995" s="7">
        <v>5.6680000000000001</v>
      </c>
      <c r="O1995" s="7">
        <v>5.8330000000000002</v>
      </c>
      <c r="P1995" s="7">
        <v>5.9249999999999998</v>
      </c>
      <c r="Q1995" s="7">
        <v>5.5339999999999998</v>
      </c>
      <c r="R1995" s="7">
        <v>5.8959999999999999</v>
      </c>
      <c r="S1995" s="7">
        <f t="shared" si="31"/>
        <v>5.5094166666666657</v>
      </c>
    </row>
    <row r="1996" spans="1:19">
      <c r="A1996" s="5" t="str">
        <f>B1996&amp;"-"&amp;COUNTIF($B$2:B1996,B1996)</f>
        <v>MINAS GERAIS-430</v>
      </c>
      <c r="B1996" s="5" t="s">
        <v>1126</v>
      </c>
      <c r="C1996" s="5" t="s">
        <v>833</v>
      </c>
      <c r="D1996" s="5" t="s">
        <v>1425</v>
      </c>
      <c r="E1996" s="6">
        <v>-19627</v>
      </c>
      <c r="F1996" s="7">
        <v>5.2480000000000002</v>
      </c>
      <c r="G1996" s="7">
        <v>5.9029999999999996</v>
      </c>
      <c r="H1996" s="7">
        <v>6.1269999999999998</v>
      </c>
      <c r="I1996" s="7">
        <v>5.3259999999999996</v>
      </c>
      <c r="J1996" s="7">
        <v>4.9429999999999996</v>
      </c>
      <c r="K1996" s="7">
        <v>4.3550000000000004</v>
      </c>
      <c r="L1996" s="7">
        <v>4.1369999999999996</v>
      </c>
      <c r="M1996" s="7">
        <v>4.4169999999999998</v>
      </c>
      <c r="N1996" s="7">
        <v>5.2009999999999996</v>
      </c>
      <c r="O1996" s="7">
        <v>5.5910000000000002</v>
      </c>
      <c r="P1996" s="7">
        <v>5.68</v>
      </c>
      <c r="Q1996" s="7">
        <v>5.4969999999999999</v>
      </c>
      <c r="R1996" s="7">
        <v>5.7990000000000004</v>
      </c>
      <c r="S1996" s="7">
        <f t="shared" si="31"/>
        <v>5.2480000000000002</v>
      </c>
    </row>
    <row r="1997" spans="1:19">
      <c r="A1997" s="5" t="str">
        <f>B1997&amp;"-"&amp;COUNTIF($B$2:B1997,B1997)</f>
        <v>MINAS GERAIS-431</v>
      </c>
      <c r="B1997" s="5" t="s">
        <v>1126</v>
      </c>
      <c r="C1997" s="5" t="s">
        <v>1426</v>
      </c>
      <c r="D1997" s="6">
        <v>-416232</v>
      </c>
      <c r="E1997" s="6">
        <v>-201544</v>
      </c>
      <c r="F1997" s="7">
        <v>4.7409999999999997</v>
      </c>
      <c r="G1997" s="7">
        <v>5.81</v>
      </c>
      <c r="H1997" s="7">
        <v>5.9669999999999996</v>
      </c>
      <c r="I1997" s="7">
        <v>5.0119999999999996</v>
      </c>
      <c r="J1997" s="7">
        <v>4.5490000000000004</v>
      </c>
      <c r="K1997" s="7">
        <v>3.843</v>
      </c>
      <c r="L1997" s="7">
        <v>3.62</v>
      </c>
      <c r="M1997" s="7">
        <v>3.7559999999999998</v>
      </c>
      <c r="N1997" s="7">
        <v>4.43</v>
      </c>
      <c r="O1997" s="7">
        <v>4.7539999999999996</v>
      </c>
      <c r="P1997" s="7">
        <v>4.8570000000000002</v>
      </c>
      <c r="Q1997" s="7">
        <v>4.7859999999999996</v>
      </c>
      <c r="R1997" s="7">
        <v>5.5019999999999998</v>
      </c>
      <c r="S1997" s="7">
        <f t="shared" si="31"/>
        <v>4.7404999999999999</v>
      </c>
    </row>
    <row r="1998" spans="1:19">
      <c r="A1998" s="5" t="str">
        <f>B1998&amp;"-"&amp;COUNTIF($B$2:B1998,B1998)</f>
        <v>MINAS GERAIS-432</v>
      </c>
      <c r="B1998" s="5" t="s">
        <v>1126</v>
      </c>
      <c r="C1998" s="5" t="s">
        <v>1427</v>
      </c>
      <c r="D1998" s="6">
        <v>-453502</v>
      </c>
      <c r="E1998" s="6">
        <v>-219676</v>
      </c>
      <c r="F1998" s="7">
        <v>4.7789999999999999</v>
      </c>
      <c r="G1998" s="7">
        <v>5.3810000000000002</v>
      </c>
      <c r="H1998" s="7">
        <v>5.577</v>
      </c>
      <c r="I1998" s="7">
        <v>4.782</v>
      </c>
      <c r="J1998" s="7">
        <v>4.5010000000000003</v>
      </c>
      <c r="K1998" s="7">
        <v>3.883</v>
      </c>
      <c r="L1998" s="7">
        <v>3.6190000000000002</v>
      </c>
      <c r="M1998" s="7">
        <v>3.8820000000000001</v>
      </c>
      <c r="N1998" s="7">
        <v>4.7560000000000002</v>
      </c>
      <c r="O1998" s="7">
        <v>4.9770000000000003</v>
      </c>
      <c r="P1998" s="7">
        <v>5.351</v>
      </c>
      <c r="Q1998" s="7">
        <v>5.1239999999999997</v>
      </c>
      <c r="R1998" s="7">
        <v>5.5110000000000001</v>
      </c>
      <c r="S1998" s="7">
        <f t="shared" si="31"/>
        <v>4.7786666666666671</v>
      </c>
    </row>
    <row r="1999" spans="1:19">
      <c r="A1999" s="5" t="str">
        <f>B1999&amp;"-"&amp;COUNTIF($B$2:B1999,B1999)</f>
        <v>MINAS GERAIS-433</v>
      </c>
      <c r="B1999" s="5" t="s">
        <v>1126</v>
      </c>
      <c r="C1999" s="5" t="s">
        <v>1428</v>
      </c>
      <c r="D1999" s="6">
        <v>-43471</v>
      </c>
      <c r="E1999" s="6">
        <v>-207905</v>
      </c>
      <c r="F1999" s="7">
        <v>4.758</v>
      </c>
      <c r="G1999" s="7">
        <v>5.5990000000000002</v>
      </c>
      <c r="H1999" s="7">
        <v>6.0140000000000002</v>
      </c>
      <c r="I1999" s="7">
        <v>4.9279999999999999</v>
      </c>
      <c r="J1999" s="7">
        <v>4.3579999999999997</v>
      </c>
      <c r="K1999" s="7">
        <v>3.7519999999999998</v>
      </c>
      <c r="L1999" s="7">
        <v>3.581</v>
      </c>
      <c r="M1999" s="7">
        <v>3.7730000000000001</v>
      </c>
      <c r="N1999" s="7">
        <v>4.6980000000000004</v>
      </c>
      <c r="O1999" s="7">
        <v>4.93</v>
      </c>
      <c r="P1999" s="7">
        <v>5.133</v>
      </c>
      <c r="Q1999" s="7">
        <v>4.7910000000000004</v>
      </c>
      <c r="R1999" s="7">
        <v>5.5330000000000004</v>
      </c>
      <c r="S1999" s="7">
        <f t="shared" si="31"/>
        <v>4.7575000000000003</v>
      </c>
    </row>
    <row r="2000" spans="1:19">
      <c r="A2000" s="5" t="str">
        <f>B2000&amp;"-"&amp;COUNTIF($B$2:B2000,B2000)</f>
        <v>MINAS GERAIS-434</v>
      </c>
      <c r="B2000" s="5" t="s">
        <v>1126</v>
      </c>
      <c r="C2000" s="5" t="s">
        <v>1429</v>
      </c>
      <c r="D2000" s="6">
        <v>-424735</v>
      </c>
      <c r="E2000" s="6">
        <v>-21372</v>
      </c>
      <c r="F2000" s="7">
        <v>4.8019999999999996</v>
      </c>
      <c r="G2000" s="7">
        <v>5.96</v>
      </c>
      <c r="H2000" s="7">
        <v>6.16</v>
      </c>
      <c r="I2000" s="7">
        <v>5.1310000000000002</v>
      </c>
      <c r="J2000" s="7">
        <v>4.431</v>
      </c>
      <c r="K2000" s="7">
        <v>3.7229999999999999</v>
      </c>
      <c r="L2000" s="7">
        <v>3.492</v>
      </c>
      <c r="M2000" s="7">
        <v>3.637</v>
      </c>
      <c r="N2000" s="7">
        <v>4.4080000000000004</v>
      </c>
      <c r="O2000" s="7">
        <v>4.7880000000000003</v>
      </c>
      <c r="P2000" s="7">
        <v>5.1079999999999997</v>
      </c>
      <c r="Q2000" s="7">
        <v>4.9390000000000001</v>
      </c>
      <c r="R2000" s="7">
        <v>5.843</v>
      </c>
      <c r="S2000" s="7">
        <f t="shared" si="31"/>
        <v>4.8016666666666667</v>
      </c>
    </row>
    <row r="2001" spans="1:19">
      <c r="A2001" s="5" t="str">
        <f>B2001&amp;"-"&amp;COUNTIF($B$2:B2001,B2001)</f>
        <v>MINAS GERAIS-435</v>
      </c>
      <c r="B2001" s="5" t="s">
        <v>1126</v>
      </c>
      <c r="C2001" s="5" t="s">
        <v>1430</v>
      </c>
      <c r="D2001" s="6">
        <v>-44578</v>
      </c>
      <c r="E2001" s="6">
        <v>-17887</v>
      </c>
      <c r="F2001" s="7">
        <v>5.5330000000000004</v>
      </c>
      <c r="G2001" s="7">
        <v>6.0780000000000003</v>
      </c>
      <c r="H2001" s="7">
        <v>6.4370000000000003</v>
      </c>
      <c r="I2001" s="7">
        <v>5.5380000000000003</v>
      </c>
      <c r="J2001" s="7">
        <v>5.35</v>
      </c>
      <c r="K2001" s="7">
        <v>4.8310000000000004</v>
      </c>
      <c r="L2001" s="7">
        <v>4.5010000000000003</v>
      </c>
      <c r="M2001" s="7">
        <v>4.8780000000000001</v>
      </c>
      <c r="N2001" s="7">
        <v>5.4859999999999998</v>
      </c>
      <c r="O2001" s="7">
        <v>5.9770000000000003</v>
      </c>
      <c r="P2001" s="7">
        <v>5.9080000000000004</v>
      </c>
      <c r="Q2001" s="7">
        <v>5.47</v>
      </c>
      <c r="R2001" s="7">
        <v>5.9459999999999997</v>
      </c>
      <c r="S2001" s="7">
        <f t="shared" si="31"/>
        <v>5.5333333333333323</v>
      </c>
    </row>
    <row r="2002" spans="1:19">
      <c r="A2002" s="5" t="str">
        <f>B2002&amp;"-"&amp;COUNTIF($B$2:B2002,B2002)</f>
        <v>MINAS GERAIS-436</v>
      </c>
      <c r="B2002" s="5" t="s">
        <v>1126</v>
      </c>
      <c r="C2002" s="5" t="s">
        <v>1431</v>
      </c>
      <c r="D2002" s="6">
        <v>-450013</v>
      </c>
      <c r="E2002" s="6">
        <v>-212485</v>
      </c>
      <c r="F2002" s="7">
        <v>4.9770000000000003</v>
      </c>
      <c r="G2002" s="7">
        <v>5.6980000000000004</v>
      </c>
      <c r="H2002" s="7">
        <v>5.8529999999999998</v>
      </c>
      <c r="I2002" s="7">
        <v>5.0279999999999996</v>
      </c>
      <c r="J2002" s="7">
        <v>4.7160000000000002</v>
      </c>
      <c r="K2002" s="7">
        <v>4.0179999999999998</v>
      </c>
      <c r="L2002" s="7">
        <v>3.7989999999999999</v>
      </c>
      <c r="M2002" s="7">
        <v>4.0620000000000003</v>
      </c>
      <c r="N2002" s="7">
        <v>4.9669999999999996</v>
      </c>
      <c r="O2002" s="7">
        <v>5.1849999999999996</v>
      </c>
      <c r="P2002" s="7">
        <v>5.4409999999999998</v>
      </c>
      <c r="Q2002" s="7">
        <v>5.2489999999999997</v>
      </c>
      <c r="R2002" s="7">
        <v>5.7080000000000002</v>
      </c>
      <c r="S2002" s="7">
        <f t="shared" si="31"/>
        <v>4.9770000000000003</v>
      </c>
    </row>
    <row r="2003" spans="1:19">
      <c r="A2003" s="5" t="str">
        <f>B2003&amp;"-"&amp;COUNTIF($B$2:B2003,B2003)</f>
        <v>MINAS GERAIS-437</v>
      </c>
      <c r="B2003" s="5" t="s">
        <v>1126</v>
      </c>
      <c r="C2003" s="5" t="s">
        <v>1432</v>
      </c>
      <c r="D2003" s="6">
        <v>-450245</v>
      </c>
      <c r="E2003" s="6">
        <v>-197163</v>
      </c>
      <c r="F2003" s="7">
        <v>5.2279999999999998</v>
      </c>
      <c r="G2003" s="7">
        <v>5.8659999999999997</v>
      </c>
      <c r="H2003" s="7">
        <v>6.0880000000000001</v>
      </c>
      <c r="I2003" s="7">
        <v>5.2039999999999997</v>
      </c>
      <c r="J2003" s="7">
        <v>4.9550000000000001</v>
      </c>
      <c r="K2003" s="7">
        <v>4.3869999999999996</v>
      </c>
      <c r="L2003" s="7">
        <v>4.2060000000000004</v>
      </c>
      <c r="M2003" s="7">
        <v>4.49</v>
      </c>
      <c r="N2003" s="7">
        <v>5.3440000000000003</v>
      </c>
      <c r="O2003" s="7">
        <v>5.5549999999999997</v>
      </c>
      <c r="P2003" s="7">
        <v>5.6079999999999997</v>
      </c>
      <c r="Q2003" s="7">
        <v>5.3259999999999996</v>
      </c>
      <c r="R2003" s="7">
        <v>5.7</v>
      </c>
      <c r="S2003" s="7">
        <f t="shared" si="31"/>
        <v>5.2274166666666666</v>
      </c>
    </row>
    <row r="2004" spans="1:19">
      <c r="A2004" s="5" t="str">
        <f>B2004&amp;"-"&amp;COUNTIF($B$2:B2004,B2004)</f>
        <v>MINAS GERAIS-438</v>
      </c>
      <c r="B2004" s="5" t="s">
        <v>1126</v>
      </c>
      <c r="C2004" s="5" t="s">
        <v>1433</v>
      </c>
      <c r="D2004" s="6">
        <v>-426919</v>
      </c>
      <c r="E2004" s="6">
        <v>-170814</v>
      </c>
      <c r="F2004" s="7">
        <v>5.1539999999999999</v>
      </c>
      <c r="G2004" s="7">
        <v>6.077</v>
      </c>
      <c r="H2004" s="7">
        <v>6.4329999999999998</v>
      </c>
      <c r="I2004" s="7">
        <v>5.375</v>
      </c>
      <c r="J2004" s="7">
        <v>4.7009999999999996</v>
      </c>
      <c r="K2004" s="7">
        <v>4.1029999999999998</v>
      </c>
      <c r="L2004" s="7">
        <v>3.93</v>
      </c>
      <c r="M2004" s="7">
        <v>4.1429999999999998</v>
      </c>
      <c r="N2004" s="7">
        <v>4.9589999999999996</v>
      </c>
      <c r="O2004" s="7">
        <v>5.4359999999999999</v>
      </c>
      <c r="P2004" s="7">
        <v>5.61</v>
      </c>
      <c r="Q2004" s="7">
        <v>5.2009999999999996</v>
      </c>
      <c r="R2004" s="7">
        <v>5.8730000000000002</v>
      </c>
      <c r="S2004" s="7">
        <f t="shared" si="31"/>
        <v>5.1534166666666668</v>
      </c>
    </row>
    <row r="2005" spans="1:19">
      <c r="A2005" s="5" t="str">
        <f>B2005&amp;"-"&amp;COUNTIF($B$2:B2005,B2005)</f>
        <v>MINAS GERAIS-439</v>
      </c>
      <c r="B2005" s="5" t="s">
        <v>1126</v>
      </c>
      <c r="C2005" s="5" t="s">
        <v>1434</v>
      </c>
      <c r="D2005" s="6">
        <v>-426425</v>
      </c>
      <c r="E2005" s="6">
        <v>-215301</v>
      </c>
      <c r="F2005" s="7">
        <v>4.8129999999999997</v>
      </c>
      <c r="G2005" s="7">
        <v>5.9290000000000003</v>
      </c>
      <c r="H2005" s="7">
        <v>6.1859999999999999</v>
      </c>
      <c r="I2005" s="7">
        <v>5.1920000000000002</v>
      </c>
      <c r="J2005" s="7">
        <v>4.43</v>
      </c>
      <c r="K2005" s="7">
        <v>3.7349999999999999</v>
      </c>
      <c r="L2005" s="7">
        <v>3.504</v>
      </c>
      <c r="M2005" s="7">
        <v>3.653</v>
      </c>
      <c r="N2005" s="7">
        <v>4.423</v>
      </c>
      <c r="O2005" s="7">
        <v>4.7560000000000002</v>
      </c>
      <c r="P2005" s="7">
        <v>5.1079999999999997</v>
      </c>
      <c r="Q2005" s="7">
        <v>4.99</v>
      </c>
      <c r="R2005" s="7">
        <v>5.8540000000000001</v>
      </c>
      <c r="S2005" s="7">
        <f t="shared" si="31"/>
        <v>4.8133333333333335</v>
      </c>
    </row>
    <row r="2006" spans="1:19">
      <c r="A2006" s="5" t="str">
        <f>B2006&amp;"-"&amp;COUNTIF($B$2:B2006,B2006)</f>
        <v>MINAS GERAIS-440</v>
      </c>
      <c r="B2006" s="5" t="s">
        <v>1126</v>
      </c>
      <c r="C2006" s="5" t="s">
        <v>1435</v>
      </c>
      <c r="D2006" s="6">
        <v>-443211</v>
      </c>
      <c r="E2006" s="6">
        <v>-22028</v>
      </c>
      <c r="F2006" s="7">
        <v>4.694</v>
      </c>
      <c r="G2006" s="7">
        <v>5.383</v>
      </c>
      <c r="H2006" s="7">
        <v>5.7450000000000001</v>
      </c>
      <c r="I2006" s="7">
        <v>4.8609999999999998</v>
      </c>
      <c r="J2006" s="7">
        <v>4.4370000000000003</v>
      </c>
      <c r="K2006" s="7">
        <v>3.7320000000000002</v>
      </c>
      <c r="L2006" s="7">
        <v>3.5510000000000002</v>
      </c>
      <c r="M2006" s="7">
        <v>3.6909999999999998</v>
      </c>
      <c r="N2006" s="7">
        <v>4.625</v>
      </c>
      <c r="O2006" s="7">
        <v>4.806</v>
      </c>
      <c r="P2006" s="7">
        <v>5.0330000000000004</v>
      </c>
      <c r="Q2006" s="7">
        <v>5.0039999999999996</v>
      </c>
      <c r="R2006" s="7">
        <v>5.4640000000000004</v>
      </c>
      <c r="S2006" s="7">
        <f t="shared" si="31"/>
        <v>4.6943333333333337</v>
      </c>
    </row>
    <row r="2007" spans="1:19">
      <c r="A2007" s="5" t="str">
        <f>B2007&amp;"-"&amp;COUNTIF($B$2:B2007,B2007)</f>
        <v>MINAS GERAIS-441</v>
      </c>
      <c r="B2007" s="5" t="s">
        <v>1126</v>
      </c>
      <c r="C2007" s="5" t="s">
        <v>1436</v>
      </c>
      <c r="D2007" s="6">
        <v>-437938</v>
      </c>
      <c r="E2007" s="6">
        <v>-218391</v>
      </c>
      <c r="F2007" s="7">
        <v>4.5270000000000001</v>
      </c>
      <c r="G2007" s="7">
        <v>5.3529999999999998</v>
      </c>
      <c r="H2007" s="7">
        <v>5.6909999999999998</v>
      </c>
      <c r="I2007" s="7">
        <v>4.76</v>
      </c>
      <c r="J2007" s="7">
        <v>4.1779999999999999</v>
      </c>
      <c r="K2007" s="7">
        <v>3.5840000000000001</v>
      </c>
      <c r="L2007" s="7">
        <v>3.3719999999999999</v>
      </c>
      <c r="M2007" s="7">
        <v>3.5510000000000002</v>
      </c>
      <c r="N2007" s="7">
        <v>4.3920000000000003</v>
      </c>
      <c r="O2007" s="7">
        <v>4.5720000000000001</v>
      </c>
      <c r="P2007" s="7">
        <v>4.7939999999999996</v>
      </c>
      <c r="Q2007" s="7">
        <v>4.6740000000000004</v>
      </c>
      <c r="R2007" s="7">
        <v>5.399</v>
      </c>
      <c r="S2007" s="7">
        <f t="shared" si="31"/>
        <v>4.5266666666666664</v>
      </c>
    </row>
    <row r="2008" spans="1:19">
      <c r="A2008" s="5" t="str">
        <f>B2008&amp;"-"&amp;COUNTIF($B$2:B2008,B2008)</f>
        <v>MINAS GERAIS-442</v>
      </c>
      <c r="B2008" s="5" t="s">
        <v>1126</v>
      </c>
      <c r="C2008" s="5" t="s">
        <v>1437</v>
      </c>
      <c r="D2008" s="6">
        <v>-505819</v>
      </c>
      <c r="E2008" s="6">
        <v>-195517</v>
      </c>
      <c r="F2008" s="7">
        <v>5.2359999999999998</v>
      </c>
      <c r="G2008" s="7">
        <v>5.8049999999999997</v>
      </c>
      <c r="H2008" s="7">
        <v>5.931</v>
      </c>
      <c r="I2008" s="7">
        <v>5.3380000000000001</v>
      </c>
      <c r="J2008" s="7">
        <v>4.9480000000000004</v>
      </c>
      <c r="K2008" s="7">
        <v>4.3499999999999996</v>
      </c>
      <c r="L2008" s="7">
        <v>4.0880000000000001</v>
      </c>
      <c r="M2008" s="7">
        <v>4.3280000000000003</v>
      </c>
      <c r="N2008" s="7">
        <v>5.173</v>
      </c>
      <c r="O2008" s="7">
        <v>5.1589999999999998</v>
      </c>
      <c r="P2008" s="7">
        <v>5.6689999999999996</v>
      </c>
      <c r="Q2008" s="7">
        <v>5.8760000000000003</v>
      </c>
      <c r="R2008" s="7">
        <v>6.1630000000000003</v>
      </c>
      <c r="S2008" s="7">
        <f t="shared" si="31"/>
        <v>5.2356666666666669</v>
      </c>
    </row>
    <row r="2009" spans="1:19">
      <c r="A2009" s="5" t="str">
        <f>B2009&amp;"-"&amp;COUNTIF($B$2:B2009,B2009)</f>
        <v>MINAS GERAIS-443</v>
      </c>
      <c r="B2009" s="5" t="s">
        <v>1126</v>
      </c>
      <c r="C2009" s="5" t="s">
        <v>1438</v>
      </c>
      <c r="D2009" s="6">
        <v>-443064</v>
      </c>
      <c r="E2009" s="6">
        <v>-159018</v>
      </c>
      <c r="F2009" s="7">
        <v>5.7</v>
      </c>
      <c r="G2009" s="7">
        <v>6.2960000000000003</v>
      </c>
      <c r="H2009" s="7">
        <v>6.5410000000000004</v>
      </c>
      <c r="I2009" s="7">
        <v>5.6760000000000002</v>
      </c>
      <c r="J2009" s="7">
        <v>5.5289999999999999</v>
      </c>
      <c r="K2009" s="7">
        <v>4.976</v>
      </c>
      <c r="L2009" s="7">
        <v>4.6989999999999998</v>
      </c>
      <c r="M2009" s="7">
        <v>5.0590000000000002</v>
      </c>
      <c r="N2009" s="7">
        <v>5.81</v>
      </c>
      <c r="O2009" s="7">
        <v>6.0549999999999997</v>
      </c>
      <c r="P2009" s="7">
        <v>6.085</v>
      </c>
      <c r="Q2009" s="7">
        <v>5.5049999999999999</v>
      </c>
      <c r="R2009" s="7">
        <v>6.17</v>
      </c>
      <c r="S2009" s="7">
        <f t="shared" si="31"/>
        <v>5.7000833333333327</v>
      </c>
    </row>
    <row r="2010" spans="1:19">
      <c r="A2010" s="5" t="str">
        <f>B2010&amp;"-"&amp;COUNTIF($B$2:B2010,B2010)</f>
        <v>MINAS GERAIS-444</v>
      </c>
      <c r="B2010" s="5" t="s">
        <v>1126</v>
      </c>
      <c r="C2010" s="5" t="s">
        <v>1439</v>
      </c>
      <c r="D2010" s="6">
        <v>-42098</v>
      </c>
      <c r="E2010" s="6">
        <v>-204472</v>
      </c>
      <c r="F2010" s="7">
        <v>4.6159999999999997</v>
      </c>
      <c r="G2010" s="7">
        <v>5.4740000000000002</v>
      </c>
      <c r="H2010" s="7">
        <v>5.7830000000000004</v>
      </c>
      <c r="I2010" s="7">
        <v>4.8179999999999996</v>
      </c>
      <c r="J2010" s="7">
        <v>4.3879999999999999</v>
      </c>
      <c r="K2010" s="7">
        <v>3.76</v>
      </c>
      <c r="L2010" s="7">
        <v>3.5760000000000001</v>
      </c>
      <c r="M2010" s="7">
        <v>3.7240000000000002</v>
      </c>
      <c r="N2010" s="7">
        <v>4.4489999999999998</v>
      </c>
      <c r="O2010" s="7">
        <v>4.7610000000000001</v>
      </c>
      <c r="P2010" s="7">
        <v>4.8630000000000004</v>
      </c>
      <c r="Q2010" s="7">
        <v>4.5519999999999996</v>
      </c>
      <c r="R2010" s="7">
        <v>5.2489999999999997</v>
      </c>
      <c r="S2010" s="7">
        <f t="shared" si="31"/>
        <v>4.6164166666666668</v>
      </c>
    </row>
    <row r="2011" spans="1:19">
      <c r="A2011" s="5" t="str">
        <f>B2011&amp;"-"&amp;COUNTIF($B$2:B2011,B2011)</f>
        <v>MINAS GERAIS-445</v>
      </c>
      <c r="B2011" s="5" t="s">
        <v>1126</v>
      </c>
      <c r="C2011" s="5" t="s">
        <v>4971</v>
      </c>
      <c r="D2011" s="6">
        <v>-445857</v>
      </c>
      <c r="E2011" s="6">
        <v>-161171</v>
      </c>
      <c r="F2011" s="7">
        <v>5.6870000000000003</v>
      </c>
      <c r="G2011" s="7">
        <v>6.3280000000000003</v>
      </c>
      <c r="H2011" s="7">
        <v>6.5529999999999999</v>
      </c>
      <c r="I2011" s="7">
        <v>5.6349999999999998</v>
      </c>
      <c r="J2011" s="7">
        <v>5.5220000000000002</v>
      </c>
      <c r="K2011" s="7">
        <v>4.984</v>
      </c>
      <c r="L2011" s="7">
        <v>4.7</v>
      </c>
      <c r="M2011" s="7">
        <v>5.0220000000000002</v>
      </c>
      <c r="N2011" s="7">
        <v>5.907</v>
      </c>
      <c r="O2011" s="7">
        <v>5.9880000000000004</v>
      </c>
      <c r="P2011" s="7">
        <v>5.9930000000000003</v>
      </c>
      <c r="Q2011" s="7">
        <v>5.4909999999999997</v>
      </c>
      <c r="R2011" s="7">
        <v>6.1159999999999997</v>
      </c>
      <c r="S2011" s="7">
        <f t="shared" si="31"/>
        <v>5.686583333333334</v>
      </c>
    </row>
    <row r="2012" spans="1:19">
      <c r="A2012" s="5" t="str">
        <f>B2012&amp;"-"&amp;COUNTIF($B$2:B2012,B2012)</f>
        <v>MINAS GERAIS-446</v>
      </c>
      <c r="B2012" s="5" t="s">
        <v>1126</v>
      </c>
      <c r="C2012" s="5" t="s">
        <v>5597</v>
      </c>
      <c r="D2012" s="6">
        <v>-449038</v>
      </c>
      <c r="E2012" s="6">
        <v>-21515</v>
      </c>
      <c r="F2012" s="7">
        <v>4.8819999999999997</v>
      </c>
      <c r="G2012" s="7">
        <v>5.5590000000000002</v>
      </c>
      <c r="H2012" s="7">
        <v>5.7519999999999998</v>
      </c>
      <c r="I2012" s="7">
        <v>4.899</v>
      </c>
      <c r="J2012" s="7">
        <v>4.5640000000000001</v>
      </c>
      <c r="K2012" s="7">
        <v>3.92</v>
      </c>
      <c r="L2012" s="7">
        <v>3.714</v>
      </c>
      <c r="M2012" s="7">
        <v>3.9790000000000001</v>
      </c>
      <c r="N2012" s="7">
        <v>4.8609999999999998</v>
      </c>
      <c r="O2012" s="7">
        <v>5.0670000000000002</v>
      </c>
      <c r="P2012" s="7">
        <v>5.3730000000000002</v>
      </c>
      <c r="Q2012" s="7">
        <v>5.2530000000000001</v>
      </c>
      <c r="R2012" s="7">
        <v>5.6479999999999997</v>
      </c>
      <c r="S2012" s="7">
        <f t="shared" si="31"/>
        <v>4.8824166666666668</v>
      </c>
    </row>
    <row r="2013" spans="1:19">
      <c r="A2013" s="5" t="str">
        <f>B2013&amp;"-"&amp;COUNTIF($B$2:B2013,B2013)</f>
        <v>MINAS GERAIS-447</v>
      </c>
      <c r="B2013" s="5" t="s">
        <v>1126</v>
      </c>
      <c r="C2013" s="5" t="s">
        <v>1440</v>
      </c>
      <c r="D2013" s="6">
        <v>-456798</v>
      </c>
      <c r="E2013" s="6">
        <v>-197916</v>
      </c>
      <c r="F2013" s="7">
        <v>5.2229999999999999</v>
      </c>
      <c r="G2013" s="7">
        <v>5.851</v>
      </c>
      <c r="H2013" s="7">
        <v>6.101</v>
      </c>
      <c r="I2013" s="7">
        <v>5.109</v>
      </c>
      <c r="J2013" s="7">
        <v>4.9820000000000002</v>
      </c>
      <c r="K2013" s="7">
        <v>4.4470000000000001</v>
      </c>
      <c r="L2013" s="7">
        <v>4.2060000000000004</v>
      </c>
      <c r="M2013" s="7">
        <v>4.4930000000000003</v>
      </c>
      <c r="N2013" s="7">
        <v>5.4039999999999999</v>
      </c>
      <c r="O2013" s="7">
        <v>5.5270000000000001</v>
      </c>
      <c r="P2013" s="7">
        <v>5.61</v>
      </c>
      <c r="Q2013" s="7">
        <v>5.3019999999999996</v>
      </c>
      <c r="R2013" s="7">
        <v>5.6479999999999997</v>
      </c>
      <c r="S2013" s="7">
        <f t="shared" si="31"/>
        <v>5.2233333333333336</v>
      </c>
    </row>
    <row r="2014" spans="1:19">
      <c r="A2014" s="5" t="str">
        <f>B2014&amp;"-"&amp;COUNTIF($B$2:B2014,B2014)</f>
        <v>MINAS GERAIS-448</v>
      </c>
      <c r="B2014" s="5" t="s">
        <v>1126</v>
      </c>
      <c r="C2014" s="5" t="s">
        <v>5598</v>
      </c>
      <c r="D2014" s="6">
        <v>-441887</v>
      </c>
      <c r="E2014" s="6">
        <v>-200586</v>
      </c>
      <c r="F2014" s="7">
        <v>5.1180000000000003</v>
      </c>
      <c r="G2014" s="7">
        <v>5.8579999999999997</v>
      </c>
      <c r="H2014" s="7">
        <v>5.92</v>
      </c>
      <c r="I2014" s="7">
        <v>5.1310000000000002</v>
      </c>
      <c r="J2014" s="7">
        <v>4.78</v>
      </c>
      <c r="K2014" s="7">
        <v>4.202</v>
      </c>
      <c r="L2014" s="7">
        <v>4.04</v>
      </c>
      <c r="M2014" s="7">
        <v>4.2690000000000001</v>
      </c>
      <c r="N2014" s="7">
        <v>5.1840000000000002</v>
      </c>
      <c r="O2014" s="7">
        <v>5.49</v>
      </c>
      <c r="P2014" s="7">
        <v>5.585</v>
      </c>
      <c r="Q2014" s="7">
        <v>5.282</v>
      </c>
      <c r="R2014" s="7">
        <v>5.681</v>
      </c>
      <c r="S2014" s="7">
        <f t="shared" si="31"/>
        <v>5.1185</v>
      </c>
    </row>
    <row r="2015" spans="1:19">
      <c r="A2015" s="5" t="str">
        <f>B2015&amp;"-"&amp;COUNTIF($B$2:B2015,B2015)</f>
        <v>MINAS GERAIS-449</v>
      </c>
      <c r="B2015" s="5" t="s">
        <v>1126</v>
      </c>
      <c r="C2015" s="5" t="s">
        <v>1441</v>
      </c>
      <c r="D2015" s="6">
        <v>-407248</v>
      </c>
      <c r="E2015" s="6">
        <v>-170727</v>
      </c>
      <c r="F2015" s="7">
        <v>4.9960000000000004</v>
      </c>
      <c r="G2015" s="7">
        <v>6.1239999999999997</v>
      </c>
      <c r="H2015" s="7">
        <v>6.3470000000000004</v>
      </c>
      <c r="I2015" s="7">
        <v>5.4539999999999997</v>
      </c>
      <c r="J2015" s="7">
        <v>4.6790000000000003</v>
      </c>
      <c r="K2015" s="7">
        <v>3.8660000000000001</v>
      </c>
      <c r="L2015" s="7">
        <v>3.496</v>
      </c>
      <c r="M2015" s="7">
        <v>3.6949999999999998</v>
      </c>
      <c r="N2015" s="7">
        <v>4.383</v>
      </c>
      <c r="O2015" s="7">
        <v>5.0919999999999996</v>
      </c>
      <c r="P2015" s="7">
        <v>5.3390000000000004</v>
      </c>
      <c r="Q2015" s="7">
        <v>5.2690000000000001</v>
      </c>
      <c r="R2015" s="7">
        <v>6.21</v>
      </c>
      <c r="S2015" s="7">
        <f t="shared" si="31"/>
        <v>4.9961666666666664</v>
      </c>
    </row>
    <row r="2016" spans="1:19">
      <c r="A2016" s="5" t="str">
        <f>B2016&amp;"-"&amp;COUNTIF($B$2:B2016,B2016)</f>
        <v>MINAS GERAIS-450</v>
      </c>
      <c r="B2016" s="5" t="s">
        <v>1126</v>
      </c>
      <c r="C2016" s="5" t="s">
        <v>1442</v>
      </c>
      <c r="D2016" s="6">
        <v>-459222</v>
      </c>
      <c r="E2016" s="6">
        <v>-216782</v>
      </c>
      <c r="F2016" s="7">
        <v>4.8239999999999998</v>
      </c>
      <c r="G2016" s="7">
        <v>5.3959999999999999</v>
      </c>
      <c r="H2016" s="7">
        <v>5.6749999999999998</v>
      </c>
      <c r="I2016" s="7">
        <v>4.7699999999999996</v>
      </c>
      <c r="J2016" s="7">
        <v>4.53</v>
      </c>
      <c r="K2016" s="7">
        <v>3.9420000000000002</v>
      </c>
      <c r="L2016" s="7">
        <v>3.7080000000000002</v>
      </c>
      <c r="M2016" s="7">
        <v>3.9460000000000002</v>
      </c>
      <c r="N2016" s="7">
        <v>4.8730000000000002</v>
      </c>
      <c r="O2016" s="7">
        <v>5.0190000000000001</v>
      </c>
      <c r="P2016" s="7">
        <v>5.3070000000000004</v>
      </c>
      <c r="Q2016" s="7">
        <v>5.1820000000000004</v>
      </c>
      <c r="R2016" s="7">
        <v>5.5350000000000001</v>
      </c>
      <c r="S2016" s="7">
        <f t="shared" si="31"/>
        <v>4.8235833333333344</v>
      </c>
    </row>
    <row r="2017" spans="1:19">
      <c r="A2017" s="5" t="str">
        <f>B2017&amp;"-"&amp;COUNTIF($B$2:B2017,B2017)</f>
        <v>MINAS GERAIS-451</v>
      </c>
      <c r="B2017" s="5" t="s">
        <v>1126</v>
      </c>
      <c r="C2017" s="5" t="s">
        <v>1443</v>
      </c>
      <c r="D2017" s="6">
        <v>-443291</v>
      </c>
      <c r="E2017" s="6">
        <v>-214835</v>
      </c>
      <c r="F2017" s="7">
        <v>4.7949999999999999</v>
      </c>
      <c r="G2017" s="7">
        <v>5.5339999999999998</v>
      </c>
      <c r="H2017" s="7">
        <v>5.8079999999999998</v>
      </c>
      <c r="I2017" s="7">
        <v>4.9530000000000003</v>
      </c>
      <c r="J2017" s="7">
        <v>4.4349999999999996</v>
      </c>
      <c r="K2017" s="7">
        <v>3.7749999999999999</v>
      </c>
      <c r="L2017" s="7">
        <v>3.5939999999999999</v>
      </c>
      <c r="M2017" s="7">
        <v>3.7959999999999998</v>
      </c>
      <c r="N2017" s="7">
        <v>4.7249999999999996</v>
      </c>
      <c r="O2017" s="7">
        <v>4.9749999999999996</v>
      </c>
      <c r="P2017" s="7">
        <v>5.2220000000000004</v>
      </c>
      <c r="Q2017" s="7">
        <v>5.0830000000000002</v>
      </c>
      <c r="R2017" s="7">
        <v>5.64</v>
      </c>
      <c r="S2017" s="7">
        <f t="shared" si="31"/>
        <v>4.7949999999999999</v>
      </c>
    </row>
    <row r="2018" spans="1:19">
      <c r="A2018" s="5" t="str">
        <f>B2018&amp;"-"&amp;COUNTIF($B$2:B2018,B2018)</f>
        <v>MINAS GERAIS-452</v>
      </c>
      <c r="B2018" s="5" t="s">
        <v>1126</v>
      </c>
      <c r="C2018" s="5" t="s">
        <v>1444</v>
      </c>
      <c r="D2018" s="6">
        <v>-420773</v>
      </c>
      <c r="E2018" s="6">
        <v>-178461</v>
      </c>
      <c r="F2018" s="7">
        <v>4.8339999999999996</v>
      </c>
      <c r="G2018" s="7">
        <v>5.79</v>
      </c>
      <c r="H2018" s="7">
        <v>6.04</v>
      </c>
      <c r="I2018" s="7">
        <v>5.1269999999999998</v>
      </c>
      <c r="J2018" s="7">
        <v>4.4000000000000004</v>
      </c>
      <c r="K2018" s="7">
        <v>3.8039999999999998</v>
      </c>
      <c r="L2018" s="7">
        <v>3.6619999999999999</v>
      </c>
      <c r="M2018" s="7">
        <v>3.847</v>
      </c>
      <c r="N2018" s="7">
        <v>4.5309999999999997</v>
      </c>
      <c r="O2018" s="7">
        <v>5.085</v>
      </c>
      <c r="P2018" s="7">
        <v>5.3040000000000003</v>
      </c>
      <c r="Q2018" s="7">
        <v>4.8120000000000003</v>
      </c>
      <c r="R2018" s="7">
        <v>5.6059999999999999</v>
      </c>
      <c r="S2018" s="7">
        <f t="shared" si="31"/>
        <v>4.8339999999999996</v>
      </c>
    </row>
    <row r="2019" spans="1:19">
      <c r="A2019" s="5" t="str">
        <f>B2019&amp;"-"&amp;COUNTIF($B$2:B2019,B2019)</f>
        <v>MINAS GERAIS-453</v>
      </c>
      <c r="B2019" s="5" t="s">
        <v>1126</v>
      </c>
      <c r="C2019" s="5" t="s">
        <v>1445</v>
      </c>
      <c r="D2019" s="6">
        <v>-429511</v>
      </c>
      <c r="E2019" s="6">
        <v>-150509</v>
      </c>
      <c r="F2019" s="7">
        <v>5.6849999999999996</v>
      </c>
      <c r="G2019" s="7">
        <v>6.524</v>
      </c>
      <c r="H2019" s="7">
        <v>6.5919999999999996</v>
      </c>
      <c r="I2019" s="7">
        <v>5.806</v>
      </c>
      <c r="J2019" s="7">
        <v>5.3310000000000004</v>
      </c>
      <c r="K2019" s="7">
        <v>4.7839999999999998</v>
      </c>
      <c r="L2019" s="7">
        <v>4.6059999999999999</v>
      </c>
      <c r="M2019" s="7">
        <v>4.8689999999999998</v>
      </c>
      <c r="N2019" s="7">
        <v>5.5229999999999997</v>
      </c>
      <c r="O2019" s="7">
        <v>6.0039999999999996</v>
      </c>
      <c r="P2019" s="7">
        <v>6.15</v>
      </c>
      <c r="Q2019" s="7">
        <v>5.7060000000000004</v>
      </c>
      <c r="R2019" s="7">
        <v>6.3289999999999997</v>
      </c>
      <c r="S2019" s="7">
        <f t="shared" si="31"/>
        <v>5.6853333333333325</v>
      </c>
    </row>
    <row r="2020" spans="1:19">
      <c r="A2020" s="5" t="str">
        <f>B2020&amp;"-"&amp;COUNTIF($B$2:B2020,B2020)</f>
        <v>MINAS GERAIS-454</v>
      </c>
      <c r="B2020" s="5" t="s">
        <v>1126</v>
      </c>
      <c r="C2020" s="5" t="s">
        <v>1446</v>
      </c>
      <c r="D2020" s="6">
        <v>-439394</v>
      </c>
      <c r="E2020" s="6">
        <v>-147533</v>
      </c>
      <c r="F2020" s="7">
        <v>5.8470000000000004</v>
      </c>
      <c r="G2020" s="7">
        <v>6.5270000000000001</v>
      </c>
      <c r="H2020" s="7">
        <v>6.6829999999999998</v>
      </c>
      <c r="I2020" s="7">
        <v>5.9610000000000003</v>
      </c>
      <c r="J2020" s="7">
        <v>5.6840000000000002</v>
      </c>
      <c r="K2020" s="7">
        <v>5.0090000000000003</v>
      </c>
      <c r="L2020" s="7">
        <v>4.8280000000000003</v>
      </c>
      <c r="M2020" s="7">
        <v>5.1559999999999997</v>
      </c>
      <c r="N2020" s="7">
        <v>5.7320000000000002</v>
      </c>
      <c r="O2020" s="7">
        <v>6.2210000000000001</v>
      </c>
      <c r="P2020" s="7">
        <v>6.2789999999999999</v>
      </c>
      <c r="Q2020" s="7">
        <v>5.7789999999999999</v>
      </c>
      <c r="R2020" s="7">
        <v>6.3019999999999996</v>
      </c>
      <c r="S2020" s="7">
        <f t="shared" si="31"/>
        <v>5.8467500000000001</v>
      </c>
    </row>
    <row r="2021" spans="1:19">
      <c r="A2021" s="5" t="str">
        <f>B2021&amp;"-"&amp;COUNTIF($B$2:B2021,B2021)</f>
        <v>MINAS GERAIS-455</v>
      </c>
      <c r="B2021" s="5" t="s">
        <v>1126</v>
      </c>
      <c r="C2021" s="5" t="s">
        <v>4671</v>
      </c>
      <c r="D2021" s="6">
        <v>-420283</v>
      </c>
      <c r="E2021" s="6">
        <v>-202577</v>
      </c>
      <c r="F2021" s="7">
        <v>4.6239999999999997</v>
      </c>
      <c r="G2021" s="7">
        <v>5.5250000000000004</v>
      </c>
      <c r="H2021" s="7">
        <v>5.7789999999999999</v>
      </c>
      <c r="I2021" s="7">
        <v>4.8010000000000002</v>
      </c>
      <c r="J2021" s="7">
        <v>4.4000000000000004</v>
      </c>
      <c r="K2021" s="7">
        <v>3.76</v>
      </c>
      <c r="L2021" s="7">
        <v>3.5739999999999998</v>
      </c>
      <c r="M2021" s="7">
        <v>3.75</v>
      </c>
      <c r="N2021" s="7">
        <v>4.4569999999999999</v>
      </c>
      <c r="O2021" s="7">
        <v>4.7380000000000004</v>
      </c>
      <c r="P2021" s="7">
        <v>4.8550000000000004</v>
      </c>
      <c r="Q2021" s="7">
        <v>4.5720000000000001</v>
      </c>
      <c r="R2021" s="7">
        <v>5.2770000000000001</v>
      </c>
      <c r="S2021" s="7">
        <f t="shared" si="31"/>
        <v>4.6239999999999997</v>
      </c>
    </row>
    <row r="2022" spans="1:19">
      <c r="A2022" s="5" t="str">
        <f>B2022&amp;"-"&amp;COUNTIF($B$2:B2022,B2022)</f>
        <v>MINAS GERAIS-456</v>
      </c>
      <c r="B2022" s="5" t="s">
        <v>1126</v>
      </c>
      <c r="C2022" s="5" t="s">
        <v>1447</v>
      </c>
      <c r="D2022" s="6">
        <v>-419593</v>
      </c>
      <c r="E2022" s="6">
        <v>-203596</v>
      </c>
      <c r="F2022" s="7">
        <v>4.6680000000000001</v>
      </c>
      <c r="G2022" s="7">
        <v>5.609</v>
      </c>
      <c r="H2022" s="7">
        <v>5.8620000000000001</v>
      </c>
      <c r="I2022" s="7">
        <v>4.8940000000000001</v>
      </c>
      <c r="J2022" s="7">
        <v>4.41</v>
      </c>
      <c r="K2022" s="7">
        <v>3.7879999999999998</v>
      </c>
      <c r="L2022" s="7">
        <v>3.5920000000000001</v>
      </c>
      <c r="M2022" s="7">
        <v>3.7610000000000001</v>
      </c>
      <c r="N2022" s="7">
        <v>4.4340000000000002</v>
      </c>
      <c r="O2022" s="7">
        <v>4.7510000000000003</v>
      </c>
      <c r="P2022" s="7">
        <v>4.8819999999999997</v>
      </c>
      <c r="Q2022" s="7">
        <v>4.6559999999999997</v>
      </c>
      <c r="R2022" s="7">
        <v>5.3769999999999998</v>
      </c>
      <c r="S2022" s="7">
        <f t="shared" si="31"/>
        <v>4.6680000000000001</v>
      </c>
    </row>
    <row r="2023" spans="1:19">
      <c r="A2023" s="5" t="str">
        <f>B2023&amp;"-"&amp;COUNTIF($B$2:B2023,B2023)</f>
        <v>MINAS GERAIS-457</v>
      </c>
      <c r="B2023" s="5" t="s">
        <v>1126</v>
      </c>
      <c r="C2023" s="5" t="s">
        <v>1448</v>
      </c>
      <c r="D2023" s="6">
        <v>-409877</v>
      </c>
      <c r="E2023" s="6">
        <v>-187765</v>
      </c>
      <c r="F2023" s="7">
        <v>4.84</v>
      </c>
      <c r="G2023" s="7">
        <v>6.0389999999999997</v>
      </c>
      <c r="H2023" s="7">
        <v>6.1820000000000004</v>
      </c>
      <c r="I2023" s="7">
        <v>5.3330000000000002</v>
      </c>
      <c r="J2023" s="7">
        <v>4.5890000000000004</v>
      </c>
      <c r="K2023" s="7">
        <v>3.8570000000000002</v>
      </c>
      <c r="L2023" s="7">
        <v>3.5960000000000001</v>
      </c>
      <c r="M2023" s="7">
        <v>3.6739999999999999</v>
      </c>
      <c r="N2023" s="7">
        <v>4.2279999999999998</v>
      </c>
      <c r="O2023" s="7">
        <v>4.8029999999999999</v>
      </c>
      <c r="P2023" s="7">
        <v>4.9820000000000002</v>
      </c>
      <c r="Q2023" s="7">
        <v>4.9749999999999996</v>
      </c>
      <c r="R2023" s="7">
        <v>5.8159999999999998</v>
      </c>
      <c r="S2023" s="7">
        <f t="shared" si="31"/>
        <v>4.8395000000000001</v>
      </c>
    </row>
    <row r="2024" spans="1:19">
      <c r="A2024" s="5" t="str">
        <f>B2024&amp;"-"&amp;COUNTIF($B$2:B2024,B2024)</f>
        <v>MINAS GERAIS-458</v>
      </c>
      <c r="B2024" s="5" t="s">
        <v>1126</v>
      </c>
      <c r="C2024" s="5" t="s">
        <v>1449</v>
      </c>
      <c r="D2024" s="6">
        <v>-430066</v>
      </c>
      <c r="E2024" s="6">
        <v>-218712</v>
      </c>
      <c r="F2024" s="7">
        <v>4.617</v>
      </c>
      <c r="G2024" s="7">
        <v>5.718</v>
      </c>
      <c r="H2024" s="7">
        <v>5.9160000000000004</v>
      </c>
      <c r="I2024" s="7">
        <v>4.9400000000000004</v>
      </c>
      <c r="J2024" s="7">
        <v>4.2699999999999996</v>
      </c>
      <c r="K2024" s="7">
        <v>3.5550000000000002</v>
      </c>
      <c r="L2024" s="7">
        <v>3.3479999999999999</v>
      </c>
      <c r="M2024" s="7">
        <v>3.5470000000000002</v>
      </c>
      <c r="N2024" s="7">
        <v>4.24</v>
      </c>
      <c r="O2024" s="7">
        <v>4.5860000000000003</v>
      </c>
      <c r="P2024" s="7">
        <v>4.9279999999999999</v>
      </c>
      <c r="Q2024" s="7">
        <v>4.8120000000000003</v>
      </c>
      <c r="R2024" s="7">
        <v>5.5490000000000004</v>
      </c>
      <c r="S2024" s="7">
        <f t="shared" si="31"/>
        <v>4.6174166666666663</v>
      </c>
    </row>
    <row r="2025" spans="1:19">
      <c r="A2025" s="5" t="str">
        <f>B2025&amp;"-"&amp;COUNTIF($B$2:B2025,B2025)</f>
        <v>MINAS GERAIS-459</v>
      </c>
      <c r="B2025" s="5" t="s">
        <v>1126</v>
      </c>
      <c r="C2025" s="5" t="s">
        <v>1450</v>
      </c>
      <c r="D2025" s="6">
        <v>-44676</v>
      </c>
      <c r="E2025" s="6">
        <v>-19516</v>
      </c>
      <c r="F2025" s="7">
        <v>5.2640000000000002</v>
      </c>
      <c r="G2025" s="7">
        <v>6.0010000000000003</v>
      </c>
      <c r="H2025" s="7">
        <v>6.0789999999999997</v>
      </c>
      <c r="I2025" s="7">
        <v>5.242</v>
      </c>
      <c r="J2025" s="7">
        <v>4.9669999999999996</v>
      </c>
      <c r="K2025" s="7">
        <v>4.4169999999999998</v>
      </c>
      <c r="L2025" s="7">
        <v>4.1879999999999997</v>
      </c>
      <c r="M2025" s="7">
        <v>4.4889999999999999</v>
      </c>
      <c r="N2025" s="7">
        <v>5.35</v>
      </c>
      <c r="O2025" s="7">
        <v>5.6130000000000004</v>
      </c>
      <c r="P2025" s="7">
        <v>5.6509999999999998</v>
      </c>
      <c r="Q2025" s="7">
        <v>5.4240000000000004</v>
      </c>
      <c r="R2025" s="7">
        <v>5.7489999999999997</v>
      </c>
      <c r="S2025" s="7">
        <f t="shared" si="31"/>
        <v>5.2641666666666671</v>
      </c>
    </row>
    <row r="2026" spans="1:19">
      <c r="A2026" s="5" t="str">
        <f>B2026&amp;"-"&amp;COUNTIF($B$2:B2026,B2026)</f>
        <v>MINAS GERAIS-460</v>
      </c>
      <c r="B2026" s="5" t="s">
        <v>1126</v>
      </c>
      <c r="C2026" s="5" t="s">
        <v>4352</v>
      </c>
      <c r="D2026" s="6">
        <v>-453777</v>
      </c>
      <c r="E2026" s="6">
        <v>-223049</v>
      </c>
      <c r="F2026" s="7">
        <v>4.74</v>
      </c>
      <c r="G2026" s="7">
        <v>5.25</v>
      </c>
      <c r="H2026" s="7">
        <v>5.4989999999999997</v>
      </c>
      <c r="I2026" s="7">
        <v>4.7489999999999997</v>
      </c>
      <c r="J2026" s="7">
        <v>4.4370000000000003</v>
      </c>
      <c r="K2026" s="7">
        <v>3.8140000000000001</v>
      </c>
      <c r="L2026" s="7">
        <v>3.6150000000000002</v>
      </c>
      <c r="M2026" s="7">
        <v>3.839</v>
      </c>
      <c r="N2026" s="7">
        <v>4.7389999999999999</v>
      </c>
      <c r="O2026" s="7">
        <v>4.9320000000000004</v>
      </c>
      <c r="P2026" s="7">
        <v>5.2850000000000001</v>
      </c>
      <c r="Q2026" s="7">
        <v>5.2030000000000003</v>
      </c>
      <c r="R2026" s="7">
        <v>5.5149999999999997</v>
      </c>
      <c r="S2026" s="7">
        <f t="shared" si="31"/>
        <v>4.7397499999999999</v>
      </c>
    </row>
    <row r="2027" spans="1:19">
      <c r="A2027" s="5" t="str">
        <f>B2027&amp;"-"&amp;COUNTIF($B$2:B2027,B2027)</f>
        <v>MINAS GERAIS-461</v>
      </c>
      <c r="B2027" s="5" t="s">
        <v>1126</v>
      </c>
      <c r="C2027" s="5" t="s">
        <v>1451</v>
      </c>
      <c r="D2027" s="6">
        <v>-434144</v>
      </c>
      <c r="E2027" s="6">
        <v>-20377</v>
      </c>
      <c r="F2027" s="7">
        <v>4.556</v>
      </c>
      <c r="G2027" s="7">
        <v>5.226</v>
      </c>
      <c r="H2027" s="7">
        <v>5.5330000000000004</v>
      </c>
      <c r="I2027" s="7">
        <v>4.5670000000000002</v>
      </c>
      <c r="J2027" s="7">
        <v>4.2149999999999999</v>
      </c>
      <c r="K2027" s="7">
        <v>3.75</v>
      </c>
      <c r="L2027" s="7">
        <v>3.6070000000000002</v>
      </c>
      <c r="M2027" s="7">
        <v>3.7919999999999998</v>
      </c>
      <c r="N2027" s="7">
        <v>4.6589999999999998</v>
      </c>
      <c r="O2027" s="7">
        <v>4.8559999999999999</v>
      </c>
      <c r="P2027" s="7">
        <v>4.8550000000000004</v>
      </c>
      <c r="Q2027" s="7">
        <v>4.5229999999999997</v>
      </c>
      <c r="R2027" s="7">
        <v>5.0919999999999996</v>
      </c>
      <c r="S2027" s="7">
        <f t="shared" si="31"/>
        <v>4.5562499999999995</v>
      </c>
    </row>
    <row r="2028" spans="1:19">
      <c r="A2028" s="5" t="str">
        <f>B2028&amp;"-"&amp;COUNTIF($B$2:B2028,B2028)</f>
        <v>MINAS GERAIS-462</v>
      </c>
      <c r="B2028" s="5" t="s">
        <v>1126</v>
      </c>
      <c r="C2028" s="5" t="s">
        <v>1452</v>
      </c>
      <c r="D2028" s="6">
        <v>-420826</v>
      </c>
      <c r="E2028" s="6">
        <v>-185084</v>
      </c>
      <c r="F2028" s="7">
        <v>4.9390000000000001</v>
      </c>
      <c r="G2028" s="7">
        <v>6.01</v>
      </c>
      <c r="H2028" s="7">
        <v>6.2270000000000003</v>
      </c>
      <c r="I2028" s="7">
        <v>5.3680000000000003</v>
      </c>
      <c r="J2028" s="7">
        <v>4.6420000000000003</v>
      </c>
      <c r="K2028" s="7">
        <v>3.9460000000000002</v>
      </c>
      <c r="L2028" s="7">
        <v>3.7370000000000001</v>
      </c>
      <c r="M2028" s="7">
        <v>3.806</v>
      </c>
      <c r="N2028" s="7">
        <v>4.5010000000000003</v>
      </c>
      <c r="O2028" s="7">
        <v>4.97</v>
      </c>
      <c r="P2028" s="7">
        <v>5.258</v>
      </c>
      <c r="Q2028" s="7">
        <v>4.9349999999999996</v>
      </c>
      <c r="R2028" s="7">
        <v>5.8630000000000004</v>
      </c>
      <c r="S2028" s="7">
        <f t="shared" si="31"/>
        <v>4.9385833333333329</v>
      </c>
    </row>
    <row r="2029" spans="1:19">
      <c r="A2029" s="5" t="str">
        <f>B2029&amp;"-"&amp;COUNTIF($B$2:B2029,B2029)</f>
        <v>MINAS GERAIS-463</v>
      </c>
      <c r="B2029" s="5" t="s">
        <v>1126</v>
      </c>
      <c r="C2029" s="5" t="s">
        <v>5599</v>
      </c>
      <c r="D2029" s="6">
        <v>-42955</v>
      </c>
      <c r="E2029" s="6">
        <v>-216984</v>
      </c>
      <c r="F2029" s="7">
        <v>4.6420000000000003</v>
      </c>
      <c r="G2029" s="7">
        <v>5.7389999999999999</v>
      </c>
      <c r="H2029" s="7">
        <v>5.9779999999999998</v>
      </c>
      <c r="I2029" s="7">
        <v>4.9589999999999996</v>
      </c>
      <c r="J2029" s="7">
        <v>4.2750000000000004</v>
      </c>
      <c r="K2029" s="7">
        <v>3.6059999999999999</v>
      </c>
      <c r="L2029" s="7">
        <v>3.3439999999999999</v>
      </c>
      <c r="M2029" s="7">
        <v>3.5350000000000001</v>
      </c>
      <c r="N2029" s="7">
        <v>4.2960000000000003</v>
      </c>
      <c r="O2029" s="7">
        <v>4.6479999999999997</v>
      </c>
      <c r="P2029" s="7">
        <v>4.9539999999999997</v>
      </c>
      <c r="Q2029" s="7">
        <v>4.7649999999999997</v>
      </c>
      <c r="R2029" s="7">
        <v>5.6079999999999997</v>
      </c>
      <c r="S2029" s="7">
        <f t="shared" si="31"/>
        <v>4.6422500000000007</v>
      </c>
    </row>
    <row r="2030" spans="1:19">
      <c r="A2030" s="5" t="str">
        <f>B2030&amp;"-"&amp;COUNTIF($B$2:B2030,B2030)</f>
        <v>MINAS GERAIS-464</v>
      </c>
      <c r="B2030" s="5" t="s">
        <v>1126</v>
      </c>
      <c r="C2030" s="5" t="s">
        <v>4353</v>
      </c>
      <c r="D2030" s="6">
        <v>-427331</v>
      </c>
      <c r="E2030" s="6">
        <v>-197101</v>
      </c>
      <c r="F2030" s="7">
        <v>4.7610000000000001</v>
      </c>
      <c r="G2030" s="7">
        <v>5.6619999999999999</v>
      </c>
      <c r="H2030" s="7">
        <v>5.9630000000000001</v>
      </c>
      <c r="I2030" s="7">
        <v>4.9470000000000001</v>
      </c>
      <c r="J2030" s="7">
        <v>4.5369999999999999</v>
      </c>
      <c r="K2030" s="7">
        <v>3.82</v>
      </c>
      <c r="L2030" s="7">
        <v>3.6429999999999998</v>
      </c>
      <c r="M2030" s="7">
        <v>3.8620000000000001</v>
      </c>
      <c r="N2030" s="7">
        <v>4.54</v>
      </c>
      <c r="O2030" s="7">
        <v>4.8689999999999998</v>
      </c>
      <c r="P2030" s="7">
        <v>5.0529999999999999</v>
      </c>
      <c r="Q2030" s="7">
        <v>4.7160000000000002</v>
      </c>
      <c r="R2030" s="7">
        <v>5.5179999999999998</v>
      </c>
      <c r="S2030" s="7">
        <f t="shared" si="31"/>
        <v>4.7608333333333333</v>
      </c>
    </row>
    <row r="2031" spans="1:19">
      <c r="A2031" s="5" t="str">
        <f>B2031&amp;"-"&amp;COUNTIF($B$2:B2031,B2031)</f>
        <v>MINAS GERAIS-465</v>
      </c>
      <c r="B2031" s="5" t="s">
        <v>1126</v>
      </c>
      <c r="C2031" s="5" t="s">
        <v>5132</v>
      </c>
      <c r="D2031" s="6">
        <v>-451649</v>
      </c>
      <c r="E2031" s="6">
        <v>-224475</v>
      </c>
      <c r="F2031" s="7">
        <v>4.6239999999999997</v>
      </c>
      <c r="G2031" s="7">
        <v>5.0060000000000002</v>
      </c>
      <c r="H2031" s="7">
        <v>5.37</v>
      </c>
      <c r="I2031" s="7">
        <v>4.5890000000000004</v>
      </c>
      <c r="J2031" s="7">
        <v>4.319</v>
      </c>
      <c r="K2031" s="7">
        <v>3.7509999999999999</v>
      </c>
      <c r="L2031" s="7">
        <v>3.5259999999999998</v>
      </c>
      <c r="M2031" s="7">
        <v>3.7519999999999998</v>
      </c>
      <c r="N2031" s="7">
        <v>4.6980000000000004</v>
      </c>
      <c r="O2031" s="7">
        <v>4.907</v>
      </c>
      <c r="P2031" s="7">
        <v>5.1840000000000002</v>
      </c>
      <c r="Q2031" s="7">
        <v>4.9969999999999999</v>
      </c>
      <c r="R2031" s="7">
        <v>5.3879999999999999</v>
      </c>
      <c r="S2031" s="7">
        <f t="shared" si="31"/>
        <v>4.6239166666666671</v>
      </c>
    </row>
    <row r="2032" spans="1:19">
      <c r="A2032" s="5" t="str">
        <f>B2032&amp;"-"&amp;COUNTIF($B$2:B2032,B2032)</f>
        <v>MINAS GERAIS-466</v>
      </c>
      <c r="B2032" s="5" t="s">
        <v>1126</v>
      </c>
      <c r="C2032" s="5" t="s">
        <v>1453</v>
      </c>
      <c r="D2032" s="6">
        <v>-452384</v>
      </c>
      <c r="E2032" s="6">
        <v>-193211</v>
      </c>
      <c r="F2032" s="7">
        <v>5.306</v>
      </c>
      <c r="G2032" s="7">
        <v>5.8940000000000001</v>
      </c>
      <c r="H2032" s="7">
        <v>6.1340000000000003</v>
      </c>
      <c r="I2032" s="7">
        <v>5.2249999999999996</v>
      </c>
      <c r="J2032" s="7">
        <v>5.0330000000000004</v>
      </c>
      <c r="K2032" s="7">
        <v>4.5170000000000003</v>
      </c>
      <c r="L2032" s="7">
        <v>4.3029999999999999</v>
      </c>
      <c r="M2032" s="7">
        <v>4.5709999999999997</v>
      </c>
      <c r="N2032" s="7">
        <v>5.4530000000000003</v>
      </c>
      <c r="O2032" s="7">
        <v>5.66</v>
      </c>
      <c r="P2032" s="7">
        <v>5.6829999999999998</v>
      </c>
      <c r="Q2032" s="7">
        <v>5.4480000000000004</v>
      </c>
      <c r="R2032" s="7">
        <v>5.7539999999999996</v>
      </c>
      <c r="S2032" s="7">
        <f t="shared" si="31"/>
        <v>5.3062500000000004</v>
      </c>
    </row>
    <row r="2033" spans="1:19">
      <c r="A2033" s="5" t="str">
        <f>B2033&amp;"-"&amp;COUNTIF($B$2:B2033,B2033)</f>
        <v>MINAS GERAIS-467</v>
      </c>
      <c r="B2033" s="5" t="s">
        <v>1126</v>
      </c>
      <c r="C2033" s="5" t="s">
        <v>1454</v>
      </c>
      <c r="D2033" s="6">
        <v>-418789</v>
      </c>
      <c r="E2033" s="6">
        <v>-20255</v>
      </c>
      <c r="F2033" s="7">
        <v>4.6479999999999997</v>
      </c>
      <c r="G2033" s="7">
        <v>5.5979999999999999</v>
      </c>
      <c r="H2033" s="7">
        <v>5.84</v>
      </c>
      <c r="I2033" s="7">
        <v>4.8540000000000001</v>
      </c>
      <c r="J2033" s="7">
        <v>4.42</v>
      </c>
      <c r="K2033" s="7">
        <v>3.7759999999999998</v>
      </c>
      <c r="L2033" s="7">
        <v>3.5710000000000002</v>
      </c>
      <c r="M2033" s="7">
        <v>3.73</v>
      </c>
      <c r="N2033" s="7">
        <v>4.4429999999999996</v>
      </c>
      <c r="O2033" s="7">
        <v>4.7290000000000001</v>
      </c>
      <c r="P2033" s="7">
        <v>4.8140000000000001</v>
      </c>
      <c r="Q2033" s="7">
        <v>4.6529999999999996</v>
      </c>
      <c r="R2033" s="7">
        <v>5.3470000000000004</v>
      </c>
      <c r="S2033" s="7">
        <f t="shared" si="31"/>
        <v>4.6479166666666663</v>
      </c>
    </row>
    <row r="2034" spans="1:19">
      <c r="A2034" s="5" t="str">
        <f>B2034&amp;"-"&amp;COUNTIF($B$2:B2034,B2034)</f>
        <v>MINAS GERAIS-468</v>
      </c>
      <c r="B2034" s="5" t="s">
        <v>1126</v>
      </c>
      <c r="C2034" s="5" t="s">
        <v>1455</v>
      </c>
      <c r="D2034" s="6">
        <v>-407381</v>
      </c>
      <c r="E2034" s="6">
        <v>-156871</v>
      </c>
      <c r="F2034" s="7">
        <v>4.8970000000000002</v>
      </c>
      <c r="G2034" s="7">
        <v>5.96</v>
      </c>
      <c r="H2034" s="7">
        <v>5.9880000000000004</v>
      </c>
      <c r="I2034" s="7">
        <v>5.3479999999999999</v>
      </c>
      <c r="J2034" s="7">
        <v>4.5999999999999996</v>
      </c>
      <c r="K2034" s="7">
        <v>3.883</v>
      </c>
      <c r="L2034" s="7">
        <v>3.4910000000000001</v>
      </c>
      <c r="M2034" s="7">
        <v>3.6909999999999998</v>
      </c>
      <c r="N2034" s="7">
        <v>4.2610000000000001</v>
      </c>
      <c r="O2034" s="7">
        <v>5.12</v>
      </c>
      <c r="P2034" s="7">
        <v>5.27</v>
      </c>
      <c r="Q2034" s="7">
        <v>5.1829999999999998</v>
      </c>
      <c r="R2034" s="7">
        <v>5.9740000000000002</v>
      </c>
      <c r="S2034" s="7">
        <f t="shared" si="31"/>
        <v>4.8974166666666656</v>
      </c>
    </row>
    <row r="2035" spans="1:19">
      <c r="A2035" s="5" t="str">
        <f>B2035&amp;"-"&amp;COUNTIF($B$2:B2035,B2035)</f>
        <v>MINAS GERAIS-469</v>
      </c>
      <c r="B2035" s="5" t="s">
        <v>1126</v>
      </c>
      <c r="C2035" s="5" t="s">
        <v>4972</v>
      </c>
      <c r="D2035" s="6">
        <v>-430583</v>
      </c>
      <c r="E2035" s="6">
        <v>-184704</v>
      </c>
      <c r="F2035" s="7">
        <v>4.8940000000000001</v>
      </c>
      <c r="G2035" s="7">
        <v>5.9139999999999997</v>
      </c>
      <c r="H2035" s="7">
        <v>6.093</v>
      </c>
      <c r="I2035" s="7">
        <v>5.0590000000000002</v>
      </c>
      <c r="J2035" s="7">
        <v>4.4779999999999998</v>
      </c>
      <c r="K2035" s="7">
        <v>3.9590000000000001</v>
      </c>
      <c r="L2035" s="7">
        <v>3.7530000000000001</v>
      </c>
      <c r="M2035" s="7">
        <v>3.8940000000000001</v>
      </c>
      <c r="N2035" s="7">
        <v>4.6859999999999999</v>
      </c>
      <c r="O2035" s="7">
        <v>5.1189999999999998</v>
      </c>
      <c r="P2035" s="7">
        <v>5.32</v>
      </c>
      <c r="Q2035" s="7">
        <v>4.8390000000000004</v>
      </c>
      <c r="R2035" s="7">
        <v>5.61</v>
      </c>
      <c r="S2035" s="7">
        <f t="shared" si="31"/>
        <v>4.8936666666666664</v>
      </c>
    </row>
    <row r="2036" spans="1:19">
      <c r="A2036" s="5" t="str">
        <f>B2036&amp;"-"&amp;COUNTIF($B$2:B2036,B2036)</f>
        <v>MINAS GERAIS-470</v>
      </c>
      <c r="B2036" s="5" t="s">
        <v>1126</v>
      </c>
      <c r="C2036" s="5" t="s">
        <v>1456</v>
      </c>
      <c r="D2036" s="6">
        <v>-44428</v>
      </c>
      <c r="E2036" s="6">
        <v>-19986</v>
      </c>
      <c r="F2036" s="7">
        <v>5.1150000000000002</v>
      </c>
      <c r="G2036" s="7">
        <v>5.8170000000000002</v>
      </c>
      <c r="H2036" s="7">
        <v>6.0119999999999996</v>
      </c>
      <c r="I2036" s="7">
        <v>5.0750000000000002</v>
      </c>
      <c r="J2036" s="7">
        <v>4.8220000000000001</v>
      </c>
      <c r="K2036" s="7">
        <v>4.2169999999999996</v>
      </c>
      <c r="L2036" s="7">
        <v>4.085</v>
      </c>
      <c r="M2036" s="7">
        <v>4.359</v>
      </c>
      <c r="N2036" s="7">
        <v>5.2149999999999999</v>
      </c>
      <c r="O2036" s="7">
        <v>5.4470000000000001</v>
      </c>
      <c r="P2036" s="7">
        <v>5.5469999999999997</v>
      </c>
      <c r="Q2036" s="7">
        <v>5.2510000000000003</v>
      </c>
      <c r="R2036" s="7">
        <v>5.5389999999999997</v>
      </c>
      <c r="S2036" s="7">
        <f t="shared" si="31"/>
        <v>5.1154999999999999</v>
      </c>
    </row>
    <row r="2037" spans="1:19">
      <c r="A2037" s="5" t="str">
        <f>B2037&amp;"-"&amp;COUNTIF($B$2:B2037,B2037)</f>
        <v>MINAS GERAIS-471</v>
      </c>
      <c r="B2037" s="5" t="s">
        <v>1126</v>
      </c>
      <c r="C2037" s="5" t="s">
        <v>1457</v>
      </c>
      <c r="D2037" s="6">
        <v>-419169</v>
      </c>
      <c r="E2037" s="6">
        <v>-185905</v>
      </c>
      <c r="F2037" s="7">
        <v>4.9279999999999999</v>
      </c>
      <c r="G2037" s="7">
        <v>6.0869999999999997</v>
      </c>
      <c r="H2037" s="7">
        <v>6.2039999999999997</v>
      </c>
      <c r="I2037" s="7">
        <v>5.3490000000000002</v>
      </c>
      <c r="J2037" s="7">
        <v>4.649</v>
      </c>
      <c r="K2037" s="7">
        <v>3.9260000000000002</v>
      </c>
      <c r="L2037" s="7">
        <v>3.6629999999999998</v>
      </c>
      <c r="M2037" s="7">
        <v>3.7650000000000001</v>
      </c>
      <c r="N2037" s="7">
        <v>4.4139999999999997</v>
      </c>
      <c r="O2037" s="7">
        <v>4.9930000000000003</v>
      </c>
      <c r="P2037" s="7">
        <v>5.22</v>
      </c>
      <c r="Q2037" s="7">
        <v>4.9649999999999999</v>
      </c>
      <c r="R2037" s="7">
        <v>5.9020000000000001</v>
      </c>
      <c r="S2037" s="7">
        <f t="shared" si="31"/>
        <v>4.9280833333333334</v>
      </c>
    </row>
    <row r="2038" spans="1:19">
      <c r="A2038" s="5" t="str">
        <f>B2038&amp;"-"&amp;COUNTIF($B$2:B2038,B2038)</f>
        <v>MINAS GERAIS-472</v>
      </c>
      <c r="B2038" s="5" t="s">
        <v>1126</v>
      </c>
      <c r="C2038" s="5" t="s">
        <v>1458</v>
      </c>
      <c r="D2038" s="6">
        <v>-433138</v>
      </c>
      <c r="E2038" s="6">
        <v>-218694</v>
      </c>
      <c r="F2038" s="7">
        <v>4.5629999999999997</v>
      </c>
      <c r="G2038" s="7">
        <v>5.5519999999999996</v>
      </c>
      <c r="H2038" s="7">
        <v>5.843</v>
      </c>
      <c r="I2038" s="7">
        <v>4.827</v>
      </c>
      <c r="J2038" s="7">
        <v>4.2149999999999999</v>
      </c>
      <c r="K2038" s="7">
        <v>3.5350000000000001</v>
      </c>
      <c r="L2038" s="7">
        <v>3.3730000000000002</v>
      </c>
      <c r="M2038" s="7">
        <v>3.532</v>
      </c>
      <c r="N2038" s="7">
        <v>4.2670000000000003</v>
      </c>
      <c r="O2038" s="7">
        <v>4.5490000000000004</v>
      </c>
      <c r="P2038" s="7">
        <v>4.8689999999999998</v>
      </c>
      <c r="Q2038" s="7">
        <v>4.7510000000000003</v>
      </c>
      <c r="R2038" s="7">
        <v>5.4470000000000001</v>
      </c>
      <c r="S2038" s="7">
        <f t="shared" si="31"/>
        <v>4.5633333333333335</v>
      </c>
    </row>
    <row r="2039" spans="1:19">
      <c r="A2039" s="5" t="str">
        <f>B2039&amp;"-"&amp;COUNTIF($B$2:B2039,B2039)</f>
        <v>MINAS GERAIS-473</v>
      </c>
      <c r="B2039" s="5" t="s">
        <v>1126</v>
      </c>
      <c r="C2039" s="5" t="s">
        <v>1459</v>
      </c>
      <c r="D2039" s="6">
        <v>-439203</v>
      </c>
      <c r="E2039" s="6">
        <v>-148529</v>
      </c>
      <c r="F2039" s="7">
        <v>5.8259999999999996</v>
      </c>
      <c r="G2039" s="7">
        <v>6.4930000000000003</v>
      </c>
      <c r="H2039" s="7">
        <v>6.6390000000000002</v>
      </c>
      <c r="I2039" s="7">
        <v>5.9420000000000002</v>
      </c>
      <c r="J2039" s="7">
        <v>5.6779999999999999</v>
      </c>
      <c r="K2039" s="7">
        <v>5.0030000000000001</v>
      </c>
      <c r="L2039" s="7">
        <v>4.8090000000000002</v>
      </c>
      <c r="M2039" s="7">
        <v>5.16</v>
      </c>
      <c r="N2039" s="7">
        <v>5.7670000000000003</v>
      </c>
      <c r="O2039" s="7">
        <v>6.19</v>
      </c>
      <c r="P2039" s="7">
        <v>6.2359999999999998</v>
      </c>
      <c r="Q2039" s="7">
        <v>5.7030000000000003</v>
      </c>
      <c r="R2039" s="7">
        <v>6.2969999999999997</v>
      </c>
      <c r="S2039" s="7">
        <f t="shared" si="31"/>
        <v>5.8264166666666668</v>
      </c>
    </row>
    <row r="2040" spans="1:19">
      <c r="A2040" s="5" t="str">
        <f>B2040&amp;"-"&amp;COUNTIF($B$2:B2040,B2040)</f>
        <v>MINAS GERAIS-474</v>
      </c>
      <c r="B2040" s="5" t="s">
        <v>1126</v>
      </c>
      <c r="C2040" s="5" t="s">
        <v>5133</v>
      </c>
      <c r="D2040" s="6">
        <v>-423405</v>
      </c>
      <c r="E2040" s="6">
        <v>-202877</v>
      </c>
      <c r="F2040" s="7">
        <v>4.7859999999999996</v>
      </c>
      <c r="G2040" s="7">
        <v>5.7110000000000003</v>
      </c>
      <c r="H2040" s="7">
        <v>5.9809999999999999</v>
      </c>
      <c r="I2040" s="7">
        <v>5.0030000000000001</v>
      </c>
      <c r="J2040" s="7">
        <v>4.4870000000000001</v>
      </c>
      <c r="K2040" s="7">
        <v>3.8290000000000002</v>
      </c>
      <c r="L2040" s="7">
        <v>3.6629999999999998</v>
      </c>
      <c r="M2040" s="7">
        <v>3.8460000000000001</v>
      </c>
      <c r="N2040" s="7">
        <v>4.5629999999999997</v>
      </c>
      <c r="O2040" s="7">
        <v>4.9240000000000004</v>
      </c>
      <c r="P2040" s="7">
        <v>5.032</v>
      </c>
      <c r="Q2040" s="7">
        <v>4.7910000000000004</v>
      </c>
      <c r="R2040" s="7">
        <v>5.6050000000000004</v>
      </c>
      <c r="S2040" s="7">
        <f t="shared" si="31"/>
        <v>4.7862499999999999</v>
      </c>
    </row>
    <row r="2041" spans="1:19">
      <c r="A2041" s="5" t="str">
        <f>B2041&amp;"-"&amp;COUNTIF($B$2:B2041,B2041)</f>
        <v>MINAS GERAIS-475</v>
      </c>
      <c r="B2041" s="5" t="s">
        <v>1126</v>
      </c>
      <c r="C2041" s="5" t="s">
        <v>1460</v>
      </c>
      <c r="D2041" s="6">
        <v>-428603</v>
      </c>
      <c r="E2041" s="6">
        <v>-153949</v>
      </c>
      <c r="F2041" s="7">
        <v>5.8029999999999999</v>
      </c>
      <c r="G2041" s="7">
        <v>6.6539999999999999</v>
      </c>
      <c r="H2041" s="7">
        <v>6.8079999999999998</v>
      </c>
      <c r="I2041" s="7">
        <v>6.0220000000000002</v>
      </c>
      <c r="J2041" s="7">
        <v>5.5860000000000003</v>
      </c>
      <c r="K2041" s="7">
        <v>4.8840000000000003</v>
      </c>
      <c r="L2041" s="7">
        <v>4.6219999999999999</v>
      </c>
      <c r="M2041" s="7">
        <v>4.835</v>
      </c>
      <c r="N2041" s="7">
        <v>5.4740000000000002</v>
      </c>
      <c r="O2041" s="7">
        <v>6.0279999999999996</v>
      </c>
      <c r="P2041" s="7">
        <v>6.2640000000000002</v>
      </c>
      <c r="Q2041" s="7">
        <v>5.93</v>
      </c>
      <c r="R2041" s="7">
        <v>6.5259999999999998</v>
      </c>
      <c r="S2041" s="7">
        <f t="shared" si="31"/>
        <v>5.8027500000000005</v>
      </c>
    </row>
    <row r="2042" spans="1:19">
      <c r="A2042" s="5" t="str">
        <f>B2042&amp;"-"&amp;COUNTIF($B$2:B2042,B2042)</f>
        <v>MINAS GERAIS-476</v>
      </c>
      <c r="B2042" s="5" t="s">
        <v>1126</v>
      </c>
      <c r="C2042" s="5" t="s">
        <v>1461</v>
      </c>
      <c r="D2042" s="6">
        <v>-440872</v>
      </c>
      <c r="E2042" s="6">
        <v>-195548</v>
      </c>
      <c r="F2042" s="7">
        <v>5.202</v>
      </c>
      <c r="G2042" s="7">
        <v>5.8940000000000001</v>
      </c>
      <c r="H2042" s="7">
        <v>6.0309999999999997</v>
      </c>
      <c r="I2042" s="7">
        <v>5.2240000000000002</v>
      </c>
      <c r="J2042" s="7">
        <v>4.891</v>
      </c>
      <c r="K2042" s="7">
        <v>4.3310000000000004</v>
      </c>
      <c r="L2042" s="7">
        <v>4.0940000000000003</v>
      </c>
      <c r="M2042" s="7">
        <v>4.4119999999999999</v>
      </c>
      <c r="N2042" s="7">
        <v>5.2089999999999996</v>
      </c>
      <c r="O2042" s="7">
        <v>5.6079999999999997</v>
      </c>
      <c r="P2042" s="7">
        <v>5.6449999999999996</v>
      </c>
      <c r="Q2042" s="7">
        <v>5.4180000000000001</v>
      </c>
      <c r="R2042" s="7">
        <v>5.6689999999999996</v>
      </c>
      <c r="S2042" s="7">
        <f t="shared" si="31"/>
        <v>5.2021666666666659</v>
      </c>
    </row>
    <row r="2043" spans="1:19">
      <c r="A2043" s="5" t="str">
        <f>B2043&amp;"-"&amp;COUNTIF($B$2:B2043,B2043)</f>
        <v>MINAS GERAIS-477</v>
      </c>
      <c r="B2043" s="5" t="s">
        <v>1126</v>
      </c>
      <c r="C2043" s="5" t="s">
        <v>1462</v>
      </c>
      <c r="D2043" s="6">
        <v>-459684</v>
      </c>
      <c r="E2043" s="6">
        <v>-192218</v>
      </c>
      <c r="F2043" s="7">
        <v>5.1859999999999999</v>
      </c>
      <c r="G2043" s="7">
        <v>5.7089999999999996</v>
      </c>
      <c r="H2043" s="7">
        <v>6.0220000000000002</v>
      </c>
      <c r="I2043" s="7">
        <v>4.9710000000000001</v>
      </c>
      <c r="J2043" s="7">
        <v>4.9089999999999998</v>
      </c>
      <c r="K2043" s="7">
        <v>4.5119999999999996</v>
      </c>
      <c r="L2043" s="7">
        <v>4.2919999999999998</v>
      </c>
      <c r="M2043" s="7">
        <v>4.5869999999999997</v>
      </c>
      <c r="N2043" s="7">
        <v>5.5750000000000002</v>
      </c>
      <c r="O2043" s="7">
        <v>5.6040000000000001</v>
      </c>
      <c r="P2043" s="7">
        <v>5.5170000000000003</v>
      </c>
      <c r="Q2043" s="7">
        <v>5.0529999999999999</v>
      </c>
      <c r="R2043" s="7">
        <v>5.484</v>
      </c>
      <c r="S2043" s="7">
        <f t="shared" si="31"/>
        <v>5.1862500000000002</v>
      </c>
    </row>
    <row r="2044" spans="1:19">
      <c r="A2044" s="5" t="str">
        <f>B2044&amp;"-"&amp;COUNTIF($B$2:B2044,B2044)</f>
        <v>MINAS GERAIS-478</v>
      </c>
      <c r="B2044" s="5" t="s">
        <v>1126</v>
      </c>
      <c r="C2044" s="5" t="s">
        <v>1463</v>
      </c>
      <c r="D2044" s="6">
        <v>-462251</v>
      </c>
      <c r="E2044" s="6">
        <v>-199945</v>
      </c>
      <c r="F2044" s="7">
        <v>4.9909999999999997</v>
      </c>
      <c r="G2044" s="7">
        <v>5.4420000000000002</v>
      </c>
      <c r="H2044" s="7">
        <v>5.7670000000000003</v>
      </c>
      <c r="I2044" s="7">
        <v>4.7389999999999999</v>
      </c>
      <c r="J2044" s="7">
        <v>4.7629999999999999</v>
      </c>
      <c r="K2044" s="7">
        <v>4.2990000000000004</v>
      </c>
      <c r="L2044" s="7">
        <v>4.1130000000000004</v>
      </c>
      <c r="M2044" s="7">
        <v>4.3819999999999997</v>
      </c>
      <c r="N2044" s="7">
        <v>5.3979999999999997</v>
      </c>
      <c r="O2044" s="7">
        <v>5.35</v>
      </c>
      <c r="P2044" s="7">
        <v>5.35</v>
      </c>
      <c r="Q2044" s="7">
        <v>4.9400000000000004</v>
      </c>
      <c r="R2044" s="7">
        <v>5.3529999999999998</v>
      </c>
      <c r="S2044" s="7">
        <f t="shared" si="31"/>
        <v>4.9913333333333325</v>
      </c>
    </row>
    <row r="2045" spans="1:19">
      <c r="A2045" s="5" t="str">
        <f>B2045&amp;"-"&amp;COUNTIF($B$2:B2045,B2045)</f>
        <v>MINAS GERAIS-479</v>
      </c>
      <c r="B2045" s="5" t="s">
        <v>1126</v>
      </c>
      <c r="C2045" s="5" t="s">
        <v>1464</v>
      </c>
      <c r="D2045" s="6">
        <v>-414731</v>
      </c>
      <c r="E2045" s="6">
        <v>-16225</v>
      </c>
      <c r="F2045" s="7">
        <v>5.0389999999999997</v>
      </c>
      <c r="G2045" s="7">
        <v>6.0220000000000002</v>
      </c>
      <c r="H2045" s="7">
        <v>6.2510000000000003</v>
      </c>
      <c r="I2045" s="7">
        <v>5.39</v>
      </c>
      <c r="J2045" s="7">
        <v>4.7359999999999998</v>
      </c>
      <c r="K2045" s="7">
        <v>4.016</v>
      </c>
      <c r="L2045" s="7">
        <v>3.613</v>
      </c>
      <c r="M2045" s="7">
        <v>3.83</v>
      </c>
      <c r="N2045" s="7">
        <v>4.5410000000000004</v>
      </c>
      <c r="O2045" s="7">
        <v>5.3449999999999998</v>
      </c>
      <c r="P2045" s="7">
        <v>5.4589999999999996</v>
      </c>
      <c r="Q2045" s="7">
        <v>5.2779999999999996</v>
      </c>
      <c r="R2045" s="7">
        <v>5.9950000000000001</v>
      </c>
      <c r="S2045" s="7">
        <f t="shared" si="31"/>
        <v>5.0396666666666663</v>
      </c>
    </row>
    <row r="2046" spans="1:19">
      <c r="A2046" s="5" t="str">
        <f>B2046&amp;"-"&amp;COUNTIF($B$2:B2046,B2046)</f>
        <v>MINAS GERAIS-480</v>
      </c>
      <c r="B2046" s="5" t="s">
        <v>1126</v>
      </c>
      <c r="C2046" s="5" t="s">
        <v>1465</v>
      </c>
      <c r="D2046" s="6">
        <v>-414056</v>
      </c>
      <c r="E2046" s="6">
        <v>-186636</v>
      </c>
      <c r="F2046" s="7">
        <v>4.8220000000000001</v>
      </c>
      <c r="G2046" s="7">
        <v>5.9160000000000004</v>
      </c>
      <c r="H2046" s="7">
        <v>6.0570000000000004</v>
      </c>
      <c r="I2046" s="7">
        <v>5.1630000000000003</v>
      </c>
      <c r="J2046" s="7">
        <v>4.556</v>
      </c>
      <c r="K2046" s="7">
        <v>3.867</v>
      </c>
      <c r="L2046" s="7">
        <v>3.6019999999999999</v>
      </c>
      <c r="M2046" s="7">
        <v>3.734</v>
      </c>
      <c r="N2046" s="7">
        <v>4.3410000000000002</v>
      </c>
      <c r="O2046" s="7">
        <v>4.9059999999999997</v>
      </c>
      <c r="P2046" s="7">
        <v>5.1479999999999997</v>
      </c>
      <c r="Q2046" s="7">
        <v>4.9080000000000004</v>
      </c>
      <c r="R2046" s="7">
        <v>5.6660000000000004</v>
      </c>
      <c r="S2046" s="7">
        <f t="shared" si="31"/>
        <v>4.8220000000000001</v>
      </c>
    </row>
    <row r="2047" spans="1:19">
      <c r="A2047" s="5" t="str">
        <f>B2047&amp;"-"&amp;COUNTIF($B$2:B2047,B2047)</f>
        <v>MINAS GERAIS-481</v>
      </c>
      <c r="B2047" s="5" t="s">
        <v>1126</v>
      </c>
      <c r="C2047" s="5" t="s">
        <v>5292</v>
      </c>
      <c r="D2047" s="6">
        <v>-43334</v>
      </c>
      <c r="E2047" s="6">
        <v>-211981</v>
      </c>
      <c r="F2047" s="7">
        <v>4.6059999999999999</v>
      </c>
      <c r="G2047" s="7">
        <v>5.4770000000000003</v>
      </c>
      <c r="H2047" s="7">
        <v>5.8140000000000001</v>
      </c>
      <c r="I2047" s="7">
        <v>4.798</v>
      </c>
      <c r="J2047" s="7">
        <v>4.24</v>
      </c>
      <c r="K2047" s="7">
        <v>3.6280000000000001</v>
      </c>
      <c r="L2047" s="7">
        <v>3.4870000000000001</v>
      </c>
      <c r="M2047" s="7">
        <v>3.6230000000000002</v>
      </c>
      <c r="N2047" s="7">
        <v>4.4279999999999999</v>
      </c>
      <c r="O2047" s="7">
        <v>4.7039999999999997</v>
      </c>
      <c r="P2047" s="7">
        <v>4.9080000000000004</v>
      </c>
      <c r="Q2047" s="7">
        <v>4.694</v>
      </c>
      <c r="R2047" s="7">
        <v>5.468</v>
      </c>
      <c r="S2047" s="7">
        <f t="shared" si="31"/>
        <v>4.6057500000000005</v>
      </c>
    </row>
    <row r="2048" spans="1:19">
      <c r="A2048" s="5" t="str">
        <f>B2048&amp;"-"&amp;COUNTIF($B$2:B2048,B2048)</f>
        <v>MINAS GERAIS-482</v>
      </c>
      <c r="B2048" s="5" t="s">
        <v>1126</v>
      </c>
      <c r="C2048" s="5" t="s">
        <v>1466</v>
      </c>
      <c r="D2048" s="6">
        <v>-426082</v>
      </c>
      <c r="E2048" s="6">
        <v>-192245</v>
      </c>
      <c r="F2048" s="7">
        <v>4.9130000000000003</v>
      </c>
      <c r="G2048" s="7">
        <v>5.9290000000000003</v>
      </c>
      <c r="H2048" s="7">
        <v>6.1870000000000003</v>
      </c>
      <c r="I2048" s="7">
        <v>5.1870000000000003</v>
      </c>
      <c r="J2048" s="7">
        <v>4.6660000000000004</v>
      </c>
      <c r="K2048" s="7">
        <v>3.9489999999999998</v>
      </c>
      <c r="L2048" s="7">
        <v>3.7240000000000002</v>
      </c>
      <c r="M2048" s="7">
        <v>3.895</v>
      </c>
      <c r="N2048" s="7">
        <v>4.5860000000000003</v>
      </c>
      <c r="O2048" s="7">
        <v>4.9480000000000004</v>
      </c>
      <c r="P2048" s="7">
        <v>5.1719999999999997</v>
      </c>
      <c r="Q2048" s="7">
        <v>4.9550000000000001</v>
      </c>
      <c r="R2048" s="7">
        <v>5.7549999999999999</v>
      </c>
      <c r="S2048" s="7">
        <f t="shared" si="31"/>
        <v>4.91275</v>
      </c>
    </row>
    <row r="2049" spans="1:19">
      <c r="A2049" s="5" t="str">
        <f>B2049&amp;"-"&amp;COUNTIF($B$2:B2049,B2049)</f>
        <v>MINAS GERAIS-483</v>
      </c>
      <c r="B2049" s="5" t="s">
        <v>1126</v>
      </c>
      <c r="C2049" s="5" t="s">
        <v>1467</v>
      </c>
      <c r="D2049" s="6">
        <v>-425888</v>
      </c>
      <c r="E2049" s="6">
        <v>-172161</v>
      </c>
      <c r="F2049" s="7">
        <v>5.1040000000000001</v>
      </c>
      <c r="G2049" s="7">
        <v>6.0730000000000004</v>
      </c>
      <c r="H2049" s="7">
        <v>6.3339999999999996</v>
      </c>
      <c r="I2049" s="7">
        <v>5.3380000000000001</v>
      </c>
      <c r="J2049" s="7">
        <v>4.6459999999999999</v>
      </c>
      <c r="K2049" s="7">
        <v>4.0380000000000003</v>
      </c>
      <c r="L2049" s="7">
        <v>3.8820000000000001</v>
      </c>
      <c r="M2049" s="7">
        <v>4.0839999999999996</v>
      </c>
      <c r="N2049" s="7">
        <v>4.8860000000000001</v>
      </c>
      <c r="O2049" s="7">
        <v>5.3849999999999998</v>
      </c>
      <c r="P2049" s="7">
        <v>5.5449999999999999</v>
      </c>
      <c r="Q2049" s="7">
        <v>5.157</v>
      </c>
      <c r="R2049" s="7">
        <v>5.8840000000000003</v>
      </c>
      <c r="S2049" s="7">
        <f t="shared" si="31"/>
        <v>5.1043333333333338</v>
      </c>
    </row>
    <row r="2050" spans="1:19">
      <c r="A2050" s="5" t="str">
        <f>B2050&amp;"-"&amp;COUNTIF($B$2:B2050,B2050)</f>
        <v>MINAS GERAIS-484</v>
      </c>
      <c r="B2050" s="5" t="s">
        <v>1126</v>
      </c>
      <c r="C2050" s="5" t="s">
        <v>1468</v>
      </c>
      <c r="D2050" s="6">
        <v>-446055</v>
      </c>
      <c r="E2050" s="6">
        <v>-216802</v>
      </c>
      <c r="F2050" s="7">
        <v>4.798</v>
      </c>
      <c r="G2050" s="7">
        <v>5.4870000000000001</v>
      </c>
      <c r="H2050" s="7">
        <v>5.73</v>
      </c>
      <c r="I2050" s="7">
        <v>4.8819999999999997</v>
      </c>
      <c r="J2050" s="7">
        <v>4.4939999999999998</v>
      </c>
      <c r="K2050" s="7">
        <v>3.8159999999999998</v>
      </c>
      <c r="L2050" s="7">
        <v>3.62</v>
      </c>
      <c r="M2050" s="7">
        <v>3.8439999999999999</v>
      </c>
      <c r="N2050" s="7">
        <v>4.7530000000000001</v>
      </c>
      <c r="O2050" s="7">
        <v>4.992</v>
      </c>
      <c r="P2050" s="7">
        <v>5.2709999999999999</v>
      </c>
      <c r="Q2050" s="7">
        <v>5.157</v>
      </c>
      <c r="R2050" s="7">
        <v>5.5359999999999996</v>
      </c>
      <c r="S2050" s="7">
        <f t="shared" si="31"/>
        <v>4.7985000000000007</v>
      </c>
    </row>
    <row r="2051" spans="1:19">
      <c r="A2051" s="5" t="str">
        <f>B2051&amp;"-"&amp;COUNTIF($B$2:B2051,B2051)</f>
        <v>MINAS GERAIS-485</v>
      </c>
      <c r="B2051" s="5" t="s">
        <v>1126</v>
      </c>
      <c r="C2051" s="5" t="s">
        <v>1469</v>
      </c>
      <c r="D2051" s="6">
        <v>-426126</v>
      </c>
      <c r="E2051" s="6">
        <v>-212026</v>
      </c>
      <c r="F2051" s="7">
        <v>4.7119999999999997</v>
      </c>
      <c r="G2051" s="7">
        <v>5.6929999999999996</v>
      </c>
      <c r="H2051" s="7">
        <v>5.9429999999999996</v>
      </c>
      <c r="I2051" s="7">
        <v>4.91</v>
      </c>
      <c r="J2051" s="7">
        <v>4.3410000000000002</v>
      </c>
      <c r="K2051" s="7">
        <v>3.6850000000000001</v>
      </c>
      <c r="L2051" s="7">
        <v>3.53</v>
      </c>
      <c r="M2051" s="7">
        <v>3.66</v>
      </c>
      <c r="N2051" s="7">
        <v>4.45</v>
      </c>
      <c r="O2051" s="7">
        <v>4.8070000000000004</v>
      </c>
      <c r="P2051" s="7">
        <v>5.0670000000000002</v>
      </c>
      <c r="Q2051" s="7">
        <v>4.8490000000000002</v>
      </c>
      <c r="R2051" s="7">
        <v>5.6070000000000002</v>
      </c>
      <c r="S2051" s="7">
        <f t="shared" ref="S2051:S2114" si="32">(G2051+H2051+I2051+J2051+K2051+L2051+M2051+N2051+O2051+P2051+Q2051+R2051)/12</f>
        <v>4.7118333333333338</v>
      </c>
    </row>
    <row r="2052" spans="1:19">
      <c r="A2052" s="5" t="str">
        <f>B2052&amp;"-"&amp;COUNTIF($B$2:B2052,B2052)</f>
        <v>MINAS GERAIS-486</v>
      </c>
      <c r="B2052" s="5" t="s">
        <v>1126</v>
      </c>
      <c r="C2052" s="5" t="s">
        <v>1470</v>
      </c>
      <c r="D2052" s="6">
        <v>-441626</v>
      </c>
      <c r="E2052" s="6">
        <v>-16252</v>
      </c>
      <c r="F2052" s="7">
        <v>5.6779999999999999</v>
      </c>
      <c r="G2052" s="7">
        <v>6.3380000000000001</v>
      </c>
      <c r="H2052" s="7">
        <v>6.57</v>
      </c>
      <c r="I2052" s="7">
        <v>5.6319999999999997</v>
      </c>
      <c r="J2052" s="7">
        <v>5.5149999999999997</v>
      </c>
      <c r="K2052" s="7">
        <v>4.9279999999999999</v>
      </c>
      <c r="L2052" s="7">
        <v>4.6520000000000001</v>
      </c>
      <c r="M2052" s="7">
        <v>5.0170000000000003</v>
      </c>
      <c r="N2052" s="7">
        <v>5.851</v>
      </c>
      <c r="O2052" s="7">
        <v>6.1029999999999998</v>
      </c>
      <c r="P2052" s="7">
        <v>6.0069999999999997</v>
      </c>
      <c r="Q2052" s="7">
        <v>5.4080000000000004</v>
      </c>
      <c r="R2052" s="7">
        <v>6.1219999999999999</v>
      </c>
      <c r="S2052" s="7">
        <f t="shared" si="32"/>
        <v>5.6785833333333331</v>
      </c>
    </row>
    <row r="2053" spans="1:19">
      <c r="A2053" s="5" t="str">
        <f>B2053&amp;"-"&amp;COUNTIF($B$2:B2053,B2053)</f>
        <v>MINAS GERAIS-487</v>
      </c>
      <c r="B2053" s="5" t="s">
        <v>1126</v>
      </c>
      <c r="C2053" s="5" t="s">
        <v>1471</v>
      </c>
      <c r="D2053" s="6">
        <v>-423462</v>
      </c>
      <c r="E2053" s="6">
        <v>-208904</v>
      </c>
      <c r="F2053" s="7">
        <v>4.7300000000000004</v>
      </c>
      <c r="G2053" s="7">
        <v>5.6840000000000002</v>
      </c>
      <c r="H2053" s="7">
        <v>5.9880000000000004</v>
      </c>
      <c r="I2053" s="7">
        <v>4.9029999999999996</v>
      </c>
      <c r="J2053" s="7">
        <v>4.367</v>
      </c>
      <c r="K2053" s="7">
        <v>3.762</v>
      </c>
      <c r="L2053" s="7">
        <v>3.637</v>
      </c>
      <c r="M2053" s="7">
        <v>3.7679999999999998</v>
      </c>
      <c r="N2053" s="7">
        <v>4.57</v>
      </c>
      <c r="O2053" s="7">
        <v>4.8920000000000003</v>
      </c>
      <c r="P2053" s="7">
        <v>4.984</v>
      </c>
      <c r="Q2053" s="7">
        <v>4.6890000000000001</v>
      </c>
      <c r="R2053" s="7">
        <v>5.5090000000000003</v>
      </c>
      <c r="S2053" s="7">
        <f t="shared" si="32"/>
        <v>4.7294166666666673</v>
      </c>
    </row>
    <row r="2054" spans="1:19">
      <c r="A2054" s="5" t="str">
        <f>B2054&amp;"-"&amp;COUNTIF($B$2:B2054,B2054)</f>
        <v>MINAS GERAIS-488</v>
      </c>
      <c r="B2054" s="5" t="s">
        <v>1126</v>
      </c>
      <c r="C2054" s="5" t="s">
        <v>4973</v>
      </c>
      <c r="D2054" s="6">
        <v>-444177</v>
      </c>
      <c r="E2054" s="6">
        <v>-147431</v>
      </c>
      <c r="F2054" s="7">
        <v>5.819</v>
      </c>
      <c r="G2054" s="7">
        <v>6.327</v>
      </c>
      <c r="H2054" s="7">
        <v>6.5970000000000004</v>
      </c>
      <c r="I2054" s="7">
        <v>5.7480000000000002</v>
      </c>
      <c r="J2054" s="7">
        <v>5.633</v>
      </c>
      <c r="K2054" s="7">
        <v>5.08</v>
      </c>
      <c r="L2054" s="7">
        <v>4.8979999999999997</v>
      </c>
      <c r="M2054" s="7">
        <v>5.3230000000000004</v>
      </c>
      <c r="N2054" s="7">
        <v>5.976</v>
      </c>
      <c r="O2054" s="7">
        <v>6.2990000000000004</v>
      </c>
      <c r="P2054" s="7">
        <v>6.1820000000000004</v>
      </c>
      <c r="Q2054" s="7">
        <v>5.569</v>
      </c>
      <c r="R2054" s="7">
        <v>6.202</v>
      </c>
      <c r="S2054" s="7">
        <f t="shared" si="32"/>
        <v>5.8195000000000006</v>
      </c>
    </row>
    <row r="2055" spans="1:19">
      <c r="A2055" s="5" t="str">
        <f>B2055&amp;"-"&amp;COUNTIF($B$2:B2055,B2055)</f>
        <v>MINAS GERAIS-489</v>
      </c>
      <c r="B2055" s="5" t="s">
        <v>1126</v>
      </c>
      <c r="C2055" s="5" t="s">
        <v>1472</v>
      </c>
      <c r="D2055" s="6">
        <v>-440513</v>
      </c>
      <c r="E2055" s="6">
        <v>-203403</v>
      </c>
      <c r="F2055" s="7">
        <v>5.0730000000000004</v>
      </c>
      <c r="G2055" s="7">
        <v>5.7960000000000003</v>
      </c>
      <c r="H2055" s="7">
        <v>5.9210000000000003</v>
      </c>
      <c r="I2055" s="7">
        <v>5.1139999999999999</v>
      </c>
      <c r="J2055" s="7">
        <v>4.7779999999999996</v>
      </c>
      <c r="K2055" s="7">
        <v>4.2009999999999996</v>
      </c>
      <c r="L2055" s="7">
        <v>4.0110000000000001</v>
      </c>
      <c r="M2055" s="7">
        <v>4.226</v>
      </c>
      <c r="N2055" s="7">
        <v>5.1100000000000003</v>
      </c>
      <c r="O2055" s="7">
        <v>5.3730000000000002</v>
      </c>
      <c r="P2055" s="7">
        <v>5.4930000000000003</v>
      </c>
      <c r="Q2055" s="7">
        <v>5.2389999999999999</v>
      </c>
      <c r="R2055" s="7">
        <v>5.609</v>
      </c>
      <c r="S2055" s="7">
        <f t="shared" si="32"/>
        <v>5.0725833333333332</v>
      </c>
    </row>
    <row r="2056" spans="1:19">
      <c r="A2056" s="5" t="str">
        <f>B2056&amp;"-"&amp;COUNTIF($B$2:B2056,B2056)</f>
        <v>MINAS GERAIS-490</v>
      </c>
      <c r="B2056" s="5" t="s">
        <v>1126</v>
      </c>
      <c r="C2056" s="5" t="s">
        <v>1473</v>
      </c>
      <c r="D2056" s="6">
        <v>-454145</v>
      </c>
      <c r="E2056" s="6">
        <v>-198416</v>
      </c>
      <c r="F2056" s="7">
        <v>5.2370000000000001</v>
      </c>
      <c r="G2056" s="7">
        <v>5.8760000000000003</v>
      </c>
      <c r="H2056" s="7">
        <v>6.1459999999999999</v>
      </c>
      <c r="I2056" s="7">
        <v>5.133</v>
      </c>
      <c r="J2056" s="7">
        <v>5.0140000000000002</v>
      </c>
      <c r="K2056" s="7">
        <v>4.4429999999999996</v>
      </c>
      <c r="L2056" s="7">
        <v>4.1989999999999998</v>
      </c>
      <c r="M2056" s="7">
        <v>4.4509999999999996</v>
      </c>
      <c r="N2056" s="7">
        <v>5.3650000000000002</v>
      </c>
      <c r="O2056" s="7">
        <v>5.5030000000000001</v>
      </c>
      <c r="P2056" s="7">
        <v>5.6289999999999996</v>
      </c>
      <c r="Q2056" s="7">
        <v>5.3840000000000003</v>
      </c>
      <c r="R2056" s="7">
        <v>5.7</v>
      </c>
      <c r="S2056" s="7">
        <f t="shared" si="32"/>
        <v>5.2369166666666667</v>
      </c>
    </row>
    <row r="2057" spans="1:19">
      <c r="A2057" s="5" t="str">
        <f>B2057&amp;"-"&amp;COUNTIF($B$2:B2057,B2057)</f>
        <v>MINAS GERAIS-491</v>
      </c>
      <c r="B2057" s="5" t="s">
        <v>1126</v>
      </c>
      <c r="C2057" s="5" t="s">
        <v>1474</v>
      </c>
      <c r="D2057" s="6">
        <v>-441183</v>
      </c>
      <c r="E2057" s="6">
        <v>-183249</v>
      </c>
      <c r="F2057" s="7">
        <v>5.4589999999999996</v>
      </c>
      <c r="G2057" s="7">
        <v>6.1340000000000003</v>
      </c>
      <c r="H2057" s="7">
        <v>6.42</v>
      </c>
      <c r="I2057" s="7">
        <v>5.48</v>
      </c>
      <c r="J2057" s="7">
        <v>5.2130000000000001</v>
      </c>
      <c r="K2057" s="7">
        <v>4.6740000000000004</v>
      </c>
      <c r="L2057" s="7">
        <v>4.3680000000000003</v>
      </c>
      <c r="M2057" s="7">
        <v>4.6790000000000003</v>
      </c>
      <c r="N2057" s="7">
        <v>5.343</v>
      </c>
      <c r="O2057" s="7">
        <v>5.8209999999999997</v>
      </c>
      <c r="P2057" s="7">
        <v>5.9240000000000004</v>
      </c>
      <c r="Q2057" s="7">
        <v>5.476</v>
      </c>
      <c r="R2057" s="7">
        <v>5.9729999999999999</v>
      </c>
      <c r="S2057" s="7">
        <f t="shared" si="32"/>
        <v>5.4587500000000011</v>
      </c>
    </row>
    <row r="2058" spans="1:19">
      <c r="A2058" s="5" t="str">
        <f>B2058&amp;"-"&amp;COUNTIF($B$2:B2058,B2058)</f>
        <v>MINAS GERAIS-492</v>
      </c>
      <c r="B2058" s="5" t="s">
        <v>1126</v>
      </c>
      <c r="C2058" s="5" t="s">
        <v>1475</v>
      </c>
      <c r="D2058" s="6">
        <v>-455394</v>
      </c>
      <c r="E2058" s="6">
        <v>-217584</v>
      </c>
      <c r="F2058" s="7">
        <v>4.84</v>
      </c>
      <c r="G2058" s="7">
        <v>5.4160000000000004</v>
      </c>
      <c r="H2058" s="7">
        <v>5.7089999999999996</v>
      </c>
      <c r="I2058" s="7">
        <v>4.8499999999999996</v>
      </c>
      <c r="J2058" s="7">
        <v>4.5839999999999996</v>
      </c>
      <c r="K2058" s="7">
        <v>3.9180000000000001</v>
      </c>
      <c r="L2058" s="7">
        <v>3.6850000000000001</v>
      </c>
      <c r="M2058" s="7">
        <v>3.9060000000000001</v>
      </c>
      <c r="N2058" s="7">
        <v>4.7629999999999999</v>
      </c>
      <c r="O2058" s="7">
        <v>5.0010000000000003</v>
      </c>
      <c r="P2058" s="7">
        <v>5.3869999999999996</v>
      </c>
      <c r="Q2058" s="7">
        <v>5.2389999999999999</v>
      </c>
      <c r="R2058" s="7">
        <v>5.62</v>
      </c>
      <c r="S2058" s="7">
        <f t="shared" si="32"/>
        <v>4.8398333333333321</v>
      </c>
    </row>
    <row r="2059" spans="1:19">
      <c r="A2059" s="5" t="str">
        <f>B2059&amp;"-"&amp;COUNTIF($B$2:B2059,B2059)</f>
        <v>MINAS GERAIS-493</v>
      </c>
      <c r="B2059" s="5" t="s">
        <v>1126</v>
      </c>
      <c r="C2059" s="5" t="s">
        <v>4974</v>
      </c>
      <c r="D2059" s="6">
        <v>-443699</v>
      </c>
      <c r="E2059" s="6">
        <v>-144238</v>
      </c>
      <c r="F2059" s="7">
        <v>5.8150000000000004</v>
      </c>
      <c r="G2059" s="7">
        <v>6.4669999999999996</v>
      </c>
      <c r="H2059" s="7">
        <v>6.516</v>
      </c>
      <c r="I2059" s="7">
        <v>5.8330000000000002</v>
      </c>
      <c r="J2059" s="7">
        <v>5.6310000000000002</v>
      </c>
      <c r="K2059" s="7">
        <v>5.0620000000000003</v>
      </c>
      <c r="L2059" s="7">
        <v>4.8609999999999998</v>
      </c>
      <c r="M2059" s="7">
        <v>5.2409999999999997</v>
      </c>
      <c r="N2059" s="7">
        <v>5.7590000000000003</v>
      </c>
      <c r="O2059" s="7">
        <v>6.1609999999999996</v>
      </c>
      <c r="P2059" s="7">
        <v>6.1970000000000001</v>
      </c>
      <c r="Q2059" s="7">
        <v>5.74</v>
      </c>
      <c r="R2059" s="7">
        <v>6.3159999999999998</v>
      </c>
      <c r="S2059" s="7">
        <f t="shared" si="32"/>
        <v>5.8153333333333341</v>
      </c>
    </row>
    <row r="2060" spans="1:19">
      <c r="A2060" s="5" t="str">
        <f>B2060&amp;"-"&amp;COUNTIF($B$2:B2060,B2060)</f>
        <v>MINAS GERAIS-494</v>
      </c>
      <c r="B2060" s="5" t="s">
        <v>1126</v>
      </c>
      <c r="C2060" s="5" t="s">
        <v>1476</v>
      </c>
      <c r="D2060" s="6">
        <v>-48881</v>
      </c>
      <c r="E2060" s="6">
        <v>-18871</v>
      </c>
      <c r="F2060" s="7">
        <v>5.2169999999999996</v>
      </c>
      <c r="G2060" s="7">
        <v>5.5910000000000002</v>
      </c>
      <c r="H2060" s="7">
        <v>5.8179999999999996</v>
      </c>
      <c r="I2060" s="7">
        <v>5.0739999999999998</v>
      </c>
      <c r="J2060" s="7">
        <v>4.9960000000000004</v>
      </c>
      <c r="K2060" s="7">
        <v>4.4720000000000004</v>
      </c>
      <c r="L2060" s="7">
        <v>4.242</v>
      </c>
      <c r="M2060" s="7">
        <v>4.5270000000000001</v>
      </c>
      <c r="N2060" s="7">
        <v>5.5060000000000002</v>
      </c>
      <c r="O2060" s="7">
        <v>5.3090000000000002</v>
      </c>
      <c r="P2060" s="7">
        <v>5.6219999999999999</v>
      </c>
      <c r="Q2060" s="7">
        <v>5.657</v>
      </c>
      <c r="R2060" s="7">
        <v>5.7939999999999996</v>
      </c>
      <c r="S2060" s="7">
        <f t="shared" si="32"/>
        <v>5.2173333333333325</v>
      </c>
    </row>
    <row r="2061" spans="1:19">
      <c r="A2061" s="5" t="str">
        <f>B2061&amp;"-"&amp;COUNTIF($B$2:B2061,B2061)</f>
        <v>MINAS GERAIS-495</v>
      </c>
      <c r="B2061" s="5" t="s">
        <v>1126</v>
      </c>
      <c r="C2061" s="5" t="s">
        <v>1477</v>
      </c>
      <c r="D2061" s="6">
        <v>-428721</v>
      </c>
      <c r="E2061" s="6">
        <v>-151518</v>
      </c>
      <c r="F2061" s="7">
        <v>5.7149999999999999</v>
      </c>
      <c r="G2061" s="7">
        <v>6.4610000000000003</v>
      </c>
      <c r="H2061" s="7">
        <v>6.6379999999999999</v>
      </c>
      <c r="I2061" s="7">
        <v>5.859</v>
      </c>
      <c r="J2061" s="7">
        <v>5.4139999999999997</v>
      </c>
      <c r="K2061" s="7">
        <v>4.827</v>
      </c>
      <c r="L2061" s="7">
        <v>4.6289999999999996</v>
      </c>
      <c r="M2061" s="7">
        <v>4.8529999999999998</v>
      </c>
      <c r="N2061" s="7">
        <v>5.5709999999999997</v>
      </c>
      <c r="O2061" s="7">
        <v>6.0650000000000004</v>
      </c>
      <c r="P2061" s="7">
        <v>6.1890000000000001</v>
      </c>
      <c r="Q2061" s="7">
        <v>5.72</v>
      </c>
      <c r="R2061" s="7">
        <v>6.3579999999999997</v>
      </c>
      <c r="S2061" s="7">
        <f t="shared" si="32"/>
        <v>5.7153333333333327</v>
      </c>
    </row>
    <row r="2062" spans="1:19">
      <c r="A2062" s="5" t="str">
        <f>B2062&amp;"-"&amp;COUNTIF($B$2:B2062,B2062)</f>
        <v>MINAS GERAIS-496</v>
      </c>
      <c r="B2062" s="5" t="s">
        <v>1126</v>
      </c>
      <c r="C2062" s="5" t="s">
        <v>1478</v>
      </c>
      <c r="D2062" s="6">
        <v>-463639</v>
      </c>
      <c r="E2062" s="6">
        <v>-213276</v>
      </c>
      <c r="F2062" s="7">
        <v>4.8609999999999998</v>
      </c>
      <c r="G2062" s="7">
        <v>5.4189999999999996</v>
      </c>
      <c r="H2062" s="7">
        <v>5.6849999999999996</v>
      </c>
      <c r="I2062" s="7">
        <v>4.7919999999999998</v>
      </c>
      <c r="J2062" s="7">
        <v>4.5739999999999998</v>
      </c>
      <c r="K2062" s="7">
        <v>3.952</v>
      </c>
      <c r="L2062" s="7">
        <v>3.7189999999999999</v>
      </c>
      <c r="M2062" s="7">
        <v>4.016</v>
      </c>
      <c r="N2062" s="7">
        <v>4.9969999999999999</v>
      </c>
      <c r="O2062" s="7">
        <v>5.0890000000000004</v>
      </c>
      <c r="P2062" s="7">
        <v>5.3860000000000001</v>
      </c>
      <c r="Q2062" s="7">
        <v>5.2140000000000004</v>
      </c>
      <c r="R2062" s="7">
        <v>5.4880000000000004</v>
      </c>
      <c r="S2062" s="7">
        <f t="shared" si="32"/>
        <v>4.8609166666666663</v>
      </c>
    </row>
    <row r="2063" spans="1:19">
      <c r="A2063" s="5" t="str">
        <f>B2063&amp;"-"&amp;COUNTIF($B$2:B2063,B2063)</f>
        <v>MINAS GERAIS-497</v>
      </c>
      <c r="B2063" s="5" t="s">
        <v>1126</v>
      </c>
      <c r="C2063" s="5" t="s">
        <v>1479</v>
      </c>
      <c r="D2063" s="6">
        <v>-474916</v>
      </c>
      <c r="E2063" s="6">
        <v>-187307</v>
      </c>
      <c r="F2063" s="7">
        <v>5.3010000000000002</v>
      </c>
      <c r="G2063" s="7">
        <v>5.6139999999999999</v>
      </c>
      <c r="H2063" s="7">
        <v>5.915</v>
      </c>
      <c r="I2063" s="7">
        <v>5.1280000000000001</v>
      </c>
      <c r="J2063" s="7">
        <v>5.0170000000000003</v>
      </c>
      <c r="K2063" s="7">
        <v>4.6239999999999997</v>
      </c>
      <c r="L2063" s="7">
        <v>4.4000000000000004</v>
      </c>
      <c r="M2063" s="7">
        <v>4.6769999999999996</v>
      </c>
      <c r="N2063" s="7">
        <v>5.6260000000000003</v>
      </c>
      <c r="O2063" s="7">
        <v>5.6079999999999997</v>
      </c>
      <c r="P2063" s="7">
        <v>5.7069999999999999</v>
      </c>
      <c r="Q2063" s="7">
        <v>5.5140000000000002</v>
      </c>
      <c r="R2063" s="7">
        <v>5.7789999999999999</v>
      </c>
      <c r="S2063" s="7">
        <f t="shared" si="32"/>
        <v>5.3007499999999999</v>
      </c>
    </row>
    <row r="2064" spans="1:19">
      <c r="A2064" s="5" t="str">
        <f>B2064&amp;"-"&amp;COUNTIF($B$2:B2064,B2064)</f>
        <v>MINAS GERAIS-498</v>
      </c>
      <c r="B2064" s="5" t="s">
        <v>1126</v>
      </c>
      <c r="C2064" s="5" t="s">
        <v>1480</v>
      </c>
      <c r="D2064" s="6">
        <v>-412547</v>
      </c>
      <c r="E2064" s="6">
        <v>-168681</v>
      </c>
      <c r="F2064" s="7">
        <v>4.9169999999999998</v>
      </c>
      <c r="G2064" s="7">
        <v>5.9459999999999997</v>
      </c>
      <c r="H2064" s="7">
        <v>6.2779999999999996</v>
      </c>
      <c r="I2064" s="7">
        <v>5.2590000000000003</v>
      </c>
      <c r="J2064" s="7">
        <v>4.5339999999999998</v>
      </c>
      <c r="K2064" s="7">
        <v>3.8359999999999999</v>
      </c>
      <c r="L2064" s="7">
        <v>3.5249999999999999</v>
      </c>
      <c r="M2064" s="7">
        <v>3.7349999999999999</v>
      </c>
      <c r="N2064" s="7">
        <v>4.4219999999999997</v>
      </c>
      <c r="O2064" s="7">
        <v>5.1020000000000003</v>
      </c>
      <c r="P2064" s="7">
        <v>5.3360000000000003</v>
      </c>
      <c r="Q2064" s="7">
        <v>5.0890000000000004</v>
      </c>
      <c r="R2064" s="7">
        <v>5.9420000000000002</v>
      </c>
      <c r="S2064" s="7">
        <f t="shared" si="32"/>
        <v>4.9169999999999998</v>
      </c>
    </row>
    <row r="2065" spans="1:19">
      <c r="A2065" s="5" t="str">
        <f>B2065&amp;"-"&amp;COUNTIF($B$2:B2065,B2065)</f>
        <v>MINAS GERAIS-499</v>
      </c>
      <c r="B2065" s="5" t="s">
        <v>1126</v>
      </c>
      <c r="C2065" s="5" t="s">
        <v>1481</v>
      </c>
      <c r="D2065" s="6">
        <v>-469757</v>
      </c>
      <c r="E2065" s="6">
        <v>-211878</v>
      </c>
      <c r="F2065" s="7">
        <v>4.9409999999999998</v>
      </c>
      <c r="G2065" s="7">
        <v>5.4</v>
      </c>
      <c r="H2065" s="7">
        <v>5.6580000000000004</v>
      </c>
      <c r="I2065" s="7">
        <v>4.8559999999999999</v>
      </c>
      <c r="J2065" s="7">
        <v>4.7030000000000003</v>
      </c>
      <c r="K2065" s="7">
        <v>4.085</v>
      </c>
      <c r="L2065" s="7">
        <v>3.8719999999999999</v>
      </c>
      <c r="M2065" s="7">
        <v>4.1150000000000002</v>
      </c>
      <c r="N2065" s="7">
        <v>5.03</v>
      </c>
      <c r="O2065" s="7">
        <v>5.0819999999999999</v>
      </c>
      <c r="P2065" s="7">
        <v>5.4</v>
      </c>
      <c r="Q2065" s="7">
        <v>5.4550000000000001</v>
      </c>
      <c r="R2065" s="7">
        <v>5.6319999999999997</v>
      </c>
      <c r="S2065" s="7">
        <f t="shared" si="32"/>
        <v>4.9406666666666661</v>
      </c>
    </row>
    <row r="2066" spans="1:19">
      <c r="A2066" s="5" t="str">
        <f>B2066&amp;"-"&amp;COUNTIF($B$2:B2066,B2066)</f>
        <v>MINAS GERAIS-500</v>
      </c>
      <c r="B2066" s="5" t="s">
        <v>1126</v>
      </c>
      <c r="C2066" s="5" t="s">
        <v>4002</v>
      </c>
      <c r="D2066" s="6">
        <v>-465734</v>
      </c>
      <c r="E2066" s="6">
        <v>-22434</v>
      </c>
      <c r="F2066" s="7">
        <v>4.8959999999999999</v>
      </c>
      <c r="G2066" s="7">
        <v>5.4589999999999996</v>
      </c>
      <c r="H2066" s="7">
        <v>5.665</v>
      </c>
      <c r="I2066" s="7">
        <v>5.0430000000000001</v>
      </c>
      <c r="J2066" s="7">
        <v>4.6849999999999996</v>
      </c>
      <c r="K2066" s="7">
        <v>3.91</v>
      </c>
      <c r="L2066" s="7">
        <v>3.64</v>
      </c>
      <c r="M2066" s="7">
        <v>3.8660000000000001</v>
      </c>
      <c r="N2066" s="7">
        <v>4.7249999999999996</v>
      </c>
      <c r="O2066" s="7">
        <v>4.931</v>
      </c>
      <c r="P2066" s="7">
        <v>5.43</v>
      </c>
      <c r="Q2066" s="7">
        <v>5.6040000000000001</v>
      </c>
      <c r="R2066" s="7">
        <v>5.7949999999999999</v>
      </c>
      <c r="S2066" s="7">
        <f t="shared" si="32"/>
        <v>4.8960833333333333</v>
      </c>
    </row>
    <row r="2067" spans="1:19">
      <c r="A2067" s="5" t="str">
        <f>B2067&amp;"-"&amp;COUNTIF($B$2:B2067,B2067)</f>
        <v>MINAS GERAIS-501</v>
      </c>
      <c r="B2067" s="5" t="s">
        <v>1126</v>
      </c>
      <c r="C2067" s="5" t="s">
        <v>1482</v>
      </c>
      <c r="D2067" s="6">
        <v>-438582</v>
      </c>
      <c r="E2067" s="6">
        <v>-167286</v>
      </c>
      <c r="F2067" s="7">
        <v>5.5609999999999999</v>
      </c>
      <c r="G2067" s="7">
        <v>6.1980000000000004</v>
      </c>
      <c r="H2067" s="7">
        <v>6.5030000000000001</v>
      </c>
      <c r="I2067" s="7">
        <v>5.4980000000000002</v>
      </c>
      <c r="J2067" s="7">
        <v>5.2930000000000001</v>
      </c>
      <c r="K2067" s="7">
        <v>4.74</v>
      </c>
      <c r="L2067" s="7">
        <v>4.5030000000000001</v>
      </c>
      <c r="M2067" s="7">
        <v>4.8250000000000002</v>
      </c>
      <c r="N2067" s="7">
        <v>5.6340000000000003</v>
      </c>
      <c r="O2067" s="7">
        <v>6.03</v>
      </c>
      <c r="P2067" s="7">
        <v>5.9690000000000003</v>
      </c>
      <c r="Q2067" s="7">
        <v>5.4359999999999999</v>
      </c>
      <c r="R2067" s="7">
        <v>6.101</v>
      </c>
      <c r="S2067" s="7">
        <f t="shared" si="32"/>
        <v>5.560833333333334</v>
      </c>
    </row>
    <row r="2068" spans="1:19">
      <c r="A2068" s="5" t="str">
        <f>B2068&amp;"-"&amp;COUNTIF($B$2:B2068,B2068)</f>
        <v>MINAS GERAIS-502</v>
      </c>
      <c r="B2068" s="5" t="s">
        <v>1126</v>
      </c>
      <c r="C2068" s="5" t="s">
        <v>1483</v>
      </c>
      <c r="D2068" s="6">
        <v>-425009</v>
      </c>
      <c r="E2068" s="6">
        <v>-151753</v>
      </c>
      <c r="F2068" s="7">
        <v>5.3250000000000002</v>
      </c>
      <c r="G2068" s="7">
        <v>6.08</v>
      </c>
      <c r="H2068" s="7">
        <v>6.3220000000000001</v>
      </c>
      <c r="I2068" s="7">
        <v>5.5259999999999998</v>
      </c>
      <c r="J2068" s="7">
        <v>4.8730000000000002</v>
      </c>
      <c r="K2068" s="7">
        <v>4.3360000000000003</v>
      </c>
      <c r="L2068" s="7">
        <v>4.03</v>
      </c>
      <c r="M2068" s="7">
        <v>4.4000000000000004</v>
      </c>
      <c r="N2068" s="7">
        <v>5.1360000000000001</v>
      </c>
      <c r="O2068" s="7">
        <v>5.827</v>
      </c>
      <c r="P2068" s="7">
        <v>5.8410000000000002</v>
      </c>
      <c r="Q2068" s="7">
        <v>5.4059999999999997</v>
      </c>
      <c r="R2068" s="7">
        <v>6.1219999999999999</v>
      </c>
      <c r="S2068" s="7">
        <f t="shared" si="32"/>
        <v>5.3249166666666667</v>
      </c>
    </row>
    <row r="2069" spans="1:19">
      <c r="A2069" s="5" t="str">
        <f>B2069&amp;"-"&amp;COUNTIF($B$2:B2069,B2069)</f>
        <v>MINAS GERAIS-503</v>
      </c>
      <c r="B2069" s="5" t="s">
        <v>1126</v>
      </c>
      <c r="C2069" s="5" t="s">
        <v>1484</v>
      </c>
      <c r="D2069" s="6">
        <v>-453588</v>
      </c>
      <c r="E2069" s="6">
        <v>-186002</v>
      </c>
      <c r="F2069" s="7">
        <v>5.4749999999999996</v>
      </c>
      <c r="G2069" s="7">
        <v>6.1379999999999999</v>
      </c>
      <c r="H2069" s="7">
        <v>6.343</v>
      </c>
      <c r="I2069" s="7">
        <v>5.4790000000000001</v>
      </c>
      <c r="J2069" s="7">
        <v>5.2290000000000001</v>
      </c>
      <c r="K2069" s="7">
        <v>4.6710000000000003</v>
      </c>
      <c r="L2069" s="7">
        <v>4.3600000000000003</v>
      </c>
      <c r="M2069" s="7">
        <v>4.7530000000000001</v>
      </c>
      <c r="N2069" s="7">
        <v>5.4390000000000001</v>
      </c>
      <c r="O2069" s="7">
        <v>5.8159999999999998</v>
      </c>
      <c r="P2069" s="7">
        <v>5.9340000000000002</v>
      </c>
      <c r="Q2069" s="7">
        <v>5.61</v>
      </c>
      <c r="R2069" s="7">
        <v>5.9240000000000004</v>
      </c>
      <c r="S2069" s="7">
        <f t="shared" si="32"/>
        <v>5.4746666666666668</v>
      </c>
    </row>
    <row r="2070" spans="1:19">
      <c r="A2070" s="5" t="str">
        <f>B2070&amp;"-"&amp;COUNTIF($B$2:B2070,B2070)</f>
        <v>MINAS GERAIS-504</v>
      </c>
      <c r="B2070" s="5" t="s">
        <v>1126</v>
      </c>
      <c r="C2070" s="5" t="s">
        <v>4672</v>
      </c>
      <c r="D2070" s="6">
        <v>-44603</v>
      </c>
      <c r="E2070" s="6">
        <v>-18547</v>
      </c>
      <c r="F2070" s="7">
        <v>5.4450000000000003</v>
      </c>
      <c r="G2070" s="7">
        <v>6.0990000000000002</v>
      </c>
      <c r="H2070" s="7">
        <v>6.3410000000000002</v>
      </c>
      <c r="I2070" s="7">
        <v>5.4249999999999998</v>
      </c>
      <c r="J2070" s="7">
        <v>5.2539999999999996</v>
      </c>
      <c r="K2070" s="7">
        <v>4.6589999999999998</v>
      </c>
      <c r="L2070" s="7">
        <v>4.343</v>
      </c>
      <c r="M2070" s="7">
        <v>4.7510000000000003</v>
      </c>
      <c r="N2070" s="7">
        <v>5.3979999999999997</v>
      </c>
      <c r="O2070" s="7">
        <v>5.8250000000000002</v>
      </c>
      <c r="P2070" s="7">
        <v>5.843</v>
      </c>
      <c r="Q2070" s="7">
        <v>5.4939999999999998</v>
      </c>
      <c r="R2070" s="7">
        <v>5.907</v>
      </c>
      <c r="S2070" s="7">
        <f t="shared" si="32"/>
        <v>5.4449166666666668</v>
      </c>
    </row>
    <row r="2071" spans="1:19">
      <c r="A2071" s="5" t="str">
        <f>B2071&amp;"-"&amp;COUNTIF($B$2:B2071,B2071)</f>
        <v>MINAS GERAIS-505</v>
      </c>
      <c r="B2071" s="5" t="s">
        <v>1126</v>
      </c>
      <c r="C2071" s="5" t="s">
        <v>1485</v>
      </c>
      <c r="D2071" s="6">
        <v>-433812</v>
      </c>
      <c r="E2071" s="6">
        <v>-192188</v>
      </c>
      <c r="F2071" s="7">
        <v>4.7869999999999999</v>
      </c>
      <c r="G2071" s="7">
        <v>5.6079999999999997</v>
      </c>
      <c r="H2071" s="7">
        <v>5.899</v>
      </c>
      <c r="I2071" s="7">
        <v>4.9379999999999997</v>
      </c>
      <c r="J2071" s="7">
        <v>4.51</v>
      </c>
      <c r="K2071" s="7">
        <v>3.8740000000000001</v>
      </c>
      <c r="L2071" s="7">
        <v>3.718</v>
      </c>
      <c r="M2071" s="7">
        <v>3.9140000000000001</v>
      </c>
      <c r="N2071" s="7">
        <v>4.6959999999999997</v>
      </c>
      <c r="O2071" s="7">
        <v>4.9950000000000001</v>
      </c>
      <c r="P2071" s="7">
        <v>5.0890000000000004</v>
      </c>
      <c r="Q2071" s="7">
        <v>4.7409999999999997</v>
      </c>
      <c r="R2071" s="7">
        <v>5.4580000000000002</v>
      </c>
      <c r="S2071" s="7">
        <f t="shared" si="32"/>
        <v>4.7866666666666662</v>
      </c>
    </row>
    <row r="2072" spans="1:19">
      <c r="A2072" s="5" t="str">
        <f>B2072&amp;"-"&amp;COUNTIF($B$2:B2072,B2072)</f>
        <v>MINAS GERAIS-506</v>
      </c>
      <c r="B2072" s="5" t="s">
        <v>1126</v>
      </c>
      <c r="C2072" s="5" t="s">
        <v>1486</v>
      </c>
      <c r="D2072" s="6">
        <v>-463624</v>
      </c>
      <c r="E2072" s="6">
        <v>-226096</v>
      </c>
      <c r="F2072" s="7">
        <v>4.8159999999999998</v>
      </c>
      <c r="G2072" s="7">
        <v>5.2809999999999997</v>
      </c>
      <c r="H2072" s="7">
        <v>5.5220000000000002</v>
      </c>
      <c r="I2072" s="7">
        <v>4.8520000000000003</v>
      </c>
      <c r="J2072" s="7">
        <v>4.5250000000000004</v>
      </c>
      <c r="K2072" s="7">
        <v>3.8450000000000002</v>
      </c>
      <c r="L2072" s="7">
        <v>3.6030000000000002</v>
      </c>
      <c r="M2072" s="7">
        <v>3.8039999999999998</v>
      </c>
      <c r="N2072" s="7">
        <v>4.7320000000000002</v>
      </c>
      <c r="O2072" s="7">
        <v>4.9340000000000002</v>
      </c>
      <c r="P2072" s="7">
        <v>5.3979999999999997</v>
      </c>
      <c r="Q2072" s="7">
        <v>5.5220000000000002</v>
      </c>
      <c r="R2072" s="7">
        <v>5.77</v>
      </c>
      <c r="S2072" s="7">
        <f t="shared" si="32"/>
        <v>4.8156666666666661</v>
      </c>
    </row>
    <row r="2073" spans="1:19">
      <c r="A2073" s="5" t="str">
        <f>B2073&amp;"-"&amp;COUNTIF($B$2:B2073,B2073)</f>
        <v>MINAS GERAIS-507</v>
      </c>
      <c r="B2073" s="5" t="s">
        <v>1126</v>
      </c>
      <c r="C2073" s="5" t="s">
        <v>4354</v>
      </c>
      <c r="D2073" s="6">
        <v>-423697</v>
      </c>
      <c r="E2073" s="6">
        <v>-211304</v>
      </c>
      <c r="F2073" s="7">
        <v>4.8540000000000001</v>
      </c>
      <c r="G2073" s="7">
        <v>5.9710000000000001</v>
      </c>
      <c r="H2073" s="7">
        <v>6.2320000000000002</v>
      </c>
      <c r="I2073" s="7">
        <v>5.1449999999999996</v>
      </c>
      <c r="J2073" s="7">
        <v>4.4649999999999999</v>
      </c>
      <c r="K2073" s="7">
        <v>3.8130000000000002</v>
      </c>
      <c r="L2073" s="7">
        <v>3.621</v>
      </c>
      <c r="M2073" s="7">
        <v>3.7469999999999999</v>
      </c>
      <c r="N2073" s="7">
        <v>4.5640000000000001</v>
      </c>
      <c r="O2073" s="7">
        <v>4.9000000000000004</v>
      </c>
      <c r="P2073" s="7">
        <v>5.1550000000000002</v>
      </c>
      <c r="Q2073" s="7">
        <v>4.8499999999999996</v>
      </c>
      <c r="R2073" s="7">
        <v>5.79</v>
      </c>
      <c r="S2073" s="7">
        <f t="shared" si="32"/>
        <v>4.8544166666666664</v>
      </c>
    </row>
    <row r="2074" spans="1:19">
      <c r="A2074" s="5" t="str">
        <f>B2074&amp;"-"&amp;COUNTIF($B$2:B2074,B2074)</f>
        <v>MINAS GERAIS-508</v>
      </c>
      <c r="B2074" s="5" t="s">
        <v>1126</v>
      </c>
      <c r="C2074" s="5" t="s">
        <v>1487</v>
      </c>
      <c r="D2074" s="6">
        <v>-41441</v>
      </c>
      <c r="E2074" s="6">
        <v>-198126</v>
      </c>
      <c r="F2074" s="7">
        <v>4.8529999999999998</v>
      </c>
      <c r="G2074" s="7">
        <v>6.0010000000000003</v>
      </c>
      <c r="H2074" s="7">
        <v>6.2130000000000001</v>
      </c>
      <c r="I2074" s="7">
        <v>5.1859999999999999</v>
      </c>
      <c r="J2074" s="7">
        <v>4.7290000000000001</v>
      </c>
      <c r="K2074" s="7">
        <v>3.9279999999999999</v>
      </c>
      <c r="L2074" s="7">
        <v>3.67</v>
      </c>
      <c r="M2074" s="7">
        <v>3.7669999999999999</v>
      </c>
      <c r="N2074" s="7">
        <v>4.4139999999999997</v>
      </c>
      <c r="O2074" s="7">
        <v>4.7649999999999997</v>
      </c>
      <c r="P2074" s="7">
        <v>4.9480000000000004</v>
      </c>
      <c r="Q2074" s="7">
        <v>4.9459999999999997</v>
      </c>
      <c r="R2074" s="7">
        <v>5.6689999999999996</v>
      </c>
      <c r="S2074" s="7">
        <f t="shared" si="32"/>
        <v>4.8529999999999998</v>
      </c>
    </row>
    <row r="2075" spans="1:19">
      <c r="A2075" s="5" t="str">
        <f>B2075&amp;"-"&amp;COUNTIF($B$2:B2075,B2075)</f>
        <v>MINAS GERAIS-509</v>
      </c>
      <c r="B2075" s="5" t="s">
        <v>1126</v>
      </c>
      <c r="C2075" s="5" t="s">
        <v>1488</v>
      </c>
      <c r="D2075" s="6">
        <v>-465217</v>
      </c>
      <c r="E2075" s="6">
        <v>-213696</v>
      </c>
      <c r="F2075" s="7">
        <v>4.8760000000000003</v>
      </c>
      <c r="G2075" s="7">
        <v>5.4219999999999997</v>
      </c>
      <c r="H2075" s="7">
        <v>5.6029999999999998</v>
      </c>
      <c r="I2075" s="7">
        <v>4.8040000000000003</v>
      </c>
      <c r="J2075" s="7">
        <v>4.6130000000000004</v>
      </c>
      <c r="K2075" s="7">
        <v>3.9860000000000002</v>
      </c>
      <c r="L2075" s="7">
        <v>3.774</v>
      </c>
      <c r="M2075" s="7">
        <v>4.0629999999999997</v>
      </c>
      <c r="N2075" s="7">
        <v>4.9550000000000001</v>
      </c>
      <c r="O2075" s="7">
        <v>5.0780000000000003</v>
      </c>
      <c r="P2075" s="7">
        <v>5.3789999999999996</v>
      </c>
      <c r="Q2075" s="7">
        <v>5.32</v>
      </c>
      <c r="R2075" s="7">
        <v>5.5209999999999999</v>
      </c>
      <c r="S2075" s="7">
        <f t="shared" si="32"/>
        <v>4.8765000000000001</v>
      </c>
    </row>
    <row r="2076" spans="1:19">
      <c r="A2076" s="5" t="str">
        <f>B2076&amp;"-"&amp;COUNTIF($B$2:B2076,B2076)</f>
        <v>MINAS GERAIS-510</v>
      </c>
      <c r="B2076" s="5" t="s">
        <v>1126</v>
      </c>
      <c r="C2076" s="5" t="s">
        <v>1489</v>
      </c>
      <c r="D2076" s="6">
        <v>-422485</v>
      </c>
      <c r="E2076" s="6">
        <v>-184549</v>
      </c>
      <c r="F2076" s="7">
        <v>4.8659999999999997</v>
      </c>
      <c r="G2076" s="7">
        <v>6.01</v>
      </c>
      <c r="H2076" s="7">
        <v>6.1139999999999999</v>
      </c>
      <c r="I2076" s="7">
        <v>5.2210000000000001</v>
      </c>
      <c r="J2076" s="7">
        <v>4.5149999999999997</v>
      </c>
      <c r="K2076" s="7">
        <v>3.839</v>
      </c>
      <c r="L2076" s="7">
        <v>3.6579999999999999</v>
      </c>
      <c r="M2076" s="7">
        <v>3.7440000000000002</v>
      </c>
      <c r="N2076" s="7">
        <v>4.4800000000000004</v>
      </c>
      <c r="O2076" s="7">
        <v>4.9790000000000001</v>
      </c>
      <c r="P2076" s="7">
        <v>5.218</v>
      </c>
      <c r="Q2076" s="7">
        <v>4.8630000000000004</v>
      </c>
      <c r="R2076" s="7">
        <v>5.7549999999999999</v>
      </c>
      <c r="S2076" s="7">
        <f t="shared" si="32"/>
        <v>4.8663333333333343</v>
      </c>
    </row>
    <row r="2077" spans="1:19">
      <c r="A2077" s="5" t="str">
        <f>B2077&amp;"-"&amp;COUNTIF($B$2:B2077,B2077)</f>
        <v>MINAS GERAIS-511</v>
      </c>
      <c r="B2077" s="5" t="s">
        <v>1126</v>
      </c>
      <c r="C2077" s="5" t="s">
        <v>1490</v>
      </c>
      <c r="D2077" s="6">
        <v>-403536</v>
      </c>
      <c r="E2077" s="6">
        <v>-178486</v>
      </c>
      <c r="F2077" s="7">
        <v>4.91</v>
      </c>
      <c r="G2077" s="7">
        <v>6.1260000000000003</v>
      </c>
      <c r="H2077" s="7">
        <v>6.1669999999999998</v>
      </c>
      <c r="I2077" s="7">
        <v>5.4020000000000001</v>
      </c>
      <c r="J2077" s="7">
        <v>4.6310000000000002</v>
      </c>
      <c r="K2077" s="7">
        <v>3.839</v>
      </c>
      <c r="L2077" s="7">
        <v>3.5249999999999999</v>
      </c>
      <c r="M2077" s="7">
        <v>3.6339999999999999</v>
      </c>
      <c r="N2077" s="7">
        <v>4.2910000000000004</v>
      </c>
      <c r="O2077" s="7">
        <v>4.8499999999999996</v>
      </c>
      <c r="P2077" s="7">
        <v>5.1870000000000003</v>
      </c>
      <c r="Q2077" s="7">
        <v>5.1790000000000003</v>
      </c>
      <c r="R2077" s="7">
        <v>6.0919999999999996</v>
      </c>
      <c r="S2077" s="7">
        <f t="shared" si="32"/>
        <v>4.9102499999999996</v>
      </c>
    </row>
    <row r="2078" spans="1:19">
      <c r="A2078" s="5" t="str">
        <f>B2078&amp;"-"&amp;COUNTIF($B$2:B2078,B2078)</f>
        <v>MINAS GERAIS-512</v>
      </c>
      <c r="B2078" s="5" t="s">
        <v>1126</v>
      </c>
      <c r="C2078" s="5" t="s">
        <v>1491</v>
      </c>
      <c r="D2078" s="6">
        <v>-423302</v>
      </c>
      <c r="E2078" s="6">
        <v>-192258</v>
      </c>
      <c r="F2078" s="7">
        <v>4.8949999999999996</v>
      </c>
      <c r="G2078" s="7">
        <v>5.9139999999999997</v>
      </c>
      <c r="H2078" s="7">
        <v>6.1929999999999996</v>
      </c>
      <c r="I2078" s="7">
        <v>5.2039999999999997</v>
      </c>
      <c r="J2078" s="7">
        <v>4.6660000000000004</v>
      </c>
      <c r="K2078" s="7">
        <v>3.9260000000000002</v>
      </c>
      <c r="L2078" s="7">
        <v>3.7440000000000002</v>
      </c>
      <c r="M2078" s="7">
        <v>3.883</v>
      </c>
      <c r="N2078" s="7">
        <v>4.5369999999999999</v>
      </c>
      <c r="O2078" s="7">
        <v>4.9580000000000002</v>
      </c>
      <c r="P2078" s="7">
        <v>5.1139999999999999</v>
      </c>
      <c r="Q2078" s="7">
        <v>4.915</v>
      </c>
      <c r="R2078" s="7">
        <v>5.6879999999999997</v>
      </c>
      <c r="S2078" s="7">
        <f t="shared" si="32"/>
        <v>4.8951666666666664</v>
      </c>
    </row>
    <row r="2079" spans="1:19">
      <c r="A2079" s="5" t="str">
        <f>B2079&amp;"-"&amp;COUNTIF($B$2:B2079,B2079)</f>
        <v>MINAS GERAIS-513</v>
      </c>
      <c r="B2079" s="5" t="s">
        <v>1126</v>
      </c>
      <c r="C2079" s="5" t="s">
        <v>4355</v>
      </c>
      <c r="D2079" s="6">
        <v>-455127</v>
      </c>
      <c r="E2079" s="6">
        <v>-221162</v>
      </c>
      <c r="F2079" s="7">
        <v>4.8330000000000002</v>
      </c>
      <c r="G2079" s="7">
        <v>5.3860000000000001</v>
      </c>
      <c r="H2079" s="7">
        <v>5.694</v>
      </c>
      <c r="I2079" s="7">
        <v>4.835</v>
      </c>
      <c r="J2079" s="7">
        <v>4.5579999999999998</v>
      </c>
      <c r="K2079" s="7">
        <v>3.911</v>
      </c>
      <c r="L2079" s="7">
        <v>3.6619999999999999</v>
      </c>
      <c r="M2079" s="7">
        <v>3.8780000000000001</v>
      </c>
      <c r="N2079" s="7">
        <v>4.7779999999999996</v>
      </c>
      <c r="O2079" s="7">
        <v>4.9580000000000002</v>
      </c>
      <c r="P2079" s="7">
        <v>5.4059999999999997</v>
      </c>
      <c r="Q2079" s="7">
        <v>5.2720000000000002</v>
      </c>
      <c r="R2079" s="7">
        <v>5.6550000000000002</v>
      </c>
      <c r="S2079" s="7">
        <f t="shared" si="32"/>
        <v>4.8327499999999999</v>
      </c>
    </row>
    <row r="2080" spans="1:19">
      <c r="A2080" s="5" t="str">
        <f>B2080&amp;"-"&amp;COUNTIF($B$2:B2080,B2080)</f>
        <v>MINAS GERAIS-514</v>
      </c>
      <c r="B2080" s="5" t="s">
        <v>1126</v>
      </c>
      <c r="C2080" s="5" t="s">
        <v>4975</v>
      </c>
      <c r="D2080" s="6">
        <v>-464941</v>
      </c>
      <c r="E2080" s="6">
        <v>-165059</v>
      </c>
      <c r="F2080" s="7">
        <v>5.49</v>
      </c>
      <c r="G2080" s="7">
        <v>5.9710000000000001</v>
      </c>
      <c r="H2080" s="7">
        <v>6.2450000000000001</v>
      </c>
      <c r="I2080" s="7">
        <v>5.3609999999999998</v>
      </c>
      <c r="J2080" s="7">
        <v>5.2560000000000002</v>
      </c>
      <c r="K2080" s="7">
        <v>4.8769999999999998</v>
      </c>
      <c r="L2080" s="7">
        <v>4.6589999999999998</v>
      </c>
      <c r="M2080" s="7">
        <v>5.0199999999999996</v>
      </c>
      <c r="N2080" s="7">
        <v>5.8490000000000002</v>
      </c>
      <c r="O2080" s="7">
        <v>5.7990000000000004</v>
      </c>
      <c r="P2080" s="7">
        <v>5.8330000000000002</v>
      </c>
      <c r="Q2080" s="7">
        <v>5.2759999999999998</v>
      </c>
      <c r="R2080" s="7">
        <v>5.7380000000000004</v>
      </c>
      <c r="S2080" s="7">
        <f t="shared" si="32"/>
        <v>5.4903333333333331</v>
      </c>
    </row>
    <row r="2081" spans="1:19">
      <c r="A2081" s="5" t="str">
        <f>B2081&amp;"-"&amp;COUNTIF($B$2:B2081,B2081)</f>
        <v>MINAS GERAIS-515</v>
      </c>
      <c r="B2081" s="5" t="s">
        <v>1126</v>
      </c>
      <c r="C2081" s="5" t="s">
        <v>1492</v>
      </c>
      <c r="D2081" s="6">
        <v>-446142</v>
      </c>
      <c r="E2081" s="6">
        <v>-212173</v>
      </c>
      <c r="F2081" s="7">
        <v>4.875</v>
      </c>
      <c r="G2081" s="7">
        <v>5.5970000000000004</v>
      </c>
      <c r="H2081" s="7">
        <v>5.7830000000000004</v>
      </c>
      <c r="I2081" s="7">
        <v>4.9550000000000001</v>
      </c>
      <c r="J2081" s="7">
        <v>4.6020000000000003</v>
      </c>
      <c r="K2081" s="7">
        <v>3.9079999999999999</v>
      </c>
      <c r="L2081" s="7">
        <v>3.6960000000000002</v>
      </c>
      <c r="M2081" s="7">
        <v>3.9140000000000001</v>
      </c>
      <c r="N2081" s="7">
        <v>4.8940000000000001</v>
      </c>
      <c r="O2081" s="7">
        <v>5.1180000000000003</v>
      </c>
      <c r="P2081" s="7">
        <v>5.3170000000000002</v>
      </c>
      <c r="Q2081" s="7">
        <v>5.1310000000000002</v>
      </c>
      <c r="R2081" s="7">
        <v>5.5830000000000002</v>
      </c>
      <c r="S2081" s="7">
        <f t="shared" si="32"/>
        <v>4.874833333333334</v>
      </c>
    </row>
    <row r="2082" spans="1:19">
      <c r="A2082" s="5" t="str">
        <f>B2082&amp;"-"&amp;COUNTIF($B$2:B2082,B2082)</f>
        <v>MINAS GERAIS-516</v>
      </c>
      <c r="B2082" s="5" t="s">
        <v>1126</v>
      </c>
      <c r="C2082" s="5" t="s">
        <v>1493</v>
      </c>
      <c r="D2082" s="6">
        <v>-452353</v>
      </c>
      <c r="E2082" s="6">
        <v>-212329</v>
      </c>
      <c r="F2082" s="7">
        <v>4.9809999999999999</v>
      </c>
      <c r="G2082" s="7">
        <v>5.6689999999999996</v>
      </c>
      <c r="H2082" s="7">
        <v>5.835</v>
      </c>
      <c r="I2082" s="7">
        <v>4.9880000000000004</v>
      </c>
      <c r="J2082" s="7">
        <v>4.7350000000000003</v>
      </c>
      <c r="K2082" s="7">
        <v>4.0369999999999999</v>
      </c>
      <c r="L2082" s="7">
        <v>3.8029999999999999</v>
      </c>
      <c r="M2082" s="7">
        <v>4.069</v>
      </c>
      <c r="N2082" s="7">
        <v>4.9939999999999998</v>
      </c>
      <c r="O2082" s="7">
        <v>5.1639999999999997</v>
      </c>
      <c r="P2082" s="7">
        <v>5.4720000000000004</v>
      </c>
      <c r="Q2082" s="7">
        <v>5.3109999999999999</v>
      </c>
      <c r="R2082" s="7">
        <v>5.6959999999999997</v>
      </c>
      <c r="S2082" s="7">
        <f t="shared" si="32"/>
        <v>4.9810833333333333</v>
      </c>
    </row>
    <row r="2083" spans="1:19">
      <c r="A2083" s="5" t="str">
        <f>B2083&amp;"-"&amp;COUNTIF($B$2:B2083,B2083)</f>
        <v>MINAS GERAIS-517</v>
      </c>
      <c r="B2083" s="5" t="s">
        <v>1126</v>
      </c>
      <c r="C2083" s="5" t="s">
        <v>1494</v>
      </c>
      <c r="D2083" s="6">
        <v>-417556</v>
      </c>
      <c r="E2083" s="5" t="s">
        <v>1495</v>
      </c>
      <c r="F2083" s="7">
        <v>5.1379999999999999</v>
      </c>
      <c r="G2083" s="7">
        <v>6.0469999999999997</v>
      </c>
      <c r="H2083" s="7">
        <v>6.1159999999999997</v>
      </c>
      <c r="I2083" s="7">
        <v>5.4340000000000002</v>
      </c>
      <c r="J2083" s="7">
        <v>4.6929999999999996</v>
      </c>
      <c r="K2083" s="7">
        <v>4.0720000000000001</v>
      </c>
      <c r="L2083" s="7">
        <v>3.734</v>
      </c>
      <c r="M2083" s="7">
        <v>4.0199999999999996</v>
      </c>
      <c r="N2083" s="7">
        <v>4.7169999999999996</v>
      </c>
      <c r="O2083" s="7">
        <v>5.6310000000000002</v>
      </c>
      <c r="P2083" s="7">
        <v>5.7069999999999999</v>
      </c>
      <c r="Q2083" s="7">
        <v>5.3929999999999998</v>
      </c>
      <c r="R2083" s="7">
        <v>6.0960000000000001</v>
      </c>
      <c r="S2083" s="7">
        <f t="shared" si="32"/>
        <v>5.1383333333333328</v>
      </c>
    </row>
    <row r="2084" spans="1:19">
      <c r="A2084" s="5" t="str">
        <f>B2084&amp;"-"&amp;COUNTIF($B$2:B2084,B2084)</f>
        <v>MINAS GERAIS-518</v>
      </c>
      <c r="B2084" s="5" t="s">
        <v>1126</v>
      </c>
      <c r="C2084" s="5" t="s">
        <v>4356</v>
      </c>
      <c r="D2084" s="6">
        <v>-41111</v>
      </c>
      <c r="E2084" s="6">
        <v>-18493</v>
      </c>
      <c r="F2084" s="7">
        <v>4.7160000000000002</v>
      </c>
      <c r="G2084" s="7">
        <v>5.8330000000000002</v>
      </c>
      <c r="H2084" s="7">
        <v>5.9189999999999996</v>
      </c>
      <c r="I2084" s="7">
        <v>5.0389999999999997</v>
      </c>
      <c r="J2084" s="7">
        <v>4.3899999999999997</v>
      </c>
      <c r="K2084" s="7">
        <v>3.7240000000000002</v>
      </c>
      <c r="L2084" s="7">
        <v>3.5329999999999999</v>
      </c>
      <c r="M2084" s="7">
        <v>3.6549999999999998</v>
      </c>
      <c r="N2084" s="7">
        <v>4.2140000000000004</v>
      </c>
      <c r="O2084" s="7">
        <v>4.7869999999999999</v>
      </c>
      <c r="P2084" s="7">
        <v>4.9870000000000001</v>
      </c>
      <c r="Q2084" s="7">
        <v>4.8470000000000004</v>
      </c>
      <c r="R2084" s="7">
        <v>5.6639999999999997</v>
      </c>
      <c r="S2084" s="7">
        <f t="shared" si="32"/>
        <v>4.7160000000000002</v>
      </c>
    </row>
    <row r="2085" spans="1:19">
      <c r="A2085" s="5" t="str">
        <f>B2085&amp;"-"&amp;COUNTIF($B$2:B2085,B2085)</f>
        <v>MINAS GERAIS-519</v>
      </c>
      <c r="B2085" s="5" t="s">
        <v>1126</v>
      </c>
      <c r="C2085" s="5" t="s">
        <v>1496</v>
      </c>
      <c r="D2085" s="6">
        <v>-430313</v>
      </c>
      <c r="E2085" s="6">
        <v>-19763</v>
      </c>
      <c r="F2085" s="7">
        <v>4.774</v>
      </c>
      <c r="G2085" s="7">
        <v>5.6280000000000001</v>
      </c>
      <c r="H2085" s="7">
        <v>5.9390000000000001</v>
      </c>
      <c r="I2085" s="7">
        <v>4.9740000000000002</v>
      </c>
      <c r="J2085" s="7">
        <v>4.5010000000000003</v>
      </c>
      <c r="K2085" s="7">
        <v>3.8519999999999999</v>
      </c>
      <c r="L2085" s="7">
        <v>3.6339999999999999</v>
      </c>
      <c r="M2085" s="7">
        <v>3.89</v>
      </c>
      <c r="N2085" s="7">
        <v>4.6539999999999999</v>
      </c>
      <c r="O2085" s="7">
        <v>4.9610000000000003</v>
      </c>
      <c r="P2085" s="7">
        <v>5.05</v>
      </c>
      <c r="Q2085" s="7">
        <v>4.7389999999999999</v>
      </c>
      <c r="R2085" s="7">
        <v>5.4649999999999999</v>
      </c>
      <c r="S2085" s="7">
        <f t="shared" si="32"/>
        <v>4.7739166666666657</v>
      </c>
    </row>
    <row r="2086" spans="1:19">
      <c r="A2086" s="5" t="str">
        <f>B2086&amp;"-"&amp;COUNTIF($B$2:B2086,B2086)</f>
        <v>MINAS GERAIS-520</v>
      </c>
      <c r="B2086" s="5" t="s">
        <v>1126</v>
      </c>
      <c r="C2086" s="5" t="s">
        <v>1497</v>
      </c>
      <c r="D2086" s="6">
        <v>-438512</v>
      </c>
      <c r="E2086" s="6">
        <v>-199762</v>
      </c>
      <c r="F2086" s="7">
        <v>5.0110000000000001</v>
      </c>
      <c r="G2086" s="7">
        <v>5.6440000000000001</v>
      </c>
      <c r="H2086" s="7">
        <v>5.9050000000000002</v>
      </c>
      <c r="I2086" s="7">
        <v>5.056</v>
      </c>
      <c r="J2086" s="7">
        <v>4.6909999999999998</v>
      </c>
      <c r="K2086" s="7">
        <v>4.0880000000000001</v>
      </c>
      <c r="L2086" s="7">
        <v>4.0110000000000001</v>
      </c>
      <c r="M2086" s="7">
        <v>4.234</v>
      </c>
      <c r="N2086" s="7">
        <v>5.0810000000000004</v>
      </c>
      <c r="O2086" s="7">
        <v>5.3570000000000002</v>
      </c>
      <c r="P2086" s="7">
        <v>5.4649999999999999</v>
      </c>
      <c r="Q2086" s="7">
        <v>5.1219999999999999</v>
      </c>
      <c r="R2086" s="7">
        <v>5.4779999999999998</v>
      </c>
      <c r="S2086" s="7">
        <f t="shared" si="32"/>
        <v>5.0110000000000001</v>
      </c>
    </row>
    <row r="2087" spans="1:19">
      <c r="A2087" s="5" t="str">
        <f>B2087&amp;"-"&amp;COUNTIF($B$2:B2087,B2087)</f>
        <v>MINAS GERAIS-521</v>
      </c>
      <c r="B2087" s="5" t="s">
        <v>1126</v>
      </c>
      <c r="C2087" s="5" t="s">
        <v>5134</v>
      </c>
      <c r="D2087" s="6">
        <v>-414987</v>
      </c>
      <c r="E2087" s="6">
        <v>-184422</v>
      </c>
      <c r="F2087" s="7">
        <v>4.9329999999999998</v>
      </c>
      <c r="G2087" s="7">
        <v>6.1920000000000002</v>
      </c>
      <c r="H2087" s="7">
        <v>6.2679999999999998</v>
      </c>
      <c r="I2087" s="7">
        <v>5.34</v>
      </c>
      <c r="J2087" s="7">
        <v>4.6100000000000003</v>
      </c>
      <c r="K2087" s="7">
        <v>3.8719999999999999</v>
      </c>
      <c r="L2087" s="7">
        <v>3.6309999999999998</v>
      </c>
      <c r="M2087" s="7">
        <v>3.7090000000000001</v>
      </c>
      <c r="N2087" s="7">
        <v>4.4249999999999998</v>
      </c>
      <c r="O2087" s="7">
        <v>4.9589999999999996</v>
      </c>
      <c r="P2087" s="7">
        <v>5.2450000000000001</v>
      </c>
      <c r="Q2087" s="7">
        <v>5.0670000000000002</v>
      </c>
      <c r="R2087" s="7">
        <v>5.8769999999999998</v>
      </c>
      <c r="S2087" s="7">
        <f t="shared" si="32"/>
        <v>4.9329166666666664</v>
      </c>
    </row>
    <row r="2088" spans="1:19">
      <c r="A2088" s="5" t="str">
        <f>B2088&amp;"-"&amp;COUNTIF($B$2:B2088,B2088)</f>
        <v>MINAS GERAIS-522</v>
      </c>
      <c r="B2088" s="5" t="s">
        <v>1126</v>
      </c>
      <c r="C2088" s="5" t="s">
        <v>1498</v>
      </c>
      <c r="D2088" s="6">
        <v>-47674</v>
      </c>
      <c r="E2088" s="6">
        <v>-191673</v>
      </c>
      <c r="F2088" s="7">
        <v>5.18</v>
      </c>
      <c r="G2088" s="7">
        <v>5.5010000000000003</v>
      </c>
      <c r="H2088" s="7">
        <v>5.8810000000000002</v>
      </c>
      <c r="I2088" s="7">
        <v>4.984</v>
      </c>
      <c r="J2088" s="7">
        <v>4.9880000000000004</v>
      </c>
      <c r="K2088" s="7">
        <v>4.4889999999999999</v>
      </c>
      <c r="L2088" s="7">
        <v>4.2699999999999996</v>
      </c>
      <c r="M2088" s="7">
        <v>4.4749999999999996</v>
      </c>
      <c r="N2088" s="7">
        <v>5.4320000000000004</v>
      </c>
      <c r="O2088" s="7">
        <v>5.3460000000000001</v>
      </c>
      <c r="P2088" s="7">
        <v>5.6130000000000004</v>
      </c>
      <c r="Q2088" s="7">
        <v>5.4539999999999997</v>
      </c>
      <c r="R2088" s="7">
        <v>5.7270000000000003</v>
      </c>
      <c r="S2088" s="7">
        <f t="shared" si="32"/>
        <v>5.18</v>
      </c>
    </row>
    <row r="2089" spans="1:19">
      <c r="A2089" s="5" t="str">
        <f>B2089&amp;"-"&amp;COUNTIF($B$2:B2089,B2089)</f>
        <v>MINAS GERAIS-523</v>
      </c>
      <c r="B2089" s="5" t="s">
        <v>1126</v>
      </c>
      <c r="C2089" s="5" t="s">
        <v>1499</v>
      </c>
      <c r="D2089" s="6">
        <v>-432981</v>
      </c>
      <c r="E2089" s="6">
        <v>-158003</v>
      </c>
      <c r="F2089" s="7">
        <v>5.7240000000000002</v>
      </c>
      <c r="G2089" s="7">
        <v>6.5510000000000002</v>
      </c>
      <c r="H2089" s="7">
        <v>6.702</v>
      </c>
      <c r="I2089" s="7">
        <v>5.8410000000000002</v>
      </c>
      <c r="J2089" s="7">
        <v>5.4930000000000003</v>
      </c>
      <c r="K2089" s="7">
        <v>4.8680000000000003</v>
      </c>
      <c r="L2089" s="7">
        <v>4.569</v>
      </c>
      <c r="M2089" s="7">
        <v>4.8099999999999996</v>
      </c>
      <c r="N2089" s="7">
        <v>5.5330000000000004</v>
      </c>
      <c r="O2089" s="7">
        <v>5.9939999999999998</v>
      </c>
      <c r="P2089" s="7">
        <v>6.1710000000000003</v>
      </c>
      <c r="Q2089" s="7">
        <v>5.8049999999999997</v>
      </c>
      <c r="R2089" s="7">
        <v>6.3520000000000003</v>
      </c>
      <c r="S2089" s="7">
        <f t="shared" si="32"/>
        <v>5.7240833333333336</v>
      </c>
    </row>
    <row r="2090" spans="1:19">
      <c r="A2090" s="5" t="str">
        <f>B2090&amp;"-"&amp;COUNTIF($B$2:B2090,B2090)</f>
        <v>MINAS GERAIS-524</v>
      </c>
      <c r="B2090" s="5" t="s">
        <v>1126</v>
      </c>
      <c r="C2090" s="5" t="s">
        <v>1500</v>
      </c>
      <c r="D2090" s="6">
        <v>-464161</v>
      </c>
      <c r="E2090" s="6">
        <v>-211291</v>
      </c>
      <c r="F2090" s="7">
        <v>4.8929999999999998</v>
      </c>
      <c r="G2090" s="7">
        <v>5.4260000000000002</v>
      </c>
      <c r="H2090" s="7">
        <v>5.6349999999999998</v>
      </c>
      <c r="I2090" s="7">
        <v>4.7629999999999999</v>
      </c>
      <c r="J2090" s="7">
        <v>4.5659999999999998</v>
      </c>
      <c r="K2090" s="7">
        <v>4.032</v>
      </c>
      <c r="L2090" s="7">
        <v>3.8380000000000001</v>
      </c>
      <c r="M2090" s="7">
        <v>4.1070000000000002</v>
      </c>
      <c r="N2090" s="7">
        <v>5.0720000000000001</v>
      </c>
      <c r="O2090" s="7">
        <v>5.1369999999999996</v>
      </c>
      <c r="P2090" s="7">
        <v>5.4059999999999997</v>
      </c>
      <c r="Q2090" s="7">
        <v>5.2389999999999999</v>
      </c>
      <c r="R2090" s="7">
        <v>5.49</v>
      </c>
      <c r="S2090" s="7">
        <f t="shared" si="32"/>
        <v>4.8925833333333335</v>
      </c>
    </row>
    <row r="2091" spans="1:19">
      <c r="A2091" s="5" t="str">
        <f>B2091&amp;"-"&amp;COUNTIF($B$2:B2091,B2091)</f>
        <v>MINAS GERAIS-525</v>
      </c>
      <c r="B2091" s="5" t="s">
        <v>1126</v>
      </c>
      <c r="C2091" s="5" t="s">
        <v>1501</v>
      </c>
      <c r="D2091" s="6">
        <v>-44985</v>
      </c>
      <c r="E2091" s="6">
        <v>-198718</v>
      </c>
      <c r="F2091" s="7">
        <v>5.1609999999999996</v>
      </c>
      <c r="G2091" s="7">
        <v>5.7990000000000004</v>
      </c>
      <c r="H2091" s="7">
        <v>6.032</v>
      </c>
      <c r="I2091" s="7">
        <v>5.1609999999999996</v>
      </c>
      <c r="J2091" s="7">
        <v>4.8879999999999999</v>
      </c>
      <c r="K2091" s="7">
        <v>4.3090000000000002</v>
      </c>
      <c r="L2091" s="7">
        <v>4.1040000000000001</v>
      </c>
      <c r="M2091" s="7">
        <v>4.3460000000000001</v>
      </c>
      <c r="N2091" s="7">
        <v>5.2409999999999997</v>
      </c>
      <c r="O2091" s="7">
        <v>5.476</v>
      </c>
      <c r="P2091" s="7">
        <v>5.6</v>
      </c>
      <c r="Q2091" s="7">
        <v>5.3310000000000004</v>
      </c>
      <c r="R2091" s="7">
        <v>5.6420000000000003</v>
      </c>
      <c r="S2091" s="7">
        <f t="shared" si="32"/>
        <v>5.1607500000000002</v>
      </c>
    </row>
    <row r="2092" spans="1:19">
      <c r="A2092" s="5" t="str">
        <f>B2092&amp;"-"&amp;COUNTIF($B$2:B2092,B2092)</f>
        <v>MINAS GERAIS-526</v>
      </c>
      <c r="B2092" s="5" t="s">
        <v>1126</v>
      </c>
      <c r="C2092" s="5" t="s">
        <v>4003</v>
      </c>
      <c r="D2092" s="6">
        <v>-435834</v>
      </c>
      <c r="E2092" s="6">
        <v>-196881</v>
      </c>
      <c r="F2092" s="7">
        <v>5.0229999999999997</v>
      </c>
      <c r="G2092" s="7">
        <v>5.6959999999999997</v>
      </c>
      <c r="H2092" s="7">
        <v>5.984</v>
      </c>
      <c r="I2092" s="7">
        <v>5.0919999999999996</v>
      </c>
      <c r="J2092" s="7">
        <v>4.6459999999999999</v>
      </c>
      <c r="K2092" s="7">
        <v>4.1269999999999998</v>
      </c>
      <c r="L2092" s="7">
        <v>3.9809999999999999</v>
      </c>
      <c r="M2092" s="7">
        <v>4.2169999999999996</v>
      </c>
      <c r="N2092" s="7">
        <v>5.0599999999999996</v>
      </c>
      <c r="O2092" s="7">
        <v>5.3369999999999997</v>
      </c>
      <c r="P2092" s="7">
        <v>5.4889999999999999</v>
      </c>
      <c r="Q2092" s="7">
        <v>5.1189999999999998</v>
      </c>
      <c r="R2092" s="7">
        <v>5.5270000000000001</v>
      </c>
      <c r="S2092" s="7">
        <f t="shared" si="32"/>
        <v>5.0229166666666663</v>
      </c>
    </row>
    <row r="2093" spans="1:19">
      <c r="A2093" s="5" t="str">
        <f>B2093&amp;"-"&amp;COUNTIF($B$2:B2093,B2093)</f>
        <v>MINAS GERAIS-527</v>
      </c>
      <c r="B2093" s="5" t="s">
        <v>1126</v>
      </c>
      <c r="C2093" s="5" t="s">
        <v>1502</v>
      </c>
      <c r="D2093" s="6">
        <v>-41883</v>
      </c>
      <c r="E2093" s="6">
        <v>-174659</v>
      </c>
      <c r="F2093" s="7">
        <v>4.8620000000000001</v>
      </c>
      <c r="G2093" s="7">
        <v>5.8029999999999999</v>
      </c>
      <c r="H2093" s="7">
        <v>6.0940000000000003</v>
      </c>
      <c r="I2093" s="7">
        <v>5.0979999999999999</v>
      </c>
      <c r="J2093" s="7">
        <v>4.5190000000000001</v>
      </c>
      <c r="K2093" s="7">
        <v>3.851</v>
      </c>
      <c r="L2093" s="7">
        <v>3.6120000000000001</v>
      </c>
      <c r="M2093" s="7">
        <v>3.8119999999999998</v>
      </c>
      <c r="N2093" s="7">
        <v>4.5229999999999997</v>
      </c>
      <c r="O2093" s="7">
        <v>5.07</v>
      </c>
      <c r="P2093" s="7">
        <v>5.3330000000000002</v>
      </c>
      <c r="Q2093" s="7">
        <v>4.9180000000000001</v>
      </c>
      <c r="R2093" s="7">
        <v>5.7140000000000004</v>
      </c>
      <c r="S2093" s="7">
        <f t="shared" si="32"/>
        <v>4.8622499999999995</v>
      </c>
    </row>
    <row r="2094" spans="1:19">
      <c r="A2094" s="5" t="str">
        <f>B2094&amp;"-"&amp;COUNTIF($B$2:B2094,B2094)</f>
        <v>MINAS GERAIS-528</v>
      </c>
      <c r="B2094" s="5" t="s">
        <v>1126</v>
      </c>
      <c r="C2094" s="5" t="s">
        <v>1503</v>
      </c>
      <c r="D2094" s="6">
        <v>-412197</v>
      </c>
      <c r="E2094" s="6">
        <v>-174094</v>
      </c>
      <c r="F2094" s="7">
        <v>4.9930000000000003</v>
      </c>
      <c r="G2094" s="7">
        <v>6.2359999999999998</v>
      </c>
      <c r="H2094" s="7">
        <v>6.4669999999999996</v>
      </c>
      <c r="I2094" s="7">
        <v>5.46</v>
      </c>
      <c r="J2094" s="7">
        <v>4.6929999999999996</v>
      </c>
      <c r="K2094" s="7">
        <v>3.9329999999999998</v>
      </c>
      <c r="L2094" s="7">
        <v>3.51</v>
      </c>
      <c r="M2094" s="7">
        <v>3.7050000000000001</v>
      </c>
      <c r="N2094" s="7">
        <v>4.4509999999999996</v>
      </c>
      <c r="O2094" s="7">
        <v>4.99</v>
      </c>
      <c r="P2094" s="7">
        <v>5.2919999999999998</v>
      </c>
      <c r="Q2094" s="7">
        <v>5.1390000000000002</v>
      </c>
      <c r="R2094" s="7">
        <v>6.0389999999999997</v>
      </c>
      <c r="S2094" s="7">
        <f t="shared" si="32"/>
        <v>4.9929166666666669</v>
      </c>
    </row>
    <row r="2095" spans="1:19">
      <c r="A2095" s="5" t="str">
        <f>B2095&amp;"-"&amp;COUNTIF($B$2:B2095,B2095)</f>
        <v>MINAS GERAIS-529</v>
      </c>
      <c r="B2095" s="5" t="s">
        <v>1126</v>
      </c>
      <c r="C2095" s="5" t="s">
        <v>1504</v>
      </c>
      <c r="D2095" s="6">
        <v>-424048</v>
      </c>
      <c r="E2095" s="6">
        <v>-160167</v>
      </c>
      <c r="F2095" s="7">
        <v>5.2270000000000003</v>
      </c>
      <c r="G2095" s="7">
        <v>6.1520000000000001</v>
      </c>
      <c r="H2095" s="7">
        <v>6.3079999999999998</v>
      </c>
      <c r="I2095" s="7">
        <v>5.4260000000000002</v>
      </c>
      <c r="J2095" s="7">
        <v>4.7969999999999997</v>
      </c>
      <c r="K2095" s="7">
        <v>4.1660000000000004</v>
      </c>
      <c r="L2095" s="7">
        <v>3.863</v>
      </c>
      <c r="M2095" s="7">
        <v>4.1950000000000003</v>
      </c>
      <c r="N2095" s="7">
        <v>4.9690000000000003</v>
      </c>
      <c r="O2095" s="7">
        <v>5.6529999999999996</v>
      </c>
      <c r="P2095" s="7">
        <v>5.7510000000000003</v>
      </c>
      <c r="Q2095" s="7">
        <v>5.3440000000000003</v>
      </c>
      <c r="R2095" s="7">
        <v>6.0979999999999999</v>
      </c>
      <c r="S2095" s="7">
        <f t="shared" si="32"/>
        <v>5.2268333333333334</v>
      </c>
    </row>
    <row r="2096" spans="1:19">
      <c r="A2096" s="5" t="str">
        <f>B2096&amp;"-"&amp;COUNTIF($B$2:B2096,B2096)</f>
        <v>MINAS GERAIS-530</v>
      </c>
      <c r="B2096" s="5" t="s">
        <v>1126</v>
      </c>
      <c r="C2096" s="5" t="s">
        <v>1505</v>
      </c>
      <c r="D2096" s="6">
        <v>-452661</v>
      </c>
      <c r="E2096" s="6">
        <v>-22069</v>
      </c>
      <c r="F2096" s="7">
        <v>4.7949999999999999</v>
      </c>
      <c r="G2096" s="7">
        <v>5.3380000000000001</v>
      </c>
      <c r="H2096" s="7">
        <v>5.6639999999999997</v>
      </c>
      <c r="I2096" s="7">
        <v>4.8330000000000002</v>
      </c>
      <c r="J2096" s="7">
        <v>4.5359999999999996</v>
      </c>
      <c r="K2096" s="7">
        <v>3.875</v>
      </c>
      <c r="L2096" s="7">
        <v>3.605</v>
      </c>
      <c r="M2096" s="7">
        <v>3.8530000000000002</v>
      </c>
      <c r="N2096" s="7">
        <v>4.7320000000000002</v>
      </c>
      <c r="O2096" s="7">
        <v>4.9729999999999999</v>
      </c>
      <c r="P2096" s="7">
        <v>5.34</v>
      </c>
      <c r="Q2096" s="7">
        <v>5.2160000000000002</v>
      </c>
      <c r="R2096" s="7">
        <v>5.5750000000000002</v>
      </c>
      <c r="S2096" s="7">
        <f t="shared" si="32"/>
        <v>4.7949999999999999</v>
      </c>
    </row>
    <row r="2097" spans="1:19">
      <c r="A2097" s="5" t="str">
        <f>B2097&amp;"-"&amp;COUNTIF($B$2:B2097,B2097)</f>
        <v>MINAS GERAIS-531</v>
      </c>
      <c r="B2097" s="5" t="s">
        <v>1126</v>
      </c>
      <c r="C2097" s="5" t="s">
        <v>1506</v>
      </c>
      <c r="D2097" s="6">
        <v>-439359</v>
      </c>
      <c r="E2097" s="6">
        <v>-218603</v>
      </c>
      <c r="F2097" s="7">
        <v>4.5650000000000004</v>
      </c>
      <c r="G2097" s="7">
        <v>5.3460000000000001</v>
      </c>
      <c r="H2097" s="7">
        <v>5.6829999999999998</v>
      </c>
      <c r="I2097" s="7">
        <v>4.7469999999999999</v>
      </c>
      <c r="J2097" s="7">
        <v>4.2480000000000002</v>
      </c>
      <c r="K2097" s="7">
        <v>3.6339999999999999</v>
      </c>
      <c r="L2097" s="7">
        <v>3.468</v>
      </c>
      <c r="M2097" s="7">
        <v>3.5939999999999999</v>
      </c>
      <c r="N2097" s="7">
        <v>4.4859999999999998</v>
      </c>
      <c r="O2097" s="7">
        <v>4.6760000000000002</v>
      </c>
      <c r="P2097" s="7">
        <v>4.819</v>
      </c>
      <c r="Q2097" s="7">
        <v>4.7430000000000003</v>
      </c>
      <c r="R2097" s="7">
        <v>5.3410000000000002</v>
      </c>
      <c r="S2097" s="7">
        <f t="shared" si="32"/>
        <v>4.5654166666666676</v>
      </c>
    </row>
    <row r="2098" spans="1:19">
      <c r="A2098" s="5" t="str">
        <f>B2098&amp;"-"&amp;COUNTIF($B$2:B2098,B2098)</f>
        <v>MINAS GERAIS-532</v>
      </c>
      <c r="B2098" s="5" t="s">
        <v>1126</v>
      </c>
      <c r="C2098" s="5" t="s">
        <v>1507</v>
      </c>
      <c r="D2098" s="6">
        <v>-435708</v>
      </c>
      <c r="E2098" s="6">
        <v>-173964</v>
      </c>
      <c r="F2098" s="7">
        <v>5.3259999999999996</v>
      </c>
      <c r="G2098" s="7">
        <v>6.0670000000000002</v>
      </c>
      <c r="H2098" s="7">
        <v>6.3769999999999998</v>
      </c>
      <c r="I2098" s="7">
        <v>5.37</v>
      </c>
      <c r="J2098" s="7">
        <v>4.883</v>
      </c>
      <c r="K2098" s="7">
        <v>4.4329999999999998</v>
      </c>
      <c r="L2098" s="7">
        <v>4.2530000000000001</v>
      </c>
      <c r="M2098" s="7">
        <v>4.4459999999999997</v>
      </c>
      <c r="N2098" s="7">
        <v>5.3410000000000002</v>
      </c>
      <c r="O2098" s="7">
        <v>5.7960000000000003</v>
      </c>
      <c r="P2098" s="7">
        <v>5.7640000000000002</v>
      </c>
      <c r="Q2098" s="7">
        <v>5.2460000000000004</v>
      </c>
      <c r="R2098" s="7">
        <v>5.9379999999999997</v>
      </c>
      <c r="S2098" s="7">
        <f t="shared" si="32"/>
        <v>5.3261666666666674</v>
      </c>
    </row>
    <row r="2099" spans="1:19">
      <c r="A2099" s="5" t="str">
        <f>B2099&amp;"-"&amp;COUNTIF($B$2:B2099,B2099)</f>
        <v>MINAS GERAIS-533</v>
      </c>
      <c r="B2099" s="5" t="s">
        <v>1126</v>
      </c>
      <c r="C2099" s="5" t="s">
        <v>1508</v>
      </c>
      <c r="D2099" s="6">
        <v>-448294</v>
      </c>
      <c r="E2099" s="6">
        <v>-206987</v>
      </c>
      <c r="F2099" s="7">
        <v>5.0060000000000002</v>
      </c>
      <c r="G2099" s="7">
        <v>5.6459999999999999</v>
      </c>
      <c r="H2099" s="7">
        <v>5.8460000000000001</v>
      </c>
      <c r="I2099" s="7">
        <v>4.9800000000000004</v>
      </c>
      <c r="J2099" s="7">
        <v>4.7220000000000004</v>
      </c>
      <c r="K2099" s="7">
        <v>4.1070000000000002</v>
      </c>
      <c r="L2099" s="7">
        <v>3.9489999999999998</v>
      </c>
      <c r="M2099" s="7">
        <v>4.2030000000000003</v>
      </c>
      <c r="N2099" s="7">
        <v>5.0650000000000004</v>
      </c>
      <c r="O2099" s="7">
        <v>5.2960000000000003</v>
      </c>
      <c r="P2099" s="7">
        <v>5.4569999999999999</v>
      </c>
      <c r="Q2099" s="7">
        <v>5.1870000000000003</v>
      </c>
      <c r="R2099" s="7">
        <v>5.6150000000000002</v>
      </c>
      <c r="S2099" s="7">
        <f t="shared" si="32"/>
        <v>5.0060833333333337</v>
      </c>
    </row>
    <row r="2100" spans="1:19">
      <c r="A2100" s="5" t="str">
        <f>B2100&amp;"-"&amp;COUNTIF($B$2:B2100,B2100)</f>
        <v>MINAS GERAIS-534</v>
      </c>
      <c r="B2100" s="5" t="s">
        <v>1126</v>
      </c>
      <c r="C2100" s="5" t="s">
        <v>1509</v>
      </c>
      <c r="D2100" s="6">
        <v>-434503</v>
      </c>
      <c r="E2100" s="6">
        <v>-213405</v>
      </c>
      <c r="F2100" s="7">
        <v>4.5839999999999996</v>
      </c>
      <c r="G2100" s="7">
        <v>5.4249999999999998</v>
      </c>
      <c r="H2100" s="7">
        <v>5.7759999999999998</v>
      </c>
      <c r="I2100" s="7">
        <v>4.82</v>
      </c>
      <c r="J2100" s="7">
        <v>4.2080000000000002</v>
      </c>
      <c r="K2100" s="7">
        <v>3.6160000000000001</v>
      </c>
      <c r="L2100" s="7">
        <v>3.4630000000000001</v>
      </c>
      <c r="M2100" s="7">
        <v>3.629</v>
      </c>
      <c r="N2100" s="7">
        <v>4.444</v>
      </c>
      <c r="O2100" s="7">
        <v>4.6890000000000001</v>
      </c>
      <c r="P2100" s="7">
        <v>4.8869999999999996</v>
      </c>
      <c r="Q2100" s="7">
        <v>4.633</v>
      </c>
      <c r="R2100" s="7">
        <v>5.42</v>
      </c>
      <c r="S2100" s="7">
        <f t="shared" si="32"/>
        <v>4.5841666666666674</v>
      </c>
    </row>
    <row r="2101" spans="1:19">
      <c r="A2101" s="5" t="str">
        <f>B2101&amp;"-"&amp;COUNTIF($B$2:B2101,B2101)</f>
        <v>MINAS GERAIS-535</v>
      </c>
      <c r="B2101" s="5" t="s">
        <v>1126</v>
      </c>
      <c r="C2101" s="5" t="s">
        <v>4673</v>
      </c>
      <c r="D2101" s="6">
        <v>-448061</v>
      </c>
      <c r="E2101" s="6">
        <v>-19728</v>
      </c>
      <c r="F2101" s="7">
        <v>5.1920000000000002</v>
      </c>
      <c r="G2101" s="7">
        <v>5.8120000000000003</v>
      </c>
      <c r="H2101" s="7">
        <v>6.0060000000000002</v>
      </c>
      <c r="I2101" s="7">
        <v>5.1539999999999999</v>
      </c>
      <c r="J2101" s="7">
        <v>4.8949999999999996</v>
      </c>
      <c r="K2101" s="7">
        <v>4.3470000000000004</v>
      </c>
      <c r="L2101" s="7">
        <v>4.1790000000000003</v>
      </c>
      <c r="M2101" s="7">
        <v>4.4589999999999996</v>
      </c>
      <c r="N2101" s="7">
        <v>5.3179999999999996</v>
      </c>
      <c r="O2101" s="7">
        <v>5.5519999999999996</v>
      </c>
      <c r="P2101" s="7">
        <v>5.59</v>
      </c>
      <c r="Q2101" s="7">
        <v>5.3170000000000002</v>
      </c>
      <c r="R2101" s="7">
        <v>5.6669999999999998</v>
      </c>
      <c r="S2101" s="7">
        <f t="shared" si="32"/>
        <v>5.1913333333333336</v>
      </c>
    </row>
    <row r="2102" spans="1:19">
      <c r="A2102" s="5" t="str">
        <f>B2102&amp;"-"&amp;COUNTIF($B$2:B2102,B2102)</f>
        <v>MINAS GERAIS-536</v>
      </c>
      <c r="B2102" s="5" t="s">
        <v>1126</v>
      </c>
      <c r="C2102" s="5" t="s">
        <v>5135</v>
      </c>
      <c r="D2102" s="6">
        <v>-427981</v>
      </c>
      <c r="E2102" s="6">
        <v>-204302</v>
      </c>
      <c r="F2102" s="7">
        <v>4.8109999999999999</v>
      </c>
      <c r="G2102" s="7">
        <v>5.7190000000000003</v>
      </c>
      <c r="H2102" s="7">
        <v>6.0579999999999998</v>
      </c>
      <c r="I2102" s="7">
        <v>5.0289999999999999</v>
      </c>
      <c r="J2102" s="7">
        <v>4.484</v>
      </c>
      <c r="K2102" s="7">
        <v>3.851</v>
      </c>
      <c r="L2102" s="7">
        <v>3.62</v>
      </c>
      <c r="M2102" s="7">
        <v>3.8490000000000002</v>
      </c>
      <c r="N2102" s="7">
        <v>4.6219999999999999</v>
      </c>
      <c r="O2102" s="7">
        <v>4.9089999999999998</v>
      </c>
      <c r="P2102" s="7">
        <v>5.1260000000000003</v>
      </c>
      <c r="Q2102" s="7">
        <v>4.867</v>
      </c>
      <c r="R2102" s="7">
        <v>5.5949999999999998</v>
      </c>
      <c r="S2102" s="7">
        <f t="shared" si="32"/>
        <v>4.8107499999999996</v>
      </c>
    </row>
    <row r="2103" spans="1:19">
      <c r="A2103" s="5" t="str">
        <f>B2103&amp;"-"&amp;COUNTIF($B$2:B2103,B2103)</f>
        <v>MINAS GERAIS-537</v>
      </c>
      <c r="B2103" s="5" t="s">
        <v>1126</v>
      </c>
      <c r="C2103" s="5" t="s">
        <v>4976</v>
      </c>
      <c r="D2103" s="6">
        <v>-421995</v>
      </c>
      <c r="E2103" s="6">
        <v>-205146</v>
      </c>
      <c r="F2103" s="7">
        <v>4.72</v>
      </c>
      <c r="G2103" s="7">
        <v>5.5759999999999996</v>
      </c>
      <c r="H2103" s="7">
        <v>5.875</v>
      </c>
      <c r="I2103" s="7">
        <v>4.8769999999999998</v>
      </c>
      <c r="J2103" s="7">
        <v>4.4119999999999999</v>
      </c>
      <c r="K2103" s="7">
        <v>3.7440000000000002</v>
      </c>
      <c r="L2103" s="7">
        <v>3.613</v>
      </c>
      <c r="M2103" s="7">
        <v>3.8159999999999998</v>
      </c>
      <c r="N2103" s="7">
        <v>4.5519999999999996</v>
      </c>
      <c r="O2103" s="7">
        <v>4.9409999999999998</v>
      </c>
      <c r="P2103" s="7">
        <v>5.0129999999999999</v>
      </c>
      <c r="Q2103" s="7">
        <v>4.726</v>
      </c>
      <c r="R2103" s="7">
        <v>5.4969999999999999</v>
      </c>
      <c r="S2103" s="7">
        <f t="shared" si="32"/>
        <v>4.7201666666666666</v>
      </c>
    </row>
    <row r="2104" spans="1:19">
      <c r="A2104" s="5" t="str">
        <f>B2104&amp;"-"&amp;COUNTIF($B$2:B2104,B2104)</f>
        <v>MINAS GERAIS-538</v>
      </c>
      <c r="B2104" s="5" t="s">
        <v>1126</v>
      </c>
      <c r="C2104" s="5" t="s">
        <v>164</v>
      </c>
      <c r="D2104" s="6">
        <v>-436966</v>
      </c>
      <c r="E2104" s="6">
        <v>-205268</v>
      </c>
      <c r="F2104" s="7">
        <v>4.7910000000000004</v>
      </c>
      <c r="G2104" s="7">
        <v>5.4820000000000002</v>
      </c>
      <c r="H2104" s="7">
        <v>5.742</v>
      </c>
      <c r="I2104" s="7">
        <v>4.7889999999999997</v>
      </c>
      <c r="J2104" s="7">
        <v>4.399</v>
      </c>
      <c r="K2104" s="7">
        <v>3.931</v>
      </c>
      <c r="L2104" s="7">
        <v>3.8170000000000002</v>
      </c>
      <c r="M2104" s="7">
        <v>3.9980000000000002</v>
      </c>
      <c r="N2104" s="7">
        <v>4.9480000000000004</v>
      </c>
      <c r="O2104" s="7">
        <v>5.0960000000000001</v>
      </c>
      <c r="P2104" s="7">
        <v>5.1779999999999999</v>
      </c>
      <c r="Q2104" s="7">
        <v>4.79</v>
      </c>
      <c r="R2104" s="7">
        <v>5.3230000000000004</v>
      </c>
      <c r="S2104" s="7">
        <f t="shared" si="32"/>
        <v>4.7910833333333329</v>
      </c>
    </row>
    <row r="2105" spans="1:19">
      <c r="A2105" s="5" t="str">
        <f>B2105&amp;"-"&amp;COUNTIF($B$2:B2105,B2105)</f>
        <v>MINAS GERAIS-539</v>
      </c>
      <c r="B2105" s="5" t="s">
        <v>1126</v>
      </c>
      <c r="C2105" s="5" t="s">
        <v>1510</v>
      </c>
      <c r="D2105" s="6">
        <v>-46372</v>
      </c>
      <c r="E2105" s="6">
        <v>-222783</v>
      </c>
      <c r="F2105" s="7">
        <v>4.8380000000000001</v>
      </c>
      <c r="G2105" s="7">
        <v>5.3</v>
      </c>
      <c r="H2105" s="7">
        <v>5.5670000000000002</v>
      </c>
      <c r="I2105" s="7">
        <v>4.9089999999999998</v>
      </c>
      <c r="J2105" s="7">
        <v>4.6159999999999997</v>
      </c>
      <c r="K2105" s="7">
        <v>3.9060000000000001</v>
      </c>
      <c r="L2105" s="7">
        <v>3.6480000000000001</v>
      </c>
      <c r="M2105" s="7">
        <v>3.879</v>
      </c>
      <c r="N2105" s="7">
        <v>4.7329999999999997</v>
      </c>
      <c r="O2105" s="7">
        <v>4.9509999999999996</v>
      </c>
      <c r="P2105" s="7">
        <v>5.3929999999999998</v>
      </c>
      <c r="Q2105" s="7">
        <v>5.4749999999999996</v>
      </c>
      <c r="R2105" s="7">
        <v>5.6859999999999999</v>
      </c>
      <c r="S2105" s="7">
        <f t="shared" si="32"/>
        <v>4.8385833333333332</v>
      </c>
    </row>
    <row r="2106" spans="1:19">
      <c r="A2106" s="5" t="str">
        <f>B2106&amp;"-"&amp;COUNTIF($B$2:B2106,B2106)</f>
        <v>MINAS GERAIS-540</v>
      </c>
      <c r="B2106" s="5" t="s">
        <v>1126</v>
      </c>
      <c r="C2106" s="5" t="s">
        <v>1511</v>
      </c>
      <c r="D2106" s="6">
        <v>-435124</v>
      </c>
      <c r="E2106" s="5" t="s">
        <v>1512</v>
      </c>
      <c r="F2106" s="7">
        <v>4.8250000000000002</v>
      </c>
      <c r="G2106" s="7">
        <v>5.5940000000000003</v>
      </c>
      <c r="H2106" s="7">
        <v>5.8250000000000002</v>
      </c>
      <c r="I2106" s="7">
        <v>4.9089999999999998</v>
      </c>
      <c r="J2106" s="7">
        <v>4.4290000000000003</v>
      </c>
      <c r="K2106" s="7">
        <v>3.9369999999999998</v>
      </c>
      <c r="L2106" s="7">
        <v>3.8290000000000002</v>
      </c>
      <c r="M2106" s="7">
        <v>4.0170000000000003</v>
      </c>
      <c r="N2106" s="7">
        <v>4.9459999999999997</v>
      </c>
      <c r="O2106" s="7">
        <v>5.1079999999999997</v>
      </c>
      <c r="P2106" s="7">
        <v>5.1609999999999996</v>
      </c>
      <c r="Q2106" s="7">
        <v>4.7919999999999998</v>
      </c>
      <c r="R2106" s="7">
        <v>5.3520000000000003</v>
      </c>
      <c r="S2106" s="7">
        <f t="shared" si="32"/>
        <v>4.8249166666666667</v>
      </c>
    </row>
    <row r="2107" spans="1:19">
      <c r="A2107" s="5" t="str">
        <f>B2107&amp;"-"&amp;COUNTIF($B$2:B2107,B2107)</f>
        <v>MINAS GERAIS-541</v>
      </c>
      <c r="B2107" s="5" t="s">
        <v>1126</v>
      </c>
      <c r="C2107" s="5" t="s">
        <v>1513</v>
      </c>
      <c r="D2107" s="6">
        <v>-412738</v>
      </c>
      <c r="E2107" s="6">
        <v>-180724</v>
      </c>
      <c r="F2107" s="7">
        <v>4.84</v>
      </c>
      <c r="G2107" s="7">
        <v>5.9809999999999999</v>
      </c>
      <c r="H2107" s="7">
        <v>6.1559999999999997</v>
      </c>
      <c r="I2107" s="7">
        <v>5.266</v>
      </c>
      <c r="J2107" s="7">
        <v>4.5679999999999996</v>
      </c>
      <c r="K2107" s="7">
        <v>3.81</v>
      </c>
      <c r="L2107" s="7">
        <v>3.589</v>
      </c>
      <c r="M2107" s="7">
        <v>3.665</v>
      </c>
      <c r="N2107" s="7">
        <v>4.2949999999999999</v>
      </c>
      <c r="O2107" s="7">
        <v>4.8739999999999997</v>
      </c>
      <c r="P2107" s="7">
        <v>5.1440000000000001</v>
      </c>
      <c r="Q2107" s="7">
        <v>4.9569999999999999</v>
      </c>
      <c r="R2107" s="7">
        <v>5.7750000000000004</v>
      </c>
      <c r="S2107" s="7">
        <f t="shared" si="32"/>
        <v>4.84</v>
      </c>
    </row>
    <row r="2108" spans="1:19">
      <c r="A2108" s="5" t="str">
        <f>B2108&amp;"-"&amp;COUNTIF($B$2:B2108,B2108)</f>
        <v>MINAS GERAIS-542</v>
      </c>
      <c r="B2108" s="5" t="s">
        <v>1126</v>
      </c>
      <c r="C2108" s="5" t="s">
        <v>1514</v>
      </c>
      <c r="D2108" s="6">
        <v>-425158</v>
      </c>
      <c r="E2108" s="6">
        <v>-163644</v>
      </c>
      <c r="F2108" s="7">
        <v>5.1440000000000001</v>
      </c>
      <c r="G2108" s="7">
        <v>6.0460000000000003</v>
      </c>
      <c r="H2108" s="7">
        <v>6.335</v>
      </c>
      <c r="I2108" s="7">
        <v>5.3360000000000003</v>
      </c>
      <c r="J2108" s="7">
        <v>4.7069999999999999</v>
      </c>
      <c r="K2108" s="7">
        <v>4.0590000000000002</v>
      </c>
      <c r="L2108" s="7">
        <v>3.8420000000000001</v>
      </c>
      <c r="M2108" s="7">
        <v>4.1109999999999998</v>
      </c>
      <c r="N2108" s="7">
        <v>4.9219999999999997</v>
      </c>
      <c r="O2108" s="7">
        <v>5.556</v>
      </c>
      <c r="P2108" s="7">
        <v>5.6929999999999996</v>
      </c>
      <c r="Q2108" s="7">
        <v>5.1820000000000004</v>
      </c>
      <c r="R2108" s="7">
        <v>5.9420000000000002</v>
      </c>
      <c r="S2108" s="7">
        <f t="shared" si="32"/>
        <v>5.1442499999999995</v>
      </c>
    </row>
    <row r="2109" spans="1:19">
      <c r="A2109" s="5" t="str">
        <f>B2109&amp;"-"&amp;COUNTIF($B$2:B2109,B2109)</f>
        <v>MINAS GERAIS-543</v>
      </c>
      <c r="B2109" s="5" t="s">
        <v>1126</v>
      </c>
      <c r="C2109" s="5" t="s">
        <v>1515</v>
      </c>
      <c r="D2109" s="6">
        <v>-414824</v>
      </c>
      <c r="E2109" s="6">
        <v>-170763</v>
      </c>
      <c r="F2109" s="7">
        <v>4.883</v>
      </c>
      <c r="G2109" s="7">
        <v>5.992</v>
      </c>
      <c r="H2109" s="7">
        <v>6.234</v>
      </c>
      <c r="I2109" s="7">
        <v>5.2439999999999998</v>
      </c>
      <c r="J2109" s="7">
        <v>4.5110000000000001</v>
      </c>
      <c r="K2109" s="7">
        <v>3.8290000000000002</v>
      </c>
      <c r="L2109" s="7">
        <v>3.5289999999999999</v>
      </c>
      <c r="M2109" s="7">
        <v>3.7</v>
      </c>
      <c r="N2109" s="7">
        <v>4.4690000000000003</v>
      </c>
      <c r="O2109" s="7">
        <v>5.0449999999999999</v>
      </c>
      <c r="P2109" s="7">
        <v>5.3209999999999997</v>
      </c>
      <c r="Q2109" s="7">
        <v>4.9669999999999996</v>
      </c>
      <c r="R2109" s="7">
        <v>5.75</v>
      </c>
      <c r="S2109" s="7">
        <f t="shared" si="32"/>
        <v>4.8825833333333337</v>
      </c>
    </row>
    <row r="2110" spans="1:19">
      <c r="A2110" s="5" t="str">
        <f>B2110&amp;"-"&amp;COUNTIF($B$2:B2110,B2110)</f>
        <v>MINAS GERAIS-544</v>
      </c>
      <c r="B2110" s="5" t="s">
        <v>1126</v>
      </c>
      <c r="C2110" s="5" t="s">
        <v>1516</v>
      </c>
      <c r="D2110" s="6">
        <v>-430679</v>
      </c>
      <c r="E2110" s="6">
        <v>-155314</v>
      </c>
      <c r="F2110" s="7">
        <v>5.7670000000000003</v>
      </c>
      <c r="G2110" s="7">
        <v>6.6470000000000002</v>
      </c>
      <c r="H2110" s="7">
        <v>6.7779999999999996</v>
      </c>
      <c r="I2110" s="7">
        <v>5.9470000000000001</v>
      </c>
      <c r="J2110" s="7">
        <v>5.5149999999999997</v>
      </c>
      <c r="K2110" s="7">
        <v>4.8899999999999997</v>
      </c>
      <c r="L2110" s="7">
        <v>4.5919999999999996</v>
      </c>
      <c r="M2110" s="7">
        <v>4.8419999999999996</v>
      </c>
      <c r="N2110" s="7">
        <v>5.4690000000000003</v>
      </c>
      <c r="O2110" s="7">
        <v>6.0039999999999996</v>
      </c>
      <c r="P2110" s="7">
        <v>6.2149999999999999</v>
      </c>
      <c r="Q2110" s="7">
        <v>5.8319999999999999</v>
      </c>
      <c r="R2110" s="7">
        <v>6.468</v>
      </c>
      <c r="S2110" s="7">
        <f t="shared" si="32"/>
        <v>5.7665833333333332</v>
      </c>
    </row>
    <row r="2111" spans="1:19">
      <c r="A2111" s="5" t="str">
        <f>B2111&amp;"-"&amp;COUNTIF($B$2:B2111,B2111)</f>
        <v>MINAS GERAIS-545</v>
      </c>
      <c r="B2111" s="5" t="s">
        <v>1126</v>
      </c>
      <c r="C2111" s="5" t="s">
        <v>1517</v>
      </c>
      <c r="D2111" s="6">
        <v>-45536</v>
      </c>
      <c r="E2111" s="6">
        <v>-189047</v>
      </c>
      <c r="F2111" s="7">
        <v>5.3719999999999999</v>
      </c>
      <c r="G2111" s="7">
        <v>5.9630000000000001</v>
      </c>
      <c r="H2111" s="7">
        <v>6.2069999999999999</v>
      </c>
      <c r="I2111" s="7">
        <v>5.258</v>
      </c>
      <c r="J2111" s="7">
        <v>5.1230000000000002</v>
      </c>
      <c r="K2111" s="7">
        <v>4.6639999999999997</v>
      </c>
      <c r="L2111" s="7">
        <v>4.3440000000000003</v>
      </c>
      <c r="M2111" s="7">
        <v>4.734</v>
      </c>
      <c r="N2111" s="7">
        <v>5.5830000000000002</v>
      </c>
      <c r="O2111" s="7">
        <v>5.7569999999999997</v>
      </c>
      <c r="P2111" s="7">
        <v>5.734</v>
      </c>
      <c r="Q2111" s="7">
        <v>5.3559999999999999</v>
      </c>
      <c r="R2111" s="7">
        <v>5.742</v>
      </c>
      <c r="S2111" s="7">
        <f t="shared" si="32"/>
        <v>5.3720833333333333</v>
      </c>
    </row>
    <row r="2112" spans="1:19">
      <c r="A2112" s="5" t="str">
        <f>B2112&amp;"-"&amp;COUNTIF($B$2:B2112,B2112)</f>
        <v>MINAS GERAIS-546</v>
      </c>
      <c r="B2112" s="5" t="s">
        <v>1126</v>
      </c>
      <c r="C2112" s="5" t="s">
        <v>1518</v>
      </c>
      <c r="D2112" s="6">
        <v>-456631</v>
      </c>
      <c r="E2112" s="6">
        <v>-203709</v>
      </c>
      <c r="F2112" s="7">
        <v>5.1059999999999999</v>
      </c>
      <c r="G2112" s="7">
        <v>5.75</v>
      </c>
      <c r="H2112" s="7">
        <v>5.9729999999999999</v>
      </c>
      <c r="I2112" s="7">
        <v>5.0110000000000001</v>
      </c>
      <c r="J2112" s="7">
        <v>4.8819999999999997</v>
      </c>
      <c r="K2112" s="7">
        <v>4.2910000000000004</v>
      </c>
      <c r="L2112" s="7">
        <v>4.0490000000000004</v>
      </c>
      <c r="M2112" s="7">
        <v>4.3129999999999997</v>
      </c>
      <c r="N2112" s="7">
        <v>5.2359999999999998</v>
      </c>
      <c r="O2112" s="7">
        <v>5.3579999999999997</v>
      </c>
      <c r="P2112" s="7">
        <v>5.5039999999999996</v>
      </c>
      <c r="Q2112" s="7">
        <v>5.202</v>
      </c>
      <c r="R2112" s="7">
        <v>5.7</v>
      </c>
      <c r="S2112" s="7">
        <f t="shared" si="32"/>
        <v>5.1057499999999996</v>
      </c>
    </row>
    <row r="2113" spans="1:19">
      <c r="A2113" s="5" t="str">
        <f>B2113&amp;"-"&amp;COUNTIF($B$2:B2113,B2113)</f>
        <v>MINAS GERAIS-547</v>
      </c>
      <c r="B2113" s="5" t="s">
        <v>1126</v>
      </c>
      <c r="C2113" s="5" t="s">
        <v>1519</v>
      </c>
      <c r="D2113" s="6">
        <v>-434091</v>
      </c>
      <c r="E2113" s="6">
        <v>-212918</v>
      </c>
      <c r="F2113" s="7">
        <v>4.5839999999999996</v>
      </c>
      <c r="G2113" s="7">
        <v>5.4249999999999998</v>
      </c>
      <c r="H2113" s="7">
        <v>5.7759999999999998</v>
      </c>
      <c r="I2113" s="7">
        <v>4.82</v>
      </c>
      <c r="J2113" s="7">
        <v>4.2080000000000002</v>
      </c>
      <c r="K2113" s="7">
        <v>3.6160000000000001</v>
      </c>
      <c r="L2113" s="7">
        <v>3.4630000000000001</v>
      </c>
      <c r="M2113" s="7">
        <v>3.629</v>
      </c>
      <c r="N2113" s="7">
        <v>4.444</v>
      </c>
      <c r="O2113" s="7">
        <v>4.6890000000000001</v>
      </c>
      <c r="P2113" s="7">
        <v>4.8869999999999996</v>
      </c>
      <c r="Q2113" s="7">
        <v>4.633</v>
      </c>
      <c r="R2113" s="7">
        <v>5.42</v>
      </c>
      <c r="S2113" s="7">
        <f t="shared" si="32"/>
        <v>4.5841666666666674</v>
      </c>
    </row>
    <row r="2114" spans="1:19">
      <c r="A2114" s="5" t="str">
        <f>B2114&amp;"-"&amp;COUNTIF($B$2:B2114,B2114)</f>
        <v>MINAS GERAIS-548</v>
      </c>
      <c r="B2114" s="5" t="s">
        <v>1126</v>
      </c>
      <c r="C2114" s="5" t="s">
        <v>1520</v>
      </c>
      <c r="D2114" s="6">
        <v>-423126</v>
      </c>
      <c r="E2114" s="6">
        <v>-213753</v>
      </c>
      <c r="F2114" s="7">
        <v>4.7850000000000001</v>
      </c>
      <c r="G2114" s="7">
        <v>5.9619999999999997</v>
      </c>
      <c r="H2114" s="7">
        <v>6.12</v>
      </c>
      <c r="I2114" s="7">
        <v>5.0780000000000003</v>
      </c>
      <c r="J2114" s="7">
        <v>4.4029999999999996</v>
      </c>
      <c r="K2114" s="7">
        <v>3.7090000000000001</v>
      </c>
      <c r="L2114" s="7">
        <v>3.4769999999999999</v>
      </c>
      <c r="M2114" s="7">
        <v>3.6139999999999999</v>
      </c>
      <c r="N2114" s="7">
        <v>4.41</v>
      </c>
      <c r="O2114" s="7">
        <v>4.79</v>
      </c>
      <c r="P2114" s="7">
        <v>5.109</v>
      </c>
      <c r="Q2114" s="7">
        <v>4.9109999999999996</v>
      </c>
      <c r="R2114" s="7">
        <v>5.84</v>
      </c>
      <c r="S2114" s="7">
        <f t="shared" si="32"/>
        <v>4.7852500000000004</v>
      </c>
    </row>
    <row r="2115" spans="1:19">
      <c r="A2115" s="5" t="str">
        <f>B2115&amp;"-"&amp;COUNTIF($B$2:B2115,B2115)</f>
        <v>MINAS GERAIS-549</v>
      </c>
      <c r="B2115" s="5" t="s">
        <v>1126</v>
      </c>
      <c r="C2115" s="5" t="s">
        <v>5136</v>
      </c>
      <c r="D2115" s="6">
        <v>-404299</v>
      </c>
      <c r="E2115" s="6">
        <v>-167368</v>
      </c>
      <c r="F2115" s="7">
        <v>4.8339999999999996</v>
      </c>
      <c r="G2115" s="7">
        <v>5.8810000000000002</v>
      </c>
      <c r="H2115" s="7">
        <v>6.0039999999999996</v>
      </c>
      <c r="I2115" s="7">
        <v>5.2789999999999999</v>
      </c>
      <c r="J2115" s="7">
        <v>4.5609999999999999</v>
      </c>
      <c r="K2115" s="7">
        <v>3.8210000000000002</v>
      </c>
      <c r="L2115" s="7">
        <v>3.46</v>
      </c>
      <c r="M2115" s="7">
        <v>3.5880000000000001</v>
      </c>
      <c r="N2115" s="7">
        <v>4.2610000000000001</v>
      </c>
      <c r="O2115" s="7">
        <v>4.9950000000000001</v>
      </c>
      <c r="P2115" s="7">
        <v>5.1390000000000002</v>
      </c>
      <c r="Q2115" s="7">
        <v>5.0540000000000003</v>
      </c>
      <c r="R2115" s="7">
        <v>5.9649999999999999</v>
      </c>
      <c r="S2115" s="7">
        <f t="shared" ref="S2115:S2178" si="33">(G2115+H2115+I2115+J2115+K2115+L2115+M2115+N2115+O2115+P2115+Q2115+R2115)/12</f>
        <v>4.8340000000000005</v>
      </c>
    </row>
    <row r="2116" spans="1:19">
      <c r="A2116" s="5" t="str">
        <f>B2116&amp;"-"&amp;COUNTIF($B$2:B2116,B2116)</f>
        <v>MINAS GERAIS-550</v>
      </c>
      <c r="B2116" s="5" t="s">
        <v>1126</v>
      </c>
      <c r="C2116" s="5" t="s">
        <v>1521</v>
      </c>
      <c r="D2116" s="6">
        <v>-447472</v>
      </c>
      <c r="E2116" s="6">
        <v>-194424</v>
      </c>
      <c r="F2116" s="7">
        <v>5.2910000000000004</v>
      </c>
      <c r="G2116" s="7">
        <v>5.9569999999999999</v>
      </c>
      <c r="H2116" s="7">
        <v>6.1680000000000001</v>
      </c>
      <c r="I2116" s="7">
        <v>5.242</v>
      </c>
      <c r="J2116" s="7">
        <v>5.0270000000000001</v>
      </c>
      <c r="K2116" s="7">
        <v>4.4720000000000004</v>
      </c>
      <c r="L2116" s="7">
        <v>4.202</v>
      </c>
      <c r="M2116" s="7">
        <v>4.5449999999999999</v>
      </c>
      <c r="N2116" s="7">
        <v>5.3680000000000003</v>
      </c>
      <c r="O2116" s="7">
        <v>5.649</v>
      </c>
      <c r="P2116" s="7">
        <v>5.6589999999999998</v>
      </c>
      <c r="Q2116" s="7">
        <v>5.3970000000000002</v>
      </c>
      <c r="R2116" s="7">
        <v>5.806</v>
      </c>
      <c r="S2116" s="7">
        <f t="shared" si="33"/>
        <v>5.2910000000000004</v>
      </c>
    </row>
    <row r="2117" spans="1:19">
      <c r="A2117" s="5" t="str">
        <f>B2117&amp;"-"&amp;COUNTIF($B$2:B2117,B2117)</f>
        <v>MINAS GERAIS-551</v>
      </c>
      <c r="B2117" s="5" t="s">
        <v>1126</v>
      </c>
      <c r="C2117" s="5" t="s">
        <v>5600</v>
      </c>
      <c r="D2117" s="6">
        <v>-446117</v>
      </c>
      <c r="E2117" s="6">
        <v>-198539</v>
      </c>
      <c r="F2117" s="7">
        <v>5.1520000000000001</v>
      </c>
      <c r="G2117" s="7">
        <v>5.7880000000000003</v>
      </c>
      <c r="H2117" s="7">
        <v>6.0510000000000002</v>
      </c>
      <c r="I2117" s="7">
        <v>5.0919999999999996</v>
      </c>
      <c r="J2117" s="7">
        <v>4.91</v>
      </c>
      <c r="K2117" s="7">
        <v>4.2809999999999997</v>
      </c>
      <c r="L2117" s="7">
        <v>4.1269999999999998</v>
      </c>
      <c r="M2117" s="7">
        <v>4.3760000000000003</v>
      </c>
      <c r="N2117" s="7">
        <v>5.1989999999999998</v>
      </c>
      <c r="O2117" s="7">
        <v>5.5030000000000001</v>
      </c>
      <c r="P2117" s="7">
        <v>5.5529999999999999</v>
      </c>
      <c r="Q2117" s="7">
        <v>5.3360000000000003</v>
      </c>
      <c r="R2117" s="7">
        <v>5.6070000000000002</v>
      </c>
      <c r="S2117" s="7">
        <f t="shared" si="33"/>
        <v>5.1519166666666658</v>
      </c>
    </row>
    <row r="2118" spans="1:19">
      <c r="A2118" s="5" t="str">
        <f>B2118&amp;"-"&amp;COUNTIF($B$2:B2118,B2118)</f>
        <v>MINAS GERAIS-552</v>
      </c>
      <c r="B2118" s="5" t="s">
        <v>1126</v>
      </c>
      <c r="C2118" s="5" t="s">
        <v>1522</v>
      </c>
      <c r="D2118" s="6">
        <v>-468714</v>
      </c>
      <c r="E2118" s="6">
        <v>-172256</v>
      </c>
      <c r="F2118" s="7">
        <v>5.4569999999999999</v>
      </c>
      <c r="G2118" s="7">
        <v>5.8940000000000001</v>
      </c>
      <c r="H2118" s="7">
        <v>6.1920000000000002</v>
      </c>
      <c r="I2118" s="7">
        <v>5.3</v>
      </c>
      <c r="J2118" s="7">
        <v>5.2859999999999996</v>
      </c>
      <c r="K2118" s="7">
        <v>4.8170000000000002</v>
      </c>
      <c r="L2118" s="7">
        <v>4.5739999999999998</v>
      </c>
      <c r="M2118" s="7">
        <v>4.9560000000000004</v>
      </c>
      <c r="N2118" s="7">
        <v>5.718</v>
      </c>
      <c r="O2118" s="7">
        <v>5.6980000000000004</v>
      </c>
      <c r="P2118" s="7">
        <v>5.8419999999999996</v>
      </c>
      <c r="Q2118" s="7">
        <v>5.4429999999999996</v>
      </c>
      <c r="R2118" s="7">
        <v>5.7640000000000002</v>
      </c>
      <c r="S2118" s="7">
        <f t="shared" si="33"/>
        <v>5.4569999999999999</v>
      </c>
    </row>
    <row r="2119" spans="1:19">
      <c r="A2119" s="5" t="str">
        <f>B2119&amp;"-"&amp;COUNTIF($B$2:B2119,B2119)</f>
        <v>MINAS GERAIS-553</v>
      </c>
      <c r="B2119" s="5" t="s">
        <v>1126</v>
      </c>
      <c r="C2119" s="5" t="s">
        <v>4674</v>
      </c>
      <c r="D2119" s="6">
        <v>-457378</v>
      </c>
      <c r="E2119" s="6">
        <v>-21547</v>
      </c>
      <c r="F2119" s="7">
        <v>4.9379999999999997</v>
      </c>
      <c r="G2119" s="7">
        <v>5.6319999999999997</v>
      </c>
      <c r="H2119" s="7">
        <v>5.8280000000000003</v>
      </c>
      <c r="I2119" s="7">
        <v>4.9569999999999999</v>
      </c>
      <c r="J2119" s="7">
        <v>4.6749999999999998</v>
      </c>
      <c r="K2119" s="7">
        <v>3.9940000000000002</v>
      </c>
      <c r="L2119" s="7">
        <v>3.7189999999999999</v>
      </c>
      <c r="M2119" s="7">
        <v>3.98</v>
      </c>
      <c r="N2119" s="7">
        <v>4.8689999999999998</v>
      </c>
      <c r="O2119" s="7">
        <v>5.0819999999999999</v>
      </c>
      <c r="P2119" s="7">
        <v>5.4240000000000004</v>
      </c>
      <c r="Q2119" s="7">
        <v>5.3620000000000001</v>
      </c>
      <c r="R2119" s="7">
        <v>5.73</v>
      </c>
      <c r="S2119" s="7">
        <f t="shared" si="33"/>
        <v>4.9376666666666678</v>
      </c>
    </row>
    <row r="2120" spans="1:19">
      <c r="A2120" s="5" t="str">
        <f>B2120&amp;"-"&amp;COUNTIF($B$2:B2120,B2120)</f>
        <v>MINAS GERAIS-554</v>
      </c>
      <c r="B2120" s="5" t="s">
        <v>1126</v>
      </c>
      <c r="C2120" s="5" t="s">
        <v>5137</v>
      </c>
      <c r="D2120" s="6">
        <v>-457807</v>
      </c>
      <c r="E2120" s="6">
        <v>-225544</v>
      </c>
      <c r="F2120" s="7">
        <v>4.8010000000000002</v>
      </c>
      <c r="G2120" s="7">
        <v>5.3150000000000004</v>
      </c>
      <c r="H2120" s="7">
        <v>5.6349999999999998</v>
      </c>
      <c r="I2120" s="7">
        <v>4.9000000000000004</v>
      </c>
      <c r="J2120" s="7">
        <v>4.55</v>
      </c>
      <c r="K2120" s="7">
        <v>3.8130000000000002</v>
      </c>
      <c r="L2120" s="7">
        <v>3.5590000000000002</v>
      </c>
      <c r="M2120" s="7">
        <v>3.7669999999999999</v>
      </c>
      <c r="N2120" s="7">
        <v>4.681</v>
      </c>
      <c r="O2120" s="7">
        <v>4.9000000000000004</v>
      </c>
      <c r="P2120" s="7">
        <v>5.3650000000000002</v>
      </c>
      <c r="Q2120" s="7">
        <v>5.3789999999999996</v>
      </c>
      <c r="R2120" s="7">
        <v>5.75</v>
      </c>
      <c r="S2120" s="7">
        <f t="shared" si="33"/>
        <v>4.8011666666666661</v>
      </c>
    </row>
    <row r="2121" spans="1:19">
      <c r="A2121" s="5" t="str">
        <f>B2121&amp;"-"&amp;COUNTIF($B$2:B2121,B2121)</f>
        <v>MINAS GERAIS-555</v>
      </c>
      <c r="B2121" s="5" t="s">
        <v>1126</v>
      </c>
      <c r="C2121" s="5" t="s">
        <v>1523</v>
      </c>
      <c r="D2121" s="6">
        <v>-444047</v>
      </c>
      <c r="E2121" s="6">
        <v>-192737</v>
      </c>
      <c r="F2121" s="7">
        <v>5.2939999999999996</v>
      </c>
      <c r="G2121" s="7">
        <v>6.0019999999999998</v>
      </c>
      <c r="H2121" s="7">
        <v>6.1769999999999996</v>
      </c>
      <c r="I2121" s="7">
        <v>5.2720000000000002</v>
      </c>
      <c r="J2121" s="7">
        <v>5.0190000000000001</v>
      </c>
      <c r="K2121" s="7">
        <v>4.4249999999999998</v>
      </c>
      <c r="L2121" s="7">
        <v>4.1660000000000004</v>
      </c>
      <c r="M2121" s="7">
        <v>4.524</v>
      </c>
      <c r="N2121" s="7">
        <v>5.335</v>
      </c>
      <c r="O2121" s="7">
        <v>5.6840000000000002</v>
      </c>
      <c r="P2121" s="7">
        <v>5.6859999999999999</v>
      </c>
      <c r="Q2121" s="7">
        <v>5.4580000000000002</v>
      </c>
      <c r="R2121" s="7">
        <v>5.7789999999999999</v>
      </c>
      <c r="S2121" s="7">
        <f t="shared" si="33"/>
        <v>5.293916666666667</v>
      </c>
    </row>
    <row r="2122" spans="1:19">
      <c r="A2122" s="5" t="str">
        <f>B2122&amp;"-"&amp;COUNTIF($B$2:B2122,B2122)</f>
        <v>MINAS GERAIS-556</v>
      </c>
      <c r="B2122" s="5" t="s">
        <v>1126</v>
      </c>
      <c r="C2122" s="5" t="s">
        <v>1524</v>
      </c>
      <c r="D2122" s="6">
        <v>-449713</v>
      </c>
      <c r="E2122" s="6">
        <v>-223876</v>
      </c>
      <c r="F2122" s="7">
        <v>4.8019999999999996</v>
      </c>
      <c r="G2122" s="7">
        <v>5.3239999999999998</v>
      </c>
      <c r="H2122" s="7">
        <v>5.6820000000000004</v>
      </c>
      <c r="I2122" s="7">
        <v>4.8940000000000001</v>
      </c>
      <c r="J2122" s="7">
        <v>4.5110000000000001</v>
      </c>
      <c r="K2122" s="7">
        <v>3.8769999999999998</v>
      </c>
      <c r="L2122" s="7">
        <v>3.5840000000000001</v>
      </c>
      <c r="M2122" s="7">
        <v>3.7759999999999998</v>
      </c>
      <c r="N2122" s="7">
        <v>4.6859999999999999</v>
      </c>
      <c r="O2122" s="7">
        <v>4.9729999999999999</v>
      </c>
      <c r="P2122" s="7">
        <v>5.3810000000000002</v>
      </c>
      <c r="Q2122" s="7">
        <v>5.234</v>
      </c>
      <c r="R2122" s="7">
        <v>5.7050000000000001</v>
      </c>
      <c r="S2122" s="7">
        <f t="shared" si="33"/>
        <v>4.8022499999999999</v>
      </c>
    </row>
    <row r="2123" spans="1:19">
      <c r="A2123" s="5" t="str">
        <f>B2123&amp;"-"&amp;COUNTIF($B$2:B2123,B2123)</f>
        <v>MINAS GERAIS-557</v>
      </c>
      <c r="B2123" s="5" t="s">
        <v>1126</v>
      </c>
      <c r="C2123" s="5" t="s">
        <v>1525</v>
      </c>
      <c r="D2123" s="6">
        <v>-44493</v>
      </c>
      <c r="E2123" s="6">
        <v>-206544</v>
      </c>
      <c r="F2123" s="7">
        <v>4.9889999999999999</v>
      </c>
      <c r="G2123" s="7">
        <v>5.6539999999999999</v>
      </c>
      <c r="H2123" s="7">
        <v>5.8689999999999998</v>
      </c>
      <c r="I2123" s="7">
        <v>4.9889999999999999</v>
      </c>
      <c r="J2123" s="7">
        <v>4.6680000000000001</v>
      </c>
      <c r="K2123" s="7">
        <v>4.0620000000000003</v>
      </c>
      <c r="L2123" s="7">
        <v>3.9350000000000001</v>
      </c>
      <c r="M2123" s="7">
        <v>4.1429999999999998</v>
      </c>
      <c r="N2123" s="7">
        <v>5.0540000000000003</v>
      </c>
      <c r="O2123" s="7">
        <v>5.2709999999999999</v>
      </c>
      <c r="P2123" s="7">
        <v>5.4669999999999996</v>
      </c>
      <c r="Q2123" s="7">
        <v>5.1150000000000002</v>
      </c>
      <c r="R2123" s="7">
        <v>5.6459999999999999</v>
      </c>
      <c r="S2123" s="7">
        <f t="shared" si="33"/>
        <v>4.9894166666666671</v>
      </c>
    </row>
    <row r="2124" spans="1:19">
      <c r="A2124" s="5" t="str">
        <f>B2124&amp;"-"&amp;COUNTIF($B$2:B2124,B2124)</f>
        <v>MINAS GERAIS-558</v>
      </c>
      <c r="B2124" s="5" t="s">
        <v>1126</v>
      </c>
      <c r="C2124" s="5" t="s">
        <v>4357</v>
      </c>
      <c r="D2124" s="6">
        <v>-431387</v>
      </c>
      <c r="E2124" s="6">
        <v>-193514</v>
      </c>
      <c r="F2124" s="7">
        <v>4.83</v>
      </c>
      <c r="G2124" s="7">
        <v>5.7229999999999999</v>
      </c>
      <c r="H2124" s="7">
        <v>5.9859999999999998</v>
      </c>
      <c r="I2124" s="7">
        <v>5.032</v>
      </c>
      <c r="J2124" s="7">
        <v>4.4690000000000003</v>
      </c>
      <c r="K2124" s="7">
        <v>3.8820000000000001</v>
      </c>
      <c r="L2124" s="7">
        <v>3.6869999999999998</v>
      </c>
      <c r="M2124" s="7">
        <v>3.879</v>
      </c>
      <c r="N2124" s="7">
        <v>4.6859999999999999</v>
      </c>
      <c r="O2124" s="7">
        <v>5.0129999999999999</v>
      </c>
      <c r="P2124" s="7">
        <v>5.1550000000000002</v>
      </c>
      <c r="Q2124" s="7">
        <v>4.8319999999999999</v>
      </c>
      <c r="R2124" s="7">
        <v>5.6130000000000004</v>
      </c>
      <c r="S2124" s="7">
        <f t="shared" si="33"/>
        <v>4.8297499999999998</v>
      </c>
    </row>
    <row r="2125" spans="1:19">
      <c r="A2125" s="5" t="str">
        <f>B2125&amp;"-"&amp;COUNTIF($B$2:B2125,B2125)</f>
        <v>MINAS GERAIS-559</v>
      </c>
      <c r="B2125" s="5" t="s">
        <v>1126</v>
      </c>
      <c r="C2125" s="5" t="s">
        <v>1526</v>
      </c>
      <c r="D2125" s="6">
        <v>-442369</v>
      </c>
      <c r="E2125" s="6">
        <v>-222071</v>
      </c>
      <c r="F2125" s="7">
        <v>4.4779999999999998</v>
      </c>
      <c r="G2125" s="7">
        <v>5.2229999999999999</v>
      </c>
      <c r="H2125" s="7">
        <v>5.6020000000000003</v>
      </c>
      <c r="I2125" s="7">
        <v>4.6500000000000004</v>
      </c>
      <c r="J2125" s="7">
        <v>4.1669999999999998</v>
      </c>
      <c r="K2125" s="7">
        <v>3.597</v>
      </c>
      <c r="L2125" s="7">
        <v>3.4649999999999999</v>
      </c>
      <c r="M2125" s="7">
        <v>3.5129999999999999</v>
      </c>
      <c r="N2125" s="7">
        <v>4.4459999999999997</v>
      </c>
      <c r="O2125" s="7">
        <v>4.5090000000000003</v>
      </c>
      <c r="P2125" s="7">
        <v>4.6890000000000001</v>
      </c>
      <c r="Q2125" s="7">
        <v>4.5999999999999996</v>
      </c>
      <c r="R2125" s="7">
        <v>5.274</v>
      </c>
      <c r="S2125" s="7">
        <f t="shared" si="33"/>
        <v>4.4779166666666663</v>
      </c>
    </row>
    <row r="2126" spans="1:19">
      <c r="A2126" s="5" t="str">
        <f>B2126&amp;"-"&amp;COUNTIF($B$2:B2126,B2126)</f>
        <v>MINAS GERAIS-560</v>
      </c>
      <c r="B2126" s="5" t="s">
        <v>1126</v>
      </c>
      <c r="C2126" s="5" t="s">
        <v>1527</v>
      </c>
      <c r="D2126" s="6">
        <v>-466094</v>
      </c>
      <c r="E2126" s="6">
        <v>-207197</v>
      </c>
      <c r="F2126" s="7">
        <v>5.1289999999999996</v>
      </c>
      <c r="G2126" s="7">
        <v>5.7869999999999999</v>
      </c>
      <c r="H2126" s="7">
        <v>5.97</v>
      </c>
      <c r="I2126" s="7">
        <v>5.1260000000000003</v>
      </c>
      <c r="J2126" s="7">
        <v>4.8449999999999998</v>
      </c>
      <c r="K2126" s="7">
        <v>4.2300000000000004</v>
      </c>
      <c r="L2126" s="7">
        <v>4.0229999999999997</v>
      </c>
      <c r="M2126" s="7">
        <v>4.242</v>
      </c>
      <c r="N2126" s="7">
        <v>5.0650000000000004</v>
      </c>
      <c r="O2126" s="7">
        <v>5.2</v>
      </c>
      <c r="P2126" s="7">
        <v>5.6260000000000003</v>
      </c>
      <c r="Q2126" s="7">
        <v>5.6180000000000003</v>
      </c>
      <c r="R2126" s="7">
        <v>5.8259999999999996</v>
      </c>
      <c r="S2126" s="7">
        <f t="shared" si="33"/>
        <v>5.129833333333333</v>
      </c>
    </row>
    <row r="2127" spans="1:19">
      <c r="A2127" s="5" t="str">
        <f>B2127&amp;"-"&amp;COUNTIF($B$2:B2127,B2127)</f>
        <v>MINAS GERAIS-561</v>
      </c>
      <c r="B2127" s="5" t="s">
        <v>1126</v>
      </c>
      <c r="C2127" s="5" t="s">
        <v>1528</v>
      </c>
      <c r="D2127" s="6">
        <v>-440812</v>
      </c>
      <c r="E2127" s="6">
        <v>-160796</v>
      </c>
      <c r="F2127" s="7">
        <v>5.6660000000000004</v>
      </c>
      <c r="G2127" s="7">
        <v>6.3090000000000002</v>
      </c>
      <c r="H2127" s="7">
        <v>6.5830000000000002</v>
      </c>
      <c r="I2127" s="7">
        <v>5.69</v>
      </c>
      <c r="J2127" s="7">
        <v>5.476</v>
      </c>
      <c r="K2127" s="7">
        <v>4.8869999999999996</v>
      </c>
      <c r="L2127" s="7">
        <v>4.6420000000000003</v>
      </c>
      <c r="M2127" s="7">
        <v>4.9589999999999996</v>
      </c>
      <c r="N2127" s="7">
        <v>5.75</v>
      </c>
      <c r="O2127" s="7">
        <v>6.0119999999999996</v>
      </c>
      <c r="P2127" s="7">
        <v>6.02</v>
      </c>
      <c r="Q2127" s="7">
        <v>5.4669999999999996</v>
      </c>
      <c r="R2127" s="7">
        <v>6.1970000000000001</v>
      </c>
      <c r="S2127" s="7">
        <f t="shared" si="33"/>
        <v>5.6660000000000004</v>
      </c>
    </row>
    <row r="2128" spans="1:19">
      <c r="A2128" s="5" t="str">
        <f>B2128&amp;"-"&amp;COUNTIF($B$2:B2128,B2128)</f>
        <v>MINAS GERAIS-562</v>
      </c>
      <c r="B2128" s="5" t="s">
        <v>1126</v>
      </c>
      <c r="C2128" s="5" t="s">
        <v>1529</v>
      </c>
      <c r="D2128" s="6">
        <v>-465134</v>
      </c>
      <c r="E2128" s="6">
        <v>-185782</v>
      </c>
      <c r="F2128" s="7">
        <v>5.2990000000000004</v>
      </c>
      <c r="G2128" s="7">
        <v>5.6879999999999997</v>
      </c>
      <c r="H2128" s="7">
        <v>5.9690000000000003</v>
      </c>
      <c r="I2128" s="7">
        <v>5.1260000000000003</v>
      </c>
      <c r="J2128" s="7">
        <v>5.0339999999999998</v>
      </c>
      <c r="K2128" s="7">
        <v>4.6580000000000004</v>
      </c>
      <c r="L2128" s="7">
        <v>4.41</v>
      </c>
      <c r="M2128" s="7">
        <v>4.7220000000000004</v>
      </c>
      <c r="N2128" s="7">
        <v>5.6859999999999999</v>
      </c>
      <c r="O2128" s="7">
        <v>5.7160000000000002</v>
      </c>
      <c r="P2128" s="7">
        <v>5.6689999999999996</v>
      </c>
      <c r="Q2128" s="7">
        <v>5.306</v>
      </c>
      <c r="R2128" s="7">
        <v>5.6070000000000002</v>
      </c>
      <c r="S2128" s="7">
        <f t="shared" si="33"/>
        <v>5.2992499999999998</v>
      </c>
    </row>
    <row r="2129" spans="1:19">
      <c r="A2129" s="5" t="str">
        <f>B2129&amp;"-"&amp;COUNTIF($B$2:B2129,B2129)</f>
        <v>MINAS GERAIS-563</v>
      </c>
      <c r="B2129" s="5" t="s">
        <v>1126</v>
      </c>
      <c r="C2129" s="5" t="s">
        <v>1530</v>
      </c>
      <c r="D2129" s="6">
        <v>-469938</v>
      </c>
      <c r="E2129" s="6">
        <v>-189383</v>
      </c>
      <c r="F2129" s="7">
        <v>5.2469999999999999</v>
      </c>
      <c r="G2129" s="7">
        <v>5.6029999999999998</v>
      </c>
      <c r="H2129" s="7">
        <v>5.8940000000000001</v>
      </c>
      <c r="I2129" s="7">
        <v>5.04</v>
      </c>
      <c r="J2129" s="7">
        <v>4.9740000000000002</v>
      </c>
      <c r="K2129" s="7">
        <v>4.6660000000000004</v>
      </c>
      <c r="L2129" s="7">
        <v>4.3739999999999997</v>
      </c>
      <c r="M2129" s="7">
        <v>4.7080000000000002</v>
      </c>
      <c r="N2129" s="7">
        <v>5.6280000000000001</v>
      </c>
      <c r="O2129" s="7">
        <v>5.6</v>
      </c>
      <c r="P2129" s="7">
        <v>5.6280000000000001</v>
      </c>
      <c r="Q2129" s="7">
        <v>5.3129999999999997</v>
      </c>
      <c r="R2129" s="7">
        <v>5.5330000000000004</v>
      </c>
      <c r="S2129" s="7">
        <f t="shared" si="33"/>
        <v>5.2467500000000005</v>
      </c>
    </row>
    <row r="2130" spans="1:19">
      <c r="A2130" s="5" t="str">
        <f>B2130&amp;"-"&amp;COUNTIF($B$2:B2130,B2130)</f>
        <v>MINAS GERAIS-564</v>
      </c>
      <c r="B2130" s="5" t="s">
        <v>1126</v>
      </c>
      <c r="C2130" s="5" t="s">
        <v>4358</v>
      </c>
      <c r="D2130" s="6">
        <v>-422129</v>
      </c>
      <c r="E2130" s="6">
        <v>-211549</v>
      </c>
      <c r="F2130" s="7">
        <v>4.9039999999999999</v>
      </c>
      <c r="G2130" s="7">
        <v>6.07</v>
      </c>
      <c r="H2130" s="7">
        <v>6.2990000000000004</v>
      </c>
      <c r="I2130" s="7">
        <v>5.1970000000000001</v>
      </c>
      <c r="J2130" s="7">
        <v>4.532</v>
      </c>
      <c r="K2130" s="7">
        <v>3.8359999999999999</v>
      </c>
      <c r="L2130" s="7">
        <v>3.605</v>
      </c>
      <c r="M2130" s="7">
        <v>3.714</v>
      </c>
      <c r="N2130" s="7">
        <v>4.51</v>
      </c>
      <c r="O2130" s="7">
        <v>4.92</v>
      </c>
      <c r="P2130" s="7">
        <v>5.2080000000000002</v>
      </c>
      <c r="Q2130" s="7">
        <v>5.0389999999999997</v>
      </c>
      <c r="R2130" s="7">
        <v>5.923</v>
      </c>
      <c r="S2130" s="7">
        <f t="shared" si="33"/>
        <v>4.9044166666666671</v>
      </c>
    </row>
    <row r="2131" spans="1:19">
      <c r="A2131" s="5" t="str">
        <f>B2131&amp;"-"&amp;COUNTIF($B$2:B2131,B2131)</f>
        <v>MINAS GERAIS-565</v>
      </c>
      <c r="B2131" s="5" t="s">
        <v>1126</v>
      </c>
      <c r="C2131" s="5" t="s">
        <v>4977</v>
      </c>
      <c r="D2131" s="6">
        <v>-429756</v>
      </c>
      <c r="E2131" s="6">
        <v>-208759</v>
      </c>
      <c r="F2131" s="7">
        <v>4.6760000000000002</v>
      </c>
      <c r="G2131" s="7">
        <v>5.6210000000000004</v>
      </c>
      <c r="H2131" s="7">
        <v>5.8849999999999998</v>
      </c>
      <c r="I2131" s="7">
        <v>4.8559999999999999</v>
      </c>
      <c r="J2131" s="7">
        <v>4.2539999999999996</v>
      </c>
      <c r="K2131" s="7">
        <v>3.6829999999999998</v>
      </c>
      <c r="L2131" s="7">
        <v>3.52</v>
      </c>
      <c r="M2131" s="7">
        <v>3.7410000000000001</v>
      </c>
      <c r="N2131" s="7">
        <v>4.4870000000000001</v>
      </c>
      <c r="O2131" s="7">
        <v>4.8109999999999999</v>
      </c>
      <c r="P2131" s="7">
        <v>5.008</v>
      </c>
      <c r="Q2131" s="7">
        <v>4.7709999999999999</v>
      </c>
      <c r="R2131" s="7">
        <v>5.48</v>
      </c>
      <c r="S2131" s="7">
        <f t="shared" si="33"/>
        <v>4.6764166666666673</v>
      </c>
    </row>
    <row r="2132" spans="1:19">
      <c r="A2132" s="5" t="str">
        <f>B2132&amp;"-"&amp;COUNTIF($B$2:B2132,B2132)</f>
        <v>MINAS GERAIS-566</v>
      </c>
      <c r="B2132" s="5" t="s">
        <v>1126</v>
      </c>
      <c r="C2132" s="5" t="s">
        <v>1531</v>
      </c>
      <c r="D2132" s="6">
        <v>-428726</v>
      </c>
      <c r="E2132" s="6">
        <v>-184317</v>
      </c>
      <c r="F2132" s="7">
        <v>4.9139999999999997</v>
      </c>
      <c r="G2132" s="7">
        <v>5.94</v>
      </c>
      <c r="H2132" s="7">
        <v>6.1749999999999998</v>
      </c>
      <c r="I2132" s="7">
        <v>5.1269999999999998</v>
      </c>
      <c r="J2132" s="7">
        <v>4.5519999999999996</v>
      </c>
      <c r="K2132" s="7">
        <v>3.9460000000000002</v>
      </c>
      <c r="L2132" s="7">
        <v>3.7589999999999999</v>
      </c>
      <c r="M2132" s="7">
        <v>3.8660000000000001</v>
      </c>
      <c r="N2132" s="7">
        <v>4.62</v>
      </c>
      <c r="O2132" s="7">
        <v>5.12</v>
      </c>
      <c r="P2132" s="7">
        <v>5.319</v>
      </c>
      <c r="Q2132" s="7">
        <v>4.8630000000000004</v>
      </c>
      <c r="R2132" s="7">
        <v>5.6760000000000002</v>
      </c>
      <c r="S2132" s="7">
        <f t="shared" si="33"/>
        <v>4.9135833333333334</v>
      </c>
    </row>
    <row r="2133" spans="1:19">
      <c r="A2133" s="5" t="str">
        <f>B2133&amp;"-"&amp;COUNTIF($B$2:B2133,B2133)</f>
        <v>MINAS GERAIS-567</v>
      </c>
      <c r="B2133" s="5" t="s">
        <v>1126</v>
      </c>
      <c r="C2133" s="5" t="s">
        <v>4004</v>
      </c>
      <c r="D2133" s="6">
        <v>-410038</v>
      </c>
      <c r="E2133" s="6">
        <v>-174272</v>
      </c>
      <c r="F2133" s="7">
        <v>4.9340000000000002</v>
      </c>
      <c r="G2133" s="7">
        <v>6.149</v>
      </c>
      <c r="H2133" s="7">
        <v>6.3319999999999999</v>
      </c>
      <c r="I2133" s="7">
        <v>5.3970000000000002</v>
      </c>
      <c r="J2133" s="7">
        <v>4.6260000000000003</v>
      </c>
      <c r="K2133" s="7">
        <v>3.8570000000000002</v>
      </c>
      <c r="L2133" s="7">
        <v>3.4710000000000001</v>
      </c>
      <c r="M2133" s="7">
        <v>3.6469999999999998</v>
      </c>
      <c r="N2133" s="7">
        <v>4.3620000000000001</v>
      </c>
      <c r="O2133" s="7">
        <v>4.9329999999999998</v>
      </c>
      <c r="P2133" s="7">
        <v>5.2140000000000004</v>
      </c>
      <c r="Q2133" s="7">
        <v>5.1520000000000001</v>
      </c>
      <c r="R2133" s="7">
        <v>6.0670000000000002</v>
      </c>
      <c r="S2133" s="7">
        <f t="shared" si="33"/>
        <v>4.9339166666666667</v>
      </c>
    </row>
    <row r="2134" spans="1:19">
      <c r="A2134" s="5" t="str">
        <f>B2134&amp;"-"&amp;COUNTIF($B$2:B2134,B2134)</f>
        <v>MINAS GERAIS-568</v>
      </c>
      <c r="B2134" s="5" t="s">
        <v>1126</v>
      </c>
      <c r="C2134" s="5" t="s">
        <v>4675</v>
      </c>
      <c r="D2134" s="6">
        <v>-425586</v>
      </c>
      <c r="E2134" s="6">
        <v>-185445</v>
      </c>
      <c r="F2134" s="7">
        <v>4.8609999999999998</v>
      </c>
      <c r="G2134" s="7">
        <v>5.9059999999999997</v>
      </c>
      <c r="H2134" s="7">
        <v>6.1760000000000002</v>
      </c>
      <c r="I2134" s="7">
        <v>5.173</v>
      </c>
      <c r="J2134" s="7">
        <v>4.5019999999999998</v>
      </c>
      <c r="K2134" s="7">
        <v>3.8660000000000001</v>
      </c>
      <c r="L2134" s="7">
        <v>3.6539999999999999</v>
      </c>
      <c r="M2134" s="7">
        <v>3.78</v>
      </c>
      <c r="N2134" s="7">
        <v>4.4880000000000004</v>
      </c>
      <c r="O2134" s="7">
        <v>5.0199999999999996</v>
      </c>
      <c r="P2134" s="7">
        <v>5.2320000000000002</v>
      </c>
      <c r="Q2134" s="7">
        <v>4.8179999999999996</v>
      </c>
      <c r="R2134" s="7">
        <v>5.7190000000000003</v>
      </c>
      <c r="S2134" s="7">
        <f t="shared" si="33"/>
        <v>4.8611666666666666</v>
      </c>
    </row>
    <row r="2135" spans="1:19">
      <c r="A2135" s="5" t="str">
        <f>B2135&amp;"-"&amp;COUNTIF($B$2:B2135,B2135)</f>
        <v>MINAS GERAIS-569</v>
      </c>
      <c r="B2135" s="5" t="s">
        <v>1126</v>
      </c>
      <c r="C2135" s="5" t="s">
        <v>1532</v>
      </c>
      <c r="D2135" s="6">
        <v>-412913</v>
      </c>
      <c r="E2135" s="6">
        <v>-160091</v>
      </c>
      <c r="F2135" s="7">
        <v>5.0620000000000003</v>
      </c>
      <c r="G2135" s="7">
        <v>6.07</v>
      </c>
      <c r="H2135" s="7">
        <v>6.2830000000000004</v>
      </c>
      <c r="I2135" s="7">
        <v>5.4169999999999998</v>
      </c>
      <c r="J2135" s="7">
        <v>4.718</v>
      </c>
      <c r="K2135" s="7">
        <v>4.0419999999999998</v>
      </c>
      <c r="L2135" s="7">
        <v>3.633</v>
      </c>
      <c r="M2135" s="7">
        <v>3.7989999999999999</v>
      </c>
      <c r="N2135" s="7">
        <v>4.508</v>
      </c>
      <c r="O2135" s="7">
        <v>5.3570000000000002</v>
      </c>
      <c r="P2135" s="7">
        <v>5.5369999999999999</v>
      </c>
      <c r="Q2135" s="7">
        <v>5.2910000000000004</v>
      </c>
      <c r="R2135" s="7">
        <v>6.0949999999999998</v>
      </c>
      <c r="S2135" s="7">
        <f t="shared" si="33"/>
        <v>5.0625</v>
      </c>
    </row>
    <row r="2136" spans="1:19">
      <c r="A2136" s="5" t="str">
        <f>B2136&amp;"-"&amp;COUNTIF($B$2:B2136,B2136)</f>
        <v>MINAS GERAIS-570</v>
      </c>
      <c r="B2136" s="5" t="s">
        <v>1126</v>
      </c>
      <c r="C2136" s="5" t="s">
        <v>1533</v>
      </c>
      <c r="D2136" s="6">
        <v>-423308</v>
      </c>
      <c r="E2136" s="6">
        <v>-205224</v>
      </c>
      <c r="F2136" s="7">
        <v>4.6580000000000004</v>
      </c>
      <c r="G2136" s="7">
        <v>5.4370000000000003</v>
      </c>
      <c r="H2136" s="7">
        <v>5.7990000000000004</v>
      </c>
      <c r="I2136" s="7">
        <v>4.8220000000000001</v>
      </c>
      <c r="J2136" s="7">
        <v>4.3470000000000004</v>
      </c>
      <c r="K2136" s="7">
        <v>3.7170000000000001</v>
      </c>
      <c r="L2136" s="7">
        <v>3.5449999999999999</v>
      </c>
      <c r="M2136" s="7">
        <v>3.81</v>
      </c>
      <c r="N2136" s="7">
        <v>4.4870000000000001</v>
      </c>
      <c r="O2136" s="7">
        <v>4.8899999999999997</v>
      </c>
      <c r="P2136" s="7">
        <v>4.9770000000000003</v>
      </c>
      <c r="Q2136" s="7">
        <v>4.6500000000000004</v>
      </c>
      <c r="R2136" s="7">
        <v>5.4130000000000003</v>
      </c>
      <c r="S2136" s="7">
        <f t="shared" si="33"/>
        <v>4.6578333333333335</v>
      </c>
    </row>
    <row r="2137" spans="1:19">
      <c r="A2137" s="5" t="str">
        <f>B2137&amp;"-"&amp;COUNTIF($B$2:B2137,B2137)</f>
        <v>MINAS GERAIS-571</v>
      </c>
      <c r="B2137" s="5" t="s">
        <v>1126</v>
      </c>
      <c r="C2137" s="5" t="s">
        <v>1534</v>
      </c>
      <c r="D2137" s="6">
        <v>-427127</v>
      </c>
      <c r="E2137" s="6">
        <v>-205973</v>
      </c>
      <c r="F2137" s="7">
        <v>4.7560000000000002</v>
      </c>
      <c r="G2137" s="7">
        <v>5.6280000000000001</v>
      </c>
      <c r="H2137" s="7">
        <v>5.9749999999999996</v>
      </c>
      <c r="I2137" s="7">
        <v>4.9980000000000002</v>
      </c>
      <c r="J2137" s="7">
        <v>4.4020000000000001</v>
      </c>
      <c r="K2137" s="7">
        <v>3.782</v>
      </c>
      <c r="L2137" s="7">
        <v>3.5710000000000002</v>
      </c>
      <c r="M2137" s="7">
        <v>3.78</v>
      </c>
      <c r="N2137" s="7">
        <v>4.5839999999999996</v>
      </c>
      <c r="O2137" s="7">
        <v>4.875</v>
      </c>
      <c r="P2137" s="7">
        <v>5.0910000000000002</v>
      </c>
      <c r="Q2137" s="7">
        <v>4.8339999999999996</v>
      </c>
      <c r="R2137" s="7">
        <v>5.5439999999999996</v>
      </c>
      <c r="S2137" s="7">
        <f t="shared" si="33"/>
        <v>4.7553333333333327</v>
      </c>
    </row>
    <row r="2138" spans="1:19">
      <c r="A2138" s="5" t="str">
        <f>B2138&amp;"-"&amp;COUNTIF($B$2:B2138,B2138)</f>
        <v>MINAS GERAIS-572</v>
      </c>
      <c r="B2138" s="5" t="s">
        <v>1126</v>
      </c>
      <c r="C2138" s="5" t="s">
        <v>5601</v>
      </c>
      <c r="D2138" s="6">
        <v>-45211</v>
      </c>
      <c r="E2138" s="6">
        <v>-202568</v>
      </c>
      <c r="F2138" s="7">
        <v>5.0570000000000004</v>
      </c>
      <c r="G2138" s="7">
        <v>5.694</v>
      </c>
      <c r="H2138" s="7">
        <v>5.8650000000000002</v>
      </c>
      <c r="I2138" s="7">
        <v>4.9610000000000003</v>
      </c>
      <c r="J2138" s="7">
        <v>4.835</v>
      </c>
      <c r="K2138" s="7">
        <v>4.2640000000000002</v>
      </c>
      <c r="L2138" s="7">
        <v>4.048</v>
      </c>
      <c r="M2138" s="7">
        <v>4.3</v>
      </c>
      <c r="N2138" s="7">
        <v>5.1870000000000003</v>
      </c>
      <c r="O2138" s="7">
        <v>5.4189999999999996</v>
      </c>
      <c r="P2138" s="7">
        <v>5.4880000000000004</v>
      </c>
      <c r="Q2138" s="7">
        <v>5.0940000000000003</v>
      </c>
      <c r="R2138" s="7">
        <v>5.5309999999999997</v>
      </c>
      <c r="S2138" s="7">
        <f t="shared" si="33"/>
        <v>5.0571666666666664</v>
      </c>
    </row>
    <row r="2139" spans="1:19">
      <c r="A2139" s="5" t="str">
        <f>B2139&amp;"-"&amp;COUNTIF($B$2:B2139,B2139)</f>
        <v>MINAS GERAIS-573</v>
      </c>
      <c r="B2139" s="5" t="s">
        <v>1126</v>
      </c>
      <c r="C2139" s="5" t="s">
        <v>1535</v>
      </c>
      <c r="D2139" s="6">
        <v>-421519</v>
      </c>
      <c r="E2139" s="6">
        <v>-208271</v>
      </c>
      <c r="F2139" s="7">
        <v>4.7450000000000001</v>
      </c>
      <c r="G2139" s="7">
        <v>5.8289999999999997</v>
      </c>
      <c r="H2139" s="7">
        <v>6.0060000000000002</v>
      </c>
      <c r="I2139" s="7">
        <v>4.8929999999999998</v>
      </c>
      <c r="J2139" s="7">
        <v>4.3449999999999998</v>
      </c>
      <c r="K2139" s="7">
        <v>3.7370000000000001</v>
      </c>
      <c r="L2139" s="7">
        <v>3.64</v>
      </c>
      <c r="M2139" s="7">
        <v>3.758</v>
      </c>
      <c r="N2139" s="7">
        <v>4.5659999999999998</v>
      </c>
      <c r="O2139" s="7">
        <v>4.9009999999999998</v>
      </c>
      <c r="P2139" s="7">
        <v>4.9859999999999998</v>
      </c>
      <c r="Q2139" s="7">
        <v>4.7290000000000001</v>
      </c>
      <c r="R2139" s="7">
        <v>5.5510000000000002</v>
      </c>
      <c r="S2139" s="7">
        <f t="shared" si="33"/>
        <v>4.7450833333333344</v>
      </c>
    </row>
    <row r="2140" spans="1:19">
      <c r="A2140" s="5" t="str">
        <f>B2140&amp;"-"&amp;COUNTIF($B$2:B2140,B2140)</f>
        <v>MINAS GERAIS-574</v>
      </c>
      <c r="B2140" s="5" t="s">
        <v>1126</v>
      </c>
      <c r="C2140" s="5" t="s">
        <v>1536</v>
      </c>
      <c r="D2140" s="6">
        <v>-454658</v>
      </c>
      <c r="E2140" s="6">
        <v>-222391</v>
      </c>
      <c r="F2140" s="7">
        <v>4.7670000000000003</v>
      </c>
      <c r="G2140" s="7">
        <v>5.29</v>
      </c>
      <c r="H2140" s="7">
        <v>5.5839999999999996</v>
      </c>
      <c r="I2140" s="7">
        <v>4.7590000000000003</v>
      </c>
      <c r="J2140" s="7">
        <v>4.4909999999999997</v>
      </c>
      <c r="K2140" s="7">
        <v>3.8279999999999998</v>
      </c>
      <c r="L2140" s="7">
        <v>3.625</v>
      </c>
      <c r="M2140" s="7">
        <v>3.8679999999999999</v>
      </c>
      <c r="N2140" s="7">
        <v>4.7619999999999996</v>
      </c>
      <c r="O2140" s="7">
        <v>4.9349999999999996</v>
      </c>
      <c r="P2140" s="7">
        <v>5.3179999999999996</v>
      </c>
      <c r="Q2140" s="7">
        <v>5.1929999999999996</v>
      </c>
      <c r="R2140" s="7">
        <v>5.5549999999999997</v>
      </c>
      <c r="S2140" s="7">
        <f t="shared" si="33"/>
        <v>4.7673333333333323</v>
      </c>
    </row>
    <row r="2141" spans="1:19">
      <c r="A2141" s="5" t="str">
        <f>B2141&amp;"-"&amp;COUNTIF($B$2:B2141,B2141)</f>
        <v>MINAS GERAIS-575</v>
      </c>
      <c r="B2141" s="5" t="s">
        <v>1126</v>
      </c>
      <c r="C2141" s="5" t="s">
        <v>1537</v>
      </c>
      <c r="D2141" s="6">
        <v>-443914</v>
      </c>
      <c r="E2141" s="6">
        <v>-156037</v>
      </c>
      <c r="F2141" s="7">
        <v>5.7869999999999999</v>
      </c>
      <c r="G2141" s="7">
        <v>6.4539999999999997</v>
      </c>
      <c r="H2141" s="7">
        <v>6.6909999999999998</v>
      </c>
      <c r="I2141" s="7">
        <v>5.9009999999999998</v>
      </c>
      <c r="J2141" s="7">
        <v>5.6360000000000001</v>
      </c>
      <c r="K2141" s="7">
        <v>5.0620000000000003</v>
      </c>
      <c r="L2141" s="7">
        <v>4.7539999999999996</v>
      </c>
      <c r="M2141" s="7">
        <v>5.0819999999999999</v>
      </c>
      <c r="N2141" s="7">
        <v>5.7809999999999997</v>
      </c>
      <c r="O2141" s="7">
        <v>6.0709999999999997</v>
      </c>
      <c r="P2141" s="7">
        <v>6.1669999999999998</v>
      </c>
      <c r="Q2141" s="7">
        <v>5.6340000000000003</v>
      </c>
      <c r="R2141" s="7">
        <v>6.2089999999999996</v>
      </c>
      <c r="S2141" s="7">
        <f t="shared" si="33"/>
        <v>5.7868333333333331</v>
      </c>
    </row>
    <row r="2142" spans="1:19">
      <c r="A2142" s="5" t="str">
        <f>B2142&amp;"-"&amp;COUNTIF($B$2:B2142,B2142)</f>
        <v>MINAS GERAIS-576</v>
      </c>
      <c r="B2142" s="5" t="s">
        <v>1126</v>
      </c>
      <c r="C2142" s="5" t="s">
        <v>5138</v>
      </c>
      <c r="D2142" s="6">
        <v>-474643</v>
      </c>
      <c r="E2142" s="6">
        <v>-192282</v>
      </c>
      <c r="F2142" s="7">
        <v>5.24</v>
      </c>
      <c r="G2142" s="7">
        <v>5.6109999999999998</v>
      </c>
      <c r="H2142" s="7">
        <v>6.0259999999999998</v>
      </c>
      <c r="I2142" s="7">
        <v>5.0739999999999998</v>
      </c>
      <c r="J2142" s="7">
        <v>5.04</v>
      </c>
      <c r="K2142" s="7">
        <v>4.54</v>
      </c>
      <c r="L2142" s="7">
        <v>4.3049999999999997</v>
      </c>
      <c r="M2142" s="7">
        <v>4.5149999999999997</v>
      </c>
      <c r="N2142" s="7">
        <v>5.46</v>
      </c>
      <c r="O2142" s="7">
        <v>5.3769999999999998</v>
      </c>
      <c r="P2142" s="7">
        <v>5.6550000000000002</v>
      </c>
      <c r="Q2142" s="7">
        <v>5.5259999999999998</v>
      </c>
      <c r="R2142" s="7">
        <v>5.7489999999999997</v>
      </c>
      <c r="S2142" s="7">
        <f t="shared" si="33"/>
        <v>5.2398333333333342</v>
      </c>
    </row>
    <row r="2143" spans="1:19">
      <c r="A2143" s="5" t="str">
        <f>B2143&amp;"-"&amp;COUNTIF($B$2:B2143,B2143)</f>
        <v>MINAS GERAIS-577</v>
      </c>
      <c r="B2143" s="5" t="s">
        <v>1126</v>
      </c>
      <c r="C2143" s="5" t="s">
        <v>1538</v>
      </c>
      <c r="D2143" s="6">
        <v>-44043</v>
      </c>
      <c r="E2143" s="6">
        <v>-19618</v>
      </c>
      <c r="F2143" s="7">
        <v>5.202</v>
      </c>
      <c r="G2143" s="7">
        <v>5.8940000000000001</v>
      </c>
      <c r="H2143" s="7">
        <v>6.0309999999999997</v>
      </c>
      <c r="I2143" s="7">
        <v>5.2240000000000002</v>
      </c>
      <c r="J2143" s="7">
        <v>4.891</v>
      </c>
      <c r="K2143" s="7">
        <v>4.3310000000000004</v>
      </c>
      <c r="L2143" s="7">
        <v>4.0940000000000003</v>
      </c>
      <c r="M2143" s="7">
        <v>4.4119999999999999</v>
      </c>
      <c r="N2143" s="7">
        <v>5.2089999999999996</v>
      </c>
      <c r="O2143" s="7">
        <v>5.6079999999999997</v>
      </c>
      <c r="P2143" s="7">
        <v>5.6449999999999996</v>
      </c>
      <c r="Q2143" s="7">
        <v>5.4180000000000001</v>
      </c>
      <c r="R2143" s="7">
        <v>5.6689999999999996</v>
      </c>
      <c r="S2143" s="7">
        <f t="shared" si="33"/>
        <v>5.2021666666666659</v>
      </c>
    </row>
    <row r="2144" spans="1:19">
      <c r="A2144" s="5" t="str">
        <f>B2144&amp;"-"&amp;COUNTIF($B$2:B2144,B2144)</f>
        <v>MINAS GERAIS-578</v>
      </c>
      <c r="B2144" s="5" t="s">
        <v>1126</v>
      </c>
      <c r="C2144" s="5" t="s">
        <v>1539</v>
      </c>
      <c r="D2144" s="6">
        <v>-437433</v>
      </c>
      <c r="E2144" s="6">
        <v>-217081</v>
      </c>
      <c r="F2144" s="7">
        <v>4.5369999999999999</v>
      </c>
      <c r="G2144" s="7">
        <v>5.383</v>
      </c>
      <c r="H2144" s="7">
        <v>5.702</v>
      </c>
      <c r="I2144" s="7">
        <v>4.758</v>
      </c>
      <c r="J2144" s="7">
        <v>4.173</v>
      </c>
      <c r="K2144" s="7">
        <v>3.5880000000000001</v>
      </c>
      <c r="L2144" s="7">
        <v>3.415</v>
      </c>
      <c r="M2144" s="7">
        <v>3.5550000000000002</v>
      </c>
      <c r="N2144" s="7">
        <v>4.4039999999999999</v>
      </c>
      <c r="O2144" s="7">
        <v>4.5970000000000004</v>
      </c>
      <c r="P2144" s="7">
        <v>4.8150000000000004</v>
      </c>
      <c r="Q2144" s="7">
        <v>4.6399999999999997</v>
      </c>
      <c r="R2144" s="7">
        <v>5.4119999999999999</v>
      </c>
      <c r="S2144" s="7">
        <f t="shared" si="33"/>
        <v>4.5368333333333331</v>
      </c>
    </row>
    <row r="2145" spans="1:19">
      <c r="A2145" s="5" t="str">
        <f>B2145&amp;"-"&amp;COUNTIF($B$2:B2145,B2145)</f>
        <v>MINAS GERAIS-579</v>
      </c>
      <c r="B2145" s="5" t="s">
        <v>1126</v>
      </c>
      <c r="C2145" s="5" t="s">
        <v>1540</v>
      </c>
      <c r="D2145" s="6">
        <v>-431149</v>
      </c>
      <c r="E2145" s="6">
        <v>-218346</v>
      </c>
      <c r="F2145" s="7">
        <v>4.57</v>
      </c>
      <c r="G2145" s="7">
        <v>5.68</v>
      </c>
      <c r="H2145" s="7">
        <v>5.8659999999999997</v>
      </c>
      <c r="I2145" s="7">
        <v>4.8719999999999999</v>
      </c>
      <c r="J2145" s="7">
        <v>4.2039999999999997</v>
      </c>
      <c r="K2145" s="7">
        <v>3.5219999999999998</v>
      </c>
      <c r="L2145" s="7">
        <v>3.34</v>
      </c>
      <c r="M2145" s="7">
        <v>3.5470000000000002</v>
      </c>
      <c r="N2145" s="7">
        <v>4.2409999999999997</v>
      </c>
      <c r="O2145" s="7">
        <v>4.5780000000000003</v>
      </c>
      <c r="P2145" s="7">
        <v>4.8650000000000002</v>
      </c>
      <c r="Q2145" s="7">
        <v>4.6989999999999998</v>
      </c>
      <c r="R2145" s="7">
        <v>5.4249999999999998</v>
      </c>
      <c r="S2145" s="7">
        <f t="shared" si="33"/>
        <v>4.5699166666666668</v>
      </c>
    </row>
    <row r="2146" spans="1:19">
      <c r="A2146" s="5" t="str">
        <f>B2146&amp;"-"&amp;COUNTIF($B$2:B2146,B2146)</f>
        <v>MINAS GERAIS-580</v>
      </c>
      <c r="B2146" s="5" t="s">
        <v>1126</v>
      </c>
      <c r="C2146" s="5" t="s">
        <v>1541</v>
      </c>
      <c r="D2146" s="6">
        <v>-446608</v>
      </c>
      <c r="E2146" s="6">
        <v>-196288</v>
      </c>
      <c r="F2146" s="7">
        <v>5.2290000000000001</v>
      </c>
      <c r="G2146" s="7">
        <v>5.9480000000000004</v>
      </c>
      <c r="H2146" s="7">
        <v>6.149</v>
      </c>
      <c r="I2146" s="7">
        <v>5.1989999999999998</v>
      </c>
      <c r="J2146" s="7">
        <v>4.9269999999999996</v>
      </c>
      <c r="K2146" s="7">
        <v>4.3410000000000002</v>
      </c>
      <c r="L2146" s="7">
        <v>4.1280000000000001</v>
      </c>
      <c r="M2146" s="7">
        <v>4.4539999999999997</v>
      </c>
      <c r="N2146" s="7">
        <v>5.3159999999999998</v>
      </c>
      <c r="O2146" s="7">
        <v>5.5970000000000004</v>
      </c>
      <c r="P2146" s="7">
        <v>5.6210000000000004</v>
      </c>
      <c r="Q2146" s="7">
        <v>5.3819999999999997</v>
      </c>
      <c r="R2146" s="7">
        <v>5.694</v>
      </c>
      <c r="S2146" s="7">
        <f t="shared" si="33"/>
        <v>5.2296666666666676</v>
      </c>
    </row>
    <row r="2147" spans="1:19">
      <c r="A2147" s="5" t="str">
        <f>B2147&amp;"-"&amp;COUNTIF($B$2:B2147,B2147)</f>
        <v>MINAS GERAIS-581</v>
      </c>
      <c r="B2147" s="5" t="s">
        <v>1126</v>
      </c>
      <c r="C2147" s="5" t="s">
        <v>5435</v>
      </c>
      <c r="D2147" s="5" t="s">
        <v>1542</v>
      </c>
      <c r="E2147" s="6">
        <v>-210937</v>
      </c>
      <c r="F2147" s="7">
        <v>4.9480000000000004</v>
      </c>
      <c r="G2147" s="7">
        <v>5.6310000000000002</v>
      </c>
      <c r="H2147" s="7">
        <v>5.7960000000000003</v>
      </c>
      <c r="I2147" s="7">
        <v>4.9729999999999999</v>
      </c>
      <c r="J2147" s="7">
        <v>4.7320000000000002</v>
      </c>
      <c r="K2147" s="7">
        <v>4.0140000000000002</v>
      </c>
      <c r="L2147" s="7">
        <v>3.798</v>
      </c>
      <c r="M2147" s="7">
        <v>4.0780000000000003</v>
      </c>
      <c r="N2147" s="7">
        <v>4.9660000000000002</v>
      </c>
      <c r="O2147" s="7">
        <v>5.1689999999999996</v>
      </c>
      <c r="P2147" s="7">
        <v>5.4130000000000003</v>
      </c>
      <c r="Q2147" s="7">
        <v>5.1689999999999996</v>
      </c>
      <c r="R2147" s="7">
        <v>5.6319999999999997</v>
      </c>
      <c r="S2147" s="7">
        <f t="shared" si="33"/>
        <v>4.9475833333333323</v>
      </c>
    </row>
    <row r="2148" spans="1:19">
      <c r="A2148" s="5" t="str">
        <f>B2148&amp;"-"&amp;COUNTIF($B$2:B2148,B2148)</f>
        <v>MINAS GERAIS-582</v>
      </c>
      <c r="B2148" s="5" t="s">
        <v>1126</v>
      </c>
      <c r="C2148" s="5" t="s">
        <v>4005</v>
      </c>
      <c r="D2148" s="6">
        <v>-450858</v>
      </c>
      <c r="E2148" s="6">
        <v>-199521</v>
      </c>
      <c r="F2148" s="7">
        <v>5.1660000000000004</v>
      </c>
      <c r="G2148" s="7">
        <v>5.8440000000000003</v>
      </c>
      <c r="H2148" s="7">
        <v>6.0069999999999997</v>
      </c>
      <c r="I2148" s="7">
        <v>5.1050000000000004</v>
      </c>
      <c r="J2148" s="7">
        <v>4.9249999999999998</v>
      </c>
      <c r="K2148" s="7">
        <v>4.33</v>
      </c>
      <c r="L2148" s="7">
        <v>4.1580000000000004</v>
      </c>
      <c r="M2148" s="7">
        <v>4.3789999999999996</v>
      </c>
      <c r="N2148" s="7">
        <v>5.2910000000000004</v>
      </c>
      <c r="O2148" s="7">
        <v>5.4889999999999999</v>
      </c>
      <c r="P2148" s="7">
        <v>5.5570000000000004</v>
      </c>
      <c r="Q2148" s="7">
        <v>5.2729999999999997</v>
      </c>
      <c r="R2148" s="7">
        <v>5.633</v>
      </c>
      <c r="S2148" s="7">
        <f t="shared" si="33"/>
        <v>5.1659166666666669</v>
      </c>
    </row>
    <row r="2149" spans="1:19">
      <c r="A2149" s="5" t="str">
        <f>B2149&amp;"-"&amp;COUNTIF($B$2:B2149,B2149)</f>
        <v>MINAS GERAIS-583</v>
      </c>
      <c r="B2149" s="5" t="s">
        <v>1126</v>
      </c>
      <c r="C2149" s="5" t="s">
        <v>1543</v>
      </c>
      <c r="D2149" s="6">
        <v>-472934</v>
      </c>
      <c r="E2149" s="6">
        <v>-193492</v>
      </c>
      <c r="F2149" s="7">
        <v>5.2169999999999996</v>
      </c>
      <c r="G2149" s="7">
        <v>5.5780000000000003</v>
      </c>
      <c r="H2149" s="7">
        <v>5.9720000000000004</v>
      </c>
      <c r="I2149" s="7">
        <v>5.0220000000000002</v>
      </c>
      <c r="J2149" s="7">
        <v>4.9119999999999999</v>
      </c>
      <c r="K2149" s="7">
        <v>4.5220000000000002</v>
      </c>
      <c r="L2149" s="7">
        <v>4.3140000000000001</v>
      </c>
      <c r="M2149" s="7">
        <v>4.5490000000000004</v>
      </c>
      <c r="N2149" s="7">
        <v>5.5359999999999996</v>
      </c>
      <c r="O2149" s="7">
        <v>5.4630000000000001</v>
      </c>
      <c r="P2149" s="7">
        <v>5.5960000000000001</v>
      </c>
      <c r="Q2149" s="7">
        <v>5.4379999999999997</v>
      </c>
      <c r="R2149" s="7">
        <v>5.6989999999999998</v>
      </c>
      <c r="S2149" s="7">
        <f t="shared" si="33"/>
        <v>5.2167500000000002</v>
      </c>
    </row>
    <row r="2150" spans="1:19">
      <c r="A2150" s="5" t="str">
        <f>B2150&amp;"-"&amp;COUNTIF($B$2:B2150,B2150)</f>
        <v>MINAS GERAIS-584</v>
      </c>
      <c r="B2150" s="5" t="s">
        <v>1126</v>
      </c>
      <c r="C2150" s="5" t="s">
        <v>1544</v>
      </c>
      <c r="D2150" s="6">
        <v>-42241</v>
      </c>
      <c r="E2150" s="6">
        <v>-191563</v>
      </c>
      <c r="F2150" s="7">
        <v>4.9160000000000004</v>
      </c>
      <c r="G2150" s="7">
        <v>5.97</v>
      </c>
      <c r="H2150" s="7">
        <v>6.2050000000000001</v>
      </c>
      <c r="I2150" s="7">
        <v>5.2460000000000004</v>
      </c>
      <c r="J2150" s="7">
        <v>4.6920000000000002</v>
      </c>
      <c r="K2150" s="7">
        <v>3.9409999999999998</v>
      </c>
      <c r="L2150" s="7">
        <v>3.726</v>
      </c>
      <c r="M2150" s="7">
        <v>3.851</v>
      </c>
      <c r="N2150" s="7">
        <v>4.5229999999999997</v>
      </c>
      <c r="O2150" s="7">
        <v>4.931</v>
      </c>
      <c r="P2150" s="7">
        <v>5.1459999999999999</v>
      </c>
      <c r="Q2150" s="7">
        <v>4.9489999999999998</v>
      </c>
      <c r="R2150" s="7">
        <v>5.8129999999999997</v>
      </c>
      <c r="S2150" s="7">
        <f t="shared" si="33"/>
        <v>4.9160833333333329</v>
      </c>
    </row>
    <row r="2151" spans="1:19">
      <c r="A2151" s="5" t="str">
        <f>B2151&amp;"-"&amp;COUNTIF($B$2:B2151,B2151)</f>
        <v>MINAS GERAIS-585</v>
      </c>
      <c r="B2151" s="5" t="s">
        <v>1126</v>
      </c>
      <c r="C2151" s="5" t="s">
        <v>1545</v>
      </c>
      <c r="D2151" s="6">
        <v>-416009</v>
      </c>
      <c r="E2151" s="6">
        <v>-183574</v>
      </c>
      <c r="F2151" s="7">
        <v>4.899</v>
      </c>
      <c r="G2151" s="7">
        <v>5.9880000000000004</v>
      </c>
      <c r="H2151" s="7">
        <v>6.1710000000000003</v>
      </c>
      <c r="I2151" s="7">
        <v>5.3250000000000002</v>
      </c>
      <c r="J2151" s="7">
        <v>4.6349999999999998</v>
      </c>
      <c r="K2151" s="7">
        <v>3.8820000000000001</v>
      </c>
      <c r="L2151" s="7">
        <v>3.5939999999999999</v>
      </c>
      <c r="M2151" s="7">
        <v>3.7519999999999998</v>
      </c>
      <c r="N2151" s="7">
        <v>4.4219999999999997</v>
      </c>
      <c r="O2151" s="7">
        <v>4.9870000000000001</v>
      </c>
      <c r="P2151" s="7">
        <v>5.2249999999999996</v>
      </c>
      <c r="Q2151" s="7">
        <v>4.9809999999999999</v>
      </c>
      <c r="R2151" s="7">
        <v>5.8230000000000004</v>
      </c>
      <c r="S2151" s="7">
        <f t="shared" si="33"/>
        <v>4.8987500000000006</v>
      </c>
    </row>
    <row r="2152" spans="1:19">
      <c r="A2152" s="5" t="str">
        <f>B2152&amp;"-"&amp;COUNTIF($B$2:B2152,B2152)</f>
        <v>MINAS GERAIS-586</v>
      </c>
      <c r="B2152" s="5" t="s">
        <v>1126</v>
      </c>
      <c r="C2152" s="5" t="s">
        <v>1546</v>
      </c>
      <c r="D2152" s="6">
        <v>-433134</v>
      </c>
      <c r="E2152" s="6">
        <v>-215101</v>
      </c>
      <c r="F2152" s="7">
        <v>4.5650000000000004</v>
      </c>
      <c r="G2152" s="7">
        <v>5.4249999999999998</v>
      </c>
      <c r="H2152" s="7">
        <v>5.8630000000000004</v>
      </c>
      <c r="I2152" s="7">
        <v>4.8390000000000004</v>
      </c>
      <c r="J2152" s="7">
        <v>4.2160000000000002</v>
      </c>
      <c r="K2152" s="7">
        <v>3.5750000000000002</v>
      </c>
      <c r="L2152" s="7">
        <v>3.3849999999999998</v>
      </c>
      <c r="M2152" s="7">
        <v>3.5569999999999999</v>
      </c>
      <c r="N2152" s="7">
        <v>4.3360000000000003</v>
      </c>
      <c r="O2152" s="7">
        <v>4.6269999999999998</v>
      </c>
      <c r="P2152" s="7">
        <v>4.8499999999999996</v>
      </c>
      <c r="Q2152" s="7">
        <v>4.649</v>
      </c>
      <c r="R2152" s="7">
        <v>5.4589999999999996</v>
      </c>
      <c r="S2152" s="7">
        <f t="shared" si="33"/>
        <v>4.5650833333333338</v>
      </c>
    </row>
    <row r="2153" spans="1:19">
      <c r="A2153" s="5" t="str">
        <f>B2153&amp;"-"&amp;COUNTIF($B$2:B2153,B2153)</f>
        <v>MINAS GERAIS-587</v>
      </c>
      <c r="B2153" s="5" t="s">
        <v>1126</v>
      </c>
      <c r="C2153" s="5" t="s">
        <v>1547</v>
      </c>
      <c r="D2153" s="6">
        <v>-420759</v>
      </c>
      <c r="E2153" s="6">
        <v>-197598</v>
      </c>
      <c r="F2153" s="7">
        <v>4.6269999999999998</v>
      </c>
      <c r="G2153" s="7">
        <v>5.492</v>
      </c>
      <c r="H2153" s="7">
        <v>5.7640000000000002</v>
      </c>
      <c r="I2153" s="7">
        <v>4.8410000000000002</v>
      </c>
      <c r="J2153" s="7">
        <v>4.3319999999999999</v>
      </c>
      <c r="K2153" s="7">
        <v>3.7269999999999999</v>
      </c>
      <c r="L2153" s="7">
        <v>3.5489999999999999</v>
      </c>
      <c r="M2153" s="7">
        <v>3.706</v>
      </c>
      <c r="N2153" s="7">
        <v>4.3890000000000002</v>
      </c>
      <c r="O2153" s="7">
        <v>4.7619999999999996</v>
      </c>
      <c r="P2153" s="7">
        <v>4.8849999999999998</v>
      </c>
      <c r="Q2153" s="7">
        <v>4.6520000000000001</v>
      </c>
      <c r="R2153" s="7">
        <v>5.4320000000000004</v>
      </c>
      <c r="S2153" s="7">
        <f t="shared" si="33"/>
        <v>4.6275833333333338</v>
      </c>
    </row>
    <row r="2154" spans="1:19">
      <c r="A2154" s="5" t="str">
        <f>B2154&amp;"-"&amp;COUNTIF($B$2:B2154,B2154)</f>
        <v>MINAS GERAIS-588</v>
      </c>
      <c r="B2154" s="5" t="s">
        <v>1126</v>
      </c>
      <c r="C2154" s="5" t="s">
        <v>1548</v>
      </c>
      <c r="D2154" s="6">
        <v>-427382</v>
      </c>
      <c r="E2154" s="6">
        <v>-202443</v>
      </c>
      <c r="F2154" s="7">
        <v>4.8680000000000003</v>
      </c>
      <c r="G2154" s="7">
        <v>5.7779999999999996</v>
      </c>
      <c r="H2154" s="7">
        <v>6.0990000000000002</v>
      </c>
      <c r="I2154" s="7">
        <v>5.0990000000000002</v>
      </c>
      <c r="J2154" s="7">
        <v>4.5960000000000001</v>
      </c>
      <c r="K2154" s="7">
        <v>3.9</v>
      </c>
      <c r="L2154" s="7">
        <v>3.6930000000000001</v>
      </c>
      <c r="M2154" s="7">
        <v>3.9249999999999998</v>
      </c>
      <c r="N2154" s="7">
        <v>4.6840000000000002</v>
      </c>
      <c r="O2154" s="7">
        <v>4.992</v>
      </c>
      <c r="P2154" s="7">
        <v>5.1390000000000002</v>
      </c>
      <c r="Q2154" s="7">
        <v>4.9189999999999996</v>
      </c>
      <c r="R2154" s="7">
        <v>5.5960000000000001</v>
      </c>
      <c r="S2154" s="7">
        <f t="shared" si="33"/>
        <v>4.8683333333333323</v>
      </c>
    </row>
    <row r="2155" spans="1:19">
      <c r="A2155" s="5" t="str">
        <f>B2155&amp;"-"&amp;COUNTIF($B$2:B2155,B2155)</f>
        <v>MINAS GERAIS-589</v>
      </c>
      <c r="B2155" s="5" t="s">
        <v>1126</v>
      </c>
      <c r="C2155" s="5" t="s">
        <v>1549</v>
      </c>
      <c r="D2155" s="6">
        <v>-441942</v>
      </c>
      <c r="E2155" s="6">
        <v>-214695</v>
      </c>
      <c r="F2155" s="7">
        <v>4.7569999999999997</v>
      </c>
      <c r="G2155" s="7">
        <v>5.5309999999999997</v>
      </c>
      <c r="H2155" s="7">
        <v>5.7450000000000001</v>
      </c>
      <c r="I2155" s="7">
        <v>4.8739999999999997</v>
      </c>
      <c r="J2155" s="7">
        <v>4.391</v>
      </c>
      <c r="K2155" s="7">
        <v>3.7890000000000001</v>
      </c>
      <c r="L2155" s="7">
        <v>3.6110000000000002</v>
      </c>
      <c r="M2155" s="7">
        <v>3.7829999999999999</v>
      </c>
      <c r="N2155" s="7">
        <v>4.7210000000000001</v>
      </c>
      <c r="O2155" s="7">
        <v>4.9240000000000004</v>
      </c>
      <c r="P2155" s="7">
        <v>5.1390000000000002</v>
      </c>
      <c r="Q2155" s="7">
        <v>4.9870000000000001</v>
      </c>
      <c r="R2155" s="7">
        <v>5.585</v>
      </c>
      <c r="S2155" s="7">
        <f t="shared" si="33"/>
        <v>4.7566666666666668</v>
      </c>
    </row>
    <row r="2156" spans="1:19">
      <c r="A2156" s="5" t="str">
        <f>B2156&amp;"-"&amp;COUNTIF($B$2:B2156,B2156)</f>
        <v>MINAS GERAIS-590</v>
      </c>
      <c r="B2156" s="5" t="s">
        <v>1126</v>
      </c>
      <c r="C2156" s="5" t="s">
        <v>1550</v>
      </c>
      <c r="D2156" s="6">
        <v>-442247</v>
      </c>
      <c r="E2156" s="6">
        <v>-20472</v>
      </c>
      <c r="F2156" s="7">
        <v>5.0039999999999996</v>
      </c>
      <c r="G2156" s="7">
        <v>5.7030000000000003</v>
      </c>
      <c r="H2156" s="7">
        <v>5.8979999999999997</v>
      </c>
      <c r="I2156" s="7">
        <v>4.9640000000000004</v>
      </c>
      <c r="J2156" s="7">
        <v>4.6909999999999998</v>
      </c>
      <c r="K2156" s="7">
        <v>4.125</v>
      </c>
      <c r="L2156" s="7">
        <v>3.9380000000000002</v>
      </c>
      <c r="M2156" s="7">
        <v>4.1900000000000004</v>
      </c>
      <c r="N2156" s="7">
        <v>5.048</v>
      </c>
      <c r="O2156" s="7">
        <v>5.3150000000000004</v>
      </c>
      <c r="P2156" s="7">
        <v>5.4349999999999996</v>
      </c>
      <c r="Q2156" s="7">
        <v>5.1520000000000001</v>
      </c>
      <c r="R2156" s="7">
        <v>5.5910000000000002</v>
      </c>
      <c r="S2156" s="7">
        <f t="shared" si="33"/>
        <v>5.0041666666666664</v>
      </c>
    </row>
    <row r="2157" spans="1:19">
      <c r="A2157" s="5" t="str">
        <f>B2157&amp;"-"&amp;COUNTIF($B$2:B2157,B2157)</f>
        <v>MINAS GERAIS-591</v>
      </c>
      <c r="B2157" s="5" t="s">
        <v>1126</v>
      </c>
      <c r="C2157" s="5" t="s">
        <v>1551</v>
      </c>
      <c r="D2157" s="6">
        <v>-458053</v>
      </c>
      <c r="E2157" s="6">
        <v>-204832</v>
      </c>
      <c r="F2157" s="7">
        <v>5.0250000000000004</v>
      </c>
      <c r="G2157" s="7">
        <v>5.5970000000000004</v>
      </c>
      <c r="H2157" s="7">
        <v>5.8230000000000004</v>
      </c>
      <c r="I2157" s="7">
        <v>4.88</v>
      </c>
      <c r="J2157" s="7">
        <v>4.7910000000000004</v>
      </c>
      <c r="K2157" s="7">
        <v>4.2240000000000002</v>
      </c>
      <c r="L2157" s="7">
        <v>3.9929999999999999</v>
      </c>
      <c r="M2157" s="7">
        <v>4.28</v>
      </c>
      <c r="N2157" s="7">
        <v>5.1909999999999998</v>
      </c>
      <c r="O2157" s="7">
        <v>5.2939999999999996</v>
      </c>
      <c r="P2157" s="7">
        <v>5.5179999999999998</v>
      </c>
      <c r="Q2157" s="7">
        <v>5.1139999999999999</v>
      </c>
      <c r="R2157" s="7">
        <v>5.5970000000000004</v>
      </c>
      <c r="S2157" s="7">
        <f t="shared" si="33"/>
        <v>5.0251666666666663</v>
      </c>
    </row>
    <row r="2158" spans="1:19">
      <c r="A2158" s="5" t="str">
        <f>B2158&amp;"-"&amp;COUNTIF($B$2:B2158,B2158)</f>
        <v>MINAS GERAIS-592</v>
      </c>
      <c r="B2158" s="5" t="s">
        <v>1126</v>
      </c>
      <c r="C2158" s="5" t="s">
        <v>1552</v>
      </c>
      <c r="D2158" s="6">
        <v>-424081</v>
      </c>
      <c r="E2158" s="6">
        <v>-197278</v>
      </c>
      <c r="F2158" s="7">
        <v>4.9550000000000001</v>
      </c>
      <c r="G2158" s="7">
        <v>5.9480000000000004</v>
      </c>
      <c r="H2158" s="7">
        <v>6.2169999999999996</v>
      </c>
      <c r="I2158" s="7">
        <v>5.2329999999999997</v>
      </c>
      <c r="J2158" s="7">
        <v>4.7190000000000003</v>
      </c>
      <c r="K2158" s="7">
        <v>4.0069999999999997</v>
      </c>
      <c r="L2158" s="7">
        <v>3.7959999999999998</v>
      </c>
      <c r="M2158" s="7">
        <v>3.9790000000000001</v>
      </c>
      <c r="N2158" s="7">
        <v>4.641</v>
      </c>
      <c r="O2158" s="7">
        <v>4.9790000000000001</v>
      </c>
      <c r="P2158" s="7">
        <v>5.1680000000000001</v>
      </c>
      <c r="Q2158" s="7">
        <v>4.9829999999999997</v>
      </c>
      <c r="R2158" s="7">
        <v>5.7919999999999998</v>
      </c>
      <c r="S2158" s="7">
        <f t="shared" si="33"/>
        <v>4.9551666666666661</v>
      </c>
    </row>
    <row r="2159" spans="1:19">
      <c r="A2159" s="5" t="str">
        <f>B2159&amp;"-"&amp;COUNTIF($B$2:B2159,B2159)</f>
        <v>MINAS GERAIS-593</v>
      </c>
      <c r="B2159" s="5" t="s">
        <v>1126</v>
      </c>
      <c r="C2159" s="5" t="s">
        <v>5139</v>
      </c>
      <c r="D2159" s="6">
        <v>-451455</v>
      </c>
      <c r="E2159" s="6">
        <v>-160576</v>
      </c>
      <c r="F2159" s="7">
        <v>5.7679999999999998</v>
      </c>
      <c r="G2159" s="7">
        <v>6.41</v>
      </c>
      <c r="H2159" s="7">
        <v>6.6360000000000001</v>
      </c>
      <c r="I2159" s="7">
        <v>5.7549999999999999</v>
      </c>
      <c r="J2159" s="7">
        <v>5.6360000000000001</v>
      </c>
      <c r="K2159" s="7">
        <v>5.0750000000000002</v>
      </c>
      <c r="L2159" s="7">
        <v>4.7729999999999997</v>
      </c>
      <c r="M2159" s="7">
        <v>5.0679999999999996</v>
      </c>
      <c r="N2159" s="7">
        <v>5.8979999999999997</v>
      </c>
      <c r="O2159" s="7">
        <v>6.0209999999999999</v>
      </c>
      <c r="P2159" s="7">
        <v>6.18</v>
      </c>
      <c r="Q2159" s="7">
        <v>5.6269999999999998</v>
      </c>
      <c r="R2159" s="7">
        <v>6.1420000000000003</v>
      </c>
      <c r="S2159" s="7">
        <f t="shared" si="33"/>
        <v>5.7684166666666661</v>
      </c>
    </row>
    <row r="2160" spans="1:19">
      <c r="A2160" s="5" t="str">
        <f>B2160&amp;"-"&amp;COUNTIF($B$2:B2160,B2160)</f>
        <v>MINAS GERAIS-594</v>
      </c>
      <c r="B2160" s="5" t="s">
        <v>1126</v>
      </c>
      <c r="C2160" s="5" t="s">
        <v>4850</v>
      </c>
      <c r="D2160" s="6">
        <v>-430176</v>
      </c>
      <c r="E2160" s="6">
        <v>-21283</v>
      </c>
      <c r="F2160" s="7">
        <v>4.7270000000000003</v>
      </c>
      <c r="G2160" s="7">
        <v>5.7320000000000002</v>
      </c>
      <c r="H2160" s="7">
        <v>5.99</v>
      </c>
      <c r="I2160" s="7">
        <v>4.97</v>
      </c>
      <c r="J2160" s="7">
        <v>4.3529999999999998</v>
      </c>
      <c r="K2160" s="7">
        <v>3.677</v>
      </c>
      <c r="L2160" s="7">
        <v>3.5</v>
      </c>
      <c r="M2160" s="7">
        <v>3.6749999999999998</v>
      </c>
      <c r="N2160" s="7">
        <v>4.46</v>
      </c>
      <c r="O2160" s="7">
        <v>4.7990000000000004</v>
      </c>
      <c r="P2160" s="7">
        <v>5.0780000000000003</v>
      </c>
      <c r="Q2160" s="7">
        <v>4.8810000000000002</v>
      </c>
      <c r="R2160" s="7">
        <v>5.6050000000000004</v>
      </c>
      <c r="S2160" s="7">
        <f t="shared" si="33"/>
        <v>4.7266666666666666</v>
      </c>
    </row>
    <row r="2161" spans="1:19">
      <c r="A2161" s="5" t="str">
        <f>B2161&amp;"-"&amp;COUNTIF($B$2:B2161,B2161)</f>
        <v>MINAS GERAIS-595</v>
      </c>
      <c r="B2161" s="5" t="s">
        <v>1126</v>
      </c>
      <c r="C2161" s="5" t="s">
        <v>1553</v>
      </c>
      <c r="D2161" s="6">
        <v>-444787</v>
      </c>
      <c r="E2161" s="6">
        <v>-205093</v>
      </c>
      <c r="F2161" s="7">
        <v>5.0490000000000004</v>
      </c>
      <c r="G2161" s="7">
        <v>5.6539999999999999</v>
      </c>
      <c r="H2161" s="7">
        <v>5.8959999999999999</v>
      </c>
      <c r="I2161" s="7">
        <v>5.0789999999999997</v>
      </c>
      <c r="J2161" s="7">
        <v>4.7789999999999999</v>
      </c>
      <c r="K2161" s="7">
        <v>4.1840000000000002</v>
      </c>
      <c r="L2161" s="7">
        <v>4.0129999999999999</v>
      </c>
      <c r="M2161" s="7">
        <v>4.25</v>
      </c>
      <c r="N2161" s="7">
        <v>5.1079999999999997</v>
      </c>
      <c r="O2161" s="7">
        <v>5.3390000000000004</v>
      </c>
      <c r="P2161" s="7">
        <v>5.4939999999999998</v>
      </c>
      <c r="Q2161" s="7">
        <v>5.1980000000000004</v>
      </c>
      <c r="R2161" s="7">
        <v>5.5949999999999998</v>
      </c>
      <c r="S2161" s="7">
        <f t="shared" si="33"/>
        <v>5.0490833333333329</v>
      </c>
    </row>
    <row r="2162" spans="1:19">
      <c r="A2162" s="5" t="str">
        <f>B2162&amp;"-"&amp;COUNTIF($B$2:B2162,B2162)</f>
        <v>MINAS GERAIS-596</v>
      </c>
      <c r="B2162" s="5" t="s">
        <v>1126</v>
      </c>
      <c r="C2162" s="5" t="s">
        <v>1554</v>
      </c>
      <c r="D2162" s="6">
        <v>-487031</v>
      </c>
      <c r="E2162" s="6">
        <v>-199097</v>
      </c>
      <c r="F2162" s="7">
        <v>5.1769999999999996</v>
      </c>
      <c r="G2162" s="7">
        <v>5.6909999999999998</v>
      </c>
      <c r="H2162" s="7">
        <v>5.9889999999999999</v>
      </c>
      <c r="I2162" s="7">
        <v>5.1429999999999998</v>
      </c>
      <c r="J2162" s="7">
        <v>4.9850000000000003</v>
      </c>
      <c r="K2162" s="7">
        <v>4.3109999999999999</v>
      </c>
      <c r="L2162" s="7">
        <v>4.08</v>
      </c>
      <c r="M2162" s="7">
        <v>4.3319999999999999</v>
      </c>
      <c r="N2162" s="7">
        <v>5.274</v>
      </c>
      <c r="O2162" s="7">
        <v>5.16</v>
      </c>
      <c r="P2162" s="7">
        <v>5.4989999999999997</v>
      </c>
      <c r="Q2162" s="7">
        <v>5.6559999999999997</v>
      </c>
      <c r="R2162" s="7">
        <v>6.0090000000000003</v>
      </c>
      <c r="S2162" s="7">
        <f t="shared" si="33"/>
        <v>5.1774166666666668</v>
      </c>
    </row>
    <row r="2163" spans="1:19">
      <c r="A2163" s="5" t="str">
        <f>B2163&amp;"-"&amp;COUNTIF($B$2:B2163,B2163)</f>
        <v>MINAS GERAIS-597</v>
      </c>
      <c r="B2163" s="5" t="s">
        <v>1126</v>
      </c>
      <c r="C2163" s="5" t="s">
        <v>1555</v>
      </c>
      <c r="D2163" s="6">
        <v>-432971</v>
      </c>
      <c r="E2163" s="6">
        <v>-206839</v>
      </c>
      <c r="F2163" s="7">
        <v>4.6669999999999998</v>
      </c>
      <c r="G2163" s="7">
        <v>5.47</v>
      </c>
      <c r="H2163" s="7">
        <v>5.8479999999999999</v>
      </c>
      <c r="I2163" s="7">
        <v>4.8360000000000003</v>
      </c>
      <c r="J2163" s="7">
        <v>4.3319999999999999</v>
      </c>
      <c r="K2163" s="7">
        <v>3.734</v>
      </c>
      <c r="L2163" s="7">
        <v>3.5579999999999998</v>
      </c>
      <c r="M2163" s="7">
        <v>3.7759999999999998</v>
      </c>
      <c r="N2163" s="7">
        <v>4.6230000000000002</v>
      </c>
      <c r="O2163" s="7">
        <v>4.8289999999999997</v>
      </c>
      <c r="P2163" s="7">
        <v>4.9909999999999997</v>
      </c>
      <c r="Q2163" s="7">
        <v>4.681</v>
      </c>
      <c r="R2163" s="7">
        <v>5.3319999999999999</v>
      </c>
      <c r="S2163" s="7">
        <f t="shared" si="33"/>
        <v>4.6674999999999995</v>
      </c>
    </row>
    <row r="2164" spans="1:19">
      <c r="A2164" s="5" t="str">
        <f>B2164&amp;"-"&amp;COUNTIF($B$2:B2164,B2164)</f>
        <v>MINAS GERAIS-598</v>
      </c>
      <c r="B2164" s="5" t="s">
        <v>1126</v>
      </c>
      <c r="C2164" s="5" t="s">
        <v>4676</v>
      </c>
      <c r="D2164" s="6">
        <v>-454949</v>
      </c>
      <c r="E2164" s="6">
        <v>-225254</v>
      </c>
      <c r="F2164" s="7">
        <v>4.8319999999999999</v>
      </c>
      <c r="G2164" s="7">
        <v>5.3730000000000002</v>
      </c>
      <c r="H2164" s="7">
        <v>5.6760000000000002</v>
      </c>
      <c r="I2164" s="7">
        <v>4.9320000000000004</v>
      </c>
      <c r="J2164" s="7">
        <v>4.5709999999999997</v>
      </c>
      <c r="K2164" s="7">
        <v>3.8279999999999998</v>
      </c>
      <c r="L2164" s="7">
        <v>3.573</v>
      </c>
      <c r="M2164" s="7">
        <v>3.79</v>
      </c>
      <c r="N2164" s="7">
        <v>4.6859999999999999</v>
      </c>
      <c r="O2164" s="7">
        <v>4.9569999999999999</v>
      </c>
      <c r="P2164" s="7">
        <v>5.4180000000000001</v>
      </c>
      <c r="Q2164" s="7">
        <v>5.375</v>
      </c>
      <c r="R2164" s="7">
        <v>5.81</v>
      </c>
      <c r="S2164" s="7">
        <f t="shared" si="33"/>
        <v>4.832416666666667</v>
      </c>
    </row>
    <row r="2165" spans="1:19">
      <c r="A2165" s="5" t="str">
        <f>B2165&amp;"-"&amp;COUNTIF($B$2:B2165,B2165)</f>
        <v>MINAS GERAIS-599</v>
      </c>
      <c r="B2165" s="5" t="s">
        <v>1126</v>
      </c>
      <c r="C2165" s="5" t="s">
        <v>1556</v>
      </c>
      <c r="D2165" s="6">
        <v>-455328</v>
      </c>
      <c r="E2165" s="6">
        <v>-223954</v>
      </c>
      <c r="F2165" s="7">
        <v>4.8520000000000003</v>
      </c>
      <c r="G2165" s="7">
        <v>5.4020000000000001</v>
      </c>
      <c r="H2165" s="7">
        <v>5.7009999999999996</v>
      </c>
      <c r="I2165" s="7">
        <v>4.9400000000000004</v>
      </c>
      <c r="J2165" s="7">
        <v>4.6180000000000003</v>
      </c>
      <c r="K2165" s="7">
        <v>3.839</v>
      </c>
      <c r="L2165" s="7">
        <v>3.5979999999999999</v>
      </c>
      <c r="M2165" s="7">
        <v>3.8239999999999998</v>
      </c>
      <c r="N2165" s="7">
        <v>4.71</v>
      </c>
      <c r="O2165" s="7">
        <v>4.9660000000000002</v>
      </c>
      <c r="P2165" s="7">
        <v>5.4249999999999998</v>
      </c>
      <c r="Q2165" s="7">
        <v>5.4050000000000002</v>
      </c>
      <c r="R2165" s="7">
        <v>5.7990000000000004</v>
      </c>
      <c r="S2165" s="7">
        <f t="shared" si="33"/>
        <v>4.8522499999999997</v>
      </c>
    </row>
    <row r="2166" spans="1:19">
      <c r="A2166" s="5" t="str">
        <f>B2166&amp;"-"&amp;COUNTIF($B$2:B2166,B2166)</f>
        <v>MINAS GERAIS-600</v>
      </c>
      <c r="B2166" s="5" t="s">
        <v>1126</v>
      </c>
      <c r="C2166" s="5" t="s">
        <v>1557</v>
      </c>
      <c r="D2166" s="6">
        <v>-423438</v>
      </c>
      <c r="E2166" s="6">
        <v>-216559</v>
      </c>
      <c r="F2166" s="7">
        <v>4.7720000000000002</v>
      </c>
      <c r="G2166" s="7">
        <v>5.9969999999999999</v>
      </c>
      <c r="H2166" s="7">
        <v>6.0810000000000004</v>
      </c>
      <c r="I2166" s="7">
        <v>5.1310000000000002</v>
      </c>
      <c r="J2166" s="7">
        <v>4.4210000000000003</v>
      </c>
      <c r="K2166" s="7">
        <v>3.6989999999999998</v>
      </c>
      <c r="L2166" s="7">
        <v>3.45</v>
      </c>
      <c r="M2166" s="7">
        <v>3.5819999999999999</v>
      </c>
      <c r="N2166" s="7">
        <v>4.3019999999999996</v>
      </c>
      <c r="O2166" s="7">
        <v>4.7510000000000003</v>
      </c>
      <c r="P2166" s="7">
        <v>5.0519999999999996</v>
      </c>
      <c r="Q2166" s="7">
        <v>4.9729999999999999</v>
      </c>
      <c r="R2166" s="7">
        <v>5.82</v>
      </c>
      <c r="S2166" s="7">
        <f t="shared" si="33"/>
        <v>4.7715833333333331</v>
      </c>
    </row>
    <row r="2167" spans="1:19">
      <c r="A2167" s="5" t="str">
        <f>B2167&amp;"-"&amp;COUNTIF($B$2:B2167,B2167)</f>
        <v>MINAS GERAIS-601</v>
      </c>
      <c r="B2167" s="5" t="s">
        <v>1126</v>
      </c>
      <c r="C2167" s="5" t="s">
        <v>1558</v>
      </c>
      <c r="D2167" s="6">
        <v>-449344</v>
      </c>
      <c r="E2167" s="6">
        <v>-173396</v>
      </c>
      <c r="F2167" s="7">
        <v>5.6420000000000003</v>
      </c>
      <c r="G2167" s="7">
        <v>6.3070000000000004</v>
      </c>
      <c r="H2167" s="7">
        <v>6.5570000000000004</v>
      </c>
      <c r="I2167" s="7">
        <v>5.5629999999999997</v>
      </c>
      <c r="J2167" s="7">
        <v>5.4770000000000003</v>
      </c>
      <c r="K2167" s="7">
        <v>4.8929999999999998</v>
      </c>
      <c r="L2167" s="7">
        <v>4.5460000000000003</v>
      </c>
      <c r="M2167" s="7">
        <v>4.9610000000000003</v>
      </c>
      <c r="N2167" s="7">
        <v>5.7160000000000002</v>
      </c>
      <c r="O2167" s="7">
        <v>6.05</v>
      </c>
      <c r="P2167" s="7">
        <v>6.06</v>
      </c>
      <c r="Q2167" s="7">
        <v>5.5830000000000002</v>
      </c>
      <c r="R2167" s="7">
        <v>5.9930000000000003</v>
      </c>
      <c r="S2167" s="7">
        <f t="shared" si="33"/>
        <v>5.6421666666666672</v>
      </c>
    </row>
    <row r="2168" spans="1:19">
      <c r="A2168" s="5" t="str">
        <f>B2168&amp;"-"&amp;COUNTIF($B$2:B2168,B2168)</f>
        <v>MINAS GERAIS-602</v>
      </c>
      <c r="B2168" s="5" t="s">
        <v>1126</v>
      </c>
      <c r="C2168" s="5" t="s">
        <v>1559</v>
      </c>
      <c r="D2168" s="5" t="s">
        <v>1560</v>
      </c>
      <c r="E2168" s="6">
        <v>-19683</v>
      </c>
      <c r="F2168" s="7">
        <v>5.1920000000000002</v>
      </c>
      <c r="G2168" s="7">
        <v>5.8120000000000003</v>
      </c>
      <c r="H2168" s="7">
        <v>6.0060000000000002</v>
      </c>
      <c r="I2168" s="7">
        <v>5.1539999999999999</v>
      </c>
      <c r="J2168" s="7">
        <v>4.8949999999999996</v>
      </c>
      <c r="K2168" s="7">
        <v>4.3470000000000004</v>
      </c>
      <c r="L2168" s="7">
        <v>4.1790000000000003</v>
      </c>
      <c r="M2168" s="7">
        <v>4.4589999999999996</v>
      </c>
      <c r="N2168" s="7">
        <v>5.3179999999999996</v>
      </c>
      <c r="O2168" s="7">
        <v>5.5519999999999996</v>
      </c>
      <c r="P2168" s="7">
        <v>5.59</v>
      </c>
      <c r="Q2168" s="7">
        <v>5.3170000000000002</v>
      </c>
      <c r="R2168" s="7">
        <v>5.6669999999999998</v>
      </c>
      <c r="S2168" s="7">
        <f t="shared" si="33"/>
        <v>5.1913333333333336</v>
      </c>
    </row>
    <row r="2169" spans="1:19">
      <c r="A2169" s="5" t="str">
        <f>B2169&amp;"-"&amp;COUNTIF($B$2:B2169,B2169)</f>
        <v>MINAS GERAIS-603</v>
      </c>
      <c r="B2169" s="5" t="s">
        <v>1126</v>
      </c>
      <c r="C2169" s="5" t="s">
        <v>1561</v>
      </c>
      <c r="D2169" s="6">
        <v>-459593</v>
      </c>
      <c r="E2169" s="6">
        <v>-204767</v>
      </c>
      <c r="F2169" s="7">
        <v>5.0599999999999996</v>
      </c>
      <c r="G2169" s="7">
        <v>5.6239999999999997</v>
      </c>
      <c r="H2169" s="7">
        <v>5.8979999999999997</v>
      </c>
      <c r="I2169" s="7">
        <v>4.96</v>
      </c>
      <c r="J2169" s="7">
        <v>4.8159999999999998</v>
      </c>
      <c r="K2169" s="7">
        <v>4.2380000000000004</v>
      </c>
      <c r="L2169" s="7">
        <v>4.04</v>
      </c>
      <c r="M2169" s="7">
        <v>4.29</v>
      </c>
      <c r="N2169" s="7">
        <v>5.2140000000000004</v>
      </c>
      <c r="O2169" s="7">
        <v>5.3209999999999997</v>
      </c>
      <c r="P2169" s="7">
        <v>5.5519999999999996</v>
      </c>
      <c r="Q2169" s="7">
        <v>5.1920000000000002</v>
      </c>
      <c r="R2169" s="7">
        <v>5.57</v>
      </c>
      <c r="S2169" s="7">
        <f t="shared" si="33"/>
        <v>5.0595833333333333</v>
      </c>
    </row>
    <row r="2170" spans="1:19">
      <c r="A2170" s="5" t="str">
        <f>B2170&amp;"-"&amp;COUNTIF($B$2:B2170,B2170)</f>
        <v>MINAS GERAIS-604</v>
      </c>
      <c r="B2170" s="5" t="s">
        <v>1126</v>
      </c>
      <c r="C2170" s="5" t="s">
        <v>1562</v>
      </c>
      <c r="D2170" s="6">
        <v>-48702</v>
      </c>
      <c r="E2170" s="6">
        <v>-20138</v>
      </c>
      <c r="F2170" s="7">
        <v>5.165</v>
      </c>
      <c r="G2170" s="7">
        <v>5.7919999999999998</v>
      </c>
      <c r="H2170" s="7">
        <v>6.03</v>
      </c>
      <c r="I2170" s="7">
        <v>5.165</v>
      </c>
      <c r="J2170" s="7">
        <v>4.9980000000000002</v>
      </c>
      <c r="K2170" s="7">
        <v>4.258</v>
      </c>
      <c r="L2170" s="7">
        <v>3.964</v>
      </c>
      <c r="M2170" s="7">
        <v>4.2699999999999996</v>
      </c>
      <c r="N2170" s="7">
        <v>5.181</v>
      </c>
      <c r="O2170" s="7">
        <v>5.1109999999999998</v>
      </c>
      <c r="P2170" s="7">
        <v>5.5279999999999996</v>
      </c>
      <c r="Q2170" s="7">
        <v>5.6920000000000002</v>
      </c>
      <c r="R2170" s="7">
        <v>5.9939999999999998</v>
      </c>
      <c r="S2170" s="7">
        <f t="shared" si="33"/>
        <v>5.1652499999999995</v>
      </c>
    </row>
    <row r="2171" spans="1:19">
      <c r="A2171" s="5" t="str">
        <f>B2171&amp;"-"&amp;COUNTIF($B$2:B2171,B2171)</f>
        <v>MINAS GERAIS-605</v>
      </c>
      <c r="B2171" s="5" t="s">
        <v>1126</v>
      </c>
      <c r="C2171" s="5" t="s">
        <v>4677</v>
      </c>
      <c r="D2171" s="6">
        <v>-459661</v>
      </c>
      <c r="E2171" s="6">
        <v>-217805</v>
      </c>
      <c r="F2171" s="7">
        <v>4.8070000000000004</v>
      </c>
      <c r="G2171" s="7">
        <v>5.343</v>
      </c>
      <c r="H2171" s="7">
        <v>5.6440000000000001</v>
      </c>
      <c r="I2171" s="7">
        <v>4.7839999999999998</v>
      </c>
      <c r="J2171" s="7">
        <v>4.5129999999999999</v>
      </c>
      <c r="K2171" s="7">
        <v>3.9279999999999999</v>
      </c>
      <c r="L2171" s="7">
        <v>3.6760000000000002</v>
      </c>
      <c r="M2171" s="7">
        <v>3.9079999999999999</v>
      </c>
      <c r="N2171" s="7">
        <v>4.8520000000000003</v>
      </c>
      <c r="O2171" s="7">
        <v>4.9950000000000001</v>
      </c>
      <c r="P2171" s="7">
        <v>5.3010000000000002</v>
      </c>
      <c r="Q2171" s="7">
        <v>5.1630000000000003</v>
      </c>
      <c r="R2171" s="7">
        <v>5.5730000000000004</v>
      </c>
      <c r="S2171" s="7">
        <f t="shared" si="33"/>
        <v>4.8066666666666666</v>
      </c>
    </row>
    <row r="2172" spans="1:19">
      <c r="A2172" s="5" t="str">
        <f>B2172&amp;"-"&amp;COUNTIF($B$2:B2172,B2172)</f>
        <v>MINAS GERAIS-606</v>
      </c>
      <c r="B2172" s="5" t="s">
        <v>1126</v>
      </c>
      <c r="C2172" s="5" t="s">
        <v>4678</v>
      </c>
      <c r="D2172" s="6">
        <v>-465687</v>
      </c>
      <c r="E2172" s="6">
        <v>-217848</v>
      </c>
      <c r="F2172" s="7">
        <v>4.8010000000000002</v>
      </c>
      <c r="G2172" s="7">
        <v>5.2590000000000003</v>
      </c>
      <c r="H2172" s="7">
        <v>5.5129999999999999</v>
      </c>
      <c r="I2172" s="7">
        <v>4.7229999999999999</v>
      </c>
      <c r="J2172" s="7">
        <v>4.5229999999999997</v>
      </c>
      <c r="K2172" s="7">
        <v>3.923</v>
      </c>
      <c r="L2172" s="7">
        <v>3.7040000000000002</v>
      </c>
      <c r="M2172" s="7">
        <v>3.968</v>
      </c>
      <c r="N2172" s="7">
        <v>4.891</v>
      </c>
      <c r="O2172" s="7">
        <v>5</v>
      </c>
      <c r="P2172" s="7">
        <v>5.3140000000000001</v>
      </c>
      <c r="Q2172" s="7">
        <v>5.2619999999999996</v>
      </c>
      <c r="R2172" s="7">
        <v>5.5270000000000001</v>
      </c>
      <c r="S2172" s="7">
        <f t="shared" si="33"/>
        <v>4.8005833333333339</v>
      </c>
    </row>
    <row r="2173" spans="1:19">
      <c r="A2173" s="5" t="str">
        <f>B2173&amp;"-"&amp;COUNTIF($B$2:B2173,B2173)</f>
        <v>MINAS GERAIS-607</v>
      </c>
      <c r="B2173" s="5" t="s">
        <v>1126</v>
      </c>
      <c r="C2173" s="5" t="s">
        <v>1563</v>
      </c>
      <c r="D2173" s="6">
        <v>-416338</v>
      </c>
      <c r="E2173" s="6">
        <v>-196213</v>
      </c>
      <c r="F2173" s="7">
        <v>4.835</v>
      </c>
      <c r="G2173" s="7">
        <v>5.891</v>
      </c>
      <c r="H2173" s="7">
        <v>6.1529999999999996</v>
      </c>
      <c r="I2173" s="7">
        <v>5.194</v>
      </c>
      <c r="J2173" s="7">
        <v>4.6399999999999997</v>
      </c>
      <c r="K2173" s="7">
        <v>3.8780000000000001</v>
      </c>
      <c r="L2173" s="7">
        <v>3.6269999999999998</v>
      </c>
      <c r="M2173" s="7">
        <v>3.7839999999999998</v>
      </c>
      <c r="N2173" s="7">
        <v>4.4370000000000003</v>
      </c>
      <c r="O2173" s="7">
        <v>4.835</v>
      </c>
      <c r="P2173" s="7">
        <v>4.9969999999999999</v>
      </c>
      <c r="Q2173" s="7">
        <v>4.9290000000000003</v>
      </c>
      <c r="R2173" s="7">
        <v>5.6550000000000002</v>
      </c>
      <c r="S2173" s="7">
        <f t="shared" si="33"/>
        <v>4.835</v>
      </c>
    </row>
    <row r="2174" spans="1:19">
      <c r="A2174" s="5" t="str">
        <f>B2174&amp;"-"&amp;COUNTIF($B$2:B2174,B2174)</f>
        <v>MINAS GERAIS-608</v>
      </c>
      <c r="B2174" s="5" t="s">
        <v>1126</v>
      </c>
      <c r="C2174" s="5" t="s">
        <v>4359</v>
      </c>
      <c r="D2174" s="6">
        <v>-450145</v>
      </c>
      <c r="E2174" s="6">
        <v>-192261</v>
      </c>
      <c r="F2174" s="7">
        <v>5.3449999999999998</v>
      </c>
      <c r="G2174" s="7">
        <v>6.0110000000000001</v>
      </c>
      <c r="H2174" s="7">
        <v>6.19</v>
      </c>
      <c r="I2174" s="7">
        <v>5.2809999999999997</v>
      </c>
      <c r="J2174" s="7">
        <v>5.085</v>
      </c>
      <c r="K2174" s="7">
        <v>4.54</v>
      </c>
      <c r="L2174" s="7">
        <v>4.2930000000000001</v>
      </c>
      <c r="M2174" s="7">
        <v>4.6260000000000003</v>
      </c>
      <c r="N2174" s="7">
        <v>5.42</v>
      </c>
      <c r="O2174" s="7">
        <v>5.6980000000000004</v>
      </c>
      <c r="P2174" s="7">
        <v>5.7169999999999996</v>
      </c>
      <c r="Q2174" s="7">
        <v>5.4569999999999999</v>
      </c>
      <c r="R2174" s="7">
        <v>5.8209999999999997</v>
      </c>
      <c r="S2174" s="7">
        <f t="shared" si="33"/>
        <v>5.3449166666666663</v>
      </c>
    </row>
    <row r="2175" spans="1:19">
      <c r="A2175" s="5" t="str">
        <f>B2175&amp;"-"&amp;COUNTIF($B$2:B2175,B2175)</f>
        <v>MINAS GERAIS-609</v>
      </c>
      <c r="B2175" s="5" t="s">
        <v>1126</v>
      </c>
      <c r="C2175" s="5" t="s">
        <v>1564</v>
      </c>
      <c r="D2175" s="6">
        <v>-428982</v>
      </c>
      <c r="E2175" s="6">
        <v>-204116</v>
      </c>
      <c r="F2175" s="7">
        <v>4.82</v>
      </c>
      <c r="G2175" s="7">
        <v>5.7060000000000004</v>
      </c>
      <c r="H2175" s="7">
        <v>6.0759999999999996</v>
      </c>
      <c r="I2175" s="7">
        <v>5.0679999999999996</v>
      </c>
      <c r="J2175" s="7">
        <v>4.5170000000000003</v>
      </c>
      <c r="K2175" s="7">
        <v>3.8479999999999999</v>
      </c>
      <c r="L2175" s="7">
        <v>3.61</v>
      </c>
      <c r="M2175" s="7">
        <v>3.8559999999999999</v>
      </c>
      <c r="N2175" s="7">
        <v>4.6340000000000003</v>
      </c>
      <c r="O2175" s="7">
        <v>4.9290000000000003</v>
      </c>
      <c r="P2175" s="7">
        <v>5.14</v>
      </c>
      <c r="Q2175" s="7">
        <v>4.8769999999999998</v>
      </c>
      <c r="R2175" s="7">
        <v>5.5750000000000002</v>
      </c>
      <c r="S2175" s="7">
        <f t="shared" si="33"/>
        <v>4.8196666666666674</v>
      </c>
    </row>
    <row r="2176" spans="1:19">
      <c r="A2176" s="5" t="str">
        <f>B2176&amp;"-"&amp;COUNTIF($B$2:B2176,B2176)</f>
        <v>MINAS GERAIS-610</v>
      </c>
      <c r="B2176" s="5" t="s">
        <v>1126</v>
      </c>
      <c r="C2176" s="5" t="s">
        <v>1565</v>
      </c>
      <c r="D2176" s="6">
        <v>-450641</v>
      </c>
      <c r="E2176" s="6">
        <v>-166318</v>
      </c>
      <c r="F2176" s="7">
        <v>5.7089999999999996</v>
      </c>
      <c r="G2176" s="7">
        <v>6.3029999999999999</v>
      </c>
      <c r="H2176" s="7">
        <v>6.5750000000000002</v>
      </c>
      <c r="I2176" s="7">
        <v>5.7350000000000003</v>
      </c>
      <c r="J2176" s="7">
        <v>5.5510000000000002</v>
      </c>
      <c r="K2176" s="7">
        <v>5</v>
      </c>
      <c r="L2176" s="7">
        <v>4.7389999999999999</v>
      </c>
      <c r="M2176" s="7">
        <v>5.0010000000000003</v>
      </c>
      <c r="N2176" s="7">
        <v>5.758</v>
      </c>
      <c r="O2176" s="7">
        <v>6</v>
      </c>
      <c r="P2176" s="7">
        <v>6.1059999999999999</v>
      </c>
      <c r="Q2176" s="7">
        <v>5.617</v>
      </c>
      <c r="R2176" s="7">
        <v>6.1280000000000001</v>
      </c>
      <c r="S2176" s="7">
        <f t="shared" si="33"/>
        <v>5.7094166666666668</v>
      </c>
    </row>
    <row r="2177" spans="1:19">
      <c r="A2177" s="5" t="str">
        <f>B2177&amp;"-"&amp;COUNTIF($B$2:B2177,B2177)</f>
        <v>MINAS GERAIS-611</v>
      </c>
      <c r="B2177" s="5" t="s">
        <v>1126</v>
      </c>
      <c r="C2177" s="5" t="s">
        <v>1566</v>
      </c>
      <c r="D2177" s="6">
        <v>-415059</v>
      </c>
      <c r="E2177" s="6">
        <v>-167502</v>
      </c>
      <c r="F2177" s="7">
        <v>5.0670000000000002</v>
      </c>
      <c r="G2177" s="7">
        <v>6.1130000000000004</v>
      </c>
      <c r="H2177" s="7">
        <v>6.4</v>
      </c>
      <c r="I2177" s="7">
        <v>5.3929999999999998</v>
      </c>
      <c r="J2177" s="7">
        <v>4.6660000000000004</v>
      </c>
      <c r="K2177" s="7">
        <v>4.0119999999999996</v>
      </c>
      <c r="L2177" s="7">
        <v>3.6120000000000001</v>
      </c>
      <c r="M2177" s="7">
        <v>3.8410000000000002</v>
      </c>
      <c r="N2177" s="7">
        <v>4.5659999999999998</v>
      </c>
      <c r="O2177" s="7">
        <v>5.2930000000000001</v>
      </c>
      <c r="P2177" s="7">
        <v>5.5119999999999996</v>
      </c>
      <c r="Q2177" s="7">
        <v>5.3129999999999997</v>
      </c>
      <c r="R2177" s="7">
        <v>6.08</v>
      </c>
      <c r="S2177" s="7">
        <f t="shared" si="33"/>
        <v>5.0667500000000008</v>
      </c>
    </row>
    <row r="2178" spans="1:19">
      <c r="A2178" s="5" t="str">
        <f>B2178&amp;"-"&amp;COUNTIF($B$2:B2178,B2178)</f>
        <v>MINAS GERAIS-612</v>
      </c>
      <c r="B2178" s="5" t="s">
        <v>1126</v>
      </c>
      <c r="C2178" s="5" t="s">
        <v>1567</v>
      </c>
      <c r="D2178" s="6">
        <v>-430284</v>
      </c>
      <c r="E2178" s="6">
        <v>-157409</v>
      </c>
      <c r="F2178" s="7">
        <v>5.694</v>
      </c>
      <c r="G2178" s="7">
        <v>6.6020000000000003</v>
      </c>
      <c r="H2178" s="7">
        <v>6.7549999999999999</v>
      </c>
      <c r="I2178" s="7">
        <v>5.8250000000000002</v>
      </c>
      <c r="J2178" s="7">
        <v>5.44</v>
      </c>
      <c r="K2178" s="7">
        <v>4.7960000000000003</v>
      </c>
      <c r="L2178" s="7">
        <v>4.5279999999999996</v>
      </c>
      <c r="M2178" s="7">
        <v>4.782</v>
      </c>
      <c r="N2178" s="7">
        <v>5.4059999999999997</v>
      </c>
      <c r="O2178" s="7">
        <v>5.8869999999999996</v>
      </c>
      <c r="P2178" s="7">
        <v>6.13</v>
      </c>
      <c r="Q2178" s="7">
        <v>5.7629999999999999</v>
      </c>
      <c r="R2178" s="7">
        <v>6.415</v>
      </c>
      <c r="S2178" s="7">
        <f t="shared" si="33"/>
        <v>5.6940833333333325</v>
      </c>
    </row>
    <row r="2179" spans="1:19">
      <c r="A2179" s="5" t="str">
        <f>B2179&amp;"-"&amp;COUNTIF($B$2:B2179,B2179)</f>
        <v>MINAS GERAIS-613</v>
      </c>
      <c r="B2179" s="5" t="s">
        <v>1126</v>
      </c>
      <c r="C2179" s="5" t="s">
        <v>1568</v>
      </c>
      <c r="D2179" s="6">
        <v>-430838</v>
      </c>
      <c r="E2179" s="6">
        <v>-206647</v>
      </c>
      <c r="F2179" s="7">
        <v>4.702</v>
      </c>
      <c r="G2179" s="7">
        <v>5.6120000000000001</v>
      </c>
      <c r="H2179" s="7">
        <v>5.8860000000000001</v>
      </c>
      <c r="I2179" s="7">
        <v>4.9210000000000003</v>
      </c>
      <c r="J2179" s="7">
        <v>4.3639999999999999</v>
      </c>
      <c r="K2179" s="7">
        <v>3.7429999999999999</v>
      </c>
      <c r="L2179" s="7">
        <v>3.5129999999999999</v>
      </c>
      <c r="M2179" s="7">
        <v>3.7330000000000001</v>
      </c>
      <c r="N2179" s="7">
        <v>4.5979999999999999</v>
      </c>
      <c r="O2179" s="7">
        <v>4.843</v>
      </c>
      <c r="P2179" s="7">
        <v>5.024</v>
      </c>
      <c r="Q2179" s="7">
        <v>4.7389999999999999</v>
      </c>
      <c r="R2179" s="7">
        <v>5.4429999999999996</v>
      </c>
      <c r="S2179" s="7">
        <f t="shared" ref="S2179:S2242" si="34">(G2179+H2179+I2179+J2179+K2179+L2179+M2179+N2179+O2179+P2179+Q2179+R2179)/12</f>
        <v>4.7015833333333337</v>
      </c>
    </row>
    <row r="2180" spans="1:19">
      <c r="A2180" s="5" t="str">
        <f>B2180&amp;"-"&amp;COUNTIF($B$2:B2180,B2180)</f>
        <v>MINAS GERAIS-614</v>
      </c>
      <c r="B2180" s="5" t="s">
        <v>1126</v>
      </c>
      <c r="C2180" s="5" t="s">
        <v>4360</v>
      </c>
      <c r="D2180" s="6">
        <v>-417864</v>
      </c>
      <c r="E2180" s="6">
        <v>-178082</v>
      </c>
      <c r="F2180" s="7">
        <v>4.9020000000000001</v>
      </c>
      <c r="G2180" s="7">
        <v>6.0259999999999998</v>
      </c>
      <c r="H2180" s="7">
        <v>6.234</v>
      </c>
      <c r="I2180" s="7">
        <v>5.3390000000000004</v>
      </c>
      <c r="J2180" s="7">
        <v>4.5519999999999996</v>
      </c>
      <c r="K2180" s="7">
        <v>3.85</v>
      </c>
      <c r="L2180" s="7">
        <v>3.585</v>
      </c>
      <c r="M2180" s="7">
        <v>3.7130000000000001</v>
      </c>
      <c r="N2180" s="7">
        <v>4.4379999999999997</v>
      </c>
      <c r="O2180" s="7">
        <v>4.9429999999999996</v>
      </c>
      <c r="P2180" s="7">
        <v>5.3019999999999996</v>
      </c>
      <c r="Q2180" s="7">
        <v>4.9909999999999997</v>
      </c>
      <c r="R2180" s="7">
        <v>5.8520000000000003</v>
      </c>
      <c r="S2180" s="7">
        <f t="shared" si="34"/>
        <v>4.9020833333333336</v>
      </c>
    </row>
    <row r="2181" spans="1:19">
      <c r="A2181" s="5" t="str">
        <f>B2181&amp;"-"&amp;COUNTIF($B$2:B2181,B2181)</f>
        <v>MINAS GERAIS-615</v>
      </c>
      <c r="B2181" s="5" t="s">
        <v>1126</v>
      </c>
      <c r="C2181" s="5" t="s">
        <v>1569</v>
      </c>
      <c r="D2181" s="6">
        <v>-459393</v>
      </c>
      <c r="E2181" s="6">
        <v>-222271</v>
      </c>
      <c r="F2181" s="7">
        <v>4.7939999999999996</v>
      </c>
      <c r="G2181" s="7">
        <v>5.26</v>
      </c>
      <c r="H2181" s="7">
        <v>5.5490000000000004</v>
      </c>
      <c r="I2181" s="7">
        <v>4.8109999999999999</v>
      </c>
      <c r="J2181" s="7">
        <v>4.569</v>
      </c>
      <c r="K2181" s="7">
        <v>3.8849999999999998</v>
      </c>
      <c r="L2181" s="7">
        <v>3.6160000000000001</v>
      </c>
      <c r="M2181" s="7">
        <v>3.875</v>
      </c>
      <c r="N2181" s="7">
        <v>4.7729999999999997</v>
      </c>
      <c r="O2181" s="7">
        <v>4.9669999999999996</v>
      </c>
      <c r="P2181" s="7">
        <v>5.3159999999999998</v>
      </c>
      <c r="Q2181" s="7">
        <v>5.3440000000000003</v>
      </c>
      <c r="R2181" s="7">
        <v>5.5679999999999996</v>
      </c>
      <c r="S2181" s="7">
        <f t="shared" si="34"/>
        <v>4.7944166666666659</v>
      </c>
    </row>
    <row r="2182" spans="1:19">
      <c r="A2182" s="5" t="str">
        <f>B2182&amp;"-"&amp;COUNTIF($B$2:B2182,B2182)</f>
        <v>MINAS GERAIS-616</v>
      </c>
      <c r="B2182" s="5" t="s">
        <v>1126</v>
      </c>
      <c r="C2182" s="5" t="s">
        <v>1570</v>
      </c>
      <c r="D2182" s="6">
        <v>-449752</v>
      </c>
      <c r="E2182" s="6">
        <v>-221968</v>
      </c>
      <c r="F2182" s="7">
        <v>4.8769999999999998</v>
      </c>
      <c r="G2182" s="7">
        <v>5.4660000000000002</v>
      </c>
      <c r="H2182" s="7">
        <v>5.7720000000000002</v>
      </c>
      <c r="I2182" s="7">
        <v>4.9690000000000003</v>
      </c>
      <c r="J2182" s="7">
        <v>4.6369999999999996</v>
      </c>
      <c r="K2182" s="7">
        <v>3.9529999999999998</v>
      </c>
      <c r="L2182" s="7">
        <v>3.621</v>
      </c>
      <c r="M2182" s="7">
        <v>3.8460000000000001</v>
      </c>
      <c r="N2182" s="7">
        <v>4.72</v>
      </c>
      <c r="O2182" s="7">
        <v>5.0119999999999996</v>
      </c>
      <c r="P2182" s="7">
        <v>5.4809999999999999</v>
      </c>
      <c r="Q2182" s="7">
        <v>5.34</v>
      </c>
      <c r="R2182" s="7">
        <v>5.7039999999999997</v>
      </c>
      <c r="S2182" s="7">
        <f t="shared" si="34"/>
        <v>4.8767499999999995</v>
      </c>
    </row>
    <row r="2183" spans="1:19">
      <c r="A2183" s="5" t="str">
        <f>B2183&amp;"-"&amp;COUNTIF($B$2:B2183,B2183)</f>
        <v>MINAS GERAIS-617</v>
      </c>
      <c r="B2183" s="5" t="s">
        <v>1126</v>
      </c>
      <c r="C2183" s="5" t="s">
        <v>1571</v>
      </c>
      <c r="D2183" s="6">
        <v>-440782</v>
      </c>
      <c r="E2183" s="6">
        <v>-210602</v>
      </c>
      <c r="F2183" s="7">
        <v>4.774</v>
      </c>
      <c r="G2183" s="7">
        <v>5.5510000000000002</v>
      </c>
      <c r="H2183" s="7">
        <v>5.8179999999999996</v>
      </c>
      <c r="I2183" s="7">
        <v>4.8419999999999996</v>
      </c>
      <c r="J2183" s="7">
        <v>4.4039999999999999</v>
      </c>
      <c r="K2183" s="7">
        <v>3.8079999999999998</v>
      </c>
      <c r="L2183" s="7">
        <v>3.6309999999999998</v>
      </c>
      <c r="M2183" s="7">
        <v>3.8639999999999999</v>
      </c>
      <c r="N2183" s="7">
        <v>4.7889999999999997</v>
      </c>
      <c r="O2183" s="7">
        <v>4.9619999999999997</v>
      </c>
      <c r="P2183" s="7">
        <v>5.1639999999999997</v>
      </c>
      <c r="Q2183" s="7">
        <v>4.9560000000000004</v>
      </c>
      <c r="R2183" s="7">
        <v>5.4969999999999999</v>
      </c>
      <c r="S2183" s="7">
        <f t="shared" si="34"/>
        <v>4.7738333333333332</v>
      </c>
    </row>
    <row r="2184" spans="1:19">
      <c r="A2184" s="5" t="str">
        <f>B2184&amp;"-"&amp;COUNTIF($B$2:B2184,B2184)</f>
        <v>MINAS GERAIS-618</v>
      </c>
      <c r="B2184" s="5" t="s">
        <v>1126</v>
      </c>
      <c r="C2184" s="5" t="s">
        <v>1572</v>
      </c>
      <c r="D2184" s="6">
        <v>-48928</v>
      </c>
      <c r="E2184" s="6">
        <v>-193091</v>
      </c>
      <c r="F2184" s="7">
        <v>5.2069999999999999</v>
      </c>
      <c r="G2184" s="7">
        <v>5.6310000000000002</v>
      </c>
      <c r="H2184" s="7">
        <v>5.8230000000000004</v>
      </c>
      <c r="I2184" s="7">
        <v>5.1289999999999996</v>
      </c>
      <c r="J2184" s="7">
        <v>5.0359999999999996</v>
      </c>
      <c r="K2184" s="7">
        <v>4.4420000000000002</v>
      </c>
      <c r="L2184" s="7">
        <v>4.181</v>
      </c>
      <c r="M2184" s="7">
        <v>4.444</v>
      </c>
      <c r="N2184" s="7">
        <v>5.3780000000000001</v>
      </c>
      <c r="O2184" s="7">
        <v>5.2119999999999997</v>
      </c>
      <c r="P2184" s="7">
        <v>5.5949999999999998</v>
      </c>
      <c r="Q2184" s="7">
        <v>5.7039999999999997</v>
      </c>
      <c r="R2184" s="7">
        <v>5.9059999999999997</v>
      </c>
      <c r="S2184" s="7">
        <f t="shared" si="34"/>
        <v>5.2067499999999995</v>
      </c>
    </row>
    <row r="2185" spans="1:19">
      <c r="A2185" s="5" t="str">
        <f>B2185&amp;"-"&amp;COUNTIF($B$2:B2185,B2185)</f>
        <v>MINAS GERAIS-619</v>
      </c>
      <c r="B2185" s="5" t="s">
        <v>1126</v>
      </c>
      <c r="C2185" s="5" t="s">
        <v>5602</v>
      </c>
      <c r="D2185" s="6">
        <v>-468628</v>
      </c>
      <c r="E2185" s="6">
        <v>-207415</v>
      </c>
      <c r="F2185" s="7">
        <v>5.1139999999999999</v>
      </c>
      <c r="G2185" s="7">
        <v>5.7009999999999996</v>
      </c>
      <c r="H2185" s="7">
        <v>5.9409999999999998</v>
      </c>
      <c r="I2185" s="7">
        <v>5.0570000000000004</v>
      </c>
      <c r="J2185" s="7">
        <v>4.82</v>
      </c>
      <c r="K2185" s="7">
        <v>4.2439999999999998</v>
      </c>
      <c r="L2185" s="7">
        <v>4.0469999999999997</v>
      </c>
      <c r="M2185" s="7">
        <v>4.274</v>
      </c>
      <c r="N2185" s="7">
        <v>5.1909999999999998</v>
      </c>
      <c r="O2185" s="7">
        <v>5.1760000000000002</v>
      </c>
      <c r="P2185" s="7">
        <v>5.5890000000000004</v>
      </c>
      <c r="Q2185" s="7">
        <v>5.5759999999999996</v>
      </c>
      <c r="R2185" s="7">
        <v>5.7480000000000002</v>
      </c>
      <c r="S2185" s="7">
        <f t="shared" si="34"/>
        <v>5.1136666666666661</v>
      </c>
    </row>
    <row r="2186" spans="1:19">
      <c r="A2186" s="5" t="str">
        <f>B2186&amp;"-"&amp;COUNTIF($B$2:B2186,B2186)</f>
        <v>MINAS GERAIS-620</v>
      </c>
      <c r="B2186" s="5" t="s">
        <v>1126</v>
      </c>
      <c r="C2186" s="5" t="s">
        <v>1573</v>
      </c>
      <c r="D2186" s="6">
        <v>-463833</v>
      </c>
      <c r="E2186" s="6">
        <v>-197526</v>
      </c>
      <c r="F2186" s="7">
        <v>5.0519999999999996</v>
      </c>
      <c r="G2186" s="7">
        <v>5.52</v>
      </c>
      <c r="H2186" s="7">
        <v>5.77</v>
      </c>
      <c r="I2186" s="7">
        <v>4.798</v>
      </c>
      <c r="J2186" s="7">
        <v>4.7160000000000002</v>
      </c>
      <c r="K2186" s="7">
        <v>4.335</v>
      </c>
      <c r="L2186" s="7">
        <v>4.1609999999999996</v>
      </c>
      <c r="M2186" s="7">
        <v>4.4139999999999997</v>
      </c>
      <c r="N2186" s="7">
        <v>5.4850000000000003</v>
      </c>
      <c r="O2186" s="7">
        <v>5.46</v>
      </c>
      <c r="P2186" s="7">
        <v>5.4489999999999998</v>
      </c>
      <c r="Q2186" s="7">
        <v>5.03</v>
      </c>
      <c r="R2186" s="7">
        <v>5.4859999999999998</v>
      </c>
      <c r="S2186" s="7">
        <f t="shared" si="34"/>
        <v>5.0520000000000005</v>
      </c>
    </row>
    <row r="2187" spans="1:19">
      <c r="A2187" s="5" t="str">
        <f>B2187&amp;"-"&amp;COUNTIF($B$2:B2187,B2187)</f>
        <v>MINAS GERAIS-621</v>
      </c>
      <c r="B2187" s="5" t="s">
        <v>1126</v>
      </c>
      <c r="C2187" s="5" t="s">
        <v>1574</v>
      </c>
      <c r="D2187" s="6">
        <v>-431899</v>
      </c>
      <c r="E2187" s="6">
        <v>-20766</v>
      </c>
      <c r="F2187" s="7">
        <v>4.6740000000000004</v>
      </c>
      <c r="G2187" s="7">
        <v>5.5750000000000002</v>
      </c>
      <c r="H2187" s="7">
        <v>5.92</v>
      </c>
      <c r="I2187" s="7">
        <v>4.8479999999999999</v>
      </c>
      <c r="J2187" s="7">
        <v>4.3460000000000001</v>
      </c>
      <c r="K2187" s="7">
        <v>3.6869999999999998</v>
      </c>
      <c r="L2187" s="7">
        <v>3.5329999999999999</v>
      </c>
      <c r="M2187" s="7">
        <v>3.718</v>
      </c>
      <c r="N2187" s="7">
        <v>4.5609999999999999</v>
      </c>
      <c r="O2187" s="7">
        <v>4.8040000000000003</v>
      </c>
      <c r="P2187" s="7">
        <v>4.9939999999999998</v>
      </c>
      <c r="Q2187" s="7">
        <v>4.6890000000000001</v>
      </c>
      <c r="R2187" s="7">
        <v>5.4169999999999998</v>
      </c>
      <c r="S2187" s="7">
        <f t="shared" si="34"/>
        <v>4.6743333333333341</v>
      </c>
    </row>
    <row r="2188" spans="1:19">
      <c r="A2188" s="5" t="str">
        <f>B2188&amp;"-"&amp;COUNTIF($B$2:B2188,B2188)</f>
        <v>MINAS GERAIS-622</v>
      </c>
      <c r="B2188" s="5" t="s">
        <v>1126</v>
      </c>
      <c r="C2188" s="5" t="s">
        <v>967</v>
      </c>
      <c r="D2188" s="6">
        <v>-44058</v>
      </c>
      <c r="E2188" s="6">
        <v>-18637</v>
      </c>
      <c r="F2188" s="7">
        <v>5.4329999999999998</v>
      </c>
      <c r="G2188" s="7">
        <v>6.0949999999999998</v>
      </c>
      <c r="H2188" s="7">
        <v>6.3390000000000004</v>
      </c>
      <c r="I2188" s="7">
        <v>5.4379999999999997</v>
      </c>
      <c r="J2188" s="7">
        <v>5.22</v>
      </c>
      <c r="K2188" s="7">
        <v>4.6159999999999997</v>
      </c>
      <c r="L2188" s="7">
        <v>4.3019999999999996</v>
      </c>
      <c r="M2188" s="7">
        <v>4.68</v>
      </c>
      <c r="N2188" s="7">
        <v>5.3440000000000003</v>
      </c>
      <c r="O2188" s="7">
        <v>5.8049999999999997</v>
      </c>
      <c r="P2188" s="7">
        <v>5.891</v>
      </c>
      <c r="Q2188" s="7">
        <v>5.5460000000000003</v>
      </c>
      <c r="R2188" s="7">
        <v>5.9189999999999996</v>
      </c>
      <c r="S2188" s="7">
        <f t="shared" si="34"/>
        <v>5.4329166666666664</v>
      </c>
    </row>
    <row r="2189" spans="1:19">
      <c r="A2189" s="5" t="str">
        <f>B2189&amp;"-"&amp;COUNTIF($B$2:B2189,B2189)</f>
        <v>MINAS GERAIS-623</v>
      </c>
      <c r="B2189" s="5" t="s">
        <v>1126</v>
      </c>
      <c r="C2189" s="5" t="s">
        <v>1575</v>
      </c>
      <c r="D2189" s="6">
        <v>-43562</v>
      </c>
      <c r="E2189" s="6">
        <v>-18614</v>
      </c>
      <c r="F2189" s="7">
        <v>5.0730000000000004</v>
      </c>
      <c r="G2189" s="7">
        <v>5.8470000000000004</v>
      </c>
      <c r="H2189" s="7">
        <v>6.1020000000000003</v>
      </c>
      <c r="I2189" s="7">
        <v>5.101</v>
      </c>
      <c r="J2189" s="7">
        <v>4.6539999999999999</v>
      </c>
      <c r="K2189" s="7">
        <v>4.202</v>
      </c>
      <c r="L2189" s="7">
        <v>4.0179999999999998</v>
      </c>
      <c r="M2189" s="7">
        <v>4.2709999999999999</v>
      </c>
      <c r="N2189" s="7">
        <v>5.0510000000000002</v>
      </c>
      <c r="O2189" s="7">
        <v>5.4850000000000003</v>
      </c>
      <c r="P2189" s="7">
        <v>5.5330000000000004</v>
      </c>
      <c r="Q2189" s="7">
        <v>5.008</v>
      </c>
      <c r="R2189" s="7">
        <v>5.6040000000000001</v>
      </c>
      <c r="S2189" s="7">
        <f t="shared" si="34"/>
        <v>5.0730000000000004</v>
      </c>
    </row>
    <row r="2190" spans="1:19">
      <c r="A2190" s="5" t="str">
        <f>B2190&amp;"-"&amp;COUNTIF($B$2:B2190,B2190)</f>
        <v>MINAS GERAIS-624</v>
      </c>
      <c r="B2190" s="5" t="s">
        <v>1126</v>
      </c>
      <c r="C2190" s="5" t="s">
        <v>5603</v>
      </c>
      <c r="D2190" s="6">
        <v>-464169</v>
      </c>
      <c r="E2190" s="6">
        <v>-184109</v>
      </c>
      <c r="F2190" s="7">
        <v>5.3449999999999998</v>
      </c>
      <c r="G2190" s="7">
        <v>5.7619999999999996</v>
      </c>
      <c r="H2190" s="7">
        <v>6.0430000000000001</v>
      </c>
      <c r="I2190" s="7">
        <v>5.101</v>
      </c>
      <c r="J2190" s="7">
        <v>5.0359999999999996</v>
      </c>
      <c r="K2190" s="7">
        <v>4.7160000000000002</v>
      </c>
      <c r="L2190" s="7">
        <v>4.468</v>
      </c>
      <c r="M2190" s="7">
        <v>4.8419999999999996</v>
      </c>
      <c r="N2190" s="7">
        <v>5.7</v>
      </c>
      <c r="O2190" s="7">
        <v>5.766</v>
      </c>
      <c r="P2190" s="7">
        <v>5.7</v>
      </c>
      <c r="Q2190" s="7">
        <v>5.3680000000000003</v>
      </c>
      <c r="R2190" s="7">
        <v>5.6360000000000001</v>
      </c>
      <c r="S2190" s="7">
        <f t="shared" si="34"/>
        <v>5.3448333333333338</v>
      </c>
    </row>
    <row r="2191" spans="1:19">
      <c r="A2191" s="5" t="str">
        <f>B2191&amp;"-"&amp;COUNTIF($B$2:B2191,B2191)</f>
        <v>MINAS GERAIS-625</v>
      </c>
      <c r="B2191" s="5" t="s">
        <v>1126</v>
      </c>
      <c r="C2191" s="5" t="s">
        <v>1576</v>
      </c>
      <c r="D2191" s="6">
        <v>-441594</v>
      </c>
      <c r="E2191" s="6">
        <v>-194747</v>
      </c>
      <c r="F2191" s="7">
        <v>5.242</v>
      </c>
      <c r="G2191" s="7">
        <v>5.9530000000000003</v>
      </c>
      <c r="H2191" s="7">
        <v>6.149</v>
      </c>
      <c r="I2191" s="7">
        <v>5.2469999999999999</v>
      </c>
      <c r="J2191" s="7">
        <v>4.92</v>
      </c>
      <c r="K2191" s="7">
        <v>4.3520000000000003</v>
      </c>
      <c r="L2191" s="7">
        <v>4.1219999999999999</v>
      </c>
      <c r="M2191" s="7">
        <v>4.4290000000000003</v>
      </c>
      <c r="N2191" s="7">
        <v>5.2789999999999999</v>
      </c>
      <c r="O2191" s="7">
        <v>5.6420000000000003</v>
      </c>
      <c r="P2191" s="7">
        <v>5.6829999999999998</v>
      </c>
      <c r="Q2191" s="7">
        <v>5.444</v>
      </c>
      <c r="R2191" s="7">
        <v>5.6829999999999998</v>
      </c>
      <c r="S2191" s="7">
        <f t="shared" si="34"/>
        <v>5.2419166666666666</v>
      </c>
    </row>
    <row r="2192" spans="1:19">
      <c r="A2192" s="5" t="str">
        <f>B2192&amp;"-"&amp;COUNTIF($B$2:B2192,B2192)</f>
        <v>MINAS GERAIS-626</v>
      </c>
      <c r="B2192" s="5" t="s">
        <v>1126</v>
      </c>
      <c r="C2192" s="5" t="s">
        <v>1577</v>
      </c>
      <c r="D2192" s="6">
        <v>-455573</v>
      </c>
      <c r="E2192" s="6">
        <v>-192708</v>
      </c>
      <c r="F2192" s="7">
        <v>5.3049999999999997</v>
      </c>
      <c r="G2192" s="7">
        <v>5.8849999999999998</v>
      </c>
      <c r="H2192" s="7">
        <v>6.1779999999999999</v>
      </c>
      <c r="I2192" s="7">
        <v>5.1980000000000004</v>
      </c>
      <c r="J2192" s="7">
        <v>5.0199999999999996</v>
      </c>
      <c r="K2192" s="7">
        <v>4.569</v>
      </c>
      <c r="L2192" s="7">
        <v>4.3070000000000004</v>
      </c>
      <c r="M2192" s="7">
        <v>4.58</v>
      </c>
      <c r="N2192" s="7">
        <v>5.556</v>
      </c>
      <c r="O2192" s="7">
        <v>5.657</v>
      </c>
      <c r="P2192" s="7">
        <v>5.7050000000000001</v>
      </c>
      <c r="Q2192" s="7">
        <v>5.3220000000000001</v>
      </c>
      <c r="R2192" s="7">
        <v>5.6849999999999996</v>
      </c>
      <c r="S2192" s="7">
        <f t="shared" si="34"/>
        <v>5.3051666666666657</v>
      </c>
    </row>
    <row r="2193" spans="1:19">
      <c r="A2193" s="5" t="str">
        <f>B2193&amp;"-"&amp;COUNTIF($B$2:B2193,B2193)</f>
        <v>MINAS GERAIS-627</v>
      </c>
      <c r="B2193" s="5" t="s">
        <v>1126</v>
      </c>
      <c r="C2193" s="5" t="s">
        <v>1578</v>
      </c>
      <c r="D2193" s="6">
        <v>-438855</v>
      </c>
      <c r="E2193" s="6">
        <v>-20742</v>
      </c>
      <c r="F2193" s="7">
        <v>4.8819999999999997</v>
      </c>
      <c r="G2193" s="7">
        <v>5.6619999999999999</v>
      </c>
      <c r="H2193" s="7">
        <v>5.9390000000000001</v>
      </c>
      <c r="I2193" s="7">
        <v>4.9589999999999996</v>
      </c>
      <c r="J2193" s="7">
        <v>4.5229999999999997</v>
      </c>
      <c r="K2193" s="7">
        <v>3.923</v>
      </c>
      <c r="L2193" s="7">
        <v>3.746</v>
      </c>
      <c r="M2193" s="7">
        <v>3.9449999999999998</v>
      </c>
      <c r="N2193" s="7">
        <v>4.9029999999999996</v>
      </c>
      <c r="O2193" s="7">
        <v>5.0940000000000003</v>
      </c>
      <c r="P2193" s="7">
        <v>5.282</v>
      </c>
      <c r="Q2193" s="7">
        <v>5.032</v>
      </c>
      <c r="R2193" s="7">
        <v>5.5739999999999998</v>
      </c>
      <c r="S2193" s="7">
        <f t="shared" si="34"/>
        <v>4.8818333333333328</v>
      </c>
    </row>
    <row r="2194" spans="1:19">
      <c r="A2194" s="5" t="str">
        <f>B2194&amp;"-"&amp;COUNTIF($B$2:B2194,B2194)</f>
        <v>MINAS GERAIS-628</v>
      </c>
      <c r="B2194" s="5" t="s">
        <v>1126</v>
      </c>
      <c r="C2194" s="5" t="s">
        <v>1579</v>
      </c>
      <c r="D2194" s="6">
        <v>-43804</v>
      </c>
      <c r="E2194" s="6">
        <v>-19967</v>
      </c>
      <c r="F2194" s="7">
        <v>5.0110000000000001</v>
      </c>
      <c r="G2194" s="7">
        <v>5.6440000000000001</v>
      </c>
      <c r="H2194" s="7">
        <v>5.9050000000000002</v>
      </c>
      <c r="I2194" s="7">
        <v>5.056</v>
      </c>
      <c r="J2194" s="7">
        <v>4.6909999999999998</v>
      </c>
      <c r="K2194" s="7">
        <v>4.0880000000000001</v>
      </c>
      <c r="L2194" s="7">
        <v>4.0110000000000001</v>
      </c>
      <c r="M2194" s="7">
        <v>4.234</v>
      </c>
      <c r="N2194" s="7">
        <v>5.0810000000000004</v>
      </c>
      <c r="O2194" s="7">
        <v>5.3570000000000002</v>
      </c>
      <c r="P2194" s="7">
        <v>5.4649999999999999</v>
      </c>
      <c r="Q2194" s="7">
        <v>5.1219999999999999</v>
      </c>
      <c r="R2194" s="7">
        <v>5.4779999999999998</v>
      </c>
      <c r="S2194" s="7">
        <f t="shared" si="34"/>
        <v>5.0110000000000001</v>
      </c>
    </row>
    <row r="2195" spans="1:19">
      <c r="A2195" s="5" t="str">
        <f>B2195&amp;"-"&amp;COUNTIF($B$2:B2195,B2195)</f>
        <v>MINAS GERAIS-629</v>
      </c>
      <c r="B2195" s="5" t="s">
        <v>1126</v>
      </c>
      <c r="C2195" s="5" t="s">
        <v>1580</v>
      </c>
      <c r="D2195" s="6">
        <v>-424506</v>
      </c>
      <c r="E2195" s="6">
        <v>-201066</v>
      </c>
      <c r="F2195" s="7">
        <v>4.9180000000000001</v>
      </c>
      <c r="G2195" s="7">
        <v>5.9450000000000003</v>
      </c>
      <c r="H2195" s="7">
        <v>6.07</v>
      </c>
      <c r="I2195" s="7">
        <v>5.1340000000000003</v>
      </c>
      <c r="J2195" s="7">
        <v>4.6879999999999997</v>
      </c>
      <c r="K2195" s="7">
        <v>3.9809999999999999</v>
      </c>
      <c r="L2195" s="7">
        <v>3.7509999999999999</v>
      </c>
      <c r="M2195" s="7">
        <v>3.8879999999999999</v>
      </c>
      <c r="N2195" s="7">
        <v>4.6449999999999996</v>
      </c>
      <c r="O2195" s="7">
        <v>4.9619999999999997</v>
      </c>
      <c r="P2195" s="7">
        <v>5.1520000000000001</v>
      </c>
      <c r="Q2195" s="7">
        <v>5.0309999999999997</v>
      </c>
      <c r="R2195" s="7">
        <v>5.7729999999999997</v>
      </c>
      <c r="S2195" s="7">
        <f t="shared" si="34"/>
        <v>4.9183333333333339</v>
      </c>
    </row>
    <row r="2196" spans="1:19">
      <c r="A2196" s="5" t="str">
        <f>B2196&amp;"-"&amp;COUNTIF($B$2:B2196,B2196)</f>
        <v>MINAS GERAIS-630</v>
      </c>
      <c r="B2196" s="5" t="s">
        <v>1126</v>
      </c>
      <c r="C2196" s="5" t="s">
        <v>1581</v>
      </c>
      <c r="D2196" s="6">
        <v>-42468</v>
      </c>
      <c r="E2196" s="6">
        <v>-215294</v>
      </c>
      <c r="F2196" s="7">
        <v>4.8330000000000002</v>
      </c>
      <c r="G2196" s="7">
        <v>5.9829999999999997</v>
      </c>
      <c r="H2196" s="7">
        <v>6.2140000000000004</v>
      </c>
      <c r="I2196" s="7">
        <v>5.1959999999999997</v>
      </c>
      <c r="J2196" s="7">
        <v>4.4429999999999996</v>
      </c>
      <c r="K2196" s="7">
        <v>3.7229999999999999</v>
      </c>
      <c r="L2196" s="7">
        <v>3.504</v>
      </c>
      <c r="M2196" s="7">
        <v>3.641</v>
      </c>
      <c r="N2196" s="7">
        <v>4.4029999999999996</v>
      </c>
      <c r="O2196" s="7">
        <v>4.7930000000000001</v>
      </c>
      <c r="P2196" s="7">
        <v>5.1369999999999996</v>
      </c>
      <c r="Q2196" s="7">
        <v>5.0350000000000001</v>
      </c>
      <c r="R2196" s="7">
        <v>5.9260000000000002</v>
      </c>
      <c r="S2196" s="7">
        <f t="shared" si="34"/>
        <v>4.8331666666666671</v>
      </c>
    </row>
    <row r="2197" spans="1:19">
      <c r="A2197" s="5" t="str">
        <f>B2197&amp;"-"&amp;COUNTIF($B$2:B2197,B2197)</f>
        <v>MINAS GERAIS-631</v>
      </c>
      <c r="B2197" s="5" t="s">
        <v>1126</v>
      </c>
      <c r="C2197" s="5" t="s">
        <v>1582</v>
      </c>
      <c r="D2197" s="6">
        <v>-419852</v>
      </c>
      <c r="E2197" s="6">
        <v>-202406</v>
      </c>
      <c r="F2197" s="7">
        <v>4.6829999999999998</v>
      </c>
      <c r="G2197" s="7">
        <v>5.6520000000000001</v>
      </c>
      <c r="H2197" s="7">
        <v>5.8719999999999999</v>
      </c>
      <c r="I2197" s="7">
        <v>4.9009999999999998</v>
      </c>
      <c r="J2197" s="7">
        <v>4.4619999999999997</v>
      </c>
      <c r="K2197" s="7">
        <v>3.8090000000000002</v>
      </c>
      <c r="L2197" s="7">
        <v>3.5950000000000002</v>
      </c>
      <c r="M2197" s="7">
        <v>3.78</v>
      </c>
      <c r="N2197" s="7">
        <v>4.4509999999999996</v>
      </c>
      <c r="O2197" s="7">
        <v>4.7539999999999996</v>
      </c>
      <c r="P2197" s="7">
        <v>4.875</v>
      </c>
      <c r="Q2197" s="7">
        <v>4.6959999999999997</v>
      </c>
      <c r="R2197" s="7">
        <v>5.3490000000000002</v>
      </c>
      <c r="S2197" s="7">
        <f t="shared" si="34"/>
        <v>4.6829999999999998</v>
      </c>
    </row>
    <row r="2198" spans="1:19">
      <c r="A2198" s="5" t="str">
        <f>B2198&amp;"-"&amp;COUNTIF($B$2:B2198,B2198)</f>
        <v>MINAS GERAIS-632</v>
      </c>
      <c r="B2198" s="5" t="s">
        <v>1126</v>
      </c>
      <c r="C2198" s="5" t="s">
        <v>1583</v>
      </c>
      <c r="D2198" s="6">
        <v>-442411</v>
      </c>
      <c r="E2198" s="6">
        <v>-209175</v>
      </c>
      <c r="F2198" s="7">
        <v>4.8339999999999996</v>
      </c>
      <c r="G2198" s="7">
        <v>5.5759999999999996</v>
      </c>
      <c r="H2198" s="7">
        <v>5.8159999999999998</v>
      </c>
      <c r="I2198" s="7">
        <v>4.8499999999999996</v>
      </c>
      <c r="J2198" s="7">
        <v>4.4690000000000003</v>
      </c>
      <c r="K2198" s="7">
        <v>3.855</v>
      </c>
      <c r="L2198" s="7">
        <v>3.7280000000000002</v>
      </c>
      <c r="M2198" s="7">
        <v>3.9630000000000001</v>
      </c>
      <c r="N2198" s="7">
        <v>4.923</v>
      </c>
      <c r="O2198" s="7">
        <v>5.0910000000000002</v>
      </c>
      <c r="P2198" s="7">
        <v>5.2560000000000002</v>
      </c>
      <c r="Q2198" s="7">
        <v>4.9710000000000001</v>
      </c>
      <c r="R2198" s="7">
        <v>5.5110000000000001</v>
      </c>
      <c r="S2198" s="7">
        <f t="shared" si="34"/>
        <v>4.834083333333334</v>
      </c>
    </row>
    <row r="2199" spans="1:19">
      <c r="A2199" s="5" t="str">
        <f>B2199&amp;"-"&amp;COUNTIF($B$2:B2199,B2199)</f>
        <v>MINAS GERAIS-633</v>
      </c>
      <c r="B2199" s="5" t="s">
        <v>1126</v>
      </c>
      <c r="C2199" s="5" t="s">
        <v>1584</v>
      </c>
      <c r="D2199" s="6">
        <v>-412466</v>
      </c>
      <c r="E2199" s="6">
        <v>-193199</v>
      </c>
      <c r="F2199" s="7">
        <v>4.9009999999999998</v>
      </c>
      <c r="G2199" s="7">
        <v>6.1239999999999997</v>
      </c>
      <c r="H2199" s="7">
        <v>6.2850000000000001</v>
      </c>
      <c r="I2199" s="7">
        <v>5.3680000000000003</v>
      </c>
      <c r="J2199" s="7">
        <v>4.6689999999999996</v>
      </c>
      <c r="K2199" s="7">
        <v>3.9359999999999999</v>
      </c>
      <c r="L2199" s="7">
        <v>3.6579999999999999</v>
      </c>
      <c r="M2199" s="7">
        <v>3.7509999999999999</v>
      </c>
      <c r="N2199" s="7">
        <v>4.3689999999999998</v>
      </c>
      <c r="O2199" s="7">
        <v>4.8419999999999996</v>
      </c>
      <c r="P2199" s="7">
        <v>5.0110000000000001</v>
      </c>
      <c r="Q2199" s="7">
        <v>4.9740000000000002</v>
      </c>
      <c r="R2199" s="7">
        <v>5.8220000000000001</v>
      </c>
      <c r="S2199" s="7">
        <f t="shared" si="34"/>
        <v>4.9007500000000013</v>
      </c>
    </row>
    <row r="2200" spans="1:19">
      <c r="A2200" s="5" t="str">
        <f>B2200&amp;"-"&amp;COUNTIF($B$2:B2200,B2200)</f>
        <v>MINAS GERAIS-634</v>
      </c>
      <c r="B2200" s="5" t="s">
        <v>1126</v>
      </c>
      <c r="C2200" s="5" t="s">
        <v>1585</v>
      </c>
      <c r="D2200" s="6">
        <v>-437602</v>
      </c>
      <c r="E2200" s="6">
        <v>-210647</v>
      </c>
      <c r="F2200" s="7">
        <v>4.7359999999999998</v>
      </c>
      <c r="G2200" s="7">
        <v>5.5380000000000003</v>
      </c>
      <c r="H2200" s="7">
        <v>5.8239999999999998</v>
      </c>
      <c r="I2200" s="7">
        <v>4.82</v>
      </c>
      <c r="J2200" s="7">
        <v>4.3369999999999997</v>
      </c>
      <c r="K2200" s="7">
        <v>3.76</v>
      </c>
      <c r="L2200" s="7">
        <v>3.5920000000000001</v>
      </c>
      <c r="M2200" s="7">
        <v>3.8170000000000002</v>
      </c>
      <c r="N2200" s="7">
        <v>4.7190000000000003</v>
      </c>
      <c r="O2200" s="7">
        <v>4.8929999999999998</v>
      </c>
      <c r="P2200" s="7">
        <v>5.1449999999999996</v>
      </c>
      <c r="Q2200" s="7">
        <v>4.8650000000000002</v>
      </c>
      <c r="R2200" s="7">
        <v>5.5229999999999997</v>
      </c>
      <c r="S2200" s="7">
        <f t="shared" si="34"/>
        <v>4.7360833333333341</v>
      </c>
    </row>
    <row r="2201" spans="1:19">
      <c r="A2201" s="5" t="str">
        <f>B2201&amp;"-"&amp;COUNTIF($B$2:B2201,B2201)</f>
        <v>MINAS GERAIS-635</v>
      </c>
      <c r="B2201" s="5" t="s">
        <v>1126</v>
      </c>
      <c r="C2201" s="5" t="s">
        <v>1586</v>
      </c>
      <c r="D2201" s="6">
        <v>-459993</v>
      </c>
      <c r="E2201" s="6">
        <v>-162203</v>
      </c>
      <c r="F2201" s="7">
        <v>5.6710000000000003</v>
      </c>
      <c r="G2201" s="7">
        <v>6.2370000000000001</v>
      </c>
      <c r="H2201" s="7">
        <v>6.4459999999999997</v>
      </c>
      <c r="I2201" s="7">
        <v>5.569</v>
      </c>
      <c r="J2201" s="7">
        <v>5.5579999999999998</v>
      </c>
      <c r="K2201" s="7">
        <v>5.0410000000000004</v>
      </c>
      <c r="L2201" s="7">
        <v>4.7569999999999997</v>
      </c>
      <c r="M2201" s="7">
        <v>5.0979999999999999</v>
      </c>
      <c r="N2201" s="7">
        <v>5.9059999999999997</v>
      </c>
      <c r="O2201" s="7">
        <v>5.9749999999999996</v>
      </c>
      <c r="P2201" s="7">
        <v>6.0430000000000001</v>
      </c>
      <c r="Q2201" s="7">
        <v>5.4130000000000003</v>
      </c>
      <c r="R2201" s="7">
        <v>6.0030000000000001</v>
      </c>
      <c r="S2201" s="7">
        <f t="shared" si="34"/>
        <v>5.6704999999999997</v>
      </c>
    </row>
    <row r="2202" spans="1:19">
      <c r="A2202" s="5" t="str">
        <f>B2202&amp;"-"&amp;COUNTIF($B$2:B2202,B2202)</f>
        <v>MINAS GERAIS-636</v>
      </c>
      <c r="B2202" s="5" t="s">
        <v>1126</v>
      </c>
      <c r="C2202" s="5" t="s">
        <v>1587</v>
      </c>
      <c r="D2202" s="6">
        <v>-430492</v>
      </c>
      <c r="E2202" s="6">
        <v>-160096</v>
      </c>
      <c r="F2202" s="7">
        <v>5.62</v>
      </c>
      <c r="G2202" s="7">
        <v>6.4820000000000002</v>
      </c>
      <c r="H2202" s="7">
        <v>6.5890000000000004</v>
      </c>
      <c r="I2202" s="7">
        <v>5.6890000000000001</v>
      </c>
      <c r="J2202" s="7">
        <v>5.2809999999999997</v>
      </c>
      <c r="K2202" s="7">
        <v>4.7279999999999998</v>
      </c>
      <c r="L2202" s="7">
        <v>4.4400000000000004</v>
      </c>
      <c r="M2202" s="7">
        <v>4.7539999999999996</v>
      </c>
      <c r="N2202" s="7">
        <v>5.5170000000000003</v>
      </c>
      <c r="O2202" s="7">
        <v>6.0389999999999997</v>
      </c>
      <c r="P2202" s="7">
        <v>6.0949999999999998</v>
      </c>
      <c r="Q2202" s="7">
        <v>5.5880000000000001</v>
      </c>
      <c r="R2202" s="7">
        <v>6.234</v>
      </c>
      <c r="S2202" s="7">
        <f t="shared" si="34"/>
        <v>5.6196666666666664</v>
      </c>
    </row>
    <row r="2203" spans="1:19">
      <c r="A2203" s="5" t="str">
        <f>B2203&amp;"-"&amp;COUNTIF($B$2:B2203,B2203)</f>
        <v>MINAS GERAIS-637</v>
      </c>
      <c r="B2203" s="5" t="s">
        <v>1126</v>
      </c>
      <c r="C2203" s="5" t="s">
        <v>4006</v>
      </c>
      <c r="D2203" s="6">
        <v>-440848</v>
      </c>
      <c r="E2203" s="6">
        <v>-197625</v>
      </c>
      <c r="F2203" s="7">
        <v>5.15</v>
      </c>
      <c r="G2203" s="7">
        <v>5.8250000000000002</v>
      </c>
      <c r="H2203" s="7">
        <v>6.0439999999999996</v>
      </c>
      <c r="I2203" s="7">
        <v>5.1849999999999996</v>
      </c>
      <c r="J2203" s="7">
        <v>4.835</v>
      </c>
      <c r="K2203" s="7">
        <v>4.2450000000000001</v>
      </c>
      <c r="L2203" s="7">
        <v>4.0510000000000002</v>
      </c>
      <c r="M2203" s="7">
        <v>4.319</v>
      </c>
      <c r="N2203" s="7">
        <v>5.1689999999999996</v>
      </c>
      <c r="O2203" s="7">
        <v>5.5369999999999999</v>
      </c>
      <c r="P2203" s="7">
        <v>5.63</v>
      </c>
      <c r="Q2203" s="7">
        <v>5.3529999999999998</v>
      </c>
      <c r="R2203" s="7">
        <v>5.6079999999999997</v>
      </c>
      <c r="S2203" s="7">
        <f t="shared" si="34"/>
        <v>5.1500833333333338</v>
      </c>
    </row>
    <row r="2204" spans="1:19">
      <c r="A2204" s="5" t="str">
        <f>B2204&amp;"-"&amp;COUNTIF($B$2:B2204,B2204)</f>
        <v>MINAS GERAIS-638</v>
      </c>
      <c r="B2204" s="5" t="s">
        <v>1126</v>
      </c>
      <c r="C2204" s="5" t="s">
        <v>4007</v>
      </c>
      <c r="D2204" s="6">
        <v>-450641</v>
      </c>
      <c r="E2204" s="6">
        <v>-211883</v>
      </c>
      <c r="F2204" s="7">
        <v>4.9770000000000003</v>
      </c>
      <c r="G2204" s="7">
        <v>5.6980000000000004</v>
      </c>
      <c r="H2204" s="7">
        <v>5.8529999999999998</v>
      </c>
      <c r="I2204" s="7">
        <v>5.0279999999999996</v>
      </c>
      <c r="J2204" s="7">
        <v>4.7160000000000002</v>
      </c>
      <c r="K2204" s="7">
        <v>4.0179999999999998</v>
      </c>
      <c r="L2204" s="7">
        <v>3.7989999999999999</v>
      </c>
      <c r="M2204" s="7">
        <v>4.0620000000000003</v>
      </c>
      <c r="N2204" s="7">
        <v>4.9669999999999996</v>
      </c>
      <c r="O2204" s="7">
        <v>5.1849999999999996</v>
      </c>
      <c r="P2204" s="7">
        <v>5.4409999999999998</v>
      </c>
      <c r="Q2204" s="7">
        <v>5.2489999999999997</v>
      </c>
      <c r="R2204" s="7">
        <v>5.7080000000000002</v>
      </c>
      <c r="S2204" s="7">
        <f t="shared" si="34"/>
        <v>4.9770000000000003</v>
      </c>
    </row>
    <row r="2205" spans="1:19">
      <c r="A2205" s="5" t="str">
        <f>B2205&amp;"-"&amp;COUNTIF($B$2:B2205,B2205)</f>
        <v>MINAS GERAIS-639</v>
      </c>
      <c r="B2205" s="5" t="s">
        <v>1126</v>
      </c>
      <c r="C2205" s="5" t="s">
        <v>1588</v>
      </c>
      <c r="D2205" s="6">
        <v>-437882</v>
      </c>
      <c r="E2205" s="6">
        <v>-20088</v>
      </c>
      <c r="F2205" s="7">
        <v>4.9969999999999999</v>
      </c>
      <c r="G2205" s="7">
        <v>5.5720000000000001</v>
      </c>
      <c r="H2205" s="7">
        <v>5.9169999999999998</v>
      </c>
      <c r="I2205" s="7">
        <v>5.0839999999999996</v>
      </c>
      <c r="J2205" s="7">
        <v>4.6559999999999997</v>
      </c>
      <c r="K2205" s="7">
        <v>4.1239999999999997</v>
      </c>
      <c r="L2205" s="7">
        <v>4.0110000000000001</v>
      </c>
      <c r="M2205" s="7">
        <v>4.1749999999999998</v>
      </c>
      <c r="N2205" s="7">
        <v>5.07</v>
      </c>
      <c r="O2205" s="7">
        <v>5.3470000000000004</v>
      </c>
      <c r="P2205" s="7">
        <v>5.4349999999999996</v>
      </c>
      <c r="Q2205" s="7">
        <v>5.101</v>
      </c>
      <c r="R2205" s="7">
        <v>5.4770000000000003</v>
      </c>
      <c r="S2205" s="7">
        <f t="shared" si="34"/>
        <v>4.9974166666666662</v>
      </c>
    </row>
    <row r="2206" spans="1:19">
      <c r="A2206" s="5" t="str">
        <f>B2206&amp;"-"&amp;COUNTIF($B$2:B2206,B2206)</f>
        <v>MINAS GERAIS-640</v>
      </c>
      <c r="B2206" s="5" t="s">
        <v>1126</v>
      </c>
      <c r="C2206" s="5" t="s">
        <v>1589</v>
      </c>
      <c r="D2206" s="6">
        <v>-426466</v>
      </c>
      <c r="E2206" s="6">
        <v>-20229</v>
      </c>
      <c r="F2206" s="7">
        <v>4.8819999999999997</v>
      </c>
      <c r="G2206" s="7">
        <v>5.8140000000000001</v>
      </c>
      <c r="H2206" s="7">
        <v>6.0910000000000002</v>
      </c>
      <c r="I2206" s="7">
        <v>5.0970000000000004</v>
      </c>
      <c r="J2206" s="7">
        <v>4.5979999999999999</v>
      </c>
      <c r="K2206" s="7">
        <v>3.927</v>
      </c>
      <c r="L2206" s="7">
        <v>3.7130000000000001</v>
      </c>
      <c r="M2206" s="7">
        <v>3.923</v>
      </c>
      <c r="N2206" s="7">
        <v>4.66</v>
      </c>
      <c r="O2206" s="7">
        <v>4.9729999999999999</v>
      </c>
      <c r="P2206" s="7">
        <v>5.1619999999999999</v>
      </c>
      <c r="Q2206" s="7">
        <v>4.9450000000000003</v>
      </c>
      <c r="R2206" s="7">
        <v>5.6820000000000004</v>
      </c>
      <c r="S2206" s="7">
        <f t="shared" si="34"/>
        <v>4.882083333333334</v>
      </c>
    </row>
    <row r="2207" spans="1:19">
      <c r="A2207" s="5" t="str">
        <f>B2207&amp;"-"&amp;COUNTIF($B$2:B2207,B2207)</f>
        <v>MINAS GERAIS-641</v>
      </c>
      <c r="B2207" s="5" t="s">
        <v>1126</v>
      </c>
      <c r="C2207" s="5" t="s">
        <v>1590</v>
      </c>
      <c r="D2207" s="6">
        <v>-405717</v>
      </c>
      <c r="E2207" s="6">
        <v>-166061</v>
      </c>
      <c r="F2207" s="7">
        <v>4.9429999999999996</v>
      </c>
      <c r="G2207" s="7">
        <v>6.032</v>
      </c>
      <c r="H2207" s="7">
        <v>6.23</v>
      </c>
      <c r="I2207" s="7">
        <v>5.4119999999999999</v>
      </c>
      <c r="J2207" s="7">
        <v>4.7309999999999999</v>
      </c>
      <c r="K2207" s="7">
        <v>3.948</v>
      </c>
      <c r="L2207" s="7">
        <v>3.5369999999999999</v>
      </c>
      <c r="M2207" s="7">
        <v>3.6459999999999999</v>
      </c>
      <c r="N2207" s="7">
        <v>4.2789999999999999</v>
      </c>
      <c r="O2207" s="7">
        <v>5.0510000000000002</v>
      </c>
      <c r="P2207" s="7">
        <v>5.1849999999999996</v>
      </c>
      <c r="Q2207" s="7">
        <v>5.1859999999999999</v>
      </c>
      <c r="R2207" s="7">
        <v>6.0739999999999998</v>
      </c>
      <c r="S2207" s="7">
        <f t="shared" si="34"/>
        <v>4.9425833333333333</v>
      </c>
    </row>
    <row r="2208" spans="1:19">
      <c r="A2208" s="5" t="str">
        <f>B2208&amp;"-"&amp;COUNTIF($B$2:B2208,B2208)</f>
        <v>MINAS GERAIS-642</v>
      </c>
      <c r="B2208" s="5" t="s">
        <v>1126</v>
      </c>
      <c r="C2208" s="5" t="s">
        <v>1591</v>
      </c>
      <c r="D2208" s="6">
        <v>-428999</v>
      </c>
      <c r="E2208" s="6">
        <v>-202416</v>
      </c>
      <c r="F2208" s="7">
        <v>4.7249999999999996</v>
      </c>
      <c r="G2208" s="7">
        <v>5.548</v>
      </c>
      <c r="H2208" s="7">
        <v>5.875</v>
      </c>
      <c r="I2208" s="7">
        <v>4.899</v>
      </c>
      <c r="J2208" s="7">
        <v>4.4429999999999996</v>
      </c>
      <c r="K2208" s="7">
        <v>3.7989999999999999</v>
      </c>
      <c r="L2208" s="7">
        <v>3.6320000000000001</v>
      </c>
      <c r="M2208" s="7">
        <v>3.82</v>
      </c>
      <c r="N2208" s="7">
        <v>4.6280000000000001</v>
      </c>
      <c r="O2208" s="7">
        <v>4.9009999999999998</v>
      </c>
      <c r="P2208" s="7">
        <v>5.0119999999999996</v>
      </c>
      <c r="Q2208" s="7">
        <v>4.7309999999999999</v>
      </c>
      <c r="R2208" s="7">
        <v>5.4039999999999999</v>
      </c>
      <c r="S2208" s="7">
        <f t="shared" si="34"/>
        <v>4.7243333333333339</v>
      </c>
    </row>
    <row r="2209" spans="1:19">
      <c r="A2209" s="5" t="str">
        <f>B2209&amp;"-"&amp;COUNTIF($B$2:B2209,B2209)</f>
        <v>MINAS GERAIS-643</v>
      </c>
      <c r="B2209" s="5" t="s">
        <v>1126</v>
      </c>
      <c r="C2209" s="5" t="s">
        <v>1592</v>
      </c>
      <c r="D2209" s="6">
        <v>-434724</v>
      </c>
      <c r="E2209" s="6">
        <v>-208555</v>
      </c>
      <c r="F2209" s="7">
        <v>4.7110000000000003</v>
      </c>
      <c r="G2209" s="7">
        <v>5.5519999999999996</v>
      </c>
      <c r="H2209" s="7">
        <v>5.92</v>
      </c>
      <c r="I2209" s="7">
        <v>4.8879999999999999</v>
      </c>
      <c r="J2209" s="7">
        <v>4.33</v>
      </c>
      <c r="K2209" s="7">
        <v>3.7090000000000001</v>
      </c>
      <c r="L2209" s="7">
        <v>3.5209999999999999</v>
      </c>
      <c r="M2209" s="7">
        <v>3.718</v>
      </c>
      <c r="N2209" s="7">
        <v>4.6189999999999998</v>
      </c>
      <c r="O2209" s="7">
        <v>4.867</v>
      </c>
      <c r="P2209" s="7">
        <v>5.0730000000000004</v>
      </c>
      <c r="Q2209" s="7">
        <v>4.7960000000000003</v>
      </c>
      <c r="R2209" s="7">
        <v>5.54</v>
      </c>
      <c r="S2209" s="7">
        <f t="shared" si="34"/>
        <v>4.7110833333333328</v>
      </c>
    </row>
    <row r="2210" spans="1:19">
      <c r="A2210" s="5" t="str">
        <f>B2210&amp;"-"&amp;COUNTIF($B$2:B2210,B2210)</f>
        <v>MINAS GERAIS-644</v>
      </c>
      <c r="B2210" s="5" t="s">
        <v>1126</v>
      </c>
      <c r="C2210" s="5" t="s">
        <v>1593</v>
      </c>
      <c r="D2210" s="6">
        <v>-443072</v>
      </c>
      <c r="E2210" s="6">
        <v>-20267</v>
      </c>
      <c r="F2210" s="7">
        <v>5.032</v>
      </c>
      <c r="G2210" s="7">
        <v>5.673</v>
      </c>
      <c r="H2210" s="7">
        <v>5.8739999999999997</v>
      </c>
      <c r="I2210" s="7">
        <v>4.9980000000000002</v>
      </c>
      <c r="J2210" s="7">
        <v>4.702</v>
      </c>
      <c r="K2210" s="7">
        <v>4.1849999999999996</v>
      </c>
      <c r="L2210" s="7">
        <v>4.0129999999999999</v>
      </c>
      <c r="M2210" s="7">
        <v>4.2590000000000003</v>
      </c>
      <c r="N2210" s="7">
        <v>5.1589999999999998</v>
      </c>
      <c r="O2210" s="7">
        <v>5.3879999999999999</v>
      </c>
      <c r="P2210" s="7">
        <v>5.4649999999999999</v>
      </c>
      <c r="Q2210" s="7">
        <v>5.1619999999999999</v>
      </c>
      <c r="R2210" s="7">
        <v>5.5110000000000001</v>
      </c>
      <c r="S2210" s="7">
        <f t="shared" si="34"/>
        <v>5.0324166666666663</v>
      </c>
    </row>
    <row r="2211" spans="1:19">
      <c r="A2211" s="5" t="str">
        <f>B2211&amp;"-"&amp;COUNTIF($B$2:B2211,B2211)</f>
        <v>MINAS GERAIS-645</v>
      </c>
      <c r="B2211" s="5" t="s">
        <v>1126</v>
      </c>
      <c r="C2211" s="5" t="s">
        <v>1594</v>
      </c>
      <c r="D2211" s="6">
        <v>-431172</v>
      </c>
      <c r="E2211" s="6">
        <v>-214654</v>
      </c>
      <c r="F2211" s="7">
        <v>4.665</v>
      </c>
      <c r="G2211" s="7">
        <v>5.7169999999999996</v>
      </c>
      <c r="H2211" s="7">
        <v>5.94</v>
      </c>
      <c r="I2211" s="7">
        <v>4.92</v>
      </c>
      <c r="J2211" s="7">
        <v>4.2850000000000001</v>
      </c>
      <c r="K2211" s="7">
        <v>3.62</v>
      </c>
      <c r="L2211" s="7">
        <v>3.4359999999999999</v>
      </c>
      <c r="M2211" s="7">
        <v>3.6150000000000002</v>
      </c>
      <c r="N2211" s="7">
        <v>4.391</v>
      </c>
      <c r="O2211" s="7">
        <v>4.7030000000000003</v>
      </c>
      <c r="P2211" s="7">
        <v>4.97</v>
      </c>
      <c r="Q2211" s="7">
        <v>4.8049999999999997</v>
      </c>
      <c r="R2211" s="7">
        <v>5.5860000000000003</v>
      </c>
      <c r="S2211" s="7">
        <f t="shared" si="34"/>
        <v>4.6656666666666666</v>
      </c>
    </row>
    <row r="2212" spans="1:19">
      <c r="A2212" s="5" t="str">
        <f>B2212&amp;"-"&amp;COUNTIF($B$2:B2212,B2212)</f>
        <v>MINAS GERAIS-646</v>
      </c>
      <c r="B2212" s="5" t="s">
        <v>1126</v>
      </c>
      <c r="C2212" s="5" t="s">
        <v>1595</v>
      </c>
      <c r="D2212" s="6">
        <v>-462459</v>
      </c>
      <c r="E2212" s="6">
        <v>-191909</v>
      </c>
      <c r="F2212" s="7">
        <v>5.19</v>
      </c>
      <c r="G2212" s="7">
        <v>5.6529999999999996</v>
      </c>
      <c r="H2212" s="7">
        <v>5.9320000000000004</v>
      </c>
      <c r="I2212" s="7">
        <v>4.9740000000000002</v>
      </c>
      <c r="J2212" s="7">
        <v>4.9610000000000003</v>
      </c>
      <c r="K2212" s="7">
        <v>4.5410000000000004</v>
      </c>
      <c r="L2212" s="7">
        <v>4.2720000000000002</v>
      </c>
      <c r="M2212" s="7">
        <v>4.5460000000000003</v>
      </c>
      <c r="N2212" s="7">
        <v>5.5380000000000003</v>
      </c>
      <c r="O2212" s="7">
        <v>5.5309999999999997</v>
      </c>
      <c r="P2212" s="7">
        <v>5.5579999999999998</v>
      </c>
      <c r="Q2212" s="7">
        <v>5.2190000000000003</v>
      </c>
      <c r="R2212" s="7">
        <v>5.5540000000000003</v>
      </c>
      <c r="S2212" s="7">
        <f t="shared" si="34"/>
        <v>5.189916666666667</v>
      </c>
    </row>
    <row r="2213" spans="1:19">
      <c r="A2213" s="5" t="str">
        <f>B2213&amp;"-"&amp;COUNTIF($B$2:B2213,B2213)</f>
        <v>MINAS GERAIS-647</v>
      </c>
      <c r="B2213" s="5" t="s">
        <v>1126</v>
      </c>
      <c r="C2213" s="5" t="s">
        <v>1596</v>
      </c>
      <c r="D2213" s="6">
        <v>-425409</v>
      </c>
      <c r="E2213" s="6">
        <v>-156165</v>
      </c>
      <c r="F2213" s="7">
        <v>5.2590000000000003</v>
      </c>
      <c r="G2213" s="7">
        <v>6.085</v>
      </c>
      <c r="H2213" s="7">
        <v>6.3079999999999998</v>
      </c>
      <c r="I2213" s="7">
        <v>5.4749999999999996</v>
      </c>
      <c r="J2213" s="7">
        <v>4.8460000000000001</v>
      </c>
      <c r="K2213" s="7">
        <v>4.2370000000000001</v>
      </c>
      <c r="L2213" s="7">
        <v>3.9489999999999998</v>
      </c>
      <c r="M2213" s="7">
        <v>4.2690000000000001</v>
      </c>
      <c r="N2213" s="7">
        <v>5.0339999999999998</v>
      </c>
      <c r="O2213" s="7">
        <v>5.718</v>
      </c>
      <c r="P2213" s="7">
        <v>5.7549999999999999</v>
      </c>
      <c r="Q2213" s="7">
        <v>5.3540000000000001</v>
      </c>
      <c r="R2213" s="7">
        <v>6.077</v>
      </c>
      <c r="S2213" s="7">
        <f t="shared" si="34"/>
        <v>5.258916666666666</v>
      </c>
    </row>
    <row r="2214" spans="1:19">
      <c r="A2214" s="5" t="str">
        <f>B2214&amp;"-"&amp;COUNTIF($B$2:B2214,B2214)</f>
        <v>MINAS GERAIS-648</v>
      </c>
      <c r="B2214" s="5" t="s">
        <v>1126</v>
      </c>
      <c r="C2214" s="5" t="s">
        <v>1597</v>
      </c>
      <c r="D2214" s="6">
        <v>-43174</v>
      </c>
      <c r="E2214" s="6">
        <v>-19929</v>
      </c>
      <c r="F2214" s="7">
        <v>4.6820000000000004</v>
      </c>
      <c r="G2214" s="7">
        <v>5.4539999999999997</v>
      </c>
      <c r="H2214" s="7">
        <v>5.782</v>
      </c>
      <c r="I2214" s="7">
        <v>4.8019999999999996</v>
      </c>
      <c r="J2214" s="7">
        <v>4.383</v>
      </c>
      <c r="K2214" s="7">
        <v>3.7890000000000001</v>
      </c>
      <c r="L2214" s="7">
        <v>3.64</v>
      </c>
      <c r="M2214" s="7">
        <v>3.8380000000000001</v>
      </c>
      <c r="N2214" s="7">
        <v>4.5970000000000004</v>
      </c>
      <c r="O2214" s="7">
        <v>4.8970000000000002</v>
      </c>
      <c r="P2214" s="7">
        <v>4.95</v>
      </c>
      <c r="Q2214" s="7">
        <v>4.7050000000000001</v>
      </c>
      <c r="R2214" s="7">
        <v>5.3479999999999999</v>
      </c>
      <c r="S2214" s="7">
        <f t="shared" si="34"/>
        <v>4.6820833333333338</v>
      </c>
    </row>
    <row r="2215" spans="1:19">
      <c r="A2215" s="5" t="str">
        <f>B2215&amp;"-"&amp;COUNTIF($B$2:B2215,B2215)</f>
        <v>MINAS GERAIS-649</v>
      </c>
      <c r="B2215" s="5" t="s">
        <v>1126</v>
      </c>
      <c r="C2215" s="5" t="s">
        <v>1598</v>
      </c>
      <c r="D2215" s="5" t="s">
        <v>1599</v>
      </c>
      <c r="E2215" s="6">
        <v>-212716</v>
      </c>
      <c r="F2215" s="7">
        <v>4.6760000000000002</v>
      </c>
      <c r="G2215" s="7">
        <v>5.6630000000000003</v>
      </c>
      <c r="H2215" s="7">
        <v>5.915</v>
      </c>
      <c r="I2215" s="7">
        <v>4.9139999999999997</v>
      </c>
      <c r="J2215" s="7">
        <v>4.2990000000000004</v>
      </c>
      <c r="K2215" s="7">
        <v>3.6619999999999999</v>
      </c>
      <c r="L2215" s="7">
        <v>3.464</v>
      </c>
      <c r="M2215" s="7">
        <v>3.6269999999999998</v>
      </c>
      <c r="N2215" s="7">
        <v>4.4340000000000002</v>
      </c>
      <c r="O2215" s="7">
        <v>4.7699999999999996</v>
      </c>
      <c r="P2215" s="7">
        <v>5.0179999999999998</v>
      </c>
      <c r="Q2215" s="7">
        <v>4.8129999999999997</v>
      </c>
      <c r="R2215" s="7">
        <v>5.5330000000000004</v>
      </c>
      <c r="S2215" s="7">
        <f t="shared" si="34"/>
        <v>4.6759999999999993</v>
      </c>
    </row>
    <row r="2216" spans="1:19">
      <c r="A2216" s="5" t="str">
        <f>B2216&amp;"-"&amp;COUNTIF($B$2:B2216,B2216)</f>
        <v>MINAS GERAIS-650</v>
      </c>
      <c r="B2216" s="5" t="s">
        <v>1126</v>
      </c>
      <c r="C2216" s="5" t="s">
        <v>1600</v>
      </c>
      <c r="D2216" s="6">
        <v>-438297</v>
      </c>
      <c r="E2216" s="6">
        <v>-220866</v>
      </c>
      <c r="F2216" s="7">
        <v>4.532</v>
      </c>
      <c r="G2216" s="7">
        <v>5.3659999999999997</v>
      </c>
      <c r="H2216" s="7">
        <v>5.7270000000000003</v>
      </c>
      <c r="I2216" s="7">
        <v>4.7610000000000001</v>
      </c>
      <c r="J2216" s="7">
        <v>4.2320000000000002</v>
      </c>
      <c r="K2216" s="7">
        <v>3.5990000000000002</v>
      </c>
      <c r="L2216" s="7">
        <v>3.444</v>
      </c>
      <c r="M2216" s="7">
        <v>3.5249999999999999</v>
      </c>
      <c r="N2216" s="7">
        <v>4.3860000000000001</v>
      </c>
      <c r="O2216" s="7">
        <v>4.5579999999999998</v>
      </c>
      <c r="P2216" s="7">
        <v>4.742</v>
      </c>
      <c r="Q2216" s="7">
        <v>4.7009999999999996</v>
      </c>
      <c r="R2216" s="7">
        <v>5.34</v>
      </c>
      <c r="S2216" s="7">
        <f t="shared" si="34"/>
        <v>4.5317499999999997</v>
      </c>
    </row>
    <row r="2217" spans="1:19">
      <c r="A2217" s="5" t="str">
        <f>B2217&amp;"-"&amp;COUNTIF($B$2:B2217,B2217)</f>
        <v>MINAS GERAIS-651</v>
      </c>
      <c r="B2217" s="5" t="s">
        <v>1126</v>
      </c>
      <c r="C2217" s="5" t="s">
        <v>1601</v>
      </c>
      <c r="D2217" s="6">
        <v>-43009</v>
      </c>
      <c r="E2217" s="6">
        <v>-18294</v>
      </c>
      <c r="F2217" s="7">
        <v>4.9249999999999998</v>
      </c>
      <c r="G2217" s="7">
        <v>5.9160000000000004</v>
      </c>
      <c r="H2217" s="7">
        <v>6.1369999999999996</v>
      </c>
      <c r="I2217" s="7">
        <v>5.07</v>
      </c>
      <c r="J2217" s="7">
        <v>4.5049999999999999</v>
      </c>
      <c r="K2217" s="7">
        <v>3.9769999999999999</v>
      </c>
      <c r="L2217" s="7">
        <v>3.8029999999999999</v>
      </c>
      <c r="M2217" s="7">
        <v>3.956</v>
      </c>
      <c r="N2217" s="7">
        <v>4.7789999999999999</v>
      </c>
      <c r="O2217" s="7">
        <v>5.218</v>
      </c>
      <c r="P2217" s="7">
        <v>5.3380000000000001</v>
      </c>
      <c r="Q2217" s="7">
        <v>4.8239999999999998</v>
      </c>
      <c r="R2217" s="7">
        <v>5.5739999999999998</v>
      </c>
      <c r="S2217" s="7">
        <f t="shared" si="34"/>
        <v>4.9247500000000004</v>
      </c>
    </row>
    <row r="2218" spans="1:19">
      <c r="A2218" s="5" t="str">
        <f>B2218&amp;"-"&amp;COUNTIF($B$2:B2218,B2218)</f>
        <v>MINAS GERAIS-652</v>
      </c>
      <c r="B2218" s="5" t="s">
        <v>1126</v>
      </c>
      <c r="C2218" s="5" t="s">
        <v>5604</v>
      </c>
      <c r="D2218" s="6">
        <v>-443208</v>
      </c>
      <c r="E2218" s="6">
        <v>-21028</v>
      </c>
      <c r="F2218" s="7">
        <v>4.8250000000000002</v>
      </c>
      <c r="G2218" s="7">
        <v>5.5389999999999997</v>
      </c>
      <c r="H2218" s="7">
        <v>5.7590000000000003</v>
      </c>
      <c r="I2218" s="7">
        <v>4.8330000000000002</v>
      </c>
      <c r="J2218" s="7">
        <v>4.4790000000000001</v>
      </c>
      <c r="K2218" s="7">
        <v>3.8780000000000001</v>
      </c>
      <c r="L2218" s="7">
        <v>3.738</v>
      </c>
      <c r="M2218" s="7">
        <v>3.9649999999999999</v>
      </c>
      <c r="N2218" s="7">
        <v>4.9080000000000004</v>
      </c>
      <c r="O2218" s="7">
        <v>5.1020000000000003</v>
      </c>
      <c r="P2218" s="7">
        <v>5.234</v>
      </c>
      <c r="Q2218" s="7">
        <v>4.9749999999999996</v>
      </c>
      <c r="R2218" s="7">
        <v>5.492</v>
      </c>
      <c r="S2218" s="7">
        <f t="shared" si="34"/>
        <v>4.825166666666667</v>
      </c>
    </row>
    <row r="2219" spans="1:19">
      <c r="A2219" s="5" t="str">
        <f>B2219&amp;"-"&amp;COUNTIF($B$2:B2219,B2219)</f>
        <v>MINAS GERAIS-653</v>
      </c>
      <c r="B2219" s="5" t="s">
        <v>1126</v>
      </c>
      <c r="C2219" s="5" t="s">
        <v>1602</v>
      </c>
      <c r="D2219" s="6">
        <v>-430169</v>
      </c>
      <c r="E2219" s="6">
        <v>-216289</v>
      </c>
      <c r="F2219" s="7">
        <v>4.6779999999999999</v>
      </c>
      <c r="G2219" s="7">
        <v>5.7629999999999999</v>
      </c>
      <c r="H2219" s="7">
        <v>6.0049999999999999</v>
      </c>
      <c r="I2219" s="7">
        <v>5.0090000000000003</v>
      </c>
      <c r="J2219" s="7">
        <v>4.3289999999999997</v>
      </c>
      <c r="K2219" s="7">
        <v>3.6139999999999999</v>
      </c>
      <c r="L2219" s="7">
        <v>3.3740000000000001</v>
      </c>
      <c r="M2219" s="7">
        <v>3.5670000000000002</v>
      </c>
      <c r="N2219" s="7">
        <v>4.3150000000000004</v>
      </c>
      <c r="O2219" s="7">
        <v>4.6929999999999996</v>
      </c>
      <c r="P2219" s="7">
        <v>4.9859999999999998</v>
      </c>
      <c r="Q2219" s="7">
        <v>4.8250000000000002</v>
      </c>
      <c r="R2219" s="7">
        <v>5.6520000000000001</v>
      </c>
      <c r="S2219" s="7">
        <f t="shared" si="34"/>
        <v>4.6776666666666662</v>
      </c>
    </row>
    <row r="2220" spans="1:19">
      <c r="A2220" s="5" t="str">
        <f>B2220&amp;"-"&amp;COUNTIF($B$2:B2220,B2220)</f>
        <v>MINAS GERAIS-654</v>
      </c>
      <c r="B2220" s="5" t="s">
        <v>1126</v>
      </c>
      <c r="C2220" s="5" t="s">
        <v>1603</v>
      </c>
      <c r="D2220" s="6">
        <v>-42859</v>
      </c>
      <c r="E2220" s="6">
        <v>-212039</v>
      </c>
      <c r="F2220" s="7">
        <v>4.8109999999999999</v>
      </c>
      <c r="G2220" s="7">
        <v>5.87</v>
      </c>
      <c r="H2220" s="7">
        <v>6.0970000000000004</v>
      </c>
      <c r="I2220" s="7">
        <v>5.077</v>
      </c>
      <c r="J2220" s="7">
        <v>4.431</v>
      </c>
      <c r="K2220" s="7">
        <v>3.7349999999999999</v>
      </c>
      <c r="L2220" s="7">
        <v>3.5459999999999998</v>
      </c>
      <c r="M2220" s="7">
        <v>3.722</v>
      </c>
      <c r="N2220" s="7">
        <v>4.5</v>
      </c>
      <c r="O2220" s="7">
        <v>4.8719999999999999</v>
      </c>
      <c r="P2220" s="7">
        <v>5.173</v>
      </c>
      <c r="Q2220" s="7">
        <v>4.9969999999999999</v>
      </c>
      <c r="R2220" s="7">
        <v>5.7149999999999999</v>
      </c>
      <c r="S2220" s="7">
        <f t="shared" si="34"/>
        <v>4.8112500000000002</v>
      </c>
    </row>
    <row r="2221" spans="1:19">
      <c r="A2221" s="5" t="str">
        <f>B2221&amp;"-"&amp;COUNTIF($B$2:B2221,B2221)</f>
        <v>MINAS GERAIS-655</v>
      </c>
      <c r="B2221" s="5" t="s">
        <v>1126</v>
      </c>
      <c r="C2221" s="5" t="s">
        <v>1604</v>
      </c>
      <c r="D2221" s="6">
        <v>-47584</v>
      </c>
      <c r="E2221" s="6">
        <v>-188845</v>
      </c>
      <c r="F2221" s="7">
        <v>5.2089999999999996</v>
      </c>
      <c r="G2221" s="7">
        <v>5.58</v>
      </c>
      <c r="H2221" s="7">
        <v>5.859</v>
      </c>
      <c r="I2221" s="7">
        <v>4.976</v>
      </c>
      <c r="J2221" s="7">
        <v>4.8780000000000001</v>
      </c>
      <c r="K2221" s="7">
        <v>4.5419999999999998</v>
      </c>
      <c r="L2221" s="7">
        <v>4.3140000000000001</v>
      </c>
      <c r="M2221" s="7">
        <v>4.6070000000000002</v>
      </c>
      <c r="N2221" s="7">
        <v>5.5880000000000001</v>
      </c>
      <c r="O2221" s="7">
        <v>5.5170000000000003</v>
      </c>
      <c r="P2221" s="7">
        <v>5.57</v>
      </c>
      <c r="Q2221" s="7">
        <v>5.4009999999999998</v>
      </c>
      <c r="R2221" s="7">
        <v>5.6760000000000002</v>
      </c>
      <c r="S2221" s="7">
        <f t="shared" si="34"/>
        <v>5.2090000000000005</v>
      </c>
    </row>
    <row r="2222" spans="1:19">
      <c r="A2222" s="5" t="str">
        <f>B2222&amp;"-"&amp;COUNTIF($B$2:B2222,B2222)</f>
        <v>MINAS GERAIS-656</v>
      </c>
      <c r="B2222" s="5" t="s">
        <v>1126</v>
      </c>
      <c r="C2222" s="5" t="s">
        <v>5605</v>
      </c>
      <c r="D2222" s="6">
        <v>-425116</v>
      </c>
      <c r="E2222" s="6">
        <v>-209817</v>
      </c>
      <c r="F2222" s="7">
        <v>4.6239999999999997</v>
      </c>
      <c r="G2222" s="7">
        <v>5.4790000000000001</v>
      </c>
      <c r="H2222" s="7">
        <v>5.7480000000000002</v>
      </c>
      <c r="I2222" s="7">
        <v>4.766</v>
      </c>
      <c r="J2222" s="7">
        <v>4.2480000000000002</v>
      </c>
      <c r="K2222" s="7">
        <v>3.6920000000000002</v>
      </c>
      <c r="L2222" s="7">
        <v>3.5489999999999999</v>
      </c>
      <c r="M2222" s="7">
        <v>3.6760000000000002</v>
      </c>
      <c r="N2222" s="7">
        <v>4.4640000000000004</v>
      </c>
      <c r="O2222" s="7">
        <v>4.8140000000000001</v>
      </c>
      <c r="P2222" s="7">
        <v>4.9219999999999997</v>
      </c>
      <c r="Q2222" s="7">
        <v>4.6760000000000002</v>
      </c>
      <c r="R2222" s="7">
        <v>5.4530000000000003</v>
      </c>
      <c r="S2222" s="7">
        <f t="shared" si="34"/>
        <v>4.6239166666666671</v>
      </c>
    </row>
    <row r="2223" spans="1:19">
      <c r="A2223" s="5" t="str">
        <f>B2223&amp;"-"&amp;COUNTIF($B$2:B2223,B2223)</f>
        <v>MINAS GERAIS-657</v>
      </c>
      <c r="B2223" s="5" t="s">
        <v>1126</v>
      </c>
      <c r="C2223" s="5" t="s">
        <v>1605</v>
      </c>
      <c r="D2223" s="6">
        <v>-422614</v>
      </c>
      <c r="E2223" s="6">
        <v>-164057</v>
      </c>
      <c r="F2223" s="7">
        <v>5.2030000000000003</v>
      </c>
      <c r="G2223" s="7">
        <v>6.2519999999999998</v>
      </c>
      <c r="H2223" s="7">
        <v>6.3789999999999996</v>
      </c>
      <c r="I2223" s="7">
        <v>5.4349999999999996</v>
      </c>
      <c r="J2223" s="7">
        <v>4.78</v>
      </c>
      <c r="K2223" s="7">
        <v>4.1159999999999997</v>
      </c>
      <c r="L2223" s="7">
        <v>3.823</v>
      </c>
      <c r="M2223" s="7">
        <v>4.093</v>
      </c>
      <c r="N2223" s="7">
        <v>4.8630000000000004</v>
      </c>
      <c r="O2223" s="7">
        <v>5.548</v>
      </c>
      <c r="P2223" s="7">
        <v>5.68</v>
      </c>
      <c r="Q2223" s="7">
        <v>5.3319999999999999</v>
      </c>
      <c r="R2223" s="7">
        <v>6.1390000000000002</v>
      </c>
      <c r="S2223" s="7">
        <f t="shared" si="34"/>
        <v>5.203333333333334</v>
      </c>
    </row>
    <row r="2224" spans="1:19">
      <c r="A2224" s="5" t="str">
        <f>B2224&amp;"-"&amp;COUNTIF($B$2:B2224,B2224)</f>
        <v>MINAS GERAIS-658</v>
      </c>
      <c r="B2224" s="5" t="s">
        <v>1126</v>
      </c>
      <c r="C2224" s="5" t="s">
        <v>1606</v>
      </c>
      <c r="D2224" s="6">
        <v>-405401</v>
      </c>
      <c r="E2224" s="6">
        <v>-16378</v>
      </c>
      <c r="F2224" s="7">
        <v>4.9690000000000003</v>
      </c>
      <c r="G2224" s="7">
        <v>6.0529999999999999</v>
      </c>
      <c r="H2224" s="7">
        <v>6.2590000000000003</v>
      </c>
      <c r="I2224" s="7">
        <v>5.4619999999999997</v>
      </c>
      <c r="J2224" s="7">
        <v>4.8079999999999998</v>
      </c>
      <c r="K2224" s="7">
        <v>3.996</v>
      </c>
      <c r="L2224" s="7">
        <v>3.5649999999999999</v>
      </c>
      <c r="M2224" s="7">
        <v>3.7080000000000002</v>
      </c>
      <c r="N2224" s="7">
        <v>4.2750000000000004</v>
      </c>
      <c r="O2224" s="7">
        <v>5.0090000000000003</v>
      </c>
      <c r="P2224" s="7">
        <v>5.181</v>
      </c>
      <c r="Q2224" s="7">
        <v>5.2229999999999999</v>
      </c>
      <c r="R2224" s="7">
        <v>6.0869999999999997</v>
      </c>
      <c r="S2224" s="7">
        <f t="shared" si="34"/>
        <v>4.9688333333333325</v>
      </c>
    </row>
    <row r="2225" spans="1:19">
      <c r="A2225" s="5" t="str">
        <f>B2225&amp;"-"&amp;COUNTIF($B$2:B2225,B2225)</f>
        <v>MINAS GERAIS-659</v>
      </c>
      <c r="B2225" s="5" t="s">
        <v>1126</v>
      </c>
      <c r="C2225" s="5" t="s">
        <v>4008</v>
      </c>
      <c r="D2225" s="6">
        <v>-450703</v>
      </c>
      <c r="E2225" s="6">
        <v>-215844</v>
      </c>
      <c r="F2225" s="7">
        <v>4.8230000000000004</v>
      </c>
      <c r="G2225" s="7">
        <v>5.4630000000000001</v>
      </c>
      <c r="H2225" s="7">
        <v>5.6390000000000002</v>
      </c>
      <c r="I2225" s="7">
        <v>4.7850000000000001</v>
      </c>
      <c r="J2225" s="7">
        <v>4.5279999999999996</v>
      </c>
      <c r="K2225" s="7">
        <v>3.8820000000000001</v>
      </c>
      <c r="L2225" s="7">
        <v>3.702</v>
      </c>
      <c r="M2225" s="7">
        <v>3.9350000000000001</v>
      </c>
      <c r="N2225" s="7">
        <v>4.7869999999999999</v>
      </c>
      <c r="O2225" s="7">
        <v>5.0350000000000001</v>
      </c>
      <c r="P2225" s="7">
        <v>5.3369999999999997</v>
      </c>
      <c r="Q2225" s="7">
        <v>5.2220000000000004</v>
      </c>
      <c r="R2225" s="7">
        <v>5.5579999999999998</v>
      </c>
      <c r="S2225" s="7">
        <f t="shared" si="34"/>
        <v>4.8227500000000001</v>
      </c>
    </row>
    <row r="2226" spans="1:19">
      <c r="A2226" s="5" t="str">
        <f>B2226&amp;"-"&amp;COUNTIF($B$2:B2226,B2226)</f>
        <v>MINAS GERAIS-660</v>
      </c>
      <c r="B2226" s="5" t="s">
        <v>1126</v>
      </c>
      <c r="C2226" s="5" t="s">
        <v>5606</v>
      </c>
      <c r="D2226" s="6">
        <v>-439518</v>
      </c>
      <c r="E2226" s="6">
        <v>-206246</v>
      </c>
      <c r="F2226" s="7">
        <v>4.9340000000000002</v>
      </c>
      <c r="G2226" s="7">
        <v>5.7359999999999998</v>
      </c>
      <c r="H2226" s="7">
        <v>5.8929999999999998</v>
      </c>
      <c r="I2226" s="7">
        <v>4.9889999999999999</v>
      </c>
      <c r="J2226" s="7">
        <v>4.5990000000000002</v>
      </c>
      <c r="K2226" s="7">
        <v>4.0199999999999996</v>
      </c>
      <c r="L2226" s="7">
        <v>3.8119999999999998</v>
      </c>
      <c r="M2226" s="7">
        <v>4.0010000000000003</v>
      </c>
      <c r="N2226" s="7">
        <v>4.9690000000000003</v>
      </c>
      <c r="O2226" s="7">
        <v>5.1929999999999996</v>
      </c>
      <c r="P2226" s="7">
        <v>5.3440000000000003</v>
      </c>
      <c r="Q2226" s="7">
        <v>5.0960000000000001</v>
      </c>
      <c r="R2226" s="7">
        <v>5.56</v>
      </c>
      <c r="S2226" s="7">
        <f t="shared" si="34"/>
        <v>4.9343333333333339</v>
      </c>
    </row>
    <row r="2227" spans="1:19">
      <c r="A2227" s="5" t="str">
        <f>B2227&amp;"-"&amp;COUNTIF($B$2:B2227,B2227)</f>
        <v>MINAS GERAIS-661</v>
      </c>
      <c r="B2227" s="5" t="s">
        <v>1126</v>
      </c>
      <c r="C2227" s="5" t="s">
        <v>4009</v>
      </c>
      <c r="D2227" s="6">
        <v>-420121</v>
      </c>
      <c r="E2227" s="6">
        <v>-195267</v>
      </c>
      <c r="F2227" s="7">
        <v>4.7140000000000004</v>
      </c>
      <c r="G2227" s="7">
        <v>5.7469999999999999</v>
      </c>
      <c r="H2227" s="7">
        <v>5.99</v>
      </c>
      <c r="I2227" s="7">
        <v>4.9800000000000004</v>
      </c>
      <c r="J2227" s="7">
        <v>4.3789999999999996</v>
      </c>
      <c r="K2227" s="7">
        <v>3.7410000000000001</v>
      </c>
      <c r="L2227" s="7">
        <v>3.5350000000000001</v>
      </c>
      <c r="M2227" s="7">
        <v>3.6949999999999998</v>
      </c>
      <c r="N2227" s="7">
        <v>4.3570000000000002</v>
      </c>
      <c r="O2227" s="7">
        <v>4.7859999999999996</v>
      </c>
      <c r="P2227" s="7">
        <v>4.9409999999999998</v>
      </c>
      <c r="Q2227" s="7">
        <v>4.7839999999999998</v>
      </c>
      <c r="R2227" s="7">
        <v>5.6369999999999996</v>
      </c>
      <c r="S2227" s="7">
        <f t="shared" si="34"/>
        <v>4.7143333333333333</v>
      </c>
    </row>
    <row r="2228" spans="1:19">
      <c r="A2228" s="5" t="str">
        <f>B2228&amp;"-"&amp;COUNTIF($B$2:B2228,B2228)</f>
        <v>MINAS GERAIS-662</v>
      </c>
      <c r="B2228" s="5" t="s">
        <v>1126</v>
      </c>
      <c r="C2228" s="5" t="s">
        <v>4010</v>
      </c>
      <c r="D2228" s="6">
        <v>-429714</v>
      </c>
      <c r="E2228" s="6">
        <v>-198683</v>
      </c>
      <c r="F2228" s="7">
        <v>4.7320000000000002</v>
      </c>
      <c r="G2228" s="7">
        <v>5.5590000000000002</v>
      </c>
      <c r="H2228" s="7">
        <v>5.915</v>
      </c>
      <c r="I2228" s="7">
        <v>4.9059999999999997</v>
      </c>
      <c r="J2228" s="7">
        <v>4.4400000000000004</v>
      </c>
      <c r="K2228" s="7">
        <v>3.8079999999999998</v>
      </c>
      <c r="L2228" s="7">
        <v>3.5910000000000002</v>
      </c>
      <c r="M2228" s="7">
        <v>3.847</v>
      </c>
      <c r="N2228" s="7">
        <v>4.6059999999999999</v>
      </c>
      <c r="O2228" s="7">
        <v>4.92</v>
      </c>
      <c r="P2228" s="7">
        <v>5.016</v>
      </c>
      <c r="Q2228" s="7">
        <v>4.71</v>
      </c>
      <c r="R2228" s="7">
        <v>5.4619999999999997</v>
      </c>
      <c r="S2228" s="7">
        <f t="shared" si="34"/>
        <v>4.7316666666666665</v>
      </c>
    </row>
    <row r="2229" spans="1:19">
      <c r="A2229" s="5" t="str">
        <f>B2229&amp;"-"&amp;COUNTIF($B$2:B2229,B2229)</f>
        <v>MINAS GERAIS-663</v>
      </c>
      <c r="B2229" s="5" t="s">
        <v>1126</v>
      </c>
      <c r="C2229" s="5" t="s">
        <v>4361</v>
      </c>
      <c r="D2229" s="6">
        <v>-414892</v>
      </c>
      <c r="E2229" s="6">
        <v>-185964</v>
      </c>
      <c r="F2229" s="7">
        <v>4.8</v>
      </c>
      <c r="G2229" s="7">
        <v>5.8949999999999996</v>
      </c>
      <c r="H2229" s="7">
        <v>6.0049999999999999</v>
      </c>
      <c r="I2229" s="7">
        <v>5.1050000000000004</v>
      </c>
      <c r="J2229" s="7">
        <v>4.5010000000000003</v>
      </c>
      <c r="K2229" s="7">
        <v>3.8029999999999999</v>
      </c>
      <c r="L2229" s="7">
        <v>3.5910000000000002</v>
      </c>
      <c r="M2229" s="7">
        <v>3.706</v>
      </c>
      <c r="N2229" s="7">
        <v>4.3319999999999999</v>
      </c>
      <c r="O2229" s="7">
        <v>4.8879999999999999</v>
      </c>
      <c r="P2229" s="7">
        <v>5.1639999999999997</v>
      </c>
      <c r="Q2229" s="7">
        <v>4.9189999999999996</v>
      </c>
      <c r="R2229" s="7">
        <v>5.6929999999999996</v>
      </c>
      <c r="S2229" s="7">
        <f t="shared" si="34"/>
        <v>4.8001666666666667</v>
      </c>
    </row>
    <row r="2230" spans="1:19">
      <c r="A2230" s="5" t="str">
        <f>B2230&amp;"-"&amp;COUNTIF($B$2:B2230,B2230)</f>
        <v>MINAS GERAIS-664</v>
      </c>
      <c r="B2230" s="5" t="s">
        <v>1126</v>
      </c>
      <c r="C2230" s="5" t="s">
        <v>4011</v>
      </c>
      <c r="D2230" s="6">
        <v>-448597</v>
      </c>
      <c r="E2230" s="6">
        <v>-159519</v>
      </c>
      <c r="F2230" s="7">
        <v>5.7309999999999999</v>
      </c>
      <c r="G2230" s="7">
        <v>6.3719999999999999</v>
      </c>
      <c r="H2230" s="7">
        <v>6.5540000000000003</v>
      </c>
      <c r="I2230" s="7">
        <v>5.76</v>
      </c>
      <c r="J2230" s="7">
        <v>5.5679999999999996</v>
      </c>
      <c r="K2230" s="7">
        <v>4.99</v>
      </c>
      <c r="L2230" s="7">
        <v>4.7</v>
      </c>
      <c r="M2230" s="7">
        <v>5.0439999999999996</v>
      </c>
      <c r="N2230" s="7">
        <v>5.8339999999999996</v>
      </c>
      <c r="O2230" s="7">
        <v>5.9640000000000004</v>
      </c>
      <c r="P2230" s="7">
        <v>6.109</v>
      </c>
      <c r="Q2230" s="7">
        <v>5.6840000000000002</v>
      </c>
      <c r="R2230" s="7">
        <v>6.1859999999999999</v>
      </c>
      <c r="S2230" s="7">
        <f t="shared" si="34"/>
        <v>5.7304166666666667</v>
      </c>
    </row>
    <row r="2231" spans="1:19">
      <c r="A2231" s="5" t="str">
        <f>B2231&amp;"-"&amp;COUNTIF($B$2:B2231,B2231)</f>
        <v>MINAS GERAIS-665</v>
      </c>
      <c r="B2231" s="5" t="s">
        <v>1126</v>
      </c>
      <c r="C2231" s="5" t="s">
        <v>4012</v>
      </c>
      <c r="D2231" s="6">
        <v>-449841</v>
      </c>
      <c r="E2231" s="6">
        <v>-207041</v>
      </c>
      <c r="F2231" s="7">
        <v>4.9820000000000002</v>
      </c>
      <c r="G2231" s="7">
        <v>5.6470000000000002</v>
      </c>
      <c r="H2231" s="7">
        <v>5.843</v>
      </c>
      <c r="I2231" s="7">
        <v>4.8840000000000003</v>
      </c>
      <c r="J2231" s="7">
        <v>4.7270000000000003</v>
      </c>
      <c r="K2231" s="7">
        <v>4.101</v>
      </c>
      <c r="L2231" s="7">
        <v>3.9249999999999998</v>
      </c>
      <c r="M2231" s="7">
        <v>4.2060000000000004</v>
      </c>
      <c r="N2231" s="7">
        <v>5.0350000000000001</v>
      </c>
      <c r="O2231" s="7">
        <v>5.2670000000000003</v>
      </c>
      <c r="P2231" s="7">
        <v>5.4340000000000002</v>
      </c>
      <c r="Q2231" s="7">
        <v>5.1479999999999997</v>
      </c>
      <c r="R2231" s="7">
        <v>5.57</v>
      </c>
      <c r="S2231" s="7">
        <f t="shared" si="34"/>
        <v>4.9822500000000014</v>
      </c>
    </row>
    <row r="2232" spans="1:19">
      <c r="A2232" s="5" t="str">
        <f>B2232&amp;"-"&amp;COUNTIF($B$2:B2232,B2232)</f>
        <v>MINAS GERAIS-666</v>
      </c>
      <c r="B2232" s="5" t="s">
        <v>1126</v>
      </c>
      <c r="C2232" s="5" t="s">
        <v>4013</v>
      </c>
      <c r="D2232" s="6">
        <v>-497731</v>
      </c>
      <c r="E2232" s="6">
        <v>-198616</v>
      </c>
      <c r="F2232" s="7">
        <v>5.1740000000000004</v>
      </c>
      <c r="G2232" s="7">
        <v>5.75</v>
      </c>
      <c r="H2232" s="7">
        <v>5.8620000000000001</v>
      </c>
      <c r="I2232" s="7">
        <v>5.234</v>
      </c>
      <c r="J2232" s="7">
        <v>4.9850000000000003</v>
      </c>
      <c r="K2232" s="7">
        <v>4.2549999999999999</v>
      </c>
      <c r="L2232" s="7">
        <v>3.9910000000000001</v>
      </c>
      <c r="M2232" s="7">
        <v>4.2560000000000002</v>
      </c>
      <c r="N2232" s="7">
        <v>5.1239999999999997</v>
      </c>
      <c r="O2232" s="7">
        <v>5.0979999999999999</v>
      </c>
      <c r="P2232" s="7">
        <v>5.59</v>
      </c>
      <c r="Q2232" s="7">
        <v>5.8419999999999996</v>
      </c>
      <c r="R2232" s="7">
        <v>6.1040000000000001</v>
      </c>
      <c r="S2232" s="7">
        <f t="shared" si="34"/>
        <v>5.1742499999999998</v>
      </c>
    </row>
    <row r="2233" spans="1:19">
      <c r="A2233" s="5" t="str">
        <f>B2233&amp;"-"&amp;COUNTIF($B$2:B2233,B2233)</f>
        <v>MINAS GERAIS-667</v>
      </c>
      <c r="B2233" s="5" t="s">
        <v>1126</v>
      </c>
      <c r="C2233" s="5" t="s">
        <v>5140</v>
      </c>
      <c r="D2233" s="6">
        <v>-422676</v>
      </c>
      <c r="E2233" s="6">
        <v>-207928</v>
      </c>
      <c r="F2233" s="7">
        <v>4.7889999999999997</v>
      </c>
      <c r="G2233" s="7">
        <v>5.8179999999999996</v>
      </c>
      <c r="H2233" s="7">
        <v>6.0380000000000003</v>
      </c>
      <c r="I2233" s="7">
        <v>4.9530000000000003</v>
      </c>
      <c r="J2233" s="7">
        <v>4.3780000000000001</v>
      </c>
      <c r="K2233" s="7">
        <v>3.8090000000000002</v>
      </c>
      <c r="L2233" s="7">
        <v>3.6869999999999998</v>
      </c>
      <c r="M2233" s="7">
        <v>3.8090000000000002</v>
      </c>
      <c r="N2233" s="7">
        <v>4.6189999999999998</v>
      </c>
      <c r="O2233" s="7">
        <v>4.968</v>
      </c>
      <c r="P2233" s="7">
        <v>5.056</v>
      </c>
      <c r="Q2233" s="7">
        <v>4.7729999999999997</v>
      </c>
      <c r="R2233" s="7">
        <v>5.5609999999999999</v>
      </c>
      <c r="S2233" s="7">
        <f t="shared" si="34"/>
        <v>4.7890833333333331</v>
      </c>
    </row>
    <row r="2234" spans="1:19">
      <c r="A2234" s="5" t="str">
        <f>B2234&amp;"-"&amp;COUNTIF($B$2:B2234,B2234)</f>
        <v>MINAS GERAIS-668</v>
      </c>
      <c r="B2234" s="5" t="s">
        <v>1126</v>
      </c>
      <c r="C2234" s="5" t="s">
        <v>4014</v>
      </c>
      <c r="D2234" s="6">
        <v>-428367</v>
      </c>
      <c r="E2234" s="6">
        <v>-209257</v>
      </c>
      <c r="F2234" s="7">
        <v>4.7549999999999999</v>
      </c>
      <c r="G2234" s="7">
        <v>5.6980000000000004</v>
      </c>
      <c r="H2234" s="7">
        <v>5.9470000000000001</v>
      </c>
      <c r="I2234" s="7">
        <v>4.9820000000000002</v>
      </c>
      <c r="J2234" s="7">
        <v>4.3789999999999996</v>
      </c>
      <c r="K2234" s="7">
        <v>3.742</v>
      </c>
      <c r="L2234" s="7">
        <v>3.585</v>
      </c>
      <c r="M2234" s="7">
        <v>3.7730000000000001</v>
      </c>
      <c r="N2234" s="7">
        <v>4.5659999999999998</v>
      </c>
      <c r="O2234" s="7">
        <v>4.8559999999999999</v>
      </c>
      <c r="P2234" s="7">
        <v>5.0709999999999997</v>
      </c>
      <c r="Q2234" s="7">
        <v>4.8890000000000002</v>
      </c>
      <c r="R2234" s="7">
        <v>5.5720000000000001</v>
      </c>
      <c r="S2234" s="7">
        <f t="shared" si="34"/>
        <v>4.7550000000000008</v>
      </c>
    </row>
    <row r="2235" spans="1:19">
      <c r="A2235" s="5" t="str">
        <f>B2235&amp;"-"&amp;COUNTIF($B$2:B2235,B2235)</f>
        <v>MINAS GERAIS-669</v>
      </c>
      <c r="B2235" s="5" t="s">
        <v>1126</v>
      </c>
      <c r="C2235" s="5" t="s">
        <v>4015</v>
      </c>
      <c r="D2235" s="6">
        <v>-422886</v>
      </c>
      <c r="E2235" s="6">
        <v>-188443</v>
      </c>
      <c r="F2235" s="7">
        <v>4.7450000000000001</v>
      </c>
      <c r="G2235" s="7">
        <v>5.7750000000000004</v>
      </c>
      <c r="H2235" s="7">
        <v>5.9779999999999998</v>
      </c>
      <c r="I2235" s="7">
        <v>5.0490000000000004</v>
      </c>
      <c r="J2235" s="7">
        <v>4.4980000000000002</v>
      </c>
      <c r="K2235" s="7">
        <v>3.7770000000000001</v>
      </c>
      <c r="L2235" s="7">
        <v>3.6059999999999999</v>
      </c>
      <c r="M2235" s="7">
        <v>3.7149999999999999</v>
      </c>
      <c r="N2235" s="7">
        <v>4.3890000000000002</v>
      </c>
      <c r="O2235" s="7">
        <v>4.87</v>
      </c>
      <c r="P2235" s="7">
        <v>5.032</v>
      </c>
      <c r="Q2235" s="7">
        <v>4.7110000000000003</v>
      </c>
      <c r="R2235" s="7">
        <v>5.5350000000000001</v>
      </c>
      <c r="S2235" s="7">
        <f t="shared" si="34"/>
        <v>4.744583333333332</v>
      </c>
    </row>
    <row r="2236" spans="1:19">
      <c r="A2236" s="5" t="str">
        <f>B2236&amp;"-"&amp;COUNTIF($B$2:B2236,B2236)</f>
        <v>MINAS GERAIS-670</v>
      </c>
      <c r="B2236" s="5" t="s">
        <v>1126</v>
      </c>
      <c r="C2236" s="5" t="s">
        <v>4016</v>
      </c>
      <c r="D2236" s="6">
        <v>-413633</v>
      </c>
      <c r="E2236" s="6">
        <v>-189101</v>
      </c>
      <c r="F2236" s="7">
        <v>4.8369999999999997</v>
      </c>
      <c r="G2236" s="7">
        <v>5.9779999999999998</v>
      </c>
      <c r="H2236" s="7">
        <v>6.1109999999999998</v>
      </c>
      <c r="I2236" s="7">
        <v>5.2190000000000003</v>
      </c>
      <c r="J2236" s="7">
        <v>4.5679999999999996</v>
      </c>
      <c r="K2236" s="7">
        <v>3.8889999999999998</v>
      </c>
      <c r="L2236" s="7">
        <v>3.589</v>
      </c>
      <c r="M2236" s="7">
        <v>3.6859999999999999</v>
      </c>
      <c r="N2236" s="7">
        <v>4.3289999999999997</v>
      </c>
      <c r="O2236" s="7">
        <v>4.8520000000000003</v>
      </c>
      <c r="P2236" s="7">
        <v>5.1040000000000001</v>
      </c>
      <c r="Q2236" s="7">
        <v>4.9539999999999997</v>
      </c>
      <c r="R2236" s="7">
        <v>5.7670000000000003</v>
      </c>
      <c r="S2236" s="7">
        <f t="shared" si="34"/>
        <v>4.8371666666666657</v>
      </c>
    </row>
    <row r="2237" spans="1:19">
      <c r="A2237" s="5" t="str">
        <f>B2237&amp;"-"&amp;COUNTIF($B$2:B2237,B2237)</f>
        <v>MINAS GERAIS-671</v>
      </c>
      <c r="B2237" s="5" t="s">
        <v>1126</v>
      </c>
      <c r="C2237" s="5" t="s">
        <v>4679</v>
      </c>
      <c r="D2237" s="6">
        <v>-458335</v>
      </c>
      <c r="E2237" s="6">
        <v>-183403</v>
      </c>
      <c r="F2237" s="7">
        <v>5.3789999999999996</v>
      </c>
      <c r="G2237" s="7">
        <v>5.9530000000000003</v>
      </c>
      <c r="H2237" s="7">
        <v>6.165</v>
      </c>
      <c r="I2237" s="7">
        <v>5.1710000000000003</v>
      </c>
      <c r="J2237" s="7">
        <v>5.0759999999999996</v>
      </c>
      <c r="K2237" s="7">
        <v>4.7009999999999996</v>
      </c>
      <c r="L2237" s="7">
        <v>4.4290000000000003</v>
      </c>
      <c r="M2237" s="7">
        <v>4.8339999999999996</v>
      </c>
      <c r="N2237" s="7">
        <v>5.6719999999999997</v>
      </c>
      <c r="O2237" s="7">
        <v>5.8540000000000001</v>
      </c>
      <c r="P2237" s="7">
        <v>5.6870000000000003</v>
      </c>
      <c r="Q2237" s="7">
        <v>5.306</v>
      </c>
      <c r="R2237" s="7">
        <v>5.7039999999999997</v>
      </c>
      <c r="S2237" s="7">
        <f t="shared" si="34"/>
        <v>5.3793333333333324</v>
      </c>
    </row>
    <row r="2238" spans="1:19">
      <c r="A2238" s="5" t="str">
        <f>B2238&amp;"-"&amp;COUNTIF($B$2:B2238,B2238)</f>
        <v>MINAS GERAIS-672</v>
      </c>
      <c r="B2238" s="5" t="s">
        <v>1126</v>
      </c>
      <c r="C2238" s="5" t="s">
        <v>5607</v>
      </c>
      <c r="D2238" s="6">
        <v>-448597</v>
      </c>
      <c r="E2238" s="6">
        <v>-199826</v>
      </c>
      <c r="F2238" s="7">
        <v>5.1779999999999999</v>
      </c>
      <c r="G2238" s="7">
        <v>5.9109999999999996</v>
      </c>
      <c r="H2238" s="7">
        <v>6.0510000000000002</v>
      </c>
      <c r="I2238" s="7">
        <v>5.1529999999999996</v>
      </c>
      <c r="J2238" s="7">
        <v>4.8849999999999998</v>
      </c>
      <c r="K2238" s="7">
        <v>4.2750000000000004</v>
      </c>
      <c r="L2238" s="7">
        <v>4.1529999999999996</v>
      </c>
      <c r="M2238" s="7">
        <v>4.375</v>
      </c>
      <c r="N2238" s="7">
        <v>5.27</v>
      </c>
      <c r="O2238" s="7">
        <v>5.4729999999999999</v>
      </c>
      <c r="P2238" s="7">
        <v>5.59</v>
      </c>
      <c r="Q2238" s="7">
        <v>5.3410000000000002</v>
      </c>
      <c r="R2238" s="7">
        <v>5.66</v>
      </c>
      <c r="S2238" s="7">
        <f t="shared" si="34"/>
        <v>5.1780833333333334</v>
      </c>
    </row>
    <row r="2239" spans="1:19">
      <c r="A2239" s="5" t="str">
        <f>B2239&amp;"-"&amp;COUNTIF($B$2:B2239,B2239)</f>
        <v>MINAS GERAIS-673</v>
      </c>
      <c r="B2239" s="5" t="s">
        <v>1126</v>
      </c>
      <c r="C2239" s="5" t="s">
        <v>4680</v>
      </c>
      <c r="D2239" s="6">
        <v>-433664</v>
      </c>
      <c r="E2239" s="6">
        <v>-198226</v>
      </c>
      <c r="F2239" s="7">
        <v>4.7770000000000001</v>
      </c>
      <c r="G2239" s="7">
        <v>5.5339999999999998</v>
      </c>
      <c r="H2239" s="7">
        <v>5.81</v>
      </c>
      <c r="I2239" s="7">
        <v>4.8920000000000003</v>
      </c>
      <c r="J2239" s="7">
        <v>4.4779999999999998</v>
      </c>
      <c r="K2239" s="7">
        <v>3.8580000000000001</v>
      </c>
      <c r="L2239" s="7">
        <v>3.7109999999999999</v>
      </c>
      <c r="M2239" s="7">
        <v>3.9489999999999998</v>
      </c>
      <c r="N2239" s="7">
        <v>4.7329999999999997</v>
      </c>
      <c r="O2239" s="7">
        <v>5.0090000000000003</v>
      </c>
      <c r="P2239" s="7">
        <v>5.1120000000000001</v>
      </c>
      <c r="Q2239" s="7">
        <v>4.8150000000000004</v>
      </c>
      <c r="R2239" s="7">
        <v>5.4169999999999998</v>
      </c>
      <c r="S2239" s="7">
        <f t="shared" si="34"/>
        <v>4.7764999999999995</v>
      </c>
    </row>
    <row r="2240" spans="1:19">
      <c r="A2240" s="5" t="str">
        <f>B2240&amp;"-"&amp;COUNTIF($B$2:B2240,B2240)</f>
        <v>MINAS GERAIS-674</v>
      </c>
      <c r="B2240" s="5" t="s">
        <v>1126</v>
      </c>
      <c r="C2240" s="5" t="s">
        <v>4681</v>
      </c>
      <c r="D2240" s="6">
        <v>-433817</v>
      </c>
      <c r="E2240" s="6">
        <v>-179993</v>
      </c>
      <c r="F2240" s="7">
        <v>5.07</v>
      </c>
      <c r="G2240" s="7">
        <v>5.9269999999999996</v>
      </c>
      <c r="H2240" s="7">
        <v>6.2130000000000001</v>
      </c>
      <c r="I2240" s="7">
        <v>5.1390000000000002</v>
      </c>
      <c r="J2240" s="7">
        <v>4.6539999999999999</v>
      </c>
      <c r="K2240" s="7">
        <v>4.1219999999999999</v>
      </c>
      <c r="L2240" s="7">
        <v>4.0069999999999997</v>
      </c>
      <c r="M2240" s="7">
        <v>4.17</v>
      </c>
      <c r="N2240" s="7">
        <v>5.0090000000000003</v>
      </c>
      <c r="O2240" s="7">
        <v>5.4870000000000001</v>
      </c>
      <c r="P2240" s="7">
        <v>5.4660000000000002</v>
      </c>
      <c r="Q2240" s="7">
        <v>4.9560000000000004</v>
      </c>
      <c r="R2240" s="7">
        <v>5.6950000000000003</v>
      </c>
      <c r="S2240" s="7">
        <f t="shared" si="34"/>
        <v>5.0704166666666675</v>
      </c>
    </row>
    <row r="2241" spans="1:19">
      <c r="A2241" s="5" t="str">
        <f>B2241&amp;"-"&amp;COUNTIF($B$2:B2241,B2241)</f>
        <v>MINAS GERAIS-675</v>
      </c>
      <c r="B2241" s="5" t="s">
        <v>1126</v>
      </c>
      <c r="C2241" s="5" t="s">
        <v>4682</v>
      </c>
      <c r="D2241" s="6">
        <v>-455897</v>
      </c>
      <c r="E2241" s="6">
        <v>-218937</v>
      </c>
      <c r="F2241" s="7">
        <v>4.8220000000000001</v>
      </c>
      <c r="G2241" s="7">
        <v>5.3789999999999996</v>
      </c>
      <c r="H2241" s="7">
        <v>5.68</v>
      </c>
      <c r="I2241" s="7">
        <v>4.8179999999999996</v>
      </c>
      <c r="J2241" s="7">
        <v>4.5720000000000001</v>
      </c>
      <c r="K2241" s="7">
        <v>3.8969999999999998</v>
      </c>
      <c r="L2241" s="7">
        <v>3.6709999999999998</v>
      </c>
      <c r="M2241" s="7">
        <v>3.8839999999999999</v>
      </c>
      <c r="N2241" s="7">
        <v>4.7759999999999998</v>
      </c>
      <c r="O2241" s="7">
        <v>4.9850000000000003</v>
      </c>
      <c r="P2241" s="7">
        <v>5.415</v>
      </c>
      <c r="Q2241" s="7">
        <v>5.2130000000000001</v>
      </c>
      <c r="R2241" s="7">
        <v>5.5759999999999996</v>
      </c>
      <c r="S2241" s="7">
        <f t="shared" si="34"/>
        <v>4.822166666666666</v>
      </c>
    </row>
    <row r="2242" spans="1:19">
      <c r="A2242" s="5" t="str">
        <f>B2242&amp;"-"&amp;COUNTIF($B$2:B2242,B2242)</f>
        <v>MINAS GERAIS-676</v>
      </c>
      <c r="B2242" s="5" t="s">
        <v>1126</v>
      </c>
      <c r="C2242" s="5" t="s">
        <v>4017</v>
      </c>
      <c r="D2242" s="6">
        <v>-460469</v>
      </c>
      <c r="E2242" s="6">
        <v>-193092</v>
      </c>
      <c r="F2242" s="7">
        <v>5.12</v>
      </c>
      <c r="G2242" s="7">
        <v>5.6319999999999997</v>
      </c>
      <c r="H2242" s="7">
        <v>5.9710000000000001</v>
      </c>
      <c r="I2242" s="7">
        <v>4.8760000000000003</v>
      </c>
      <c r="J2242" s="7">
        <v>4.8070000000000004</v>
      </c>
      <c r="K2242" s="7">
        <v>4.4470000000000001</v>
      </c>
      <c r="L2242" s="7">
        <v>4.2370000000000001</v>
      </c>
      <c r="M2242" s="7">
        <v>4.5199999999999996</v>
      </c>
      <c r="N2242" s="7">
        <v>5.5110000000000001</v>
      </c>
      <c r="O2242" s="7">
        <v>5.5209999999999999</v>
      </c>
      <c r="P2242" s="7">
        <v>5.4779999999999998</v>
      </c>
      <c r="Q2242" s="7">
        <v>5.024</v>
      </c>
      <c r="R2242" s="7">
        <v>5.4180000000000001</v>
      </c>
      <c r="S2242" s="7">
        <f t="shared" si="34"/>
        <v>5.120166666666667</v>
      </c>
    </row>
    <row r="2243" spans="1:19">
      <c r="A2243" s="5" t="str">
        <f>B2243&amp;"-"&amp;COUNTIF($B$2:B2243,B2243)</f>
        <v>MINAS GERAIS-677</v>
      </c>
      <c r="B2243" s="5" t="s">
        <v>1126</v>
      </c>
      <c r="C2243" s="5" t="s">
        <v>5141</v>
      </c>
      <c r="D2243" s="6">
        <v>-465084</v>
      </c>
      <c r="E2243" s="6">
        <v>-206355</v>
      </c>
      <c r="F2243" s="7">
        <v>5.0750000000000002</v>
      </c>
      <c r="G2243" s="7">
        <v>5.6609999999999996</v>
      </c>
      <c r="H2243" s="7">
        <v>5.8940000000000001</v>
      </c>
      <c r="I2243" s="7">
        <v>5.0250000000000004</v>
      </c>
      <c r="J2243" s="7">
        <v>4.8369999999999997</v>
      </c>
      <c r="K2243" s="7">
        <v>4.24</v>
      </c>
      <c r="L2243" s="7">
        <v>4</v>
      </c>
      <c r="M2243" s="7">
        <v>4.234</v>
      </c>
      <c r="N2243" s="7">
        <v>5.0759999999999996</v>
      </c>
      <c r="O2243" s="7">
        <v>5.1950000000000003</v>
      </c>
      <c r="P2243" s="7">
        <v>5.5720000000000001</v>
      </c>
      <c r="Q2243" s="7">
        <v>5.4560000000000004</v>
      </c>
      <c r="R2243" s="7">
        <v>5.7050000000000001</v>
      </c>
      <c r="S2243" s="7">
        <f t="shared" ref="S2243:S2306" si="35">(G2243+H2243+I2243+J2243+K2243+L2243+M2243+N2243+O2243+P2243+Q2243+R2243)/12</f>
        <v>5.0745833333333339</v>
      </c>
    </row>
    <row r="2244" spans="1:19">
      <c r="A2244" s="5" t="str">
        <f>B2244&amp;"-"&amp;COUNTIF($B$2:B2244,B2244)</f>
        <v>MINAS GERAIS-678</v>
      </c>
      <c r="B2244" s="5" t="s">
        <v>1126</v>
      </c>
      <c r="C2244" s="5" t="s">
        <v>4018</v>
      </c>
      <c r="D2244" s="6">
        <v>-443461</v>
      </c>
      <c r="E2244" s="6">
        <v>-168508</v>
      </c>
      <c r="F2244" s="7">
        <v>5.56</v>
      </c>
      <c r="G2244" s="7">
        <v>6.133</v>
      </c>
      <c r="H2244" s="7">
        <v>6.4189999999999996</v>
      </c>
      <c r="I2244" s="7">
        <v>5.4779999999999998</v>
      </c>
      <c r="J2244" s="7">
        <v>5.3540000000000001</v>
      </c>
      <c r="K2244" s="7">
        <v>4.867</v>
      </c>
      <c r="L2244" s="7">
        <v>4.57</v>
      </c>
      <c r="M2244" s="7">
        <v>4.9189999999999996</v>
      </c>
      <c r="N2244" s="7">
        <v>5.6790000000000003</v>
      </c>
      <c r="O2244" s="7">
        <v>5.99</v>
      </c>
      <c r="P2244" s="7">
        <v>5.9320000000000004</v>
      </c>
      <c r="Q2244" s="7">
        <v>5.4009999999999998</v>
      </c>
      <c r="R2244" s="7">
        <v>5.9740000000000002</v>
      </c>
      <c r="S2244" s="7">
        <f t="shared" si="35"/>
        <v>5.5596666666666676</v>
      </c>
    </row>
    <row r="2245" spans="1:19">
      <c r="A2245" s="5" t="str">
        <f>B2245&amp;"-"&amp;COUNTIF($B$2:B2245,B2245)</f>
        <v>MINAS GERAIS-679</v>
      </c>
      <c r="B2245" s="5" t="s">
        <v>1126</v>
      </c>
      <c r="C2245" s="5" t="s">
        <v>4019</v>
      </c>
      <c r="D2245" s="6">
        <v>-459301</v>
      </c>
      <c r="E2245" s="6">
        <v>-219285</v>
      </c>
      <c r="F2245" s="7">
        <v>4.7590000000000003</v>
      </c>
      <c r="G2245" s="7">
        <v>5.2549999999999999</v>
      </c>
      <c r="H2245" s="7">
        <v>5.569</v>
      </c>
      <c r="I2245" s="7">
        <v>4.7190000000000003</v>
      </c>
      <c r="J2245" s="7">
        <v>4.4740000000000002</v>
      </c>
      <c r="K2245" s="7">
        <v>3.8849999999999998</v>
      </c>
      <c r="L2245" s="7">
        <v>3.621</v>
      </c>
      <c r="M2245" s="7">
        <v>3.8820000000000001</v>
      </c>
      <c r="N2245" s="7">
        <v>4.8239999999999998</v>
      </c>
      <c r="O2245" s="7">
        <v>4.9489999999999998</v>
      </c>
      <c r="P2245" s="7">
        <v>5.282</v>
      </c>
      <c r="Q2245" s="7">
        <v>5.1079999999999997</v>
      </c>
      <c r="R2245" s="7">
        <v>5.54</v>
      </c>
      <c r="S2245" s="7">
        <f t="shared" si="35"/>
        <v>4.7589999999999995</v>
      </c>
    </row>
    <row r="2246" spans="1:19">
      <c r="A2246" s="5" t="str">
        <f>B2246&amp;"-"&amp;COUNTIF($B$2:B2246,B2246)</f>
        <v>MINAS GERAIS-680</v>
      </c>
      <c r="B2246" s="5" t="s">
        <v>1126</v>
      </c>
      <c r="C2246" s="5" t="s">
        <v>4020</v>
      </c>
      <c r="D2246" s="6">
        <v>-440058</v>
      </c>
      <c r="E2246" s="6">
        <v>-159287</v>
      </c>
      <c r="F2246" s="7">
        <v>5.6989999999999998</v>
      </c>
      <c r="G2246" s="7">
        <v>6.2859999999999996</v>
      </c>
      <c r="H2246" s="7">
        <v>6.6660000000000004</v>
      </c>
      <c r="I2246" s="7">
        <v>5.71</v>
      </c>
      <c r="J2246" s="7">
        <v>5.5309999999999997</v>
      </c>
      <c r="K2246" s="7">
        <v>4.9219999999999997</v>
      </c>
      <c r="L2246" s="7">
        <v>4.6760000000000002</v>
      </c>
      <c r="M2246" s="7">
        <v>4.9989999999999997</v>
      </c>
      <c r="N2246" s="7">
        <v>5.782</v>
      </c>
      <c r="O2246" s="7">
        <v>6.0519999999999996</v>
      </c>
      <c r="P2246" s="7">
        <v>6.0629999999999997</v>
      </c>
      <c r="Q2246" s="7">
        <v>5.51</v>
      </c>
      <c r="R2246" s="7">
        <v>6.1909999999999998</v>
      </c>
      <c r="S2246" s="7">
        <f t="shared" si="35"/>
        <v>5.6990000000000007</v>
      </c>
    </row>
    <row r="2247" spans="1:19">
      <c r="A2247" s="5" t="str">
        <f>B2247&amp;"-"&amp;COUNTIF($B$2:B2247,B2247)</f>
        <v>MINAS GERAIS-681</v>
      </c>
      <c r="B2247" s="5" t="s">
        <v>1126</v>
      </c>
      <c r="C2247" s="5" t="s">
        <v>5436</v>
      </c>
      <c r="D2247" s="6">
        <v>-440802</v>
      </c>
      <c r="E2247" s="6">
        <v>-148815</v>
      </c>
      <c r="F2247" s="7">
        <v>5.8179999999999996</v>
      </c>
      <c r="G2247" s="7">
        <v>6.4470000000000001</v>
      </c>
      <c r="H2247" s="7">
        <v>6.6580000000000004</v>
      </c>
      <c r="I2247" s="7">
        <v>5.915</v>
      </c>
      <c r="J2247" s="7">
        <v>5.6840000000000002</v>
      </c>
      <c r="K2247" s="7">
        <v>4.9989999999999997</v>
      </c>
      <c r="L2247" s="7">
        <v>4.8109999999999999</v>
      </c>
      <c r="M2247" s="7">
        <v>5.1710000000000003</v>
      </c>
      <c r="N2247" s="7">
        <v>5.7279999999999998</v>
      </c>
      <c r="O2247" s="7">
        <v>6.2160000000000002</v>
      </c>
      <c r="P2247" s="7">
        <v>6.218</v>
      </c>
      <c r="Q2247" s="7">
        <v>5.6890000000000001</v>
      </c>
      <c r="R2247" s="7">
        <v>6.2830000000000004</v>
      </c>
      <c r="S2247" s="7">
        <f t="shared" si="35"/>
        <v>5.818249999999999</v>
      </c>
    </row>
    <row r="2248" spans="1:19">
      <c r="A2248" s="5" t="str">
        <f>B2248&amp;"-"&amp;COUNTIF($B$2:B2248,B2248)</f>
        <v>MINAS GERAIS-682</v>
      </c>
      <c r="B2248" s="5" t="s">
        <v>1126</v>
      </c>
      <c r="C2248" s="5" t="s">
        <v>4021</v>
      </c>
      <c r="D2248" s="6">
        <v>-44253</v>
      </c>
      <c r="E2248" s="6">
        <v>-211315</v>
      </c>
      <c r="F2248" s="7">
        <v>4.806</v>
      </c>
      <c r="G2248" s="7">
        <v>5.55</v>
      </c>
      <c r="H2248" s="7">
        <v>5.7679999999999998</v>
      </c>
      <c r="I2248" s="7">
        <v>4.899</v>
      </c>
      <c r="J2248" s="7">
        <v>4.444</v>
      </c>
      <c r="K2248" s="7">
        <v>3.8330000000000002</v>
      </c>
      <c r="L2248" s="7">
        <v>3.65</v>
      </c>
      <c r="M2248" s="7">
        <v>3.8940000000000001</v>
      </c>
      <c r="N2248" s="7">
        <v>4.8239999999999998</v>
      </c>
      <c r="O2248" s="7">
        <v>5.0369999999999999</v>
      </c>
      <c r="P2248" s="7">
        <v>5.24</v>
      </c>
      <c r="Q2248" s="7">
        <v>4.9930000000000003</v>
      </c>
      <c r="R2248" s="7">
        <v>5.5469999999999997</v>
      </c>
      <c r="S2248" s="7">
        <f t="shared" si="35"/>
        <v>4.8065833333333332</v>
      </c>
    </row>
    <row r="2249" spans="1:19">
      <c r="A2249" s="5" t="str">
        <f>B2249&amp;"-"&amp;COUNTIF($B$2:B2249,B2249)</f>
        <v>MINAS GERAIS-683</v>
      </c>
      <c r="B2249" s="5" t="s">
        <v>1126</v>
      </c>
      <c r="C2249" s="5" t="s">
        <v>4683</v>
      </c>
      <c r="D2249" s="6">
        <v>-421536</v>
      </c>
      <c r="E2249" s="6">
        <v>-203938</v>
      </c>
      <c r="F2249" s="7">
        <v>4.6589999999999998</v>
      </c>
      <c r="G2249" s="7">
        <v>5.5380000000000003</v>
      </c>
      <c r="H2249" s="7">
        <v>5.7750000000000004</v>
      </c>
      <c r="I2249" s="7">
        <v>4.835</v>
      </c>
      <c r="J2249" s="7">
        <v>4.3949999999999996</v>
      </c>
      <c r="K2249" s="7">
        <v>3.7440000000000002</v>
      </c>
      <c r="L2249" s="7">
        <v>3.613</v>
      </c>
      <c r="M2249" s="7">
        <v>3.762</v>
      </c>
      <c r="N2249" s="7">
        <v>4.4980000000000002</v>
      </c>
      <c r="O2249" s="7">
        <v>4.84</v>
      </c>
      <c r="P2249" s="7">
        <v>4.9109999999999996</v>
      </c>
      <c r="Q2249" s="7">
        <v>4.6219999999999999</v>
      </c>
      <c r="R2249" s="7">
        <v>5.3769999999999998</v>
      </c>
      <c r="S2249" s="7">
        <f t="shared" si="35"/>
        <v>4.6591666666666667</v>
      </c>
    </row>
    <row r="2250" spans="1:19">
      <c r="A2250" s="5" t="str">
        <f>B2250&amp;"-"&amp;COUNTIF($B$2:B2250,B2250)</f>
        <v>MINAS GERAIS-684</v>
      </c>
      <c r="B2250" s="5" t="s">
        <v>1126</v>
      </c>
      <c r="C2250" s="5" t="s">
        <v>4022</v>
      </c>
      <c r="D2250" s="6">
        <v>-411632</v>
      </c>
      <c r="E2250" s="6">
        <v>-187235</v>
      </c>
      <c r="F2250" s="7">
        <v>4.9420000000000002</v>
      </c>
      <c r="G2250" s="7">
        <v>6.1619999999999999</v>
      </c>
      <c r="H2250" s="7">
        <v>6.2439999999999998</v>
      </c>
      <c r="I2250" s="7">
        <v>5.3579999999999997</v>
      </c>
      <c r="J2250" s="7">
        <v>4.6970000000000001</v>
      </c>
      <c r="K2250" s="7">
        <v>3.9359999999999999</v>
      </c>
      <c r="L2250" s="7">
        <v>3.6480000000000001</v>
      </c>
      <c r="M2250" s="7">
        <v>3.7669999999999999</v>
      </c>
      <c r="N2250" s="7">
        <v>4.3890000000000002</v>
      </c>
      <c r="O2250" s="7">
        <v>4.96</v>
      </c>
      <c r="P2250" s="7">
        <v>5.2089999999999996</v>
      </c>
      <c r="Q2250" s="7">
        <v>5.0830000000000002</v>
      </c>
      <c r="R2250" s="7">
        <v>5.8570000000000002</v>
      </c>
      <c r="S2250" s="7">
        <f t="shared" si="35"/>
        <v>4.9424999999999999</v>
      </c>
    </row>
    <row r="2251" spans="1:19">
      <c r="A2251" s="5" t="str">
        <f>B2251&amp;"-"&amp;COUNTIF($B$2:B2251,B2251)</f>
        <v>MINAS GERAIS-685</v>
      </c>
      <c r="B2251" s="5" t="s">
        <v>1126</v>
      </c>
      <c r="C2251" s="5" t="s">
        <v>4023</v>
      </c>
      <c r="D2251" s="6">
        <v>-42158</v>
      </c>
      <c r="E2251" s="6">
        <v>-19339</v>
      </c>
      <c r="F2251" s="7">
        <v>4.8369999999999997</v>
      </c>
      <c r="G2251" s="7">
        <v>5.883</v>
      </c>
      <c r="H2251" s="7">
        <v>6.0609999999999999</v>
      </c>
      <c r="I2251" s="7">
        <v>5.1479999999999997</v>
      </c>
      <c r="J2251" s="7">
        <v>4.5999999999999996</v>
      </c>
      <c r="K2251" s="7">
        <v>3.9089999999999998</v>
      </c>
      <c r="L2251" s="7">
        <v>3.653</v>
      </c>
      <c r="M2251" s="7">
        <v>3.7589999999999999</v>
      </c>
      <c r="N2251" s="7">
        <v>4.431</v>
      </c>
      <c r="O2251" s="7">
        <v>4.8520000000000003</v>
      </c>
      <c r="P2251" s="7">
        <v>5.0579999999999998</v>
      </c>
      <c r="Q2251" s="7">
        <v>4.891</v>
      </c>
      <c r="R2251" s="7">
        <v>5.8040000000000003</v>
      </c>
      <c r="S2251" s="7">
        <f t="shared" si="35"/>
        <v>4.837416666666666</v>
      </c>
    </row>
    <row r="2252" spans="1:19">
      <c r="A2252" s="5" t="str">
        <f>B2252&amp;"-"&amp;COUNTIF($B$2:B2252,B2252)</f>
        <v>MINAS GERAIS-686</v>
      </c>
      <c r="B2252" s="5" t="s">
        <v>1126</v>
      </c>
      <c r="C2252" s="5" t="s">
        <v>4024</v>
      </c>
      <c r="D2252" s="6">
        <v>-445302</v>
      </c>
      <c r="E2252" s="6">
        <v>-165326</v>
      </c>
      <c r="F2252" s="7">
        <v>5.6589999999999998</v>
      </c>
      <c r="G2252" s="7">
        <v>6.3150000000000004</v>
      </c>
      <c r="H2252" s="7">
        <v>6.5439999999999996</v>
      </c>
      <c r="I2252" s="7">
        <v>5.6379999999999999</v>
      </c>
      <c r="J2252" s="7">
        <v>5.484</v>
      </c>
      <c r="K2252" s="7">
        <v>4.9400000000000004</v>
      </c>
      <c r="L2252" s="7">
        <v>4.6550000000000002</v>
      </c>
      <c r="M2252" s="7">
        <v>5.01</v>
      </c>
      <c r="N2252" s="7">
        <v>5.8079999999999998</v>
      </c>
      <c r="O2252" s="7">
        <v>5.992</v>
      </c>
      <c r="P2252" s="7">
        <v>6.008</v>
      </c>
      <c r="Q2252" s="7">
        <v>5.415</v>
      </c>
      <c r="R2252" s="7">
        <v>6.1</v>
      </c>
      <c r="S2252" s="7">
        <f t="shared" si="35"/>
        <v>5.6590833333333324</v>
      </c>
    </row>
    <row r="2253" spans="1:19">
      <c r="A2253" s="5" t="str">
        <f>B2253&amp;"-"&amp;COUNTIF($B$2:B2253,B2253)</f>
        <v>MINAS GERAIS-687</v>
      </c>
      <c r="B2253" s="5" t="s">
        <v>1126</v>
      </c>
      <c r="C2253" s="5" t="s">
        <v>3967</v>
      </c>
      <c r="D2253" s="6">
        <v>-420217</v>
      </c>
      <c r="E2253" s="6">
        <v>-153173</v>
      </c>
      <c r="F2253" s="7">
        <v>5.1829999999999998</v>
      </c>
      <c r="G2253" s="7">
        <v>6.0220000000000002</v>
      </c>
      <c r="H2253" s="7">
        <v>6.2480000000000002</v>
      </c>
      <c r="I2253" s="7">
        <v>5.3540000000000001</v>
      </c>
      <c r="J2253" s="7">
        <v>4.7610000000000001</v>
      </c>
      <c r="K2253" s="7">
        <v>4.1589999999999998</v>
      </c>
      <c r="L2253" s="7">
        <v>3.8260000000000001</v>
      </c>
      <c r="M2253" s="7">
        <v>4.0759999999999996</v>
      </c>
      <c r="N2253" s="7">
        <v>4.8170000000000002</v>
      </c>
      <c r="O2253" s="7">
        <v>5.71</v>
      </c>
      <c r="P2253" s="7">
        <v>5.7640000000000002</v>
      </c>
      <c r="Q2253" s="7">
        <v>5.4</v>
      </c>
      <c r="R2253" s="7">
        <v>6.056</v>
      </c>
      <c r="S2253" s="7">
        <f t="shared" si="35"/>
        <v>5.1827499999999995</v>
      </c>
    </row>
    <row r="2254" spans="1:19">
      <c r="A2254" s="5" t="str">
        <f>B2254&amp;"-"&amp;COUNTIF($B$2:B2254,B2254)</f>
        <v>MINAS GERAIS-688</v>
      </c>
      <c r="B2254" s="5" t="s">
        <v>1126</v>
      </c>
      <c r="C2254" s="5" t="s">
        <v>4025</v>
      </c>
      <c r="D2254" s="6">
        <v>-427659</v>
      </c>
      <c r="E2254" s="6">
        <v>-185485</v>
      </c>
      <c r="F2254" s="7">
        <v>4.8490000000000002</v>
      </c>
      <c r="G2254" s="7">
        <v>5.859</v>
      </c>
      <c r="H2254" s="7">
        <v>6.085</v>
      </c>
      <c r="I2254" s="7">
        <v>5.0890000000000004</v>
      </c>
      <c r="J2254" s="7">
        <v>4.4930000000000003</v>
      </c>
      <c r="K2254" s="7">
        <v>3.887</v>
      </c>
      <c r="L2254" s="7">
        <v>3.6960000000000002</v>
      </c>
      <c r="M2254" s="7">
        <v>3.8220000000000001</v>
      </c>
      <c r="N2254" s="7">
        <v>4.516</v>
      </c>
      <c r="O2254" s="7">
        <v>5.024</v>
      </c>
      <c r="P2254" s="7">
        <v>5.2389999999999999</v>
      </c>
      <c r="Q2254" s="7">
        <v>4.8150000000000004</v>
      </c>
      <c r="R2254" s="7">
        <v>5.6619999999999999</v>
      </c>
      <c r="S2254" s="7">
        <f t="shared" si="35"/>
        <v>4.8489166666666668</v>
      </c>
    </row>
    <row r="2255" spans="1:19">
      <c r="A2255" s="5" t="str">
        <f>B2255&amp;"-"&amp;COUNTIF($B$2:B2255,B2255)</f>
        <v>MINAS GERAIS-689</v>
      </c>
      <c r="B2255" s="5" t="s">
        <v>1126</v>
      </c>
      <c r="C2255" s="5" t="s">
        <v>4026</v>
      </c>
      <c r="D2255" s="6">
        <v>-430072</v>
      </c>
      <c r="E2255" s="6">
        <v>-215386</v>
      </c>
      <c r="F2255" s="7">
        <v>4.7</v>
      </c>
      <c r="G2255" s="7">
        <v>5.8129999999999997</v>
      </c>
      <c r="H2255" s="7">
        <v>5.9950000000000001</v>
      </c>
      <c r="I2255" s="7">
        <v>4.9710000000000001</v>
      </c>
      <c r="J2255" s="7">
        <v>4.3410000000000002</v>
      </c>
      <c r="K2255" s="7">
        <v>3.6309999999999998</v>
      </c>
      <c r="L2255" s="7">
        <v>3.4369999999999998</v>
      </c>
      <c r="M2255" s="7">
        <v>3.6240000000000001</v>
      </c>
      <c r="N2255" s="7">
        <v>4.3860000000000001</v>
      </c>
      <c r="O2255" s="7">
        <v>4.7240000000000002</v>
      </c>
      <c r="P2255" s="7">
        <v>5.0039999999999996</v>
      </c>
      <c r="Q2255" s="7">
        <v>4.8579999999999997</v>
      </c>
      <c r="R2255" s="7">
        <v>5.6219999999999999</v>
      </c>
      <c r="S2255" s="7">
        <f t="shared" si="35"/>
        <v>4.700499999999999</v>
      </c>
    </row>
    <row r="2256" spans="1:19">
      <c r="A2256" s="5" t="str">
        <f>B2256&amp;"-"&amp;COUNTIF($B$2:B2256,B2256)</f>
        <v>MINAS GERAIS-690</v>
      </c>
      <c r="B2256" s="5" t="s">
        <v>1126</v>
      </c>
      <c r="C2256" s="5" t="s">
        <v>4027</v>
      </c>
      <c r="D2256" s="6">
        <v>-442753</v>
      </c>
      <c r="E2256" s="6">
        <v>-200484</v>
      </c>
      <c r="F2256" s="7">
        <v>5.1580000000000004</v>
      </c>
      <c r="G2256" s="7">
        <v>5.8689999999999998</v>
      </c>
      <c r="H2256" s="7">
        <v>6.0350000000000001</v>
      </c>
      <c r="I2256" s="7">
        <v>5.1890000000000001</v>
      </c>
      <c r="J2256" s="7">
        <v>4.859</v>
      </c>
      <c r="K2256" s="7">
        <v>4.2380000000000004</v>
      </c>
      <c r="L2256" s="7">
        <v>4.0970000000000004</v>
      </c>
      <c r="M2256" s="7">
        <v>4.351</v>
      </c>
      <c r="N2256" s="7">
        <v>5.1980000000000004</v>
      </c>
      <c r="O2256" s="7">
        <v>5.5060000000000002</v>
      </c>
      <c r="P2256" s="7">
        <v>5.6040000000000001</v>
      </c>
      <c r="Q2256" s="7">
        <v>5.3230000000000004</v>
      </c>
      <c r="R2256" s="7">
        <v>5.625</v>
      </c>
      <c r="S2256" s="7">
        <f t="shared" si="35"/>
        <v>5.1578333333333335</v>
      </c>
    </row>
    <row r="2257" spans="1:19">
      <c r="A2257" s="5" t="str">
        <f>B2257&amp;"-"&amp;COUNTIF($B$2:B2257,B2257)</f>
        <v>MINAS GERAIS-691</v>
      </c>
      <c r="B2257" s="5" t="s">
        <v>1126</v>
      </c>
      <c r="C2257" s="5" t="s">
        <v>4362</v>
      </c>
      <c r="D2257" s="6">
        <v>-463134</v>
      </c>
      <c r="E2257" s="6">
        <v>-207183</v>
      </c>
      <c r="F2257" s="7">
        <v>5.0629999999999997</v>
      </c>
      <c r="G2257" s="7">
        <v>5.6219999999999999</v>
      </c>
      <c r="H2257" s="7">
        <v>5.8079999999999998</v>
      </c>
      <c r="I2257" s="7">
        <v>5.0209999999999999</v>
      </c>
      <c r="J2257" s="7">
        <v>4.8250000000000002</v>
      </c>
      <c r="K2257" s="7">
        <v>4.25</v>
      </c>
      <c r="L2257" s="7">
        <v>4.0199999999999996</v>
      </c>
      <c r="M2257" s="7">
        <v>4.258</v>
      </c>
      <c r="N2257" s="7">
        <v>5.1139999999999999</v>
      </c>
      <c r="O2257" s="7">
        <v>5.2160000000000002</v>
      </c>
      <c r="P2257" s="7">
        <v>5.5730000000000004</v>
      </c>
      <c r="Q2257" s="7">
        <v>5.4080000000000004</v>
      </c>
      <c r="R2257" s="7">
        <v>5.6360000000000001</v>
      </c>
      <c r="S2257" s="7">
        <f t="shared" si="35"/>
        <v>5.0625833333333334</v>
      </c>
    </row>
    <row r="2258" spans="1:19">
      <c r="A2258" s="5" t="str">
        <f>B2258&amp;"-"&amp;COUNTIF($B$2:B2258,B2258)</f>
        <v>MINAS GERAIS-692</v>
      </c>
      <c r="B2258" s="5" t="s">
        <v>1126</v>
      </c>
      <c r="C2258" s="5" t="s">
        <v>4363</v>
      </c>
      <c r="D2258" s="6">
        <v>-43959</v>
      </c>
      <c r="E2258" s="6">
        <v>-196976</v>
      </c>
      <c r="F2258" s="7">
        <v>5.1989999999999998</v>
      </c>
      <c r="G2258" s="7">
        <v>5.8449999999999998</v>
      </c>
      <c r="H2258" s="7">
        <v>6.0759999999999996</v>
      </c>
      <c r="I2258" s="7">
        <v>5.2930000000000001</v>
      </c>
      <c r="J2258" s="7">
        <v>4.8860000000000001</v>
      </c>
      <c r="K2258" s="7">
        <v>4.2969999999999997</v>
      </c>
      <c r="L2258" s="7">
        <v>4.0869999999999997</v>
      </c>
      <c r="M2258" s="7">
        <v>4.3650000000000002</v>
      </c>
      <c r="N2258" s="7">
        <v>5.194</v>
      </c>
      <c r="O2258" s="7">
        <v>5.5609999999999999</v>
      </c>
      <c r="P2258" s="7">
        <v>5.6289999999999996</v>
      </c>
      <c r="Q2258" s="7">
        <v>5.444</v>
      </c>
      <c r="R2258" s="7">
        <v>5.71</v>
      </c>
      <c r="S2258" s="7">
        <f t="shared" si="35"/>
        <v>5.1989166666666664</v>
      </c>
    </row>
    <row r="2259" spans="1:19">
      <c r="A2259" s="5" t="str">
        <f>B2259&amp;"-"&amp;COUNTIF($B$2:B2259,B2259)</f>
        <v>MINAS GERAIS-693</v>
      </c>
      <c r="B2259" s="5" t="s">
        <v>1126</v>
      </c>
      <c r="C2259" s="5" t="s">
        <v>4364</v>
      </c>
      <c r="D2259" s="6">
        <v>-421461</v>
      </c>
      <c r="E2259" s="6">
        <v>-183249</v>
      </c>
      <c r="F2259" s="7">
        <v>4.819</v>
      </c>
      <c r="G2259" s="7">
        <v>5.835</v>
      </c>
      <c r="H2259" s="7">
        <v>6.04</v>
      </c>
      <c r="I2259" s="7">
        <v>5.0940000000000003</v>
      </c>
      <c r="J2259" s="7">
        <v>4.4820000000000002</v>
      </c>
      <c r="K2259" s="7">
        <v>3.86</v>
      </c>
      <c r="L2259" s="7">
        <v>3.65</v>
      </c>
      <c r="M2259" s="7">
        <v>3.7730000000000001</v>
      </c>
      <c r="N2259" s="7">
        <v>4.4850000000000003</v>
      </c>
      <c r="O2259" s="7">
        <v>4.9619999999999997</v>
      </c>
      <c r="P2259" s="7">
        <v>5.202</v>
      </c>
      <c r="Q2259" s="7">
        <v>4.8140000000000001</v>
      </c>
      <c r="R2259" s="7">
        <v>5.63</v>
      </c>
      <c r="S2259" s="7">
        <f t="shared" si="35"/>
        <v>4.8189166666666665</v>
      </c>
    </row>
    <row r="2260" spans="1:19">
      <c r="A2260" s="5" t="str">
        <f>B2260&amp;"-"&amp;COUNTIF($B$2:B2260,B2260)</f>
        <v>MINAS GERAIS-694</v>
      </c>
      <c r="B2260" s="5" t="s">
        <v>1126</v>
      </c>
      <c r="C2260" s="5" t="s">
        <v>4365</v>
      </c>
      <c r="D2260" s="6">
        <v>-445563</v>
      </c>
      <c r="E2260" s="6">
        <v>-19701</v>
      </c>
      <c r="F2260" s="7">
        <v>5.2190000000000003</v>
      </c>
      <c r="G2260" s="7">
        <v>5.9820000000000002</v>
      </c>
      <c r="H2260" s="7">
        <v>6.0670000000000002</v>
      </c>
      <c r="I2260" s="7">
        <v>5.1779999999999999</v>
      </c>
      <c r="J2260" s="7">
        <v>4.9139999999999997</v>
      </c>
      <c r="K2260" s="7">
        <v>4.3250000000000002</v>
      </c>
      <c r="L2260" s="7">
        <v>4.1440000000000001</v>
      </c>
      <c r="M2260" s="7">
        <v>4.4340000000000002</v>
      </c>
      <c r="N2260" s="7">
        <v>5.282</v>
      </c>
      <c r="O2260" s="7">
        <v>5.5640000000000001</v>
      </c>
      <c r="P2260" s="7">
        <v>5.6349999999999998</v>
      </c>
      <c r="Q2260" s="7">
        <v>5.4059999999999997</v>
      </c>
      <c r="R2260" s="7">
        <v>5.6980000000000004</v>
      </c>
      <c r="S2260" s="7">
        <f t="shared" si="35"/>
        <v>5.2190833333333329</v>
      </c>
    </row>
    <row r="2261" spans="1:19">
      <c r="A2261" s="5" t="str">
        <f>B2261&amp;"-"&amp;COUNTIF($B$2:B2261,B2261)</f>
        <v>MINAS GERAIS-695</v>
      </c>
      <c r="B2261" s="5" t="s">
        <v>1126</v>
      </c>
      <c r="C2261" s="5" t="s">
        <v>4366</v>
      </c>
      <c r="D2261" s="6">
        <v>-455262</v>
      </c>
      <c r="E2261" s="6">
        <v>-223247</v>
      </c>
      <c r="F2261" s="7">
        <v>4.7960000000000003</v>
      </c>
      <c r="G2261" s="7">
        <v>5.3170000000000002</v>
      </c>
      <c r="H2261" s="7">
        <v>5.6059999999999999</v>
      </c>
      <c r="I2261" s="7">
        <v>4.8620000000000001</v>
      </c>
      <c r="J2261" s="7">
        <v>4.5419999999999998</v>
      </c>
      <c r="K2261" s="7">
        <v>3.83</v>
      </c>
      <c r="L2261" s="7">
        <v>3.6230000000000002</v>
      </c>
      <c r="M2261" s="7">
        <v>3.8380000000000001</v>
      </c>
      <c r="N2261" s="7">
        <v>4.7249999999999996</v>
      </c>
      <c r="O2261" s="7">
        <v>4.93</v>
      </c>
      <c r="P2261" s="7">
        <v>5.3550000000000004</v>
      </c>
      <c r="Q2261" s="7">
        <v>5.2830000000000004</v>
      </c>
      <c r="R2261" s="7">
        <v>5.6449999999999996</v>
      </c>
      <c r="S2261" s="7">
        <f t="shared" si="35"/>
        <v>4.7963333333333331</v>
      </c>
    </row>
    <row r="2262" spans="1:19">
      <c r="A2262" s="5" t="str">
        <f>B2262&amp;"-"&amp;COUNTIF($B$2:B2262,B2262)</f>
        <v>MINAS GERAIS-696</v>
      </c>
      <c r="B2262" s="5" t="s">
        <v>1126</v>
      </c>
      <c r="C2262" s="5" t="s">
        <v>4367</v>
      </c>
      <c r="D2262" s="6">
        <v>-41391</v>
      </c>
      <c r="E2262" s="6">
        <v>-184798</v>
      </c>
      <c r="F2262" s="7">
        <v>4.851</v>
      </c>
      <c r="G2262" s="7">
        <v>6.0469999999999997</v>
      </c>
      <c r="H2262" s="7">
        <v>6.1289999999999996</v>
      </c>
      <c r="I2262" s="7">
        <v>5.218</v>
      </c>
      <c r="J2262" s="7">
        <v>4.5490000000000004</v>
      </c>
      <c r="K2262" s="7">
        <v>3.819</v>
      </c>
      <c r="L2262" s="7">
        <v>3.601</v>
      </c>
      <c r="M2262" s="7">
        <v>3.7050000000000001</v>
      </c>
      <c r="N2262" s="7">
        <v>4.3129999999999997</v>
      </c>
      <c r="O2262" s="7">
        <v>4.8680000000000003</v>
      </c>
      <c r="P2262" s="7">
        <v>5.149</v>
      </c>
      <c r="Q2262" s="7">
        <v>4.9870000000000001</v>
      </c>
      <c r="R2262" s="7">
        <v>5.8250000000000002</v>
      </c>
      <c r="S2262" s="7">
        <f t="shared" si="35"/>
        <v>4.850833333333334</v>
      </c>
    </row>
    <row r="2263" spans="1:19">
      <c r="A2263" s="5" t="str">
        <f>B2263&amp;"-"&amp;COUNTIF($B$2:B2263,B2263)</f>
        <v>MINAS GERAIS-697</v>
      </c>
      <c r="B2263" s="5" t="s">
        <v>1126</v>
      </c>
      <c r="C2263" s="5" t="s">
        <v>4368</v>
      </c>
      <c r="D2263" s="6">
        <v>-427039</v>
      </c>
      <c r="E2263" s="6">
        <v>-199219</v>
      </c>
      <c r="F2263" s="7">
        <v>4.8010000000000002</v>
      </c>
      <c r="G2263" s="7">
        <v>5.673</v>
      </c>
      <c r="H2263" s="7">
        <v>6.0209999999999999</v>
      </c>
      <c r="I2263" s="7">
        <v>5.0279999999999996</v>
      </c>
      <c r="J2263" s="7">
        <v>4.593</v>
      </c>
      <c r="K2263" s="7">
        <v>3.8730000000000002</v>
      </c>
      <c r="L2263" s="7">
        <v>3.68</v>
      </c>
      <c r="M2263" s="7">
        <v>3.9089999999999998</v>
      </c>
      <c r="N2263" s="7">
        <v>4.5880000000000001</v>
      </c>
      <c r="O2263" s="7">
        <v>4.9080000000000004</v>
      </c>
      <c r="P2263" s="7">
        <v>5.069</v>
      </c>
      <c r="Q2263" s="7">
        <v>4.782</v>
      </c>
      <c r="R2263" s="7">
        <v>5.49</v>
      </c>
      <c r="S2263" s="7">
        <f t="shared" si="35"/>
        <v>4.8011666666666679</v>
      </c>
    </row>
    <row r="2264" spans="1:19">
      <c r="A2264" s="5" t="str">
        <f>B2264&amp;"-"&amp;COUNTIF($B$2:B2264,B2264)</f>
        <v>MINAS GERAIS-698</v>
      </c>
      <c r="B2264" s="5" t="s">
        <v>1126</v>
      </c>
      <c r="C2264" s="5" t="s">
        <v>4369</v>
      </c>
      <c r="D2264" s="6">
        <v>-426711</v>
      </c>
      <c r="E2264" s="6">
        <v>-182744</v>
      </c>
      <c r="F2264" s="7">
        <v>4.8559999999999999</v>
      </c>
      <c r="G2264" s="7">
        <v>5.8250000000000002</v>
      </c>
      <c r="H2264" s="7">
        <v>6.101</v>
      </c>
      <c r="I2264" s="7">
        <v>5.1289999999999996</v>
      </c>
      <c r="J2264" s="7">
        <v>4.5330000000000004</v>
      </c>
      <c r="K2264" s="7">
        <v>3.879</v>
      </c>
      <c r="L2264" s="7">
        <v>3.7360000000000002</v>
      </c>
      <c r="M2264" s="7">
        <v>3.7989999999999999</v>
      </c>
      <c r="N2264" s="7">
        <v>4.5590000000000002</v>
      </c>
      <c r="O2264" s="7">
        <v>5.0270000000000001</v>
      </c>
      <c r="P2264" s="7">
        <v>5.2679999999999998</v>
      </c>
      <c r="Q2264" s="7">
        <v>4.82</v>
      </c>
      <c r="R2264" s="7">
        <v>5.5990000000000002</v>
      </c>
      <c r="S2264" s="7">
        <f t="shared" si="35"/>
        <v>4.8562500000000002</v>
      </c>
    </row>
    <row r="2265" spans="1:19">
      <c r="A2265" s="5" t="str">
        <f>B2265&amp;"-"&amp;COUNTIF($B$2:B2265,B2265)</f>
        <v>MINAS GERAIS-699</v>
      </c>
      <c r="B2265" s="5" t="s">
        <v>1126</v>
      </c>
      <c r="C2265" s="5" t="s">
        <v>4370</v>
      </c>
      <c r="D2265" s="6">
        <v>-417489</v>
      </c>
      <c r="E2265" s="6">
        <v>-200062</v>
      </c>
      <c r="F2265" s="7">
        <v>4.7460000000000004</v>
      </c>
      <c r="G2265" s="7">
        <v>5.7839999999999998</v>
      </c>
      <c r="H2265" s="7">
        <v>5.9950000000000001</v>
      </c>
      <c r="I2265" s="7">
        <v>5.0199999999999996</v>
      </c>
      <c r="J2265" s="7">
        <v>4.5979999999999999</v>
      </c>
      <c r="K2265" s="7">
        <v>3.839</v>
      </c>
      <c r="L2265" s="7">
        <v>3.6360000000000001</v>
      </c>
      <c r="M2265" s="7">
        <v>3.742</v>
      </c>
      <c r="N2265" s="7">
        <v>4.4000000000000004</v>
      </c>
      <c r="O2265" s="7">
        <v>4.74</v>
      </c>
      <c r="P2265" s="7">
        <v>4.8760000000000003</v>
      </c>
      <c r="Q2265" s="7">
        <v>4.7869999999999999</v>
      </c>
      <c r="R2265" s="7">
        <v>5.5339999999999998</v>
      </c>
      <c r="S2265" s="7">
        <f t="shared" si="35"/>
        <v>4.7459166666666661</v>
      </c>
    </row>
    <row r="2266" spans="1:19">
      <c r="A2266" s="5" t="str">
        <f>B2266&amp;"-"&amp;COUNTIF($B$2:B2266,B2266)</f>
        <v>MINAS GERAIS-700</v>
      </c>
      <c r="B2266" s="5" t="s">
        <v>1126</v>
      </c>
      <c r="C2266" s="5" t="s">
        <v>4684</v>
      </c>
      <c r="D2266" s="6">
        <v>-45051</v>
      </c>
      <c r="E2266" s="6">
        <v>-221171</v>
      </c>
      <c r="F2266" s="7">
        <v>4.8659999999999997</v>
      </c>
      <c r="G2266" s="7">
        <v>5.4340000000000002</v>
      </c>
      <c r="H2266" s="7">
        <v>5.7590000000000003</v>
      </c>
      <c r="I2266" s="7">
        <v>4.9569999999999999</v>
      </c>
      <c r="J2266" s="7">
        <v>4.609</v>
      </c>
      <c r="K2266" s="7">
        <v>3.9140000000000001</v>
      </c>
      <c r="L2266" s="7">
        <v>3.6339999999999999</v>
      </c>
      <c r="M2266" s="7">
        <v>3.8439999999999999</v>
      </c>
      <c r="N2266" s="7">
        <v>4.7249999999999996</v>
      </c>
      <c r="O2266" s="7">
        <v>5.0250000000000004</v>
      </c>
      <c r="P2266" s="7">
        <v>5.4370000000000003</v>
      </c>
      <c r="Q2266" s="7">
        <v>5.37</v>
      </c>
      <c r="R2266" s="7">
        <v>5.6840000000000002</v>
      </c>
      <c r="S2266" s="7">
        <f t="shared" si="35"/>
        <v>4.8659999999999997</v>
      </c>
    </row>
    <row r="2267" spans="1:19">
      <c r="A2267" s="5" t="str">
        <f>B2267&amp;"-"&amp;COUNTIF($B$2:B2267,B2267)</f>
        <v>MINAS GERAIS-701</v>
      </c>
      <c r="B2267" s="5" t="s">
        <v>1126</v>
      </c>
      <c r="C2267" s="5" t="s">
        <v>4028</v>
      </c>
      <c r="D2267" s="6">
        <v>-427178</v>
      </c>
      <c r="E2267" s="6">
        <v>-207071</v>
      </c>
      <c r="F2267" s="7">
        <v>4.7519999999999998</v>
      </c>
      <c r="G2267" s="7">
        <v>5.6390000000000002</v>
      </c>
      <c r="H2267" s="7">
        <v>5.944</v>
      </c>
      <c r="I2267" s="7">
        <v>4.9539999999999997</v>
      </c>
      <c r="J2267" s="7">
        <v>4.4020000000000001</v>
      </c>
      <c r="K2267" s="7">
        <v>3.7770000000000001</v>
      </c>
      <c r="L2267" s="7">
        <v>3.573</v>
      </c>
      <c r="M2267" s="7">
        <v>3.7730000000000001</v>
      </c>
      <c r="N2267" s="7">
        <v>4.6050000000000004</v>
      </c>
      <c r="O2267" s="7">
        <v>4.8840000000000003</v>
      </c>
      <c r="P2267" s="7">
        <v>5.1189999999999998</v>
      </c>
      <c r="Q2267" s="7">
        <v>4.835</v>
      </c>
      <c r="R2267" s="7">
        <v>5.5229999999999997</v>
      </c>
      <c r="S2267" s="7">
        <f t="shared" si="35"/>
        <v>4.7523333333333335</v>
      </c>
    </row>
    <row r="2268" spans="1:19">
      <c r="A2268" s="5" t="str">
        <f>B2268&amp;"-"&amp;COUNTIF($B$2:B2268,B2268)</f>
        <v>MINAS GERAIS-702</v>
      </c>
      <c r="B2268" s="5" t="s">
        <v>1126</v>
      </c>
      <c r="C2268" s="5" t="s">
        <v>4029</v>
      </c>
      <c r="D2268" s="6">
        <v>-466127</v>
      </c>
      <c r="E2268" s="6">
        <v>-211314</v>
      </c>
      <c r="F2268" s="7">
        <v>4.9139999999999997</v>
      </c>
      <c r="G2268" s="7">
        <v>5.3959999999999999</v>
      </c>
      <c r="H2268" s="7">
        <v>5.6829999999999998</v>
      </c>
      <c r="I2268" s="7">
        <v>4.835</v>
      </c>
      <c r="J2268" s="7">
        <v>4.6059999999999999</v>
      </c>
      <c r="K2268" s="7">
        <v>4.05</v>
      </c>
      <c r="L2268" s="7">
        <v>3.8639999999999999</v>
      </c>
      <c r="M2268" s="7">
        <v>4.1180000000000003</v>
      </c>
      <c r="N2268" s="7">
        <v>5.0490000000000004</v>
      </c>
      <c r="O2268" s="7">
        <v>5.109</v>
      </c>
      <c r="P2268" s="7">
        <v>5.43</v>
      </c>
      <c r="Q2268" s="7">
        <v>5.3140000000000001</v>
      </c>
      <c r="R2268" s="7">
        <v>5.5069999999999997</v>
      </c>
      <c r="S2268" s="7">
        <f t="shared" si="35"/>
        <v>4.9134166666666674</v>
      </c>
    </row>
    <row r="2269" spans="1:19">
      <c r="A2269" s="5" t="str">
        <f>B2269&amp;"-"&amp;COUNTIF($B$2:B2269,B2269)</f>
        <v>MINAS GERAIS-703</v>
      </c>
      <c r="B2269" s="5" t="s">
        <v>1126</v>
      </c>
      <c r="C2269" s="5" t="s">
        <v>4685</v>
      </c>
      <c r="D2269" s="6">
        <v>-42603</v>
      </c>
      <c r="E2269" s="6">
        <v>-18366</v>
      </c>
      <c r="F2269" s="7">
        <v>4.9000000000000004</v>
      </c>
      <c r="G2269" s="7">
        <v>5.8819999999999997</v>
      </c>
      <c r="H2269" s="7">
        <v>6.1520000000000001</v>
      </c>
      <c r="I2269" s="7">
        <v>5.1909999999999998</v>
      </c>
      <c r="J2269" s="7">
        <v>4.5990000000000002</v>
      </c>
      <c r="K2269" s="7">
        <v>3.9089999999999998</v>
      </c>
      <c r="L2269" s="7">
        <v>3.7429999999999999</v>
      </c>
      <c r="M2269" s="7">
        <v>3.8410000000000002</v>
      </c>
      <c r="N2269" s="7">
        <v>4.5570000000000004</v>
      </c>
      <c r="O2269" s="7">
        <v>5.0490000000000004</v>
      </c>
      <c r="P2269" s="7">
        <v>5.2709999999999999</v>
      </c>
      <c r="Q2269" s="7">
        <v>4.891</v>
      </c>
      <c r="R2269" s="7">
        <v>5.7169999999999996</v>
      </c>
      <c r="S2269" s="7">
        <f t="shared" si="35"/>
        <v>4.9001666666666663</v>
      </c>
    </row>
    <row r="2270" spans="1:19">
      <c r="A2270" s="5" t="str">
        <f>B2270&amp;"-"&amp;COUNTIF($B$2:B2270,B2270)</f>
        <v>MINAS GERAIS-704</v>
      </c>
      <c r="B2270" s="5" t="s">
        <v>1126</v>
      </c>
      <c r="C2270" s="5" t="s">
        <v>4030</v>
      </c>
      <c r="D2270" s="6">
        <v>-425254</v>
      </c>
      <c r="E2270" s="6">
        <v>-201737</v>
      </c>
      <c r="F2270" s="7">
        <v>4.8929999999999998</v>
      </c>
      <c r="G2270" s="7">
        <v>5.8639999999999999</v>
      </c>
      <c r="H2270" s="7">
        <v>6.0880000000000001</v>
      </c>
      <c r="I2270" s="7">
        <v>5.1289999999999996</v>
      </c>
      <c r="J2270" s="7">
        <v>4.63</v>
      </c>
      <c r="K2270" s="7">
        <v>3.952</v>
      </c>
      <c r="L2270" s="7">
        <v>3.7120000000000002</v>
      </c>
      <c r="M2270" s="7">
        <v>3.899</v>
      </c>
      <c r="N2270" s="7">
        <v>4.6440000000000001</v>
      </c>
      <c r="O2270" s="7">
        <v>4.95</v>
      </c>
      <c r="P2270" s="7">
        <v>5.1580000000000004</v>
      </c>
      <c r="Q2270" s="7">
        <v>4.9939999999999998</v>
      </c>
      <c r="R2270" s="7">
        <v>5.702</v>
      </c>
      <c r="S2270" s="7">
        <f t="shared" si="35"/>
        <v>4.8934999999999995</v>
      </c>
    </row>
    <row r="2271" spans="1:19">
      <c r="A2271" s="5" t="str">
        <f>B2271&amp;"-"&amp;COUNTIF($B$2:B2271,B2271)</f>
        <v>MINAS GERAIS-705</v>
      </c>
      <c r="B2271" s="5" t="s">
        <v>1126</v>
      </c>
      <c r="C2271" s="5" t="s">
        <v>4031</v>
      </c>
      <c r="D2271" s="6">
        <v>-450686</v>
      </c>
      <c r="E2271" s="6">
        <v>-163671</v>
      </c>
      <c r="F2271" s="7">
        <v>5.7130000000000001</v>
      </c>
      <c r="G2271" s="7">
        <v>6.33</v>
      </c>
      <c r="H2271" s="7">
        <v>6.5659999999999998</v>
      </c>
      <c r="I2271" s="7">
        <v>5.681</v>
      </c>
      <c r="J2271" s="7">
        <v>5.5510000000000002</v>
      </c>
      <c r="K2271" s="7">
        <v>5.0049999999999999</v>
      </c>
      <c r="L2271" s="7">
        <v>4.7300000000000004</v>
      </c>
      <c r="M2271" s="7">
        <v>5.032</v>
      </c>
      <c r="N2271" s="7">
        <v>5.85</v>
      </c>
      <c r="O2271" s="7">
        <v>6.0039999999999996</v>
      </c>
      <c r="P2271" s="7">
        <v>6.1349999999999998</v>
      </c>
      <c r="Q2271" s="7">
        <v>5.5780000000000003</v>
      </c>
      <c r="R2271" s="7">
        <v>6.0970000000000004</v>
      </c>
      <c r="S2271" s="7">
        <f t="shared" si="35"/>
        <v>5.7132499999999995</v>
      </c>
    </row>
    <row r="2272" spans="1:19">
      <c r="A2272" s="5" t="str">
        <f>B2272&amp;"-"&amp;COUNTIF($B$2:B2272,B2272)</f>
        <v>MINAS GERAIS-706</v>
      </c>
      <c r="B2272" s="5" t="s">
        <v>1126</v>
      </c>
      <c r="C2272" s="5" t="s">
        <v>4032</v>
      </c>
      <c r="D2272" s="6">
        <v>-463643</v>
      </c>
      <c r="E2272" s="6">
        <v>-202495</v>
      </c>
      <c r="F2272" s="7">
        <v>4.9779999999999998</v>
      </c>
      <c r="G2272" s="7">
        <v>5.4269999999999996</v>
      </c>
      <c r="H2272" s="7">
        <v>5.7919999999999998</v>
      </c>
      <c r="I2272" s="7">
        <v>4.7679999999999998</v>
      </c>
      <c r="J2272" s="7">
        <v>4.7569999999999997</v>
      </c>
      <c r="K2272" s="7">
        <v>4.2549999999999999</v>
      </c>
      <c r="L2272" s="7">
        <v>4.0579999999999998</v>
      </c>
      <c r="M2272" s="7">
        <v>4.3460000000000001</v>
      </c>
      <c r="N2272" s="7">
        <v>5.3520000000000003</v>
      </c>
      <c r="O2272" s="7">
        <v>5.3109999999999999</v>
      </c>
      <c r="P2272" s="7">
        <v>5.3689999999999998</v>
      </c>
      <c r="Q2272" s="7">
        <v>4.9770000000000003</v>
      </c>
      <c r="R2272" s="7">
        <v>5.32</v>
      </c>
      <c r="S2272" s="7">
        <f t="shared" si="35"/>
        <v>4.977666666666666</v>
      </c>
    </row>
    <row r="2273" spans="1:19">
      <c r="A2273" s="5" t="str">
        <f>B2273&amp;"-"&amp;COUNTIF($B$2:B2273,B2273)</f>
        <v>MINAS GERAIS-707</v>
      </c>
      <c r="B2273" s="5" t="s">
        <v>1126</v>
      </c>
      <c r="C2273" s="5" t="s">
        <v>4033</v>
      </c>
      <c r="D2273" s="6">
        <v>-45755</v>
      </c>
      <c r="E2273" s="6">
        <v>-221588</v>
      </c>
      <c r="F2273" s="7">
        <v>4.835</v>
      </c>
      <c r="G2273" s="7">
        <v>5.3680000000000003</v>
      </c>
      <c r="H2273" s="7">
        <v>5.69</v>
      </c>
      <c r="I2273" s="7">
        <v>4.8959999999999999</v>
      </c>
      <c r="J2273" s="7">
        <v>4.5979999999999999</v>
      </c>
      <c r="K2273" s="7">
        <v>3.8889999999999998</v>
      </c>
      <c r="L2273" s="7">
        <v>3.6339999999999999</v>
      </c>
      <c r="M2273" s="7">
        <v>3.855</v>
      </c>
      <c r="N2273" s="7">
        <v>4.7880000000000003</v>
      </c>
      <c r="O2273" s="7">
        <v>4.93</v>
      </c>
      <c r="P2273" s="7">
        <v>5.3710000000000004</v>
      </c>
      <c r="Q2273" s="7">
        <v>5.3280000000000003</v>
      </c>
      <c r="R2273" s="7">
        <v>5.68</v>
      </c>
      <c r="S2273" s="7">
        <f t="shared" si="35"/>
        <v>4.835583333333334</v>
      </c>
    </row>
    <row r="2274" spans="1:19">
      <c r="A2274" s="5" t="str">
        <f>B2274&amp;"-"&amp;COUNTIF($B$2:B2274,B2274)</f>
        <v>MINAS GERAIS-708</v>
      </c>
      <c r="B2274" s="5" t="s">
        <v>1126</v>
      </c>
      <c r="C2274" s="5" t="s">
        <v>4034</v>
      </c>
      <c r="D2274" s="6">
        <v>-42635</v>
      </c>
      <c r="E2274" s="6">
        <v>-210741</v>
      </c>
      <c r="F2274" s="7">
        <v>4.7770000000000001</v>
      </c>
      <c r="G2274" s="7">
        <v>5.7229999999999999</v>
      </c>
      <c r="H2274" s="7">
        <v>6.0149999999999997</v>
      </c>
      <c r="I2274" s="7">
        <v>4.9950000000000001</v>
      </c>
      <c r="J2274" s="7">
        <v>4.3710000000000004</v>
      </c>
      <c r="K2274" s="7">
        <v>3.7370000000000001</v>
      </c>
      <c r="L2274" s="7">
        <v>3.5590000000000002</v>
      </c>
      <c r="M2274" s="7">
        <v>3.7210000000000001</v>
      </c>
      <c r="N2274" s="7">
        <v>4.5170000000000003</v>
      </c>
      <c r="O2274" s="7">
        <v>4.9249999999999998</v>
      </c>
      <c r="P2274" s="7">
        <v>5.1360000000000001</v>
      </c>
      <c r="Q2274" s="7">
        <v>4.9370000000000003</v>
      </c>
      <c r="R2274" s="7">
        <v>5.6849999999999996</v>
      </c>
      <c r="S2274" s="7">
        <f t="shared" si="35"/>
        <v>4.7767500000000007</v>
      </c>
    </row>
    <row r="2275" spans="1:19">
      <c r="A2275" s="5" t="str">
        <f>B2275&amp;"-"&amp;COUNTIF($B$2:B2275,B2275)</f>
        <v>MINAS GERAIS-709</v>
      </c>
      <c r="B2275" s="5" t="s">
        <v>1126</v>
      </c>
      <c r="C2275" s="5" t="s">
        <v>4035</v>
      </c>
      <c r="D2275" s="6">
        <v>-419796</v>
      </c>
      <c r="E2275" s="6">
        <v>-195001</v>
      </c>
      <c r="F2275" s="7">
        <v>4.6829999999999998</v>
      </c>
      <c r="G2275" s="7">
        <v>5.6959999999999997</v>
      </c>
      <c r="H2275" s="7">
        <v>5.9370000000000003</v>
      </c>
      <c r="I2275" s="7">
        <v>4.9710000000000001</v>
      </c>
      <c r="J2275" s="7">
        <v>4.4279999999999999</v>
      </c>
      <c r="K2275" s="7">
        <v>3.6989999999999998</v>
      </c>
      <c r="L2275" s="7">
        <v>3.51</v>
      </c>
      <c r="M2275" s="7">
        <v>3.677</v>
      </c>
      <c r="N2275" s="7">
        <v>4.3120000000000003</v>
      </c>
      <c r="O2275" s="7">
        <v>4.7480000000000002</v>
      </c>
      <c r="P2275" s="7">
        <v>4.8949999999999996</v>
      </c>
      <c r="Q2275" s="7">
        <v>4.7469999999999999</v>
      </c>
      <c r="R2275" s="7">
        <v>5.5789999999999997</v>
      </c>
      <c r="S2275" s="7">
        <f t="shared" si="35"/>
        <v>4.6832499999999992</v>
      </c>
    </row>
    <row r="2276" spans="1:19">
      <c r="A2276" s="5" t="str">
        <f>B2276&amp;"-"&amp;COUNTIF($B$2:B2276,B2276)</f>
        <v>MINAS GERAIS-710</v>
      </c>
      <c r="B2276" s="5" t="s">
        <v>1126</v>
      </c>
      <c r="C2276" s="5" t="s">
        <v>4036</v>
      </c>
      <c r="D2276" s="6">
        <v>-425698</v>
      </c>
      <c r="E2276" s="6">
        <v>-180892</v>
      </c>
      <c r="F2276" s="7">
        <v>4.9210000000000003</v>
      </c>
      <c r="G2276" s="7">
        <v>5.9320000000000004</v>
      </c>
      <c r="H2276" s="7">
        <v>6.2009999999999996</v>
      </c>
      <c r="I2276" s="7">
        <v>5.1929999999999996</v>
      </c>
      <c r="J2276" s="7">
        <v>4.5819999999999999</v>
      </c>
      <c r="K2276" s="7">
        <v>3.952</v>
      </c>
      <c r="L2276" s="7">
        <v>3.74</v>
      </c>
      <c r="M2276" s="7">
        <v>3.8639999999999999</v>
      </c>
      <c r="N2276" s="7">
        <v>4.6470000000000002</v>
      </c>
      <c r="O2276" s="7">
        <v>5.1429999999999998</v>
      </c>
      <c r="P2276" s="7">
        <v>5.2960000000000003</v>
      </c>
      <c r="Q2276" s="7">
        <v>4.8460000000000001</v>
      </c>
      <c r="R2276" s="7">
        <v>5.6550000000000002</v>
      </c>
      <c r="S2276" s="7">
        <f t="shared" si="35"/>
        <v>4.9209166666666668</v>
      </c>
    </row>
    <row r="2277" spans="1:19">
      <c r="A2277" s="5" t="str">
        <f>B2277&amp;"-"&amp;COUNTIF($B$2:B2277,B2277)</f>
        <v>MINAS GERAIS-711</v>
      </c>
      <c r="B2277" s="5" t="s">
        <v>1126</v>
      </c>
      <c r="C2277" s="5" t="s">
        <v>4037</v>
      </c>
      <c r="D2277" s="6">
        <v>-450067</v>
      </c>
      <c r="E2277" s="6">
        <v>-202763</v>
      </c>
      <c r="F2277" s="7">
        <v>5.0979999999999999</v>
      </c>
      <c r="G2277" s="7">
        <v>5.7080000000000002</v>
      </c>
      <c r="H2277" s="7">
        <v>5.968</v>
      </c>
      <c r="I2277" s="7">
        <v>5.0019999999999998</v>
      </c>
      <c r="J2277" s="7">
        <v>4.8600000000000003</v>
      </c>
      <c r="K2277" s="7">
        <v>4.2560000000000002</v>
      </c>
      <c r="L2277" s="7">
        <v>4.0839999999999996</v>
      </c>
      <c r="M2277" s="7">
        <v>4.327</v>
      </c>
      <c r="N2277" s="7">
        <v>5.2149999999999999</v>
      </c>
      <c r="O2277" s="7">
        <v>5.431</v>
      </c>
      <c r="P2277" s="7">
        <v>5.5389999999999997</v>
      </c>
      <c r="Q2277" s="7">
        <v>5.2050000000000001</v>
      </c>
      <c r="R2277" s="7">
        <v>5.5780000000000003</v>
      </c>
      <c r="S2277" s="7">
        <f t="shared" si="35"/>
        <v>5.0977500000000004</v>
      </c>
    </row>
    <row r="2278" spans="1:19">
      <c r="A2278" s="5" t="str">
        <f>B2278&amp;"-"&amp;COUNTIF($B$2:B2278,B2278)</f>
        <v>MINAS GERAIS-712</v>
      </c>
      <c r="B2278" s="5" t="s">
        <v>1126</v>
      </c>
      <c r="C2278" s="5" t="s">
        <v>4038</v>
      </c>
      <c r="D2278" s="6">
        <v>-469841</v>
      </c>
      <c r="E2278" s="6">
        <v>-209172</v>
      </c>
      <c r="F2278" s="7">
        <v>5.0529999999999999</v>
      </c>
      <c r="G2278" s="7">
        <v>5.5960000000000001</v>
      </c>
      <c r="H2278" s="7">
        <v>5.875</v>
      </c>
      <c r="I2278" s="7">
        <v>5.0129999999999999</v>
      </c>
      <c r="J2278" s="7">
        <v>4.782</v>
      </c>
      <c r="K2278" s="7">
        <v>4.2080000000000002</v>
      </c>
      <c r="L2278" s="7">
        <v>3.98</v>
      </c>
      <c r="M2278" s="7">
        <v>4.2110000000000003</v>
      </c>
      <c r="N2278" s="7">
        <v>5.0949999999999998</v>
      </c>
      <c r="O2278" s="7">
        <v>5.133</v>
      </c>
      <c r="P2278" s="7">
        <v>5.5279999999999996</v>
      </c>
      <c r="Q2278" s="7">
        <v>5.5179999999999998</v>
      </c>
      <c r="R2278" s="7">
        <v>5.6929999999999996</v>
      </c>
      <c r="S2278" s="7">
        <f t="shared" si="35"/>
        <v>5.0526666666666671</v>
      </c>
    </row>
    <row r="2279" spans="1:19">
      <c r="A2279" s="5" t="str">
        <f>B2279&amp;"-"&amp;COUNTIF($B$2:B2279,B2279)</f>
        <v>MINAS GERAIS-713</v>
      </c>
      <c r="B2279" s="5" t="s">
        <v>1126</v>
      </c>
      <c r="C2279" s="5" t="s">
        <v>4039</v>
      </c>
      <c r="D2279" s="6">
        <v>-431749</v>
      </c>
      <c r="E2279" s="6">
        <v>-19293</v>
      </c>
      <c r="F2279" s="7">
        <v>4.891</v>
      </c>
      <c r="G2279" s="7">
        <v>5.819</v>
      </c>
      <c r="H2279" s="7">
        <v>6.0759999999999996</v>
      </c>
      <c r="I2279" s="7">
        <v>5.1369999999999996</v>
      </c>
      <c r="J2279" s="7">
        <v>4.5979999999999999</v>
      </c>
      <c r="K2279" s="7">
        <v>3.8959999999999999</v>
      </c>
      <c r="L2279" s="7">
        <v>3.6970000000000001</v>
      </c>
      <c r="M2279" s="7">
        <v>3.927</v>
      </c>
      <c r="N2279" s="7">
        <v>4.7240000000000002</v>
      </c>
      <c r="O2279" s="7">
        <v>5.0519999999999996</v>
      </c>
      <c r="P2279" s="7">
        <v>5.21</v>
      </c>
      <c r="Q2279" s="7">
        <v>4.9000000000000004</v>
      </c>
      <c r="R2279" s="7">
        <v>5.6619999999999999</v>
      </c>
      <c r="S2279" s="7">
        <f t="shared" si="35"/>
        <v>4.8914999999999997</v>
      </c>
    </row>
    <row r="2280" spans="1:19">
      <c r="A2280" s="5" t="str">
        <f>B2280&amp;"-"&amp;COUNTIF($B$2:B2280,B2280)</f>
        <v>MINAS GERAIS-714</v>
      </c>
      <c r="B2280" s="5" t="s">
        <v>1126</v>
      </c>
      <c r="C2280" s="5" t="s">
        <v>4040</v>
      </c>
      <c r="D2280" s="6">
        <v>-449765</v>
      </c>
      <c r="E2280" s="6">
        <v>-222188</v>
      </c>
      <c r="F2280" s="7">
        <v>4.8769999999999998</v>
      </c>
      <c r="G2280" s="7">
        <v>5.4660000000000002</v>
      </c>
      <c r="H2280" s="7">
        <v>5.7720000000000002</v>
      </c>
      <c r="I2280" s="7">
        <v>4.9690000000000003</v>
      </c>
      <c r="J2280" s="7">
        <v>4.6369999999999996</v>
      </c>
      <c r="K2280" s="7">
        <v>3.9529999999999998</v>
      </c>
      <c r="L2280" s="7">
        <v>3.621</v>
      </c>
      <c r="M2280" s="7">
        <v>3.8460000000000001</v>
      </c>
      <c r="N2280" s="7">
        <v>4.72</v>
      </c>
      <c r="O2280" s="7">
        <v>5.0119999999999996</v>
      </c>
      <c r="P2280" s="7">
        <v>5.4809999999999999</v>
      </c>
      <c r="Q2280" s="7">
        <v>5.34</v>
      </c>
      <c r="R2280" s="7">
        <v>5.7039999999999997</v>
      </c>
      <c r="S2280" s="7">
        <f t="shared" si="35"/>
        <v>4.8767499999999995</v>
      </c>
    </row>
    <row r="2281" spans="1:19">
      <c r="A2281" s="5" t="str">
        <f>B2281&amp;"-"&amp;COUNTIF($B$2:B2281,B2281)</f>
        <v>MINAS GERAIS-715</v>
      </c>
      <c r="B2281" s="5" t="s">
        <v>1126</v>
      </c>
      <c r="C2281" s="5" t="s">
        <v>4371</v>
      </c>
      <c r="D2281" s="6">
        <v>-449852</v>
      </c>
      <c r="E2281" s="6">
        <v>-217263</v>
      </c>
      <c r="F2281" s="7">
        <v>4.8220000000000001</v>
      </c>
      <c r="G2281" s="7">
        <v>5.423</v>
      </c>
      <c r="H2281" s="7">
        <v>5.641</v>
      </c>
      <c r="I2281" s="7">
        <v>4.8819999999999997</v>
      </c>
      <c r="J2281" s="7">
        <v>4.532</v>
      </c>
      <c r="K2281" s="7">
        <v>3.8889999999999998</v>
      </c>
      <c r="L2281" s="7">
        <v>3.6619999999999999</v>
      </c>
      <c r="M2281" s="7">
        <v>3.9060000000000001</v>
      </c>
      <c r="N2281" s="7">
        <v>4.7759999999999998</v>
      </c>
      <c r="O2281" s="7">
        <v>5.0369999999999999</v>
      </c>
      <c r="P2281" s="7">
        <v>5.3609999999999998</v>
      </c>
      <c r="Q2281" s="7">
        <v>5.2110000000000003</v>
      </c>
      <c r="R2281" s="7">
        <v>5.5469999999999997</v>
      </c>
      <c r="S2281" s="7">
        <f t="shared" si="35"/>
        <v>4.8222499999999995</v>
      </c>
    </row>
    <row r="2282" spans="1:19">
      <c r="A2282" s="5" t="str">
        <f>B2282&amp;"-"&amp;COUNTIF($B$2:B2282,B2282)</f>
        <v>MINAS GERAIS-716</v>
      </c>
      <c r="B2282" s="5" t="s">
        <v>1126</v>
      </c>
      <c r="C2282" s="5" t="s">
        <v>4041</v>
      </c>
      <c r="D2282" s="6">
        <v>-445102</v>
      </c>
      <c r="E2282" s="6">
        <v>-209079</v>
      </c>
      <c r="F2282" s="7">
        <v>4.8920000000000003</v>
      </c>
      <c r="G2282" s="7">
        <v>5.5830000000000002</v>
      </c>
      <c r="H2282" s="7">
        <v>5.7489999999999997</v>
      </c>
      <c r="I2282" s="7">
        <v>4.8710000000000004</v>
      </c>
      <c r="J2282" s="7">
        <v>4.569</v>
      </c>
      <c r="K2282" s="7">
        <v>3.964</v>
      </c>
      <c r="L2282" s="7">
        <v>3.819</v>
      </c>
      <c r="M2282" s="7">
        <v>4.0540000000000003</v>
      </c>
      <c r="N2282" s="7">
        <v>4.9870000000000001</v>
      </c>
      <c r="O2282" s="7">
        <v>5.1760000000000002</v>
      </c>
      <c r="P2282" s="7">
        <v>5.3390000000000004</v>
      </c>
      <c r="Q2282" s="7">
        <v>5.0629999999999997</v>
      </c>
      <c r="R2282" s="7">
        <v>5.5359999999999996</v>
      </c>
      <c r="S2282" s="7">
        <f t="shared" si="35"/>
        <v>4.892500000000001</v>
      </c>
    </row>
    <row r="2283" spans="1:19">
      <c r="A2283" s="5" t="str">
        <f>B2283&amp;"-"&amp;COUNTIF($B$2:B2283,B2283)</f>
        <v>MINAS GERAIS-717</v>
      </c>
      <c r="B2283" s="5" t="s">
        <v>1126</v>
      </c>
      <c r="C2283" s="5" t="s">
        <v>5608</v>
      </c>
      <c r="D2283" s="6">
        <v>-470966</v>
      </c>
      <c r="E2283" s="6">
        <v>-207795</v>
      </c>
      <c r="F2283" s="7">
        <v>5.0640000000000001</v>
      </c>
      <c r="G2283" s="7">
        <v>5.5490000000000004</v>
      </c>
      <c r="H2283" s="7">
        <v>5.8220000000000001</v>
      </c>
      <c r="I2283" s="7">
        <v>5.0039999999999996</v>
      </c>
      <c r="J2283" s="7">
        <v>4.8410000000000002</v>
      </c>
      <c r="K2283" s="7">
        <v>4.2080000000000002</v>
      </c>
      <c r="L2283" s="7">
        <v>4.0209999999999999</v>
      </c>
      <c r="M2283" s="7">
        <v>4.2610000000000001</v>
      </c>
      <c r="N2283" s="7">
        <v>5.1680000000000001</v>
      </c>
      <c r="O2283" s="7">
        <v>5.1440000000000001</v>
      </c>
      <c r="P2283" s="7">
        <v>5.5</v>
      </c>
      <c r="Q2283" s="7">
        <v>5.5389999999999997</v>
      </c>
      <c r="R2283" s="7">
        <v>5.7060000000000004</v>
      </c>
      <c r="S2283" s="7">
        <f t="shared" si="35"/>
        <v>5.0635833333333338</v>
      </c>
    </row>
    <row r="2284" spans="1:19">
      <c r="A2284" s="5" t="str">
        <f>B2284&amp;"-"&amp;COUNTIF($B$2:B2284,B2284)</f>
        <v>MINAS GERAIS-718</v>
      </c>
      <c r="B2284" s="5" t="s">
        <v>1126</v>
      </c>
      <c r="C2284" s="5" t="s">
        <v>4042</v>
      </c>
      <c r="D2284" s="6">
        <v>-444434</v>
      </c>
      <c r="E2284" s="6">
        <v>-217047</v>
      </c>
      <c r="F2284" s="7">
        <v>4.7359999999999998</v>
      </c>
      <c r="G2284" s="7">
        <v>5.3810000000000002</v>
      </c>
      <c r="H2284" s="7">
        <v>5.758</v>
      </c>
      <c r="I2284" s="7">
        <v>4.8449999999999998</v>
      </c>
      <c r="J2284" s="7">
        <v>4.415</v>
      </c>
      <c r="K2284" s="7">
        <v>3.738</v>
      </c>
      <c r="L2284" s="7">
        <v>3.5830000000000002</v>
      </c>
      <c r="M2284" s="7">
        <v>3.7629999999999999</v>
      </c>
      <c r="N2284" s="7">
        <v>4.6959999999999997</v>
      </c>
      <c r="O2284" s="7">
        <v>4.8869999999999996</v>
      </c>
      <c r="P2284" s="7">
        <v>5.1589999999999998</v>
      </c>
      <c r="Q2284" s="7">
        <v>5.1059999999999999</v>
      </c>
      <c r="R2284" s="7">
        <v>5.5</v>
      </c>
      <c r="S2284" s="7">
        <f t="shared" si="35"/>
        <v>4.7359166666666663</v>
      </c>
    </row>
    <row r="2285" spans="1:19">
      <c r="A2285" s="5" t="str">
        <f>B2285&amp;"-"&amp;COUNTIF($B$2:B2285,B2285)</f>
        <v>MINAS GERAIS-719</v>
      </c>
      <c r="B2285" s="5" t="s">
        <v>1126</v>
      </c>
      <c r="C2285" s="5" t="s">
        <v>5609</v>
      </c>
      <c r="D2285" s="6">
        <v>-438267</v>
      </c>
      <c r="E2285" s="6">
        <v>-198845</v>
      </c>
      <c r="F2285" s="7">
        <v>5.0970000000000004</v>
      </c>
      <c r="G2285" s="7">
        <v>5.8010000000000002</v>
      </c>
      <c r="H2285" s="7">
        <v>5.9690000000000003</v>
      </c>
      <c r="I2285" s="7">
        <v>5.1260000000000003</v>
      </c>
      <c r="J2285" s="7">
        <v>4.7619999999999996</v>
      </c>
      <c r="K2285" s="7">
        <v>4.133</v>
      </c>
      <c r="L2285" s="7">
        <v>4.0430000000000001</v>
      </c>
      <c r="M2285" s="7">
        <v>4.2649999999999997</v>
      </c>
      <c r="N2285" s="7">
        <v>5.0910000000000002</v>
      </c>
      <c r="O2285" s="7">
        <v>5.4690000000000003</v>
      </c>
      <c r="P2285" s="7">
        <v>5.5860000000000003</v>
      </c>
      <c r="Q2285" s="7">
        <v>5.2859999999999996</v>
      </c>
      <c r="R2285" s="7">
        <v>5.6340000000000003</v>
      </c>
      <c r="S2285" s="7">
        <f t="shared" si="35"/>
        <v>5.097083333333333</v>
      </c>
    </row>
    <row r="2286" spans="1:19">
      <c r="A2286" s="5" t="str">
        <f>B2286&amp;"-"&amp;COUNTIF($B$2:B2286,B2286)</f>
        <v>MINAS GERAIS-720</v>
      </c>
      <c r="B2286" s="5" t="s">
        <v>1126</v>
      </c>
      <c r="C2286" s="5" t="s">
        <v>5142</v>
      </c>
      <c r="D2286" s="6">
        <v>-430756</v>
      </c>
      <c r="E2286" s="6">
        <v>-186658</v>
      </c>
      <c r="F2286" s="7">
        <v>4.8070000000000004</v>
      </c>
      <c r="G2286" s="7">
        <v>5.7160000000000002</v>
      </c>
      <c r="H2286" s="7">
        <v>5.9569999999999999</v>
      </c>
      <c r="I2286" s="7">
        <v>4.944</v>
      </c>
      <c r="J2286" s="7">
        <v>4.4420000000000002</v>
      </c>
      <c r="K2286" s="7">
        <v>3.8719999999999999</v>
      </c>
      <c r="L2286" s="7">
        <v>3.702</v>
      </c>
      <c r="M2286" s="7">
        <v>3.8879999999999999</v>
      </c>
      <c r="N2286" s="7">
        <v>4.609</v>
      </c>
      <c r="O2286" s="7">
        <v>5.0259999999999998</v>
      </c>
      <c r="P2286" s="7">
        <v>5.1790000000000003</v>
      </c>
      <c r="Q2286" s="7">
        <v>4.8230000000000004</v>
      </c>
      <c r="R2286" s="7">
        <v>5.52</v>
      </c>
      <c r="S2286" s="7">
        <f t="shared" si="35"/>
        <v>4.8065000000000007</v>
      </c>
    </row>
    <row r="2287" spans="1:19">
      <c r="A2287" s="5" t="str">
        <f>B2287&amp;"-"&amp;COUNTIF($B$2:B2287,B2287)</f>
        <v>MINAS GERAIS-721</v>
      </c>
      <c r="B2287" s="5" t="s">
        <v>1126</v>
      </c>
      <c r="C2287" s="5" t="s">
        <v>1607</v>
      </c>
      <c r="D2287" s="6">
        <v>-474436</v>
      </c>
      <c r="E2287" s="5" t="s">
        <v>1608</v>
      </c>
      <c r="F2287" s="7">
        <v>5.1159999999999997</v>
      </c>
      <c r="G2287" s="7">
        <v>5.4340000000000002</v>
      </c>
      <c r="H2287" s="7">
        <v>5.7930000000000001</v>
      </c>
      <c r="I2287" s="7">
        <v>4.9569999999999999</v>
      </c>
      <c r="J2287" s="7">
        <v>4.8819999999999997</v>
      </c>
      <c r="K2287" s="7">
        <v>4.41</v>
      </c>
      <c r="L2287" s="7">
        <v>4.1740000000000004</v>
      </c>
      <c r="M2287" s="7">
        <v>4.4740000000000002</v>
      </c>
      <c r="N2287" s="7">
        <v>5.3230000000000004</v>
      </c>
      <c r="O2287" s="7">
        <v>5.2439999999999998</v>
      </c>
      <c r="P2287" s="7">
        <v>5.5259999999999998</v>
      </c>
      <c r="Q2287" s="7">
        <v>5.4340000000000002</v>
      </c>
      <c r="R2287" s="7">
        <v>5.7460000000000004</v>
      </c>
      <c r="S2287" s="7">
        <f t="shared" si="35"/>
        <v>5.1164166666666668</v>
      </c>
    </row>
    <row r="2288" spans="1:19">
      <c r="A2288" s="5" t="str">
        <f>B2288&amp;"-"&amp;COUNTIF($B$2:B2288,B2288)</f>
        <v>MINAS GERAIS-722</v>
      </c>
      <c r="B2288" s="5" t="s">
        <v>1126</v>
      </c>
      <c r="C2288" s="5" t="s">
        <v>1609</v>
      </c>
      <c r="D2288" s="6">
        <v>-42296</v>
      </c>
      <c r="E2288" s="6">
        <v>-161691</v>
      </c>
      <c r="F2288" s="7">
        <v>5.2060000000000004</v>
      </c>
      <c r="G2288" s="7">
        <v>6.1719999999999997</v>
      </c>
      <c r="H2288" s="7">
        <v>6.3490000000000002</v>
      </c>
      <c r="I2288" s="7">
        <v>5.4649999999999999</v>
      </c>
      <c r="J2288" s="7">
        <v>4.7859999999999996</v>
      </c>
      <c r="K2288" s="7">
        <v>4.1349999999999998</v>
      </c>
      <c r="L2288" s="7">
        <v>3.8260000000000001</v>
      </c>
      <c r="M2288" s="7">
        <v>4.0819999999999999</v>
      </c>
      <c r="N2288" s="7">
        <v>4.8609999999999998</v>
      </c>
      <c r="O2288" s="7">
        <v>5.5890000000000004</v>
      </c>
      <c r="P2288" s="7">
        <v>5.6509999999999998</v>
      </c>
      <c r="Q2288" s="7">
        <v>5.3949999999999996</v>
      </c>
      <c r="R2288" s="7">
        <v>6.1559999999999997</v>
      </c>
      <c r="S2288" s="7">
        <f t="shared" si="35"/>
        <v>5.2055833333333323</v>
      </c>
    </row>
    <row r="2289" spans="1:19">
      <c r="A2289" s="5" t="str">
        <f>B2289&amp;"-"&amp;COUNTIF($B$2:B2289,B2289)</f>
        <v>MINAS GERAIS-723</v>
      </c>
      <c r="B2289" s="5" t="s">
        <v>1126</v>
      </c>
      <c r="C2289" s="5" t="s">
        <v>1610</v>
      </c>
      <c r="D2289" s="6">
        <v>-399394</v>
      </c>
      <c r="E2289" s="6">
        <v>-160068</v>
      </c>
      <c r="F2289" s="7">
        <v>4.9050000000000002</v>
      </c>
      <c r="G2289" s="7">
        <v>6.0279999999999996</v>
      </c>
      <c r="H2289" s="7">
        <v>6.1150000000000002</v>
      </c>
      <c r="I2289" s="7">
        <v>5.3780000000000001</v>
      </c>
      <c r="J2289" s="7">
        <v>4.6900000000000004</v>
      </c>
      <c r="K2289" s="7">
        <v>3.871</v>
      </c>
      <c r="L2289" s="7">
        <v>3.5350000000000001</v>
      </c>
      <c r="M2289" s="7">
        <v>3.7149999999999999</v>
      </c>
      <c r="N2289" s="7">
        <v>4.2249999999999996</v>
      </c>
      <c r="O2289" s="7">
        <v>4.944</v>
      </c>
      <c r="P2289" s="7">
        <v>5.1139999999999999</v>
      </c>
      <c r="Q2289" s="7">
        <v>5.173</v>
      </c>
      <c r="R2289" s="7">
        <v>6.0679999999999996</v>
      </c>
      <c r="S2289" s="7">
        <f t="shared" si="35"/>
        <v>4.9046666666666665</v>
      </c>
    </row>
    <row r="2290" spans="1:19">
      <c r="A2290" s="5" t="str">
        <f>B2290&amp;"-"&amp;COUNTIF($B$2:B2290,B2290)</f>
        <v>MINAS GERAIS-724</v>
      </c>
      <c r="B2290" s="5" t="s">
        <v>1126</v>
      </c>
      <c r="C2290" s="5" t="s">
        <v>5478</v>
      </c>
      <c r="D2290" s="6">
        <v>-434105</v>
      </c>
      <c r="E2290" s="6">
        <v>-199608</v>
      </c>
      <c r="F2290" s="7">
        <v>4.718</v>
      </c>
      <c r="G2290" s="7">
        <v>5.407</v>
      </c>
      <c r="H2290" s="7">
        <v>5.7910000000000004</v>
      </c>
      <c r="I2290" s="7">
        <v>4.843</v>
      </c>
      <c r="J2290" s="7">
        <v>4.4409999999999998</v>
      </c>
      <c r="K2290" s="7">
        <v>3.8610000000000002</v>
      </c>
      <c r="L2290" s="7">
        <v>3.6930000000000001</v>
      </c>
      <c r="M2290" s="7">
        <v>3.9</v>
      </c>
      <c r="N2290" s="7">
        <v>4.6989999999999998</v>
      </c>
      <c r="O2290" s="7">
        <v>4.9550000000000001</v>
      </c>
      <c r="P2290" s="7">
        <v>5.03</v>
      </c>
      <c r="Q2290" s="7">
        <v>4.7460000000000004</v>
      </c>
      <c r="R2290" s="7">
        <v>5.25</v>
      </c>
      <c r="S2290" s="7">
        <f t="shared" si="35"/>
        <v>4.718</v>
      </c>
    </row>
    <row r="2291" spans="1:19">
      <c r="A2291" s="5" t="str">
        <f>B2291&amp;"-"&amp;COUNTIF($B$2:B2291,B2291)</f>
        <v>MINAS GERAIS-725</v>
      </c>
      <c r="B2291" s="5" t="s">
        <v>1126</v>
      </c>
      <c r="C2291" s="5" t="s">
        <v>5610</v>
      </c>
      <c r="D2291" s="5" t="s">
        <v>1611</v>
      </c>
      <c r="E2291" s="6">
        <v>-19978</v>
      </c>
      <c r="F2291" s="7">
        <v>4.6829999999999998</v>
      </c>
      <c r="G2291" s="7">
        <v>5.6509999999999998</v>
      </c>
      <c r="H2291" s="7">
        <v>5.7949999999999999</v>
      </c>
      <c r="I2291" s="7">
        <v>4.7949999999999999</v>
      </c>
      <c r="J2291" s="7">
        <v>4.3719999999999999</v>
      </c>
      <c r="K2291" s="7">
        <v>3.7410000000000001</v>
      </c>
      <c r="L2291" s="7">
        <v>3.6160000000000001</v>
      </c>
      <c r="M2291" s="7">
        <v>3.742</v>
      </c>
      <c r="N2291" s="7">
        <v>4.4950000000000001</v>
      </c>
      <c r="O2291" s="7">
        <v>4.8890000000000002</v>
      </c>
      <c r="P2291" s="7">
        <v>4.9249999999999998</v>
      </c>
      <c r="Q2291" s="7">
        <v>4.7110000000000003</v>
      </c>
      <c r="R2291" s="7">
        <v>5.4649999999999999</v>
      </c>
      <c r="S2291" s="7">
        <f t="shared" si="35"/>
        <v>4.6830833333333333</v>
      </c>
    </row>
    <row r="2292" spans="1:19">
      <c r="A2292" s="5" t="str">
        <f>B2292&amp;"-"&amp;COUNTIF($B$2:B2292,B2292)</f>
        <v>MINAS GERAIS-726</v>
      </c>
      <c r="B2292" s="5" t="s">
        <v>1126</v>
      </c>
      <c r="C2292" s="5" t="s">
        <v>5611</v>
      </c>
      <c r="D2292" s="6">
        <v>-437031</v>
      </c>
      <c r="E2292" s="6">
        <v>-219597</v>
      </c>
      <c r="F2292" s="7">
        <v>4.5010000000000003</v>
      </c>
      <c r="G2292" s="7">
        <v>5.3339999999999996</v>
      </c>
      <c r="H2292" s="7">
        <v>5.7190000000000003</v>
      </c>
      <c r="I2292" s="7">
        <v>4.7190000000000003</v>
      </c>
      <c r="J2292" s="7">
        <v>4.2</v>
      </c>
      <c r="K2292" s="7">
        <v>3.5680000000000001</v>
      </c>
      <c r="L2292" s="7">
        <v>3.4409999999999998</v>
      </c>
      <c r="M2292" s="7">
        <v>3.528</v>
      </c>
      <c r="N2292" s="7">
        <v>4.3680000000000003</v>
      </c>
      <c r="O2292" s="7">
        <v>4.5209999999999999</v>
      </c>
      <c r="P2292" s="7">
        <v>4.7089999999999996</v>
      </c>
      <c r="Q2292" s="7">
        <v>4.6059999999999999</v>
      </c>
      <c r="R2292" s="7">
        <v>5.2960000000000003</v>
      </c>
      <c r="S2292" s="7">
        <f t="shared" si="35"/>
        <v>4.50075</v>
      </c>
    </row>
    <row r="2293" spans="1:19">
      <c r="A2293" s="5" t="str">
        <f>B2293&amp;"-"&amp;COUNTIF($B$2:B2293,B2293)</f>
        <v>MINAS GERAIS-727</v>
      </c>
      <c r="B2293" s="5" t="s">
        <v>1126</v>
      </c>
      <c r="C2293" s="5" t="s">
        <v>5612</v>
      </c>
      <c r="D2293" s="6">
        <v>-435611</v>
      </c>
      <c r="E2293" s="6">
        <v>-212436</v>
      </c>
      <c r="F2293" s="7">
        <v>4.53</v>
      </c>
      <c r="G2293" s="7">
        <v>5.3010000000000002</v>
      </c>
      <c r="H2293" s="7">
        <v>5.6340000000000003</v>
      </c>
      <c r="I2293" s="7">
        <v>4.6790000000000003</v>
      </c>
      <c r="J2293" s="7">
        <v>4.1929999999999996</v>
      </c>
      <c r="K2293" s="7">
        <v>3.5630000000000002</v>
      </c>
      <c r="L2293" s="7">
        <v>3.4390000000000001</v>
      </c>
      <c r="M2293" s="7">
        <v>3.6259999999999999</v>
      </c>
      <c r="N2293" s="7">
        <v>4.4669999999999996</v>
      </c>
      <c r="O2293" s="7">
        <v>4.6970000000000001</v>
      </c>
      <c r="P2293" s="7">
        <v>4.8499999999999996</v>
      </c>
      <c r="Q2293" s="7">
        <v>4.5469999999999997</v>
      </c>
      <c r="R2293" s="7">
        <v>5.37</v>
      </c>
      <c r="S2293" s="7">
        <f t="shared" si="35"/>
        <v>4.5305</v>
      </c>
    </row>
    <row r="2294" spans="1:19">
      <c r="A2294" s="5" t="str">
        <f>B2294&amp;"-"&amp;COUNTIF($B$2:B2294,B2294)</f>
        <v>MINAS GERAIS-728</v>
      </c>
      <c r="B2294" s="5" t="s">
        <v>1126</v>
      </c>
      <c r="C2294" s="5" t="s">
        <v>1612</v>
      </c>
      <c r="D2294" s="6">
        <v>-442206</v>
      </c>
      <c r="E2294" s="6">
        <v>-211246</v>
      </c>
      <c r="F2294" s="7">
        <v>4.806</v>
      </c>
      <c r="G2294" s="7">
        <v>5.55</v>
      </c>
      <c r="H2294" s="7">
        <v>5.7679999999999998</v>
      </c>
      <c r="I2294" s="7">
        <v>4.899</v>
      </c>
      <c r="J2294" s="7">
        <v>4.444</v>
      </c>
      <c r="K2294" s="7">
        <v>3.8330000000000002</v>
      </c>
      <c r="L2294" s="7">
        <v>3.65</v>
      </c>
      <c r="M2294" s="7">
        <v>3.8940000000000001</v>
      </c>
      <c r="N2294" s="7">
        <v>4.8239999999999998</v>
      </c>
      <c r="O2294" s="7">
        <v>5.0369999999999999</v>
      </c>
      <c r="P2294" s="7">
        <v>5.24</v>
      </c>
      <c r="Q2294" s="7">
        <v>4.9930000000000003</v>
      </c>
      <c r="R2294" s="7">
        <v>5.5469999999999997</v>
      </c>
      <c r="S2294" s="7">
        <f t="shared" si="35"/>
        <v>4.8065833333333332</v>
      </c>
    </row>
    <row r="2295" spans="1:19">
      <c r="A2295" s="5" t="str">
        <f>B2295&amp;"-"&amp;COUNTIF($B$2:B2295,B2295)</f>
        <v>MINAS GERAIS-729</v>
      </c>
      <c r="B2295" s="5" t="s">
        <v>1126</v>
      </c>
      <c r="C2295" s="5" t="s">
        <v>1613</v>
      </c>
      <c r="D2295" s="6">
        <v>-417486</v>
      </c>
      <c r="E2295" s="6">
        <v>-160976</v>
      </c>
      <c r="F2295" s="7">
        <v>5.1269999999999998</v>
      </c>
      <c r="G2295" s="7">
        <v>6.0060000000000002</v>
      </c>
      <c r="H2295" s="7">
        <v>6.282</v>
      </c>
      <c r="I2295" s="7">
        <v>5.4020000000000001</v>
      </c>
      <c r="J2295" s="7">
        <v>4.7210000000000001</v>
      </c>
      <c r="K2295" s="7">
        <v>4.069</v>
      </c>
      <c r="L2295" s="7">
        <v>3.7360000000000002</v>
      </c>
      <c r="M2295" s="7">
        <v>4.0060000000000002</v>
      </c>
      <c r="N2295" s="7">
        <v>4.6920000000000002</v>
      </c>
      <c r="O2295" s="7">
        <v>5.5720000000000001</v>
      </c>
      <c r="P2295" s="7">
        <v>5.6539999999999999</v>
      </c>
      <c r="Q2295" s="7">
        <v>5.3010000000000002</v>
      </c>
      <c r="R2295" s="7">
        <v>6.0869999999999997</v>
      </c>
      <c r="S2295" s="7">
        <f t="shared" si="35"/>
        <v>5.1273333333333335</v>
      </c>
    </row>
    <row r="2296" spans="1:19">
      <c r="A2296" s="5" t="str">
        <f>B2296&amp;"-"&amp;COUNTIF($B$2:B2296,B2296)</f>
        <v>MINAS GERAIS-730</v>
      </c>
      <c r="B2296" s="5" t="s">
        <v>1126</v>
      </c>
      <c r="C2296" s="5" t="s">
        <v>1614</v>
      </c>
      <c r="D2296" s="6">
        <v>-428172</v>
      </c>
      <c r="E2296" s="6">
        <v>-202377</v>
      </c>
      <c r="F2296" s="7">
        <v>4.82</v>
      </c>
      <c r="G2296" s="7">
        <v>5.6970000000000001</v>
      </c>
      <c r="H2296" s="7">
        <v>6.0389999999999997</v>
      </c>
      <c r="I2296" s="7">
        <v>5.0540000000000003</v>
      </c>
      <c r="J2296" s="7">
        <v>4.5730000000000004</v>
      </c>
      <c r="K2296" s="7">
        <v>3.8460000000000001</v>
      </c>
      <c r="L2296" s="7">
        <v>3.6440000000000001</v>
      </c>
      <c r="M2296" s="7">
        <v>3.9020000000000001</v>
      </c>
      <c r="N2296" s="7">
        <v>4.6740000000000004</v>
      </c>
      <c r="O2296" s="7">
        <v>4.9870000000000001</v>
      </c>
      <c r="P2296" s="7">
        <v>5.1219999999999999</v>
      </c>
      <c r="Q2296" s="7">
        <v>4.8330000000000002</v>
      </c>
      <c r="R2296" s="7">
        <v>5.476</v>
      </c>
      <c r="S2296" s="7">
        <f t="shared" si="35"/>
        <v>4.8205833333333334</v>
      </c>
    </row>
    <row r="2297" spans="1:19">
      <c r="A2297" s="5" t="str">
        <f>B2297&amp;"-"&amp;COUNTIF($B$2:B2297,B2297)</f>
        <v>MINAS GERAIS-731</v>
      </c>
      <c r="B2297" s="5" t="s">
        <v>1126</v>
      </c>
      <c r="C2297" s="5" t="s">
        <v>5293</v>
      </c>
      <c r="D2297" s="6">
        <v>-424392</v>
      </c>
      <c r="E2297" s="6">
        <v>-188239</v>
      </c>
      <c r="F2297" s="7">
        <v>4.6369999999999996</v>
      </c>
      <c r="G2297" s="7">
        <v>5.5819999999999999</v>
      </c>
      <c r="H2297" s="7">
        <v>5.8029999999999999</v>
      </c>
      <c r="I2297" s="7">
        <v>4.8630000000000004</v>
      </c>
      <c r="J2297" s="7">
        <v>4.3079999999999998</v>
      </c>
      <c r="K2297" s="7">
        <v>3.6920000000000002</v>
      </c>
      <c r="L2297" s="7">
        <v>3.5470000000000002</v>
      </c>
      <c r="M2297" s="7">
        <v>3.665</v>
      </c>
      <c r="N2297" s="7">
        <v>4.3680000000000003</v>
      </c>
      <c r="O2297" s="7">
        <v>4.8490000000000002</v>
      </c>
      <c r="P2297" s="7">
        <v>4.9960000000000004</v>
      </c>
      <c r="Q2297" s="7">
        <v>4.5679999999999996</v>
      </c>
      <c r="R2297" s="7">
        <v>5.4050000000000002</v>
      </c>
      <c r="S2297" s="7">
        <f t="shared" si="35"/>
        <v>4.6371666666666673</v>
      </c>
    </row>
    <row r="2298" spans="1:19">
      <c r="A2298" s="5" t="str">
        <f>B2298&amp;"-"&amp;COUNTIF($B$2:B2298,B2298)</f>
        <v>MINAS GERAIS-732</v>
      </c>
      <c r="B2298" s="5" t="s">
        <v>1126</v>
      </c>
      <c r="C2298" s="5" t="s">
        <v>4372</v>
      </c>
      <c r="D2298" s="6">
        <v>-454148</v>
      </c>
      <c r="E2298" s="6">
        <v>-166937</v>
      </c>
      <c r="F2298" s="7">
        <v>5.6609999999999996</v>
      </c>
      <c r="G2298" s="7">
        <v>6.266</v>
      </c>
      <c r="H2298" s="7">
        <v>6.5460000000000003</v>
      </c>
      <c r="I2298" s="7">
        <v>5.5679999999999996</v>
      </c>
      <c r="J2298" s="7">
        <v>5.5119999999999996</v>
      </c>
      <c r="K2298" s="7">
        <v>4.9870000000000001</v>
      </c>
      <c r="L2298" s="7">
        <v>4.6790000000000003</v>
      </c>
      <c r="M2298" s="7">
        <v>5.01</v>
      </c>
      <c r="N2298" s="7">
        <v>5.84</v>
      </c>
      <c r="O2298" s="7">
        <v>5.9489999999999998</v>
      </c>
      <c r="P2298" s="7">
        <v>6.1029999999999998</v>
      </c>
      <c r="Q2298" s="7">
        <v>5.4950000000000001</v>
      </c>
      <c r="R2298" s="7">
        <v>5.976</v>
      </c>
      <c r="S2298" s="7">
        <f t="shared" si="35"/>
        <v>5.6609166666666662</v>
      </c>
    </row>
    <row r="2299" spans="1:19">
      <c r="A2299" s="5" t="str">
        <f>B2299&amp;"-"&amp;COUNTIF($B$2:B2299,B2299)</f>
        <v>MINAS GERAIS-733</v>
      </c>
      <c r="B2299" s="5" t="s">
        <v>1126</v>
      </c>
      <c r="C2299" s="5" t="s">
        <v>1615</v>
      </c>
      <c r="D2299" s="6">
        <v>-406842</v>
      </c>
      <c r="E2299" s="6">
        <v>-169373</v>
      </c>
      <c r="F2299" s="7">
        <v>4.8899999999999997</v>
      </c>
      <c r="G2299" s="7">
        <v>5.9429999999999996</v>
      </c>
      <c r="H2299" s="7">
        <v>6.1669999999999998</v>
      </c>
      <c r="I2299" s="7">
        <v>5.2850000000000001</v>
      </c>
      <c r="J2299" s="7">
        <v>4.5659999999999998</v>
      </c>
      <c r="K2299" s="7">
        <v>3.7730000000000001</v>
      </c>
      <c r="L2299" s="7">
        <v>3.45</v>
      </c>
      <c r="M2299" s="7">
        <v>3.6779999999999999</v>
      </c>
      <c r="N2299" s="7">
        <v>4.34</v>
      </c>
      <c r="O2299" s="7">
        <v>5.0640000000000001</v>
      </c>
      <c r="P2299" s="7">
        <v>5.2839999999999998</v>
      </c>
      <c r="Q2299" s="7">
        <v>5.093</v>
      </c>
      <c r="R2299" s="7">
        <v>6.032</v>
      </c>
      <c r="S2299" s="7">
        <f t="shared" si="35"/>
        <v>4.8895833333333334</v>
      </c>
    </row>
    <row r="2300" spans="1:19">
      <c r="A2300" s="5" t="str">
        <f>B2300&amp;"-"&amp;COUNTIF($B$2:B2300,B2300)</f>
        <v>MINAS GERAIS-734</v>
      </c>
      <c r="B2300" s="5" t="s">
        <v>1126</v>
      </c>
      <c r="C2300" s="5" t="s">
        <v>1616</v>
      </c>
      <c r="D2300" s="6">
        <v>-475294</v>
      </c>
      <c r="E2300" s="6">
        <v>-19311</v>
      </c>
      <c r="F2300" s="7">
        <v>5.21</v>
      </c>
      <c r="G2300" s="7">
        <v>5.57</v>
      </c>
      <c r="H2300" s="7">
        <v>5.9509999999999996</v>
      </c>
      <c r="I2300" s="7">
        <v>4.9950000000000001</v>
      </c>
      <c r="J2300" s="7">
        <v>4.9349999999999996</v>
      </c>
      <c r="K2300" s="7">
        <v>4.4800000000000004</v>
      </c>
      <c r="L2300" s="7">
        <v>4.2960000000000003</v>
      </c>
      <c r="M2300" s="7">
        <v>4.5270000000000001</v>
      </c>
      <c r="N2300" s="7">
        <v>5.5140000000000002</v>
      </c>
      <c r="O2300" s="7">
        <v>5.4420000000000002</v>
      </c>
      <c r="P2300" s="7">
        <v>5.6230000000000002</v>
      </c>
      <c r="Q2300" s="7">
        <v>5.4539999999999997</v>
      </c>
      <c r="R2300" s="7">
        <v>5.74</v>
      </c>
      <c r="S2300" s="7">
        <f t="shared" si="35"/>
        <v>5.2105833333333331</v>
      </c>
    </row>
    <row r="2301" spans="1:19">
      <c r="A2301" s="5" t="str">
        <f>B2301&amp;"-"&amp;COUNTIF($B$2:B2301,B2301)</f>
        <v>MINAS GERAIS-735</v>
      </c>
      <c r="B2301" s="5" t="s">
        <v>1126</v>
      </c>
      <c r="C2301" s="5" t="s">
        <v>521</v>
      </c>
      <c r="D2301" s="5" t="s">
        <v>1617</v>
      </c>
      <c r="E2301" s="6">
        <v>-197553</v>
      </c>
      <c r="F2301" s="7">
        <v>5.1909999999999998</v>
      </c>
      <c r="G2301" s="7">
        <v>5.8760000000000003</v>
      </c>
      <c r="H2301" s="7">
        <v>6.1079999999999997</v>
      </c>
      <c r="I2301" s="7">
        <v>5.31</v>
      </c>
      <c r="J2301" s="7">
        <v>4.87</v>
      </c>
      <c r="K2301" s="7">
        <v>4.2190000000000003</v>
      </c>
      <c r="L2301" s="7">
        <v>4.0830000000000002</v>
      </c>
      <c r="M2301" s="7">
        <v>4.3410000000000002</v>
      </c>
      <c r="N2301" s="7">
        <v>5.17</v>
      </c>
      <c r="O2301" s="7">
        <v>5.5439999999999996</v>
      </c>
      <c r="P2301" s="7">
        <v>5.657</v>
      </c>
      <c r="Q2301" s="7">
        <v>5.399</v>
      </c>
      <c r="R2301" s="7">
        <v>5.7169999999999996</v>
      </c>
      <c r="S2301" s="7">
        <f t="shared" si="35"/>
        <v>5.1911666666666667</v>
      </c>
    </row>
    <row r="2302" spans="1:19">
      <c r="A2302" s="5" t="str">
        <f>B2302&amp;"-"&amp;COUNTIF($B$2:B2302,B2302)</f>
        <v>MINAS GERAIS-736</v>
      </c>
      <c r="B2302" s="5" t="s">
        <v>1126</v>
      </c>
      <c r="C2302" s="5" t="s">
        <v>1618</v>
      </c>
      <c r="D2302" s="6">
        <v>-422523</v>
      </c>
      <c r="E2302" s="6">
        <v>-203843</v>
      </c>
      <c r="F2302" s="7">
        <v>4.7679999999999998</v>
      </c>
      <c r="G2302" s="7">
        <v>5.65</v>
      </c>
      <c r="H2302" s="7">
        <v>5.8970000000000002</v>
      </c>
      <c r="I2302" s="7">
        <v>4.984</v>
      </c>
      <c r="J2302" s="7">
        <v>4.4790000000000001</v>
      </c>
      <c r="K2302" s="7">
        <v>3.802</v>
      </c>
      <c r="L2302" s="7">
        <v>3.6880000000000002</v>
      </c>
      <c r="M2302" s="7">
        <v>3.8519999999999999</v>
      </c>
      <c r="N2302" s="7">
        <v>4.5759999999999996</v>
      </c>
      <c r="O2302" s="7">
        <v>4.9560000000000004</v>
      </c>
      <c r="P2302" s="7">
        <v>5.0309999999999997</v>
      </c>
      <c r="Q2302" s="7">
        <v>4.7590000000000003</v>
      </c>
      <c r="R2302" s="7">
        <v>5.54</v>
      </c>
      <c r="S2302" s="7">
        <f t="shared" si="35"/>
        <v>4.7678333333333329</v>
      </c>
    </row>
    <row r="2303" spans="1:19">
      <c r="A2303" s="5" t="str">
        <f>B2303&amp;"-"&amp;COUNTIF($B$2:B2303,B2303)</f>
        <v>MINAS GERAIS-737</v>
      </c>
      <c r="B2303" s="5" t="s">
        <v>1126</v>
      </c>
      <c r="C2303" s="5" t="s">
        <v>1619</v>
      </c>
      <c r="D2303" s="6">
        <v>-43113</v>
      </c>
      <c r="E2303" s="6">
        <v>-19449</v>
      </c>
      <c r="F2303" s="7">
        <v>4.83</v>
      </c>
      <c r="G2303" s="7">
        <v>5.7229999999999999</v>
      </c>
      <c r="H2303" s="7">
        <v>5.9859999999999998</v>
      </c>
      <c r="I2303" s="7">
        <v>5.032</v>
      </c>
      <c r="J2303" s="7">
        <v>4.4690000000000003</v>
      </c>
      <c r="K2303" s="7">
        <v>3.8820000000000001</v>
      </c>
      <c r="L2303" s="7">
        <v>3.6869999999999998</v>
      </c>
      <c r="M2303" s="7">
        <v>3.879</v>
      </c>
      <c r="N2303" s="7">
        <v>4.6859999999999999</v>
      </c>
      <c r="O2303" s="7">
        <v>5.0129999999999999</v>
      </c>
      <c r="P2303" s="7">
        <v>5.1550000000000002</v>
      </c>
      <c r="Q2303" s="7">
        <v>4.8319999999999999</v>
      </c>
      <c r="R2303" s="7">
        <v>5.6130000000000004</v>
      </c>
      <c r="S2303" s="7">
        <f t="shared" si="35"/>
        <v>4.8297499999999998</v>
      </c>
    </row>
    <row r="2304" spans="1:19">
      <c r="A2304" s="5" t="str">
        <f>B2304&amp;"-"&amp;COUNTIF($B$2:B2304,B2304)</f>
        <v>MINAS GERAIS-738</v>
      </c>
      <c r="B2304" s="5" t="s">
        <v>1126</v>
      </c>
      <c r="C2304" s="5" t="s">
        <v>1620</v>
      </c>
      <c r="D2304" s="6">
        <v>-401515</v>
      </c>
      <c r="E2304" s="6">
        <v>-162484</v>
      </c>
      <c r="F2304" s="7">
        <v>4.899</v>
      </c>
      <c r="G2304" s="7">
        <v>6.0179999999999998</v>
      </c>
      <c r="H2304" s="7">
        <v>6.1790000000000003</v>
      </c>
      <c r="I2304" s="7">
        <v>5.4649999999999999</v>
      </c>
      <c r="J2304" s="7">
        <v>4.7370000000000001</v>
      </c>
      <c r="K2304" s="7">
        <v>3.9009999999999998</v>
      </c>
      <c r="L2304" s="7">
        <v>3.5390000000000001</v>
      </c>
      <c r="M2304" s="7">
        <v>3.6960000000000002</v>
      </c>
      <c r="N2304" s="7">
        <v>4.1790000000000003</v>
      </c>
      <c r="O2304" s="7">
        <v>4.8959999999999999</v>
      </c>
      <c r="P2304" s="7">
        <v>5.0519999999999996</v>
      </c>
      <c r="Q2304" s="7">
        <v>5.1260000000000003</v>
      </c>
      <c r="R2304" s="7">
        <v>6.0049999999999999</v>
      </c>
      <c r="S2304" s="7">
        <f t="shared" si="35"/>
        <v>4.8994166666666672</v>
      </c>
    </row>
    <row r="2305" spans="1:19">
      <c r="A2305" s="5" t="str">
        <f>B2305&amp;"-"&amp;COUNTIF($B$2:B2305,B2305)</f>
        <v>MINAS GERAIS-739</v>
      </c>
      <c r="B2305" s="5" t="s">
        <v>1126</v>
      </c>
      <c r="C2305" s="5" t="s">
        <v>4686</v>
      </c>
      <c r="D2305" s="6">
        <v>-424194</v>
      </c>
      <c r="E2305" s="6">
        <v>-181889</v>
      </c>
      <c r="F2305" s="7">
        <v>4.9379999999999997</v>
      </c>
      <c r="G2305" s="7">
        <v>5.9630000000000001</v>
      </c>
      <c r="H2305" s="7">
        <v>6.2450000000000001</v>
      </c>
      <c r="I2305" s="7">
        <v>5.2510000000000003</v>
      </c>
      <c r="J2305" s="7">
        <v>4.5759999999999996</v>
      </c>
      <c r="K2305" s="7">
        <v>3.9580000000000002</v>
      </c>
      <c r="L2305" s="7">
        <v>3.7349999999999999</v>
      </c>
      <c r="M2305" s="7">
        <v>3.8519999999999999</v>
      </c>
      <c r="N2305" s="7">
        <v>4.5910000000000002</v>
      </c>
      <c r="O2305" s="7">
        <v>5.101</v>
      </c>
      <c r="P2305" s="7">
        <v>5.3150000000000004</v>
      </c>
      <c r="Q2305" s="7">
        <v>4.931</v>
      </c>
      <c r="R2305" s="7">
        <v>5.734</v>
      </c>
      <c r="S2305" s="7">
        <f t="shared" si="35"/>
        <v>4.937666666666666</v>
      </c>
    </row>
    <row r="2306" spans="1:19">
      <c r="A2306" s="5" t="str">
        <f>B2306&amp;"-"&amp;COUNTIF($B$2:B2306,B2306)</f>
        <v>MINAS GERAIS-740</v>
      </c>
      <c r="B2306" s="5" t="s">
        <v>1126</v>
      </c>
      <c r="C2306" s="5" t="s">
        <v>1621</v>
      </c>
      <c r="D2306" s="6">
        <v>-463389</v>
      </c>
      <c r="E2306" s="6">
        <v>-220297</v>
      </c>
      <c r="F2306" s="7">
        <v>4.7119999999999997</v>
      </c>
      <c r="G2306" s="7">
        <v>5.14</v>
      </c>
      <c r="H2306" s="7">
        <v>5.4539999999999997</v>
      </c>
      <c r="I2306" s="7">
        <v>4.6319999999999997</v>
      </c>
      <c r="J2306" s="7">
        <v>4.4139999999999997</v>
      </c>
      <c r="K2306" s="7">
        <v>3.8660000000000001</v>
      </c>
      <c r="L2306" s="7">
        <v>3.641</v>
      </c>
      <c r="M2306" s="7">
        <v>3.8809999999999998</v>
      </c>
      <c r="N2306" s="7">
        <v>4.8239999999999998</v>
      </c>
      <c r="O2306" s="7">
        <v>4.9329999999999998</v>
      </c>
      <c r="P2306" s="7">
        <v>5.2279999999999998</v>
      </c>
      <c r="Q2306" s="7">
        <v>5.1139999999999999</v>
      </c>
      <c r="R2306" s="7">
        <v>5.4180000000000001</v>
      </c>
      <c r="S2306" s="7">
        <f t="shared" si="35"/>
        <v>4.7120833333333332</v>
      </c>
    </row>
    <row r="2307" spans="1:19">
      <c r="A2307" s="5" t="str">
        <f>B2307&amp;"-"&amp;COUNTIF($B$2:B2307,B2307)</f>
        <v>MINAS GERAIS-741</v>
      </c>
      <c r="B2307" s="5" t="s">
        <v>1126</v>
      </c>
      <c r="C2307" s="5" t="s">
        <v>1622</v>
      </c>
      <c r="D2307" s="6">
        <v>-439167</v>
      </c>
      <c r="E2307" s="6">
        <v>-215663</v>
      </c>
      <c r="F2307" s="7">
        <v>4.6790000000000003</v>
      </c>
      <c r="G2307" s="7">
        <v>5.3860000000000001</v>
      </c>
      <c r="H2307" s="7">
        <v>5.7320000000000002</v>
      </c>
      <c r="I2307" s="7">
        <v>4.843</v>
      </c>
      <c r="J2307" s="7">
        <v>4.3010000000000002</v>
      </c>
      <c r="K2307" s="7">
        <v>3.7360000000000002</v>
      </c>
      <c r="L2307" s="7">
        <v>3.5670000000000002</v>
      </c>
      <c r="M2307" s="7">
        <v>3.7229999999999999</v>
      </c>
      <c r="N2307" s="7">
        <v>4.62</v>
      </c>
      <c r="O2307" s="7">
        <v>4.8239999999999998</v>
      </c>
      <c r="P2307" s="7">
        <v>5.056</v>
      </c>
      <c r="Q2307" s="7">
        <v>4.8689999999999998</v>
      </c>
      <c r="R2307" s="7">
        <v>5.4980000000000002</v>
      </c>
      <c r="S2307" s="7">
        <f t="shared" ref="S2307:S2370" si="36">(G2307+H2307+I2307+J2307+K2307+L2307+M2307+N2307+O2307+P2307+Q2307+R2307)/12</f>
        <v>4.6795833333333325</v>
      </c>
    </row>
    <row r="2308" spans="1:19">
      <c r="A2308" s="5" t="str">
        <f>B2308&amp;"-"&amp;COUNTIF($B$2:B2308,B2308)</f>
        <v>MINAS GERAIS-742</v>
      </c>
      <c r="B2308" s="5" t="s">
        <v>1126</v>
      </c>
      <c r="C2308" s="5" t="s">
        <v>1623</v>
      </c>
      <c r="D2308" s="6">
        <v>-440981</v>
      </c>
      <c r="E2308" s="6">
        <v>-221479</v>
      </c>
      <c r="F2308" s="7">
        <v>4.5209999999999999</v>
      </c>
      <c r="G2308" s="7">
        <v>5.3019999999999996</v>
      </c>
      <c r="H2308" s="7">
        <v>5.6619999999999999</v>
      </c>
      <c r="I2308" s="7">
        <v>4.7290000000000001</v>
      </c>
      <c r="J2308" s="7">
        <v>4.234</v>
      </c>
      <c r="K2308" s="7">
        <v>3.6040000000000001</v>
      </c>
      <c r="L2308" s="7">
        <v>3.468</v>
      </c>
      <c r="M2308" s="7">
        <v>3.5419999999999998</v>
      </c>
      <c r="N2308" s="7">
        <v>4.4169999999999998</v>
      </c>
      <c r="O2308" s="7">
        <v>4.5250000000000004</v>
      </c>
      <c r="P2308" s="7">
        <v>4.7380000000000004</v>
      </c>
      <c r="Q2308" s="7">
        <v>4.68</v>
      </c>
      <c r="R2308" s="7">
        <v>5.3490000000000002</v>
      </c>
      <c r="S2308" s="7">
        <f t="shared" si="36"/>
        <v>4.520833333333333</v>
      </c>
    </row>
    <row r="2309" spans="1:19">
      <c r="A2309" s="5" t="str">
        <f>B2309&amp;"-"&amp;COUNTIF($B$2:B2309,B2309)</f>
        <v>MINAS GERAIS-743</v>
      </c>
      <c r="B2309" s="5" t="s">
        <v>1126</v>
      </c>
      <c r="C2309" s="5" t="s">
        <v>1624</v>
      </c>
      <c r="D2309" s="6">
        <v>-421326</v>
      </c>
      <c r="E2309" s="6">
        <v>-198732</v>
      </c>
      <c r="F2309" s="7">
        <v>4.72</v>
      </c>
      <c r="G2309" s="7">
        <v>5.6769999999999996</v>
      </c>
      <c r="H2309" s="7">
        <v>5.8570000000000002</v>
      </c>
      <c r="I2309" s="7">
        <v>4.8899999999999997</v>
      </c>
      <c r="J2309" s="7">
        <v>4.4370000000000003</v>
      </c>
      <c r="K2309" s="7">
        <v>3.7989999999999999</v>
      </c>
      <c r="L2309" s="7">
        <v>3.6070000000000002</v>
      </c>
      <c r="M2309" s="7">
        <v>3.7610000000000001</v>
      </c>
      <c r="N2309" s="7">
        <v>4.4720000000000004</v>
      </c>
      <c r="O2309" s="7">
        <v>4.8849999999999998</v>
      </c>
      <c r="P2309" s="7">
        <v>4.9429999999999996</v>
      </c>
      <c r="Q2309" s="7">
        <v>4.7569999999999997</v>
      </c>
      <c r="R2309" s="7">
        <v>5.5529999999999999</v>
      </c>
      <c r="S2309" s="7">
        <f t="shared" si="36"/>
        <v>4.7198333333333329</v>
      </c>
    </row>
    <row r="2310" spans="1:19">
      <c r="A2310" s="5" t="str">
        <f>B2310&amp;"-"&amp;COUNTIF($B$2:B2310,B2310)</f>
        <v>MINAS GERAIS-744</v>
      </c>
      <c r="B2310" s="5" t="s">
        <v>1126</v>
      </c>
      <c r="C2310" s="5" t="s">
        <v>1625</v>
      </c>
      <c r="D2310" s="6">
        <v>-413824</v>
      </c>
      <c r="E2310" s="6">
        <v>-193581</v>
      </c>
      <c r="F2310" s="7">
        <v>4.7270000000000003</v>
      </c>
      <c r="G2310" s="7">
        <v>5.827</v>
      </c>
      <c r="H2310" s="7">
        <v>5.976</v>
      </c>
      <c r="I2310" s="7">
        <v>5.0519999999999996</v>
      </c>
      <c r="J2310" s="7">
        <v>4.4710000000000001</v>
      </c>
      <c r="K2310" s="7">
        <v>3.7919999999999998</v>
      </c>
      <c r="L2310" s="7">
        <v>3.5779999999999998</v>
      </c>
      <c r="M2310" s="7">
        <v>3.673</v>
      </c>
      <c r="N2310" s="7">
        <v>4.3209999999999997</v>
      </c>
      <c r="O2310" s="7">
        <v>4.7690000000000001</v>
      </c>
      <c r="P2310" s="7">
        <v>4.907</v>
      </c>
      <c r="Q2310" s="7">
        <v>4.7779999999999996</v>
      </c>
      <c r="R2310" s="7">
        <v>5.58</v>
      </c>
      <c r="S2310" s="7">
        <f t="shared" si="36"/>
        <v>4.7269999999999994</v>
      </c>
    </row>
    <row r="2311" spans="1:19">
      <c r="A2311" s="5" t="str">
        <f>B2311&amp;"-"&amp;COUNTIF($B$2:B2311,B2311)</f>
        <v>MINAS GERAIS-745</v>
      </c>
      <c r="B2311" s="5" t="s">
        <v>1126</v>
      </c>
      <c r="C2311" s="5" t="s">
        <v>1626</v>
      </c>
      <c r="D2311" s="6">
        <v>-457038</v>
      </c>
      <c r="E2311" s="6">
        <v>-222466</v>
      </c>
      <c r="F2311" s="7">
        <v>4.835</v>
      </c>
      <c r="G2311" s="7">
        <v>5.3680000000000003</v>
      </c>
      <c r="H2311" s="7">
        <v>5.69</v>
      </c>
      <c r="I2311" s="7">
        <v>4.8959999999999999</v>
      </c>
      <c r="J2311" s="7">
        <v>4.5979999999999999</v>
      </c>
      <c r="K2311" s="7">
        <v>3.8889999999999998</v>
      </c>
      <c r="L2311" s="7">
        <v>3.6339999999999999</v>
      </c>
      <c r="M2311" s="7">
        <v>3.855</v>
      </c>
      <c r="N2311" s="7">
        <v>4.7880000000000003</v>
      </c>
      <c r="O2311" s="7">
        <v>4.93</v>
      </c>
      <c r="P2311" s="7">
        <v>5.3710000000000004</v>
      </c>
      <c r="Q2311" s="7">
        <v>5.3280000000000003</v>
      </c>
      <c r="R2311" s="7">
        <v>5.68</v>
      </c>
      <c r="S2311" s="7">
        <f t="shared" si="36"/>
        <v>4.835583333333334</v>
      </c>
    </row>
    <row r="2312" spans="1:19">
      <c r="A2312" s="5" t="str">
        <f>B2312&amp;"-"&amp;COUNTIF($B$2:B2312,B2312)</f>
        <v>MINAS GERAIS-746</v>
      </c>
      <c r="B2312" s="5" t="s">
        <v>1126</v>
      </c>
      <c r="C2312" s="5" t="s">
        <v>1627</v>
      </c>
      <c r="D2312" s="6">
        <v>-459662</v>
      </c>
      <c r="E2312" s="6">
        <v>-195263</v>
      </c>
      <c r="F2312" s="7">
        <v>5.1310000000000002</v>
      </c>
      <c r="G2312" s="7">
        <v>5.64</v>
      </c>
      <c r="H2312" s="7">
        <v>5.9690000000000003</v>
      </c>
      <c r="I2312" s="7">
        <v>4.907</v>
      </c>
      <c r="J2312" s="7">
        <v>4.8659999999999997</v>
      </c>
      <c r="K2312" s="7">
        <v>4.4489999999999998</v>
      </c>
      <c r="L2312" s="7">
        <v>4.2530000000000001</v>
      </c>
      <c r="M2312" s="7">
        <v>4.5359999999999996</v>
      </c>
      <c r="N2312" s="7">
        <v>5.5469999999999997</v>
      </c>
      <c r="O2312" s="7">
        <v>5.5270000000000001</v>
      </c>
      <c r="P2312" s="7">
        <v>5.4509999999999996</v>
      </c>
      <c r="Q2312" s="7">
        <v>5.024</v>
      </c>
      <c r="R2312" s="7">
        <v>5.4050000000000002</v>
      </c>
      <c r="S2312" s="7">
        <f t="shared" si="36"/>
        <v>5.1311666666666662</v>
      </c>
    </row>
    <row r="2313" spans="1:19">
      <c r="A2313" s="5" t="str">
        <f>B2313&amp;"-"&amp;COUNTIF($B$2:B2313,B2313)</f>
        <v>MINAS GERAIS-747</v>
      </c>
      <c r="B2313" s="5" t="s">
        <v>1126</v>
      </c>
      <c r="C2313" s="5" t="s">
        <v>5143</v>
      </c>
      <c r="D2313" s="6">
        <v>-501212</v>
      </c>
      <c r="E2313" s="6">
        <v>-188419</v>
      </c>
      <c r="F2313" s="7">
        <v>5.3019999999999996</v>
      </c>
      <c r="G2313" s="7">
        <v>5.8689999999999998</v>
      </c>
      <c r="H2313" s="7">
        <v>5.867</v>
      </c>
      <c r="I2313" s="7">
        <v>5.3849999999999998</v>
      </c>
      <c r="J2313" s="7">
        <v>5.093</v>
      </c>
      <c r="K2313" s="7">
        <v>4.4909999999999997</v>
      </c>
      <c r="L2313" s="7">
        <v>4.2370000000000001</v>
      </c>
      <c r="M2313" s="7">
        <v>4.4359999999999999</v>
      </c>
      <c r="N2313" s="7">
        <v>5.3550000000000004</v>
      </c>
      <c r="O2313" s="7">
        <v>5.2779999999999996</v>
      </c>
      <c r="P2313" s="7">
        <v>5.6589999999999998</v>
      </c>
      <c r="Q2313" s="7">
        <v>5.8869999999999996</v>
      </c>
      <c r="R2313" s="7">
        <v>6.0659999999999998</v>
      </c>
      <c r="S2313" s="7">
        <f t="shared" si="36"/>
        <v>5.3019166666666671</v>
      </c>
    </row>
    <row r="2314" spans="1:19">
      <c r="A2314" s="5" t="str">
        <f>B2314&amp;"-"&amp;COUNTIF($B$2:B2314,B2314)</f>
        <v>MINAS GERAIS-748</v>
      </c>
      <c r="B2314" s="5" t="s">
        <v>1126</v>
      </c>
      <c r="C2314" s="5" t="s">
        <v>1628</v>
      </c>
      <c r="D2314" s="6">
        <v>-455009</v>
      </c>
      <c r="E2314" s="6">
        <v>-212454</v>
      </c>
      <c r="F2314" s="7">
        <v>4.9489999999999998</v>
      </c>
      <c r="G2314" s="7">
        <v>5.593</v>
      </c>
      <c r="H2314" s="7">
        <v>5.82</v>
      </c>
      <c r="I2314" s="7">
        <v>4.9210000000000003</v>
      </c>
      <c r="J2314" s="7">
        <v>4.6760000000000002</v>
      </c>
      <c r="K2314" s="7">
        <v>4.0060000000000002</v>
      </c>
      <c r="L2314" s="7">
        <v>3.8069999999999999</v>
      </c>
      <c r="M2314" s="7">
        <v>4.0880000000000001</v>
      </c>
      <c r="N2314" s="7">
        <v>5</v>
      </c>
      <c r="O2314" s="7">
        <v>5.1580000000000004</v>
      </c>
      <c r="P2314" s="7">
        <v>5.4580000000000002</v>
      </c>
      <c r="Q2314" s="7">
        <v>5.2469999999999999</v>
      </c>
      <c r="R2314" s="7">
        <v>5.6120000000000001</v>
      </c>
      <c r="S2314" s="7">
        <f t="shared" si="36"/>
        <v>4.948833333333333</v>
      </c>
    </row>
    <row r="2315" spans="1:19">
      <c r="A2315" s="5" t="str">
        <f>B2315&amp;"-"&amp;COUNTIF($B$2:B2315,B2315)</f>
        <v>MINAS GERAIS-749</v>
      </c>
      <c r="B2315" s="5" t="s">
        <v>1126</v>
      </c>
      <c r="C2315" s="5" t="s">
        <v>1629</v>
      </c>
      <c r="D2315" s="6">
        <v>-425527</v>
      </c>
      <c r="E2315" s="6">
        <v>-212898</v>
      </c>
      <c r="F2315" s="7">
        <v>4.758</v>
      </c>
      <c r="G2315" s="7">
        <v>5.8869999999999996</v>
      </c>
      <c r="H2315" s="7">
        <v>6.0819999999999999</v>
      </c>
      <c r="I2315" s="7">
        <v>5.0170000000000003</v>
      </c>
      <c r="J2315" s="7">
        <v>4.3659999999999997</v>
      </c>
      <c r="K2315" s="7">
        <v>3.698</v>
      </c>
      <c r="L2315" s="7">
        <v>3.5019999999999998</v>
      </c>
      <c r="M2315" s="7">
        <v>3.653</v>
      </c>
      <c r="N2315" s="7">
        <v>4.4459999999999997</v>
      </c>
      <c r="O2315" s="7">
        <v>4.7880000000000003</v>
      </c>
      <c r="P2315" s="7">
        <v>5.07</v>
      </c>
      <c r="Q2315" s="7">
        <v>4.883</v>
      </c>
      <c r="R2315" s="7">
        <v>5.7089999999999996</v>
      </c>
      <c r="S2315" s="7">
        <f t="shared" si="36"/>
        <v>4.7584166666666663</v>
      </c>
    </row>
    <row r="2316" spans="1:19">
      <c r="A2316" s="5" t="str">
        <f>B2316&amp;"-"&amp;COUNTIF($B$2:B2316,B2316)</f>
        <v>MINAS GERAIS-750</v>
      </c>
      <c r="B2316" s="5" t="s">
        <v>1126</v>
      </c>
      <c r="C2316" s="5" t="s">
        <v>1630</v>
      </c>
      <c r="D2316" s="6">
        <v>-440413</v>
      </c>
      <c r="E2316" s="6">
        <v>-189967</v>
      </c>
      <c r="F2316" s="7">
        <v>5.43</v>
      </c>
      <c r="G2316" s="7">
        <v>6.0720000000000001</v>
      </c>
      <c r="H2316" s="7">
        <v>6.4189999999999996</v>
      </c>
      <c r="I2316" s="7">
        <v>5.492</v>
      </c>
      <c r="J2316" s="7">
        <v>5.1210000000000004</v>
      </c>
      <c r="K2316" s="7">
        <v>4.5430000000000001</v>
      </c>
      <c r="L2316" s="7">
        <v>4.2869999999999999</v>
      </c>
      <c r="M2316" s="7">
        <v>4.6159999999999997</v>
      </c>
      <c r="N2316" s="7">
        <v>5.34</v>
      </c>
      <c r="O2316" s="7">
        <v>5.7960000000000003</v>
      </c>
      <c r="P2316" s="7">
        <v>5.8949999999999996</v>
      </c>
      <c r="Q2316" s="7">
        <v>5.5949999999999998</v>
      </c>
      <c r="R2316" s="7">
        <v>5.9850000000000003</v>
      </c>
      <c r="S2316" s="7">
        <f t="shared" si="36"/>
        <v>5.4300833333333332</v>
      </c>
    </row>
    <row r="2317" spans="1:19">
      <c r="A2317" s="5" t="str">
        <f>B2317&amp;"-"&amp;COUNTIF($B$2:B2317,B2317)</f>
        <v>MINAS GERAIS-751</v>
      </c>
      <c r="B2317" s="5" t="s">
        <v>1126</v>
      </c>
      <c r="C2317" s="5" t="s">
        <v>1631</v>
      </c>
      <c r="D2317" s="6">
        <v>-431587</v>
      </c>
      <c r="E2317" s="6">
        <v>-219517</v>
      </c>
      <c r="F2317" s="7">
        <v>4.6399999999999997</v>
      </c>
      <c r="G2317" s="7">
        <v>5.7450000000000001</v>
      </c>
      <c r="H2317" s="7">
        <v>5.9550000000000001</v>
      </c>
      <c r="I2317" s="7">
        <v>4.9560000000000004</v>
      </c>
      <c r="J2317" s="7">
        <v>4.3380000000000001</v>
      </c>
      <c r="K2317" s="7">
        <v>3.5579999999999998</v>
      </c>
      <c r="L2317" s="7">
        <v>3.3940000000000001</v>
      </c>
      <c r="M2317" s="7">
        <v>3.536</v>
      </c>
      <c r="N2317" s="7">
        <v>4.266</v>
      </c>
      <c r="O2317" s="7">
        <v>4.57</v>
      </c>
      <c r="P2317" s="7">
        <v>4.907</v>
      </c>
      <c r="Q2317" s="7">
        <v>4.8520000000000003</v>
      </c>
      <c r="R2317" s="7">
        <v>5.5949999999999998</v>
      </c>
      <c r="S2317" s="7">
        <f t="shared" si="36"/>
        <v>4.6393333333333331</v>
      </c>
    </row>
    <row r="2318" spans="1:19">
      <c r="A2318" s="5" t="str">
        <f>B2318&amp;"-"&amp;COUNTIF($B$2:B2318,B2318)</f>
        <v>MINAS GERAIS-752</v>
      </c>
      <c r="B2318" s="5" t="s">
        <v>1126</v>
      </c>
      <c r="C2318" s="5" t="s">
        <v>4373</v>
      </c>
      <c r="D2318" s="6">
        <v>-441054</v>
      </c>
      <c r="E2318" s="6">
        <v>-215988</v>
      </c>
      <c r="F2318" s="7">
        <v>4.7610000000000001</v>
      </c>
      <c r="G2318" s="7">
        <v>5.54</v>
      </c>
      <c r="H2318" s="7">
        <v>5.819</v>
      </c>
      <c r="I2318" s="7">
        <v>4.883</v>
      </c>
      <c r="J2318" s="7">
        <v>4.407</v>
      </c>
      <c r="K2318" s="7">
        <v>3.7389999999999999</v>
      </c>
      <c r="L2318" s="7">
        <v>3.59</v>
      </c>
      <c r="M2318" s="7">
        <v>3.7810000000000001</v>
      </c>
      <c r="N2318" s="7">
        <v>4.6970000000000001</v>
      </c>
      <c r="O2318" s="7">
        <v>4.915</v>
      </c>
      <c r="P2318" s="7">
        <v>5.13</v>
      </c>
      <c r="Q2318" s="7">
        <v>5.0439999999999996</v>
      </c>
      <c r="R2318" s="7">
        <v>5.5789999999999997</v>
      </c>
      <c r="S2318" s="7">
        <f t="shared" si="36"/>
        <v>4.7603333333333335</v>
      </c>
    </row>
    <row r="2319" spans="1:19">
      <c r="A2319" s="5" t="str">
        <f>B2319&amp;"-"&amp;COUNTIF($B$2:B2319,B2319)</f>
        <v>MINAS GERAIS-753</v>
      </c>
      <c r="B2319" s="5" t="s">
        <v>1126</v>
      </c>
      <c r="C2319" s="5" t="s">
        <v>4374</v>
      </c>
      <c r="D2319" s="6">
        <v>-451289</v>
      </c>
      <c r="E2319" s="6">
        <v>-209012</v>
      </c>
      <c r="F2319" s="7">
        <v>4.9379999999999997</v>
      </c>
      <c r="G2319" s="7">
        <v>5.5990000000000002</v>
      </c>
      <c r="H2319" s="7">
        <v>5.7549999999999999</v>
      </c>
      <c r="I2319" s="7">
        <v>4.851</v>
      </c>
      <c r="J2319" s="7">
        <v>4.7290000000000001</v>
      </c>
      <c r="K2319" s="7">
        <v>4.0469999999999997</v>
      </c>
      <c r="L2319" s="7">
        <v>3.851</v>
      </c>
      <c r="M2319" s="7">
        <v>4.12</v>
      </c>
      <c r="N2319" s="7">
        <v>5.069</v>
      </c>
      <c r="O2319" s="7">
        <v>5.2149999999999999</v>
      </c>
      <c r="P2319" s="7">
        <v>5.3609999999999998</v>
      </c>
      <c r="Q2319" s="7">
        <v>5.1050000000000004</v>
      </c>
      <c r="R2319" s="7">
        <v>5.5449999999999999</v>
      </c>
      <c r="S2319" s="7">
        <f t="shared" si="36"/>
        <v>4.9372499999999997</v>
      </c>
    </row>
    <row r="2320" spans="1:19">
      <c r="A2320" s="5" t="str">
        <f>B2320&amp;"-"&amp;COUNTIF($B$2:B2320,B2320)</f>
        <v>MINAS GERAIS-754</v>
      </c>
      <c r="B2320" s="5" t="s">
        <v>1126</v>
      </c>
      <c r="C2320" s="5" t="s">
        <v>4687</v>
      </c>
      <c r="D2320" s="6">
        <v>-419282</v>
      </c>
      <c r="E2320" s="6">
        <v>-201036</v>
      </c>
      <c r="F2320" s="7">
        <v>4.6589999999999998</v>
      </c>
      <c r="G2320" s="7">
        <v>5.6449999999999996</v>
      </c>
      <c r="H2320" s="7">
        <v>5.85</v>
      </c>
      <c r="I2320" s="7">
        <v>4.8650000000000002</v>
      </c>
      <c r="J2320" s="7">
        <v>4.4429999999999996</v>
      </c>
      <c r="K2320" s="7">
        <v>3.8050000000000002</v>
      </c>
      <c r="L2320" s="7">
        <v>3.5960000000000001</v>
      </c>
      <c r="M2320" s="7">
        <v>3.77</v>
      </c>
      <c r="N2320" s="7">
        <v>4.4589999999999996</v>
      </c>
      <c r="O2320" s="7">
        <v>4.72</v>
      </c>
      <c r="P2320" s="7">
        <v>4.7939999999999996</v>
      </c>
      <c r="Q2320" s="7">
        <v>4.6429999999999998</v>
      </c>
      <c r="R2320" s="7">
        <v>5.32</v>
      </c>
      <c r="S2320" s="7">
        <f t="shared" si="36"/>
        <v>4.6591666666666658</v>
      </c>
    </row>
    <row r="2321" spans="1:19">
      <c r="A2321" s="5" t="str">
        <f>B2321&amp;"-"&amp;COUNTIF($B$2:B2321,B2321)</f>
        <v>MINAS GERAIS-755</v>
      </c>
      <c r="B2321" s="5" t="s">
        <v>1126</v>
      </c>
      <c r="C2321" s="5" t="s">
        <v>1632</v>
      </c>
      <c r="D2321" s="6">
        <v>-425449</v>
      </c>
      <c r="E2321" s="6">
        <v>-193665</v>
      </c>
      <c r="F2321" s="7">
        <v>4.7610000000000001</v>
      </c>
      <c r="G2321" s="7">
        <v>5.734</v>
      </c>
      <c r="H2321" s="7">
        <v>6.0229999999999997</v>
      </c>
      <c r="I2321" s="7">
        <v>4.9930000000000003</v>
      </c>
      <c r="J2321" s="7">
        <v>4.5199999999999996</v>
      </c>
      <c r="K2321" s="7">
        <v>3.8050000000000002</v>
      </c>
      <c r="L2321" s="7">
        <v>3.6259999999999999</v>
      </c>
      <c r="M2321" s="7">
        <v>3.8290000000000002</v>
      </c>
      <c r="N2321" s="7">
        <v>4.492</v>
      </c>
      <c r="O2321" s="7">
        <v>4.8460000000000001</v>
      </c>
      <c r="P2321" s="7">
        <v>5.0090000000000003</v>
      </c>
      <c r="Q2321" s="7">
        <v>4.7290000000000001</v>
      </c>
      <c r="R2321" s="7">
        <v>5.5220000000000002</v>
      </c>
      <c r="S2321" s="7">
        <f t="shared" si="36"/>
        <v>4.7606666666666664</v>
      </c>
    </row>
    <row r="2322" spans="1:19">
      <c r="A2322" s="5" t="str">
        <f>B2322&amp;"-"&amp;COUNTIF($B$2:B2322,B2322)</f>
        <v>MINAS GERAIS-756</v>
      </c>
      <c r="B2322" s="5" t="s">
        <v>1126</v>
      </c>
      <c r="C2322" s="5" t="s">
        <v>1633</v>
      </c>
      <c r="D2322" s="6">
        <v>-43714</v>
      </c>
      <c r="E2322" s="6">
        <v>-19169</v>
      </c>
      <c r="F2322" s="7">
        <v>5.3239999999999998</v>
      </c>
      <c r="G2322" s="7">
        <v>6.0190000000000001</v>
      </c>
      <c r="H2322" s="7">
        <v>6.242</v>
      </c>
      <c r="I2322" s="7">
        <v>5.3449999999999998</v>
      </c>
      <c r="J2322" s="7">
        <v>4.931</v>
      </c>
      <c r="K2322" s="7">
        <v>4.4429999999999996</v>
      </c>
      <c r="L2322" s="7">
        <v>4.2220000000000004</v>
      </c>
      <c r="M2322" s="7">
        <v>4.5469999999999997</v>
      </c>
      <c r="N2322" s="7">
        <v>5.2990000000000004</v>
      </c>
      <c r="O2322" s="7">
        <v>5.7389999999999999</v>
      </c>
      <c r="P2322" s="7">
        <v>5.8159999999999998</v>
      </c>
      <c r="Q2322" s="7">
        <v>5.4550000000000001</v>
      </c>
      <c r="R2322" s="7">
        <v>5.8360000000000003</v>
      </c>
      <c r="S2322" s="7">
        <f t="shared" si="36"/>
        <v>5.3244999999999996</v>
      </c>
    </row>
    <row r="2323" spans="1:19">
      <c r="A2323" s="5" t="str">
        <f>B2323&amp;"-"&amp;COUNTIF($B$2:B2323,B2323)</f>
        <v>MINAS GERAIS-757</v>
      </c>
      <c r="B2323" s="5" t="s">
        <v>1126</v>
      </c>
      <c r="C2323" s="5" t="s">
        <v>1634</v>
      </c>
      <c r="D2323" s="6">
        <v>-436953</v>
      </c>
      <c r="E2323" s="6">
        <v>-207873</v>
      </c>
      <c r="F2323" s="7">
        <v>4.74</v>
      </c>
      <c r="G2323" s="7">
        <v>5.5220000000000002</v>
      </c>
      <c r="H2323" s="7">
        <v>5.9009999999999998</v>
      </c>
      <c r="I2323" s="7">
        <v>4.8639999999999999</v>
      </c>
      <c r="J2323" s="7">
        <v>4.3789999999999996</v>
      </c>
      <c r="K2323" s="7">
        <v>3.77</v>
      </c>
      <c r="L2323" s="7">
        <v>3.577</v>
      </c>
      <c r="M2323" s="7">
        <v>3.766</v>
      </c>
      <c r="N2323" s="7">
        <v>4.7380000000000004</v>
      </c>
      <c r="O2323" s="7">
        <v>4.9470000000000001</v>
      </c>
      <c r="P2323" s="7">
        <v>5.101</v>
      </c>
      <c r="Q2323" s="7">
        <v>4.8029999999999999</v>
      </c>
      <c r="R2323" s="7">
        <v>5.5110000000000001</v>
      </c>
      <c r="S2323" s="7">
        <f t="shared" si="36"/>
        <v>4.7399166666666668</v>
      </c>
    </row>
    <row r="2324" spans="1:19">
      <c r="A2324" s="5" t="str">
        <f>B2324&amp;"-"&amp;COUNTIF($B$2:B2324,B2324)</f>
        <v>MINAS GERAIS-758</v>
      </c>
      <c r="B2324" s="5" t="s">
        <v>1126</v>
      </c>
      <c r="C2324" s="5" t="s">
        <v>4554</v>
      </c>
      <c r="D2324" s="6">
        <v>-44918</v>
      </c>
      <c r="E2324" s="6">
        <v>-209435</v>
      </c>
      <c r="F2324" s="7">
        <v>4.91</v>
      </c>
      <c r="G2324" s="7">
        <v>5.5359999999999996</v>
      </c>
      <c r="H2324" s="7">
        <v>5.7320000000000002</v>
      </c>
      <c r="I2324" s="7">
        <v>4.8369999999999997</v>
      </c>
      <c r="J2324" s="7">
        <v>4.6689999999999996</v>
      </c>
      <c r="K2324" s="7">
        <v>4.0410000000000004</v>
      </c>
      <c r="L2324" s="7">
        <v>3.8450000000000002</v>
      </c>
      <c r="M2324" s="7">
        <v>4.1269999999999998</v>
      </c>
      <c r="N2324" s="7">
        <v>5.0149999999999997</v>
      </c>
      <c r="O2324" s="7">
        <v>5.19</v>
      </c>
      <c r="P2324" s="7">
        <v>5.3369999999999997</v>
      </c>
      <c r="Q2324" s="7">
        <v>5.077</v>
      </c>
      <c r="R2324" s="7">
        <v>5.5179999999999998</v>
      </c>
      <c r="S2324" s="7">
        <f t="shared" si="36"/>
        <v>4.910333333333333</v>
      </c>
    </row>
    <row r="2325" spans="1:19">
      <c r="A2325" s="5" t="str">
        <f>B2325&amp;"-"&amp;COUNTIF($B$2:B2325,B2325)</f>
        <v>MINAS GERAIS-759</v>
      </c>
      <c r="B2325" s="5" t="s">
        <v>1126</v>
      </c>
      <c r="C2325" s="5" t="s">
        <v>4555</v>
      </c>
      <c r="D2325" s="6">
        <v>-428118</v>
      </c>
      <c r="E2325" s="6">
        <v>-217611</v>
      </c>
      <c r="F2325" s="7">
        <v>4.5609999999999999</v>
      </c>
      <c r="G2325" s="7">
        <v>5.6139999999999999</v>
      </c>
      <c r="H2325" s="7">
        <v>5.8879999999999999</v>
      </c>
      <c r="I2325" s="7">
        <v>4.8630000000000004</v>
      </c>
      <c r="J2325" s="7">
        <v>4.2409999999999997</v>
      </c>
      <c r="K2325" s="7">
        <v>3.5270000000000001</v>
      </c>
      <c r="L2325" s="7">
        <v>3.2949999999999999</v>
      </c>
      <c r="M2325" s="7">
        <v>3.4980000000000002</v>
      </c>
      <c r="N2325" s="7">
        <v>4.2009999999999996</v>
      </c>
      <c r="O2325" s="7">
        <v>4.5739999999999998</v>
      </c>
      <c r="P2325" s="7">
        <v>4.8639999999999999</v>
      </c>
      <c r="Q2325" s="7">
        <v>4.6589999999999998</v>
      </c>
      <c r="R2325" s="7">
        <v>5.5039999999999996</v>
      </c>
      <c r="S2325" s="7">
        <f t="shared" si="36"/>
        <v>4.5606666666666653</v>
      </c>
    </row>
    <row r="2326" spans="1:19">
      <c r="A2326" s="5" t="str">
        <f>B2326&amp;"-"&amp;COUNTIF($B$2:B2326,B2326)</f>
        <v>MINAS GERAIS-760</v>
      </c>
      <c r="B2326" s="5" t="s">
        <v>1126</v>
      </c>
      <c r="C2326" s="5" t="s">
        <v>4556</v>
      </c>
      <c r="D2326" s="6">
        <v>-426051</v>
      </c>
      <c r="E2326" s="6">
        <v>-203189</v>
      </c>
      <c r="F2326" s="7">
        <v>4.8719999999999999</v>
      </c>
      <c r="G2326" s="7">
        <v>5.8079999999999998</v>
      </c>
      <c r="H2326" s="7">
        <v>6.1210000000000004</v>
      </c>
      <c r="I2326" s="7">
        <v>5.14</v>
      </c>
      <c r="J2326" s="7">
        <v>4.548</v>
      </c>
      <c r="K2326" s="7">
        <v>3.9060000000000001</v>
      </c>
      <c r="L2326" s="7">
        <v>3.7040000000000002</v>
      </c>
      <c r="M2326" s="7">
        <v>3.9020000000000001</v>
      </c>
      <c r="N2326" s="7">
        <v>4.6559999999999997</v>
      </c>
      <c r="O2326" s="7">
        <v>4.9660000000000002</v>
      </c>
      <c r="P2326" s="7">
        <v>5.1429999999999998</v>
      </c>
      <c r="Q2326" s="7">
        <v>4.9219999999999997</v>
      </c>
      <c r="R2326" s="7">
        <v>5.6520000000000001</v>
      </c>
      <c r="S2326" s="7">
        <f t="shared" si="36"/>
        <v>4.8723333333333327</v>
      </c>
    </row>
    <row r="2327" spans="1:19">
      <c r="A2327" s="5" t="str">
        <f>B2327&amp;"-"&amp;COUNTIF($B$2:B2327,B2327)</f>
        <v>MINAS GERAIS-761</v>
      </c>
      <c r="B2327" s="5" t="s">
        <v>1126</v>
      </c>
      <c r="C2327" s="5" t="s">
        <v>4557</v>
      </c>
      <c r="D2327" s="6">
        <v>-433037</v>
      </c>
      <c r="E2327" s="6">
        <v>-18469</v>
      </c>
      <c r="F2327" s="7">
        <v>4.9029999999999996</v>
      </c>
      <c r="G2327" s="7">
        <v>5.6859999999999999</v>
      </c>
      <c r="H2327" s="7">
        <v>5.9690000000000003</v>
      </c>
      <c r="I2327" s="7">
        <v>4.96</v>
      </c>
      <c r="J2327" s="7">
        <v>4.4820000000000002</v>
      </c>
      <c r="K2327" s="7">
        <v>4.0229999999999997</v>
      </c>
      <c r="L2327" s="7">
        <v>3.8969999999999998</v>
      </c>
      <c r="M2327" s="7">
        <v>4.0979999999999999</v>
      </c>
      <c r="N2327" s="7">
        <v>4.8639999999999999</v>
      </c>
      <c r="O2327" s="7">
        <v>5.2880000000000003</v>
      </c>
      <c r="P2327" s="7">
        <v>5.3410000000000002</v>
      </c>
      <c r="Q2327" s="7">
        <v>4.7939999999999996</v>
      </c>
      <c r="R2327" s="7">
        <v>5.431</v>
      </c>
      <c r="S2327" s="7">
        <f t="shared" si="36"/>
        <v>4.9027499999999993</v>
      </c>
    </row>
    <row r="2328" spans="1:19">
      <c r="A2328" s="5" t="str">
        <f>B2328&amp;"-"&amp;COUNTIF($B$2:B2328,B2328)</f>
        <v>MINAS GERAIS-762</v>
      </c>
      <c r="B2328" s="5" t="s">
        <v>1126</v>
      </c>
      <c r="C2328" s="5" t="s">
        <v>4558</v>
      </c>
      <c r="D2328" s="6">
        <v>-401821</v>
      </c>
      <c r="E2328" s="6">
        <v>-165337</v>
      </c>
      <c r="F2328" s="7">
        <v>4.8319999999999999</v>
      </c>
      <c r="G2328" s="7">
        <v>5.8159999999999998</v>
      </c>
      <c r="H2328" s="7">
        <v>5.9939999999999998</v>
      </c>
      <c r="I2328" s="7">
        <v>5.2629999999999999</v>
      </c>
      <c r="J2328" s="7">
        <v>4.665</v>
      </c>
      <c r="K2328" s="7">
        <v>3.855</v>
      </c>
      <c r="L2328" s="7">
        <v>3.53</v>
      </c>
      <c r="M2328" s="7">
        <v>3.649</v>
      </c>
      <c r="N2328" s="7">
        <v>4.24</v>
      </c>
      <c r="O2328" s="7">
        <v>4.93</v>
      </c>
      <c r="P2328" s="7">
        <v>5.0970000000000004</v>
      </c>
      <c r="Q2328" s="7">
        <v>5.0419999999999998</v>
      </c>
      <c r="R2328" s="7">
        <v>5.9029999999999996</v>
      </c>
      <c r="S2328" s="7">
        <f t="shared" si="36"/>
        <v>4.8319999999999999</v>
      </c>
    </row>
    <row r="2329" spans="1:19">
      <c r="A2329" s="5" t="str">
        <f>B2329&amp;"-"&amp;COUNTIF($B$2:B2329,B2329)</f>
        <v>MINAS GERAIS-763</v>
      </c>
      <c r="B2329" s="5" t="s">
        <v>1126</v>
      </c>
      <c r="C2329" s="5" t="s">
        <v>4559</v>
      </c>
      <c r="D2329" s="6">
        <v>-452951</v>
      </c>
      <c r="E2329" s="6">
        <v>-200855</v>
      </c>
      <c r="F2329" s="7">
        <v>5.1139999999999999</v>
      </c>
      <c r="G2329" s="7">
        <v>5.7560000000000002</v>
      </c>
      <c r="H2329" s="7">
        <v>5.9560000000000004</v>
      </c>
      <c r="I2329" s="7">
        <v>4.9850000000000003</v>
      </c>
      <c r="J2329" s="7">
        <v>4.87</v>
      </c>
      <c r="K2329" s="7">
        <v>4.2880000000000003</v>
      </c>
      <c r="L2329" s="7">
        <v>4.0739999999999998</v>
      </c>
      <c r="M2329" s="7">
        <v>4.3239999999999998</v>
      </c>
      <c r="N2329" s="7">
        <v>5.2130000000000001</v>
      </c>
      <c r="O2329" s="7">
        <v>5.4619999999999997</v>
      </c>
      <c r="P2329" s="7">
        <v>5.5449999999999999</v>
      </c>
      <c r="Q2329" s="7">
        <v>5.2670000000000003</v>
      </c>
      <c r="R2329" s="7">
        <v>5.625</v>
      </c>
      <c r="S2329" s="7">
        <f t="shared" si="36"/>
        <v>5.1137500000000005</v>
      </c>
    </row>
    <row r="2330" spans="1:19">
      <c r="A2330" s="5" t="str">
        <f>B2330&amp;"-"&amp;COUNTIF($B$2:B2330,B2330)</f>
        <v>MINAS GERAIS-764</v>
      </c>
      <c r="B2330" s="5" t="s">
        <v>1126</v>
      </c>
      <c r="C2330" s="5" t="s">
        <v>4560</v>
      </c>
      <c r="D2330" s="6">
        <v>-426219</v>
      </c>
      <c r="E2330" s="6">
        <v>-153421</v>
      </c>
      <c r="F2330" s="7">
        <v>5.306</v>
      </c>
      <c r="G2330" s="7">
        <v>6.1150000000000002</v>
      </c>
      <c r="H2330" s="7">
        <v>6.3280000000000003</v>
      </c>
      <c r="I2330" s="7">
        <v>5.46</v>
      </c>
      <c r="J2330" s="7">
        <v>4.8710000000000004</v>
      </c>
      <c r="K2330" s="7">
        <v>4.3</v>
      </c>
      <c r="L2330" s="7">
        <v>4.0279999999999996</v>
      </c>
      <c r="M2330" s="7">
        <v>4.3920000000000003</v>
      </c>
      <c r="N2330" s="7">
        <v>5.1580000000000004</v>
      </c>
      <c r="O2330" s="7">
        <v>5.8129999999999997</v>
      </c>
      <c r="P2330" s="7">
        <v>5.8070000000000004</v>
      </c>
      <c r="Q2330" s="7">
        <v>5.3330000000000002</v>
      </c>
      <c r="R2330" s="7">
        <v>6.0640000000000001</v>
      </c>
      <c r="S2330" s="7">
        <f t="shared" si="36"/>
        <v>5.3057500000000006</v>
      </c>
    </row>
    <row r="2331" spans="1:19">
      <c r="A2331" s="5" t="str">
        <f>B2331&amp;"-"&amp;COUNTIF($B$2:B2331,B2331)</f>
        <v>MINAS GERAIS-765</v>
      </c>
      <c r="B2331" s="5" t="s">
        <v>1126</v>
      </c>
      <c r="C2331" s="5" t="s">
        <v>4561</v>
      </c>
      <c r="D2331" s="6">
        <v>-43254</v>
      </c>
      <c r="E2331" s="6">
        <v>-19228</v>
      </c>
      <c r="F2331" s="7">
        <v>4.7759999999999998</v>
      </c>
      <c r="G2331" s="7">
        <v>5.5979999999999999</v>
      </c>
      <c r="H2331" s="7">
        <v>5.8609999999999998</v>
      </c>
      <c r="I2331" s="7">
        <v>4.92</v>
      </c>
      <c r="J2331" s="7">
        <v>4.5060000000000002</v>
      </c>
      <c r="K2331" s="7">
        <v>3.8519999999999999</v>
      </c>
      <c r="L2331" s="7">
        <v>3.6709999999999998</v>
      </c>
      <c r="M2331" s="7">
        <v>3.8780000000000001</v>
      </c>
      <c r="N2331" s="7">
        <v>4.6870000000000003</v>
      </c>
      <c r="O2331" s="7">
        <v>4.9800000000000004</v>
      </c>
      <c r="P2331" s="7">
        <v>5.0999999999999996</v>
      </c>
      <c r="Q2331" s="7">
        <v>4.7770000000000001</v>
      </c>
      <c r="R2331" s="7">
        <v>5.4820000000000002</v>
      </c>
      <c r="S2331" s="7">
        <f t="shared" si="36"/>
        <v>4.7760000000000007</v>
      </c>
    </row>
    <row r="2332" spans="1:19">
      <c r="A2332" s="5" t="str">
        <f>B2332&amp;"-"&amp;COUNTIF($B$2:B2332,B2332)</f>
        <v>MINAS GERAIS-766</v>
      </c>
      <c r="B2332" s="5" t="s">
        <v>1126</v>
      </c>
      <c r="C2332" s="5" t="s">
        <v>5144</v>
      </c>
      <c r="D2332" s="6">
        <v>-442232</v>
      </c>
      <c r="E2332" s="6">
        <v>-182972</v>
      </c>
      <c r="F2332" s="7">
        <v>5.4960000000000004</v>
      </c>
      <c r="G2332" s="7">
        <v>6.15</v>
      </c>
      <c r="H2332" s="7">
        <v>6.4580000000000002</v>
      </c>
      <c r="I2332" s="7">
        <v>5.5519999999999996</v>
      </c>
      <c r="J2332" s="7">
        <v>5.3</v>
      </c>
      <c r="K2332" s="7">
        <v>4.7080000000000002</v>
      </c>
      <c r="L2332" s="7">
        <v>4.3899999999999997</v>
      </c>
      <c r="M2332" s="7">
        <v>4.7119999999999997</v>
      </c>
      <c r="N2332" s="7">
        <v>5.3280000000000003</v>
      </c>
      <c r="O2332" s="7">
        <v>5.8550000000000004</v>
      </c>
      <c r="P2332" s="7">
        <v>5.9770000000000003</v>
      </c>
      <c r="Q2332" s="7">
        <v>5.5309999999999997</v>
      </c>
      <c r="R2332" s="7">
        <v>5.9939999999999998</v>
      </c>
      <c r="S2332" s="7">
        <f t="shared" si="36"/>
        <v>5.4962500000000007</v>
      </c>
    </row>
    <row r="2333" spans="1:19">
      <c r="A2333" s="5" t="str">
        <f>B2333&amp;"-"&amp;COUNTIF($B$2:B2333,B2333)</f>
        <v>MINAS GERAIS-767</v>
      </c>
      <c r="B2333" s="5" t="s">
        <v>1126</v>
      </c>
      <c r="C2333" s="5" t="s">
        <v>1635</v>
      </c>
      <c r="D2333" s="6">
        <v>-435502</v>
      </c>
      <c r="E2333" s="6">
        <v>-214639</v>
      </c>
      <c r="F2333" s="7">
        <v>4.5309999999999997</v>
      </c>
      <c r="G2333" s="7">
        <v>5.3259999999999996</v>
      </c>
      <c r="H2333" s="7">
        <v>5.77</v>
      </c>
      <c r="I2333" s="7">
        <v>4.6970000000000001</v>
      </c>
      <c r="J2333" s="7">
        <v>4.1589999999999998</v>
      </c>
      <c r="K2333" s="7">
        <v>3.5569999999999999</v>
      </c>
      <c r="L2333" s="7">
        <v>3.4220000000000002</v>
      </c>
      <c r="M2333" s="7">
        <v>3.6030000000000002</v>
      </c>
      <c r="N2333" s="7">
        <v>4.38</v>
      </c>
      <c r="O2333" s="7">
        <v>4.6390000000000002</v>
      </c>
      <c r="P2333" s="7">
        <v>4.8230000000000004</v>
      </c>
      <c r="Q2333" s="7">
        <v>4.6139999999999999</v>
      </c>
      <c r="R2333" s="7">
        <v>5.38</v>
      </c>
      <c r="S2333" s="7">
        <f t="shared" si="36"/>
        <v>4.5308333333333337</v>
      </c>
    </row>
    <row r="2334" spans="1:19">
      <c r="A2334" s="5" t="str">
        <f>B2334&amp;"-"&amp;COUNTIF($B$2:B2334,B2334)</f>
        <v>MINAS GERAIS-768</v>
      </c>
      <c r="B2334" s="5" t="s">
        <v>1126</v>
      </c>
      <c r="C2334" s="5" t="s">
        <v>1636</v>
      </c>
      <c r="D2334" s="6">
        <v>-457383</v>
      </c>
      <c r="E2334" s="6">
        <v>-227414</v>
      </c>
      <c r="F2334" s="7">
        <v>4.7249999999999996</v>
      </c>
      <c r="G2334" s="7">
        <v>5.2279999999999998</v>
      </c>
      <c r="H2334" s="7">
        <v>5.5990000000000002</v>
      </c>
      <c r="I2334" s="7">
        <v>4.8179999999999996</v>
      </c>
      <c r="J2334" s="7">
        <v>4.4450000000000003</v>
      </c>
      <c r="K2334" s="7">
        <v>3.742</v>
      </c>
      <c r="L2334" s="7">
        <v>3.492</v>
      </c>
      <c r="M2334" s="7">
        <v>3.702</v>
      </c>
      <c r="N2334" s="7">
        <v>4.6509999999999998</v>
      </c>
      <c r="O2334" s="7">
        <v>4.7880000000000003</v>
      </c>
      <c r="P2334" s="7">
        <v>5.2549999999999999</v>
      </c>
      <c r="Q2334" s="7">
        <v>5.2779999999999996</v>
      </c>
      <c r="R2334" s="7">
        <v>5.6989999999999998</v>
      </c>
      <c r="S2334" s="7">
        <f t="shared" si="36"/>
        <v>4.7247500000000002</v>
      </c>
    </row>
    <row r="2335" spans="1:19">
      <c r="A2335" s="5" t="str">
        <f>B2335&amp;"-"&amp;COUNTIF($B$2:B2335,B2335)</f>
        <v>MINAS GERAIS-769</v>
      </c>
      <c r="B2335" s="5" t="s">
        <v>1126</v>
      </c>
      <c r="C2335" s="5" t="s">
        <v>5613</v>
      </c>
      <c r="D2335" s="6">
        <v>-423633</v>
      </c>
      <c r="E2335" s="6">
        <v>-187833</v>
      </c>
      <c r="F2335" s="7">
        <v>4.673</v>
      </c>
      <c r="G2335" s="7">
        <v>5.6479999999999997</v>
      </c>
      <c r="H2335" s="7">
        <v>5.8520000000000003</v>
      </c>
      <c r="I2335" s="7">
        <v>4.9400000000000004</v>
      </c>
      <c r="J2335" s="7">
        <v>4.3630000000000004</v>
      </c>
      <c r="K2335" s="7">
        <v>3.718</v>
      </c>
      <c r="L2335" s="7">
        <v>3.56</v>
      </c>
      <c r="M2335" s="7">
        <v>3.665</v>
      </c>
      <c r="N2335" s="7">
        <v>4.375</v>
      </c>
      <c r="O2335" s="7">
        <v>4.8529999999999998</v>
      </c>
      <c r="P2335" s="7">
        <v>5.0170000000000003</v>
      </c>
      <c r="Q2335" s="7">
        <v>4.6230000000000002</v>
      </c>
      <c r="R2335" s="7">
        <v>5.4569999999999999</v>
      </c>
      <c r="S2335" s="7">
        <f t="shared" si="36"/>
        <v>4.6725833333333329</v>
      </c>
    </row>
    <row r="2336" spans="1:19">
      <c r="A2336" s="5" t="str">
        <f>B2336&amp;"-"&amp;COUNTIF($B$2:B2336,B2336)</f>
        <v>MINAS GERAIS-770</v>
      </c>
      <c r="B2336" s="5" t="s">
        <v>1126</v>
      </c>
      <c r="C2336" s="5" t="s">
        <v>1637</v>
      </c>
      <c r="D2336" s="6">
        <v>-44145</v>
      </c>
      <c r="E2336" s="6">
        <v>-200371</v>
      </c>
      <c r="F2336" s="7">
        <v>5.14</v>
      </c>
      <c r="G2336" s="7">
        <v>5.8010000000000002</v>
      </c>
      <c r="H2336" s="7">
        <v>5.9989999999999997</v>
      </c>
      <c r="I2336" s="7">
        <v>5.1619999999999999</v>
      </c>
      <c r="J2336" s="7">
        <v>4.8220000000000001</v>
      </c>
      <c r="K2336" s="7">
        <v>4.2370000000000001</v>
      </c>
      <c r="L2336" s="7">
        <v>4.0750000000000002</v>
      </c>
      <c r="M2336" s="7">
        <v>4.3360000000000003</v>
      </c>
      <c r="N2336" s="7">
        <v>5.1929999999999996</v>
      </c>
      <c r="O2336" s="7">
        <v>5.5229999999999997</v>
      </c>
      <c r="P2336" s="7">
        <v>5.6159999999999997</v>
      </c>
      <c r="Q2336" s="7">
        <v>5.2930000000000001</v>
      </c>
      <c r="R2336" s="7">
        <v>5.6189999999999998</v>
      </c>
      <c r="S2336" s="7">
        <f t="shared" si="36"/>
        <v>5.1396666666666659</v>
      </c>
    </row>
    <row r="2337" spans="1:19">
      <c r="A2337" s="5" t="str">
        <f>B2337&amp;"-"&amp;COUNTIF($B$2:B2337,B2337)</f>
        <v>MINAS GERAIS-771</v>
      </c>
      <c r="B2337" s="5" t="s">
        <v>1126</v>
      </c>
      <c r="C2337" s="5" t="s">
        <v>1638</v>
      </c>
      <c r="D2337" s="6">
        <v>-428487</v>
      </c>
      <c r="E2337" s="6">
        <v>-201013</v>
      </c>
      <c r="F2337" s="7">
        <v>4.718</v>
      </c>
      <c r="G2337" s="7">
        <v>5.59</v>
      </c>
      <c r="H2337" s="7">
        <v>5.93</v>
      </c>
      <c r="I2337" s="7">
        <v>4.9169999999999998</v>
      </c>
      <c r="J2337" s="7">
        <v>4.4710000000000001</v>
      </c>
      <c r="K2337" s="7">
        <v>3.78</v>
      </c>
      <c r="L2337" s="7">
        <v>3.5880000000000001</v>
      </c>
      <c r="M2337" s="7">
        <v>3.8330000000000002</v>
      </c>
      <c r="N2337" s="7">
        <v>4.5750000000000002</v>
      </c>
      <c r="O2337" s="7">
        <v>4.8860000000000001</v>
      </c>
      <c r="P2337" s="7">
        <v>4.9950000000000001</v>
      </c>
      <c r="Q2337" s="7">
        <v>4.7030000000000003</v>
      </c>
      <c r="R2337" s="7">
        <v>5.3440000000000003</v>
      </c>
      <c r="S2337" s="7">
        <f t="shared" si="36"/>
        <v>4.7176666666666671</v>
      </c>
    </row>
    <row r="2338" spans="1:19">
      <c r="A2338" s="5" t="str">
        <f>B2338&amp;"-"&amp;COUNTIF($B$2:B2338,B2338)</f>
        <v>MINAS GERAIS-772</v>
      </c>
      <c r="B2338" s="5" t="s">
        <v>1126</v>
      </c>
      <c r="C2338" s="5" t="s">
        <v>1639</v>
      </c>
      <c r="D2338" s="6">
        <v>-461767</v>
      </c>
      <c r="E2338" s="6">
        <v>-225874</v>
      </c>
      <c r="F2338" s="7">
        <v>4.657</v>
      </c>
      <c r="G2338" s="7">
        <v>5.0730000000000004</v>
      </c>
      <c r="H2338" s="7">
        <v>5.37</v>
      </c>
      <c r="I2338" s="7">
        <v>4.6500000000000004</v>
      </c>
      <c r="J2338" s="7">
        <v>4.3849999999999998</v>
      </c>
      <c r="K2338" s="7">
        <v>3.7759999999999998</v>
      </c>
      <c r="L2338" s="7">
        <v>3.5369999999999999</v>
      </c>
      <c r="M2338" s="7">
        <v>3.7530000000000001</v>
      </c>
      <c r="N2338" s="7">
        <v>4.6879999999999997</v>
      </c>
      <c r="O2338" s="7">
        <v>4.8179999999999996</v>
      </c>
      <c r="P2338" s="7">
        <v>5.19</v>
      </c>
      <c r="Q2338" s="7">
        <v>5.1619999999999999</v>
      </c>
      <c r="R2338" s="7">
        <v>5.4790000000000001</v>
      </c>
      <c r="S2338" s="7">
        <f t="shared" si="36"/>
        <v>4.6567499999999997</v>
      </c>
    </row>
    <row r="2339" spans="1:19">
      <c r="A2339" s="5" t="str">
        <f>B2339&amp;"-"&amp;COUNTIF($B$2:B2339,B2339)</f>
        <v>MINAS GERAIS-773</v>
      </c>
      <c r="B2339" s="5" t="s">
        <v>1126</v>
      </c>
      <c r="C2339" s="5" t="s">
        <v>1640</v>
      </c>
      <c r="D2339" s="6">
        <v>-429427</v>
      </c>
      <c r="E2339" s="6">
        <v>-21799</v>
      </c>
      <c r="F2339" s="7">
        <v>4.6189999999999998</v>
      </c>
      <c r="G2339" s="7">
        <v>5.7130000000000001</v>
      </c>
      <c r="H2339" s="7">
        <v>5.923</v>
      </c>
      <c r="I2339" s="7">
        <v>4.9379999999999997</v>
      </c>
      <c r="J2339" s="7">
        <v>4.266</v>
      </c>
      <c r="K2339" s="7">
        <v>3.5739999999999998</v>
      </c>
      <c r="L2339" s="7">
        <v>3.3359999999999999</v>
      </c>
      <c r="M2339" s="7">
        <v>3.5459999999999998</v>
      </c>
      <c r="N2339" s="7">
        <v>4.2560000000000002</v>
      </c>
      <c r="O2339" s="7">
        <v>4.6230000000000002</v>
      </c>
      <c r="P2339" s="7">
        <v>4.9450000000000003</v>
      </c>
      <c r="Q2339" s="7">
        <v>4.76</v>
      </c>
      <c r="R2339" s="7">
        <v>5.5490000000000004</v>
      </c>
      <c r="S2339" s="7">
        <f t="shared" si="36"/>
        <v>4.6190833333333323</v>
      </c>
    </row>
    <row r="2340" spans="1:19">
      <c r="A2340" s="5" t="str">
        <f>B2340&amp;"-"&amp;COUNTIF($B$2:B2340,B2340)</f>
        <v>MINAS GERAIS-774</v>
      </c>
      <c r="B2340" s="5" t="s">
        <v>1126</v>
      </c>
      <c r="C2340" s="5" t="s">
        <v>1641</v>
      </c>
      <c r="D2340" s="6">
        <v>-430908</v>
      </c>
      <c r="E2340" s="6">
        <v>-209162</v>
      </c>
      <c r="F2340" s="7">
        <v>4.67</v>
      </c>
      <c r="G2340" s="7">
        <v>5.601</v>
      </c>
      <c r="H2340" s="7">
        <v>5.8920000000000003</v>
      </c>
      <c r="I2340" s="7">
        <v>4.8529999999999998</v>
      </c>
      <c r="J2340" s="7">
        <v>4.2679999999999998</v>
      </c>
      <c r="K2340" s="7">
        <v>3.6669999999999998</v>
      </c>
      <c r="L2340" s="7">
        <v>3.52</v>
      </c>
      <c r="M2340" s="7">
        <v>3.7280000000000002</v>
      </c>
      <c r="N2340" s="7">
        <v>4.492</v>
      </c>
      <c r="O2340" s="7">
        <v>4.8</v>
      </c>
      <c r="P2340" s="7">
        <v>4.9969999999999999</v>
      </c>
      <c r="Q2340" s="7">
        <v>4.7560000000000002</v>
      </c>
      <c r="R2340" s="7">
        <v>5.4640000000000004</v>
      </c>
      <c r="S2340" s="7">
        <f t="shared" si="36"/>
        <v>4.6698333333333331</v>
      </c>
    </row>
    <row r="2341" spans="1:19">
      <c r="A2341" s="5" t="str">
        <f>B2341&amp;"-"&amp;COUNTIF($B$2:B2341,B2341)</f>
        <v>MINAS GERAIS-775</v>
      </c>
      <c r="B2341" s="5" t="s">
        <v>1126</v>
      </c>
      <c r="C2341" s="5" t="s">
        <v>4375</v>
      </c>
      <c r="D2341" s="6">
        <v>-461796</v>
      </c>
      <c r="E2341" s="6">
        <v>-221638</v>
      </c>
      <c r="F2341" s="7">
        <v>4.7309999999999999</v>
      </c>
      <c r="G2341" s="7">
        <v>5.1130000000000004</v>
      </c>
      <c r="H2341" s="7">
        <v>5.4429999999999996</v>
      </c>
      <c r="I2341" s="7">
        <v>4.7519999999999998</v>
      </c>
      <c r="J2341" s="7">
        <v>4.4800000000000004</v>
      </c>
      <c r="K2341" s="7">
        <v>3.863</v>
      </c>
      <c r="L2341" s="7">
        <v>3.573</v>
      </c>
      <c r="M2341" s="7">
        <v>3.8650000000000002</v>
      </c>
      <c r="N2341" s="7">
        <v>4.7619999999999996</v>
      </c>
      <c r="O2341" s="7">
        <v>4.9169999999999998</v>
      </c>
      <c r="P2341" s="7">
        <v>5.2750000000000004</v>
      </c>
      <c r="Q2341" s="7">
        <v>5.2409999999999997</v>
      </c>
      <c r="R2341" s="7">
        <v>5.4880000000000004</v>
      </c>
      <c r="S2341" s="7">
        <f t="shared" si="36"/>
        <v>4.7309999999999999</v>
      </c>
    </row>
    <row r="2342" spans="1:19">
      <c r="A2342" s="5" t="str">
        <f>B2342&amp;"-"&amp;COUNTIF($B$2:B2342,B2342)</f>
        <v>MINAS GERAIS-776</v>
      </c>
      <c r="B2342" s="5" t="s">
        <v>1126</v>
      </c>
      <c r="C2342" s="5" t="s">
        <v>4688</v>
      </c>
      <c r="D2342" s="6">
        <v>-43225</v>
      </c>
      <c r="E2342" s="6">
        <v>-17947</v>
      </c>
      <c r="F2342" s="7">
        <v>5.0609999999999999</v>
      </c>
      <c r="G2342" s="7">
        <v>5.8579999999999997</v>
      </c>
      <c r="H2342" s="7">
        <v>6.1150000000000002</v>
      </c>
      <c r="I2342" s="7">
        <v>5.18</v>
      </c>
      <c r="J2342" s="7">
        <v>4.6139999999999999</v>
      </c>
      <c r="K2342" s="7">
        <v>4.1020000000000003</v>
      </c>
      <c r="L2342" s="7">
        <v>4.0110000000000001</v>
      </c>
      <c r="M2342" s="7">
        <v>4.1790000000000003</v>
      </c>
      <c r="N2342" s="7">
        <v>5.0119999999999996</v>
      </c>
      <c r="O2342" s="7">
        <v>5.4790000000000001</v>
      </c>
      <c r="P2342" s="7">
        <v>5.4550000000000001</v>
      </c>
      <c r="Q2342" s="7">
        <v>4.9889999999999999</v>
      </c>
      <c r="R2342" s="7">
        <v>5.7350000000000003</v>
      </c>
      <c r="S2342" s="7">
        <f t="shared" si="36"/>
        <v>5.0607499999999996</v>
      </c>
    </row>
    <row r="2343" spans="1:19">
      <c r="A2343" s="5" t="str">
        <f>B2343&amp;"-"&amp;COUNTIF($B$2:B2343,B2343)</f>
        <v>MINAS GERAIS-777</v>
      </c>
      <c r="B2343" s="5" t="s">
        <v>1126</v>
      </c>
      <c r="C2343" s="5" t="s">
        <v>1642</v>
      </c>
      <c r="D2343" s="6">
        <v>-433398</v>
      </c>
      <c r="E2343" s="6">
        <v>-207977</v>
      </c>
      <c r="F2343" s="7">
        <v>4.6870000000000003</v>
      </c>
      <c r="G2343" s="7">
        <v>5.5209999999999999</v>
      </c>
      <c r="H2343" s="7">
        <v>5.9130000000000003</v>
      </c>
      <c r="I2343" s="7">
        <v>4.82</v>
      </c>
      <c r="J2343" s="7">
        <v>4.3049999999999997</v>
      </c>
      <c r="K2343" s="7">
        <v>3.7210000000000001</v>
      </c>
      <c r="L2343" s="7">
        <v>3.57</v>
      </c>
      <c r="M2343" s="7">
        <v>3.7770000000000001</v>
      </c>
      <c r="N2343" s="7">
        <v>4.6079999999999997</v>
      </c>
      <c r="O2343" s="7">
        <v>4.8460000000000001</v>
      </c>
      <c r="P2343" s="7">
        <v>5.048</v>
      </c>
      <c r="Q2343" s="7">
        <v>4.6790000000000003</v>
      </c>
      <c r="R2343" s="7">
        <v>5.4340000000000002</v>
      </c>
      <c r="S2343" s="7">
        <f t="shared" si="36"/>
        <v>4.6868333333333334</v>
      </c>
    </row>
    <row r="2344" spans="1:19">
      <c r="A2344" s="5" t="str">
        <f>B2344&amp;"-"&amp;COUNTIF($B$2:B2344,B2344)</f>
        <v>MINAS GERAIS-778</v>
      </c>
      <c r="B2344" s="5" t="s">
        <v>1126</v>
      </c>
      <c r="C2344" s="5" t="s">
        <v>1643</v>
      </c>
      <c r="D2344" s="6">
        <v>-430802</v>
      </c>
      <c r="E2344" s="6">
        <v>-188914</v>
      </c>
      <c r="F2344" s="7">
        <v>4.7720000000000002</v>
      </c>
      <c r="G2344" s="7">
        <v>5.6989999999999998</v>
      </c>
      <c r="H2344" s="7">
        <v>5.9089999999999998</v>
      </c>
      <c r="I2344" s="7">
        <v>4.9459999999999997</v>
      </c>
      <c r="J2344" s="7">
        <v>4.4329999999999998</v>
      </c>
      <c r="K2344" s="7">
        <v>3.8730000000000002</v>
      </c>
      <c r="L2344" s="7">
        <v>3.7029999999999998</v>
      </c>
      <c r="M2344" s="7">
        <v>3.835</v>
      </c>
      <c r="N2344" s="7">
        <v>4.5629999999999997</v>
      </c>
      <c r="O2344" s="7">
        <v>4.9800000000000004</v>
      </c>
      <c r="P2344" s="7">
        <v>5.0810000000000004</v>
      </c>
      <c r="Q2344" s="7">
        <v>4.766</v>
      </c>
      <c r="R2344" s="7">
        <v>5.4820000000000002</v>
      </c>
      <c r="S2344" s="7">
        <f t="shared" si="36"/>
        <v>4.7725</v>
      </c>
    </row>
    <row r="2345" spans="1:19">
      <c r="A2345" s="5" t="str">
        <f>B2345&amp;"-"&amp;COUNTIF($B$2:B2345,B2345)</f>
        <v>MINAS GERAIS-779</v>
      </c>
      <c r="B2345" s="5" t="s">
        <v>1126</v>
      </c>
      <c r="C2345" s="5" t="s">
        <v>4376</v>
      </c>
      <c r="D2345" s="6">
        <v>-435816</v>
      </c>
      <c r="E2345" s="6">
        <v>-210356</v>
      </c>
      <c r="F2345" s="7">
        <v>4.6760000000000002</v>
      </c>
      <c r="G2345" s="7">
        <v>5.5910000000000002</v>
      </c>
      <c r="H2345" s="7">
        <v>5.8470000000000004</v>
      </c>
      <c r="I2345" s="7">
        <v>4.835</v>
      </c>
      <c r="J2345" s="7">
        <v>4.2779999999999996</v>
      </c>
      <c r="K2345" s="7">
        <v>3.6739999999999999</v>
      </c>
      <c r="L2345" s="7">
        <v>3.512</v>
      </c>
      <c r="M2345" s="7">
        <v>3.7029999999999998</v>
      </c>
      <c r="N2345" s="7">
        <v>4.5599999999999996</v>
      </c>
      <c r="O2345" s="7">
        <v>4.8360000000000003</v>
      </c>
      <c r="P2345" s="7">
        <v>5.0330000000000004</v>
      </c>
      <c r="Q2345" s="7">
        <v>4.7229999999999999</v>
      </c>
      <c r="R2345" s="7">
        <v>5.5190000000000001</v>
      </c>
      <c r="S2345" s="7">
        <f t="shared" si="36"/>
        <v>4.6759166666666667</v>
      </c>
    </row>
    <row r="2346" spans="1:19">
      <c r="A2346" s="5" t="str">
        <f>B2346&amp;"-"&amp;COUNTIF($B$2:B2346,B2346)</f>
        <v>MINAS GERAIS-780</v>
      </c>
      <c r="B2346" s="5" t="s">
        <v>1126</v>
      </c>
      <c r="C2346" s="5" t="s">
        <v>1644</v>
      </c>
      <c r="D2346" s="6">
        <v>-424831</v>
      </c>
      <c r="E2346" s="6">
        <v>-204753</v>
      </c>
      <c r="F2346" s="7">
        <v>4.6989999999999998</v>
      </c>
      <c r="G2346" s="7">
        <v>5.5069999999999997</v>
      </c>
      <c r="H2346" s="7">
        <v>5.8079999999999998</v>
      </c>
      <c r="I2346" s="7">
        <v>4.9029999999999996</v>
      </c>
      <c r="J2346" s="7">
        <v>4.3470000000000004</v>
      </c>
      <c r="K2346" s="7">
        <v>3.7749999999999999</v>
      </c>
      <c r="L2346" s="7">
        <v>3.5950000000000002</v>
      </c>
      <c r="M2346" s="7">
        <v>3.819</v>
      </c>
      <c r="N2346" s="7">
        <v>4.5510000000000002</v>
      </c>
      <c r="O2346" s="7">
        <v>4.9189999999999996</v>
      </c>
      <c r="P2346" s="7">
        <v>5.0199999999999996</v>
      </c>
      <c r="Q2346" s="7">
        <v>4.7130000000000001</v>
      </c>
      <c r="R2346" s="7">
        <v>5.4349999999999996</v>
      </c>
      <c r="S2346" s="7">
        <f t="shared" si="36"/>
        <v>4.6993333333333336</v>
      </c>
    </row>
    <row r="2347" spans="1:19">
      <c r="A2347" s="5" t="str">
        <f>B2347&amp;"-"&amp;COUNTIF($B$2:B2347,B2347)</f>
        <v>MINAS GERAIS-781</v>
      </c>
      <c r="B2347" s="5" t="s">
        <v>1126</v>
      </c>
      <c r="C2347" s="5" t="s">
        <v>1645</v>
      </c>
      <c r="D2347" s="6">
        <v>-445183</v>
      </c>
      <c r="E2347" s="6">
        <v>-219138</v>
      </c>
      <c r="F2347" s="7">
        <v>4.7560000000000002</v>
      </c>
      <c r="G2347" s="7">
        <v>5.4630000000000001</v>
      </c>
      <c r="H2347" s="7">
        <v>5.69</v>
      </c>
      <c r="I2347" s="7">
        <v>4.9029999999999996</v>
      </c>
      <c r="J2347" s="7">
        <v>4.4729999999999999</v>
      </c>
      <c r="K2347" s="7">
        <v>3.7829999999999999</v>
      </c>
      <c r="L2347" s="7">
        <v>3.5649999999999999</v>
      </c>
      <c r="M2347" s="7">
        <v>3.778</v>
      </c>
      <c r="N2347" s="7">
        <v>4.6660000000000004</v>
      </c>
      <c r="O2347" s="7">
        <v>4.8879999999999999</v>
      </c>
      <c r="P2347" s="7">
        <v>5.2160000000000002</v>
      </c>
      <c r="Q2347" s="7">
        <v>5.1109999999999998</v>
      </c>
      <c r="R2347" s="7">
        <v>5.532</v>
      </c>
      <c r="S2347" s="7">
        <f t="shared" si="36"/>
        <v>4.7556666666666665</v>
      </c>
    </row>
    <row r="2348" spans="1:19">
      <c r="A2348" s="5" t="str">
        <f>B2348&amp;"-"&amp;COUNTIF($B$2:B2348,B2348)</f>
        <v>MINAS GERAIS-782</v>
      </c>
      <c r="B2348" s="5" t="s">
        <v>1126</v>
      </c>
      <c r="C2348" s="5" t="s">
        <v>1646</v>
      </c>
      <c r="D2348" s="6">
        <v>-431678</v>
      </c>
      <c r="E2348" s="6">
        <v>-183606</v>
      </c>
      <c r="F2348" s="7">
        <v>4.9059999999999997</v>
      </c>
      <c r="G2348" s="7">
        <v>5.8330000000000002</v>
      </c>
      <c r="H2348" s="7">
        <v>6.0839999999999996</v>
      </c>
      <c r="I2348" s="7">
        <v>5.0650000000000004</v>
      </c>
      <c r="J2348" s="7">
        <v>4.4870000000000001</v>
      </c>
      <c r="K2348" s="7">
        <v>3.9740000000000002</v>
      </c>
      <c r="L2348" s="7">
        <v>3.819</v>
      </c>
      <c r="M2348" s="7">
        <v>3.9460000000000002</v>
      </c>
      <c r="N2348" s="7">
        <v>4.7919999999999998</v>
      </c>
      <c r="O2348" s="7">
        <v>5.1879999999999997</v>
      </c>
      <c r="P2348" s="7">
        <v>5.3280000000000003</v>
      </c>
      <c r="Q2348" s="7">
        <v>4.7960000000000003</v>
      </c>
      <c r="R2348" s="7">
        <v>5.55</v>
      </c>
      <c r="S2348" s="7">
        <f t="shared" si="36"/>
        <v>4.9051666666666671</v>
      </c>
    </row>
    <row r="2349" spans="1:19">
      <c r="A2349" s="5" t="str">
        <f>B2349&amp;"-"&amp;COUNTIF($B$2:B2349,B2349)</f>
        <v>MINAS GERAIS-783</v>
      </c>
      <c r="B2349" s="5" t="s">
        <v>1126</v>
      </c>
      <c r="C2349" s="5" t="s">
        <v>1647</v>
      </c>
      <c r="D2349" s="5" t="s">
        <v>1259</v>
      </c>
      <c r="E2349" s="6">
        <v>-194381</v>
      </c>
      <c r="F2349" s="7">
        <v>5.1779999999999999</v>
      </c>
      <c r="G2349" s="7">
        <v>5.6619999999999999</v>
      </c>
      <c r="H2349" s="7">
        <v>6.048</v>
      </c>
      <c r="I2349" s="7">
        <v>4.9539999999999997</v>
      </c>
      <c r="J2349" s="7">
        <v>4.9249999999999998</v>
      </c>
      <c r="K2349" s="7">
        <v>4.5199999999999996</v>
      </c>
      <c r="L2349" s="7">
        <v>4.24</v>
      </c>
      <c r="M2349" s="7">
        <v>4.5460000000000003</v>
      </c>
      <c r="N2349" s="7">
        <v>5.5549999999999997</v>
      </c>
      <c r="O2349" s="7">
        <v>5.5720000000000001</v>
      </c>
      <c r="P2349" s="7">
        <v>5.5220000000000002</v>
      </c>
      <c r="Q2349" s="7">
        <v>5.1120000000000001</v>
      </c>
      <c r="R2349" s="7">
        <v>5.476</v>
      </c>
      <c r="S2349" s="7">
        <f t="shared" si="36"/>
        <v>5.1776666666666671</v>
      </c>
    </row>
    <row r="2350" spans="1:19">
      <c r="A2350" s="5" t="str">
        <f>B2350&amp;"-"&amp;COUNTIF($B$2:B2350,B2350)</f>
        <v>MINAS GERAIS-784</v>
      </c>
      <c r="B2350" s="5" t="s">
        <v>1126</v>
      </c>
      <c r="C2350" s="5" t="s">
        <v>1648</v>
      </c>
      <c r="D2350" s="6">
        <v>-466822</v>
      </c>
      <c r="E2350" s="6">
        <v>-191099</v>
      </c>
      <c r="F2350" s="7">
        <v>5.2089999999999996</v>
      </c>
      <c r="G2350" s="7">
        <v>5.6059999999999999</v>
      </c>
      <c r="H2350" s="7">
        <v>5.9370000000000003</v>
      </c>
      <c r="I2350" s="7">
        <v>4.9480000000000004</v>
      </c>
      <c r="J2350" s="7">
        <v>4.9580000000000002</v>
      </c>
      <c r="K2350" s="7">
        <v>4.5819999999999999</v>
      </c>
      <c r="L2350" s="7">
        <v>4.3209999999999997</v>
      </c>
      <c r="M2350" s="7">
        <v>4.6210000000000004</v>
      </c>
      <c r="N2350" s="7">
        <v>5.5919999999999996</v>
      </c>
      <c r="O2350" s="7">
        <v>5.5389999999999997</v>
      </c>
      <c r="P2350" s="7">
        <v>5.5750000000000002</v>
      </c>
      <c r="Q2350" s="7">
        <v>5.2670000000000003</v>
      </c>
      <c r="R2350" s="7">
        <v>5.5629999999999997</v>
      </c>
      <c r="S2350" s="7">
        <f t="shared" si="36"/>
        <v>5.209083333333334</v>
      </c>
    </row>
    <row r="2351" spans="1:19">
      <c r="A2351" s="5" t="str">
        <f>B2351&amp;"-"&amp;COUNTIF($B$2:B2351,B2351)</f>
        <v>MINAS GERAIS-785</v>
      </c>
      <c r="B2351" s="5" t="s">
        <v>1126</v>
      </c>
      <c r="C2351" s="5" t="s">
        <v>4377</v>
      </c>
      <c r="D2351" s="6">
        <v>-402456</v>
      </c>
      <c r="E2351" s="6">
        <v>-177876</v>
      </c>
      <c r="F2351" s="7">
        <v>4.9009999999999998</v>
      </c>
      <c r="G2351" s="7">
        <v>6.1539999999999999</v>
      </c>
      <c r="H2351" s="7">
        <v>6.1559999999999997</v>
      </c>
      <c r="I2351" s="7">
        <v>5.3710000000000004</v>
      </c>
      <c r="J2351" s="7">
        <v>4.6239999999999997</v>
      </c>
      <c r="K2351" s="7">
        <v>3.8290000000000002</v>
      </c>
      <c r="L2351" s="7">
        <v>3.4790000000000001</v>
      </c>
      <c r="M2351" s="7">
        <v>3.613</v>
      </c>
      <c r="N2351" s="7">
        <v>4.3049999999999997</v>
      </c>
      <c r="O2351" s="7">
        <v>4.8449999999999998</v>
      </c>
      <c r="P2351" s="7">
        <v>5.1929999999999996</v>
      </c>
      <c r="Q2351" s="7">
        <v>5.1440000000000001</v>
      </c>
      <c r="R2351" s="7">
        <v>6.101</v>
      </c>
      <c r="S2351" s="7">
        <f t="shared" si="36"/>
        <v>4.9011666666666658</v>
      </c>
    </row>
    <row r="2352" spans="1:19">
      <c r="A2352" s="5" t="str">
        <f>B2352&amp;"-"&amp;COUNTIF($B$2:B2352,B2352)</f>
        <v>MINAS GERAIS-786</v>
      </c>
      <c r="B2352" s="5" t="s">
        <v>1126</v>
      </c>
      <c r="C2352" s="5" t="s">
        <v>5145</v>
      </c>
      <c r="D2352" s="6">
        <v>-428717</v>
      </c>
      <c r="E2352" s="6">
        <v>-158115</v>
      </c>
      <c r="F2352" s="7">
        <v>5.6989999999999998</v>
      </c>
      <c r="G2352" s="7">
        <v>6.5650000000000004</v>
      </c>
      <c r="H2352" s="7">
        <v>6.7779999999999996</v>
      </c>
      <c r="I2352" s="7">
        <v>5.7809999999999997</v>
      </c>
      <c r="J2352" s="7">
        <v>5.4210000000000003</v>
      </c>
      <c r="K2352" s="7">
        <v>4.7939999999999996</v>
      </c>
      <c r="L2352" s="7">
        <v>4.5330000000000004</v>
      </c>
      <c r="M2352" s="7">
        <v>4.7530000000000001</v>
      </c>
      <c r="N2352" s="7">
        <v>5.524</v>
      </c>
      <c r="O2352" s="7">
        <v>6.069</v>
      </c>
      <c r="P2352" s="7">
        <v>6.18</v>
      </c>
      <c r="Q2352" s="7">
        <v>5.6859999999999999</v>
      </c>
      <c r="R2352" s="7">
        <v>6.3010000000000002</v>
      </c>
      <c r="S2352" s="7">
        <f t="shared" si="36"/>
        <v>5.6987500000000004</v>
      </c>
    </row>
    <row r="2353" spans="1:19">
      <c r="A2353" s="5" t="str">
        <f>B2353&amp;"-"&amp;COUNTIF($B$2:B2353,B2353)</f>
        <v>MINAS GERAIS-787</v>
      </c>
      <c r="B2353" s="5" t="s">
        <v>1126</v>
      </c>
      <c r="C2353" s="5" t="s">
        <v>1649</v>
      </c>
      <c r="D2353" s="6">
        <v>-460421</v>
      </c>
      <c r="E2353" s="6">
        <v>-215446</v>
      </c>
      <c r="F2353" s="7">
        <v>4.9359999999999999</v>
      </c>
      <c r="G2353" s="7">
        <v>5.6849999999999996</v>
      </c>
      <c r="H2353" s="7">
        <v>5.8369999999999997</v>
      </c>
      <c r="I2353" s="7">
        <v>4.9459999999999997</v>
      </c>
      <c r="J2353" s="7">
        <v>4.6390000000000002</v>
      </c>
      <c r="K2353" s="7">
        <v>3.9910000000000001</v>
      </c>
      <c r="L2353" s="7">
        <v>3.6890000000000001</v>
      </c>
      <c r="M2353" s="7">
        <v>3.9830000000000001</v>
      </c>
      <c r="N2353" s="7">
        <v>4.9039999999999999</v>
      </c>
      <c r="O2353" s="7">
        <v>5.0839999999999996</v>
      </c>
      <c r="P2353" s="7">
        <v>5.4450000000000003</v>
      </c>
      <c r="Q2353" s="7">
        <v>5.3529999999999998</v>
      </c>
      <c r="R2353" s="7">
        <v>5.681</v>
      </c>
      <c r="S2353" s="7">
        <f t="shared" si="36"/>
        <v>4.9364166666666662</v>
      </c>
    </row>
    <row r="2354" spans="1:19">
      <c r="A2354" s="5" t="str">
        <f>B2354&amp;"-"&amp;COUNTIF($B$2:B2354,B2354)</f>
        <v>MINAS GERAIS-788</v>
      </c>
      <c r="B2354" s="5" t="s">
        <v>1126</v>
      </c>
      <c r="C2354" s="5" t="s">
        <v>1650</v>
      </c>
      <c r="D2354" s="6">
        <v>-445129</v>
      </c>
      <c r="E2354" s="6">
        <v>-218862</v>
      </c>
      <c r="F2354" s="7">
        <v>4.7560000000000002</v>
      </c>
      <c r="G2354" s="7">
        <v>5.4630000000000001</v>
      </c>
      <c r="H2354" s="7">
        <v>5.69</v>
      </c>
      <c r="I2354" s="7">
        <v>4.9029999999999996</v>
      </c>
      <c r="J2354" s="7">
        <v>4.4729999999999999</v>
      </c>
      <c r="K2354" s="7">
        <v>3.7829999999999999</v>
      </c>
      <c r="L2354" s="7">
        <v>3.5649999999999999</v>
      </c>
      <c r="M2354" s="7">
        <v>3.778</v>
      </c>
      <c r="N2354" s="7">
        <v>4.6660000000000004</v>
      </c>
      <c r="O2354" s="7">
        <v>4.8879999999999999</v>
      </c>
      <c r="P2354" s="7">
        <v>5.2160000000000002</v>
      </c>
      <c r="Q2354" s="7">
        <v>5.1109999999999998</v>
      </c>
      <c r="R2354" s="7">
        <v>5.532</v>
      </c>
      <c r="S2354" s="7">
        <f t="shared" si="36"/>
        <v>4.7556666666666665</v>
      </c>
    </row>
    <row r="2355" spans="1:19">
      <c r="A2355" s="5" t="str">
        <f>B2355&amp;"-"&amp;COUNTIF($B$2:B2355,B2355)</f>
        <v>MINAS GERAIS-789</v>
      </c>
      <c r="B2355" s="5" t="s">
        <v>1126</v>
      </c>
      <c r="C2355" s="5" t="s">
        <v>1651</v>
      </c>
      <c r="D2355" s="6">
        <v>-433748</v>
      </c>
      <c r="E2355" s="6">
        <v>-185996</v>
      </c>
      <c r="F2355" s="7">
        <v>4.8769999999999998</v>
      </c>
      <c r="G2355" s="7">
        <v>5.7290000000000001</v>
      </c>
      <c r="H2355" s="7">
        <v>6.0149999999999997</v>
      </c>
      <c r="I2355" s="7">
        <v>4.9880000000000004</v>
      </c>
      <c r="J2355" s="7">
        <v>4.5359999999999996</v>
      </c>
      <c r="K2355" s="7">
        <v>3.9940000000000002</v>
      </c>
      <c r="L2355" s="7">
        <v>3.8290000000000002</v>
      </c>
      <c r="M2355" s="7">
        <v>3.9910000000000001</v>
      </c>
      <c r="N2355" s="7">
        <v>4.7409999999999997</v>
      </c>
      <c r="O2355" s="7">
        <v>5.1719999999999997</v>
      </c>
      <c r="P2355" s="7">
        <v>5.2859999999999996</v>
      </c>
      <c r="Q2355" s="7">
        <v>4.8</v>
      </c>
      <c r="R2355" s="7">
        <v>5.4480000000000004</v>
      </c>
      <c r="S2355" s="7">
        <f t="shared" si="36"/>
        <v>4.8774166666666661</v>
      </c>
    </row>
    <row r="2356" spans="1:19">
      <c r="A2356" s="5" t="str">
        <f>B2356&amp;"-"&amp;COUNTIF($B$2:B2356,B2356)</f>
        <v>MINAS GERAIS-790</v>
      </c>
      <c r="B2356" s="5" t="s">
        <v>1126</v>
      </c>
      <c r="C2356" s="5" t="s">
        <v>1652</v>
      </c>
      <c r="D2356" s="6">
        <v>-442416</v>
      </c>
      <c r="E2356" s="6">
        <v>-194574</v>
      </c>
      <c r="F2356" s="7">
        <v>5.2240000000000002</v>
      </c>
      <c r="G2356" s="7">
        <v>5.9279999999999999</v>
      </c>
      <c r="H2356" s="7">
        <v>6.1</v>
      </c>
      <c r="I2356" s="7">
        <v>5.1929999999999996</v>
      </c>
      <c r="J2356" s="7">
        <v>4.9029999999999996</v>
      </c>
      <c r="K2356" s="7">
        <v>4.3499999999999996</v>
      </c>
      <c r="L2356" s="7">
        <v>4.1210000000000004</v>
      </c>
      <c r="M2356" s="7">
        <v>4.4539999999999997</v>
      </c>
      <c r="N2356" s="7">
        <v>5.2670000000000003</v>
      </c>
      <c r="O2356" s="7">
        <v>5.6319999999999997</v>
      </c>
      <c r="P2356" s="7">
        <v>5.66</v>
      </c>
      <c r="Q2356" s="7">
        <v>5.4119999999999999</v>
      </c>
      <c r="R2356" s="7">
        <v>5.66</v>
      </c>
      <c r="S2356" s="7">
        <f t="shared" si="36"/>
        <v>5.2233333333333336</v>
      </c>
    </row>
    <row r="2357" spans="1:19">
      <c r="A2357" s="5" t="str">
        <f>B2357&amp;"-"&amp;COUNTIF($B$2:B2357,B2357)</f>
        <v>MINAS GERAIS-791</v>
      </c>
      <c r="B2357" s="5" t="s">
        <v>1126</v>
      </c>
      <c r="C2357" s="5" t="s">
        <v>1653</v>
      </c>
      <c r="D2357" s="6">
        <v>-42159</v>
      </c>
      <c r="E2357" s="6">
        <v>-176007</v>
      </c>
      <c r="F2357" s="7">
        <v>4.9139999999999997</v>
      </c>
      <c r="G2357" s="7">
        <v>5.98</v>
      </c>
      <c r="H2357" s="7">
        <v>6.1369999999999996</v>
      </c>
      <c r="I2357" s="7">
        <v>5.165</v>
      </c>
      <c r="J2357" s="7">
        <v>4.4790000000000001</v>
      </c>
      <c r="K2357" s="7">
        <v>3.8719999999999999</v>
      </c>
      <c r="L2357" s="7">
        <v>3.6789999999999998</v>
      </c>
      <c r="M2357" s="7">
        <v>3.887</v>
      </c>
      <c r="N2357" s="7">
        <v>4.6159999999999997</v>
      </c>
      <c r="O2357" s="7">
        <v>5.1379999999999999</v>
      </c>
      <c r="P2357" s="7">
        <v>5.3650000000000002</v>
      </c>
      <c r="Q2357" s="7">
        <v>4.9050000000000002</v>
      </c>
      <c r="R2357" s="7">
        <v>5.7469999999999999</v>
      </c>
      <c r="S2357" s="7">
        <f t="shared" si="36"/>
        <v>4.9141666666666666</v>
      </c>
    </row>
    <row r="2358" spans="1:19">
      <c r="A2358" s="5" t="str">
        <f>B2358&amp;"-"&amp;COUNTIF($B$2:B2358,B2358)</f>
        <v>MINAS GERAIS-792</v>
      </c>
      <c r="B2358" s="5" t="s">
        <v>1126</v>
      </c>
      <c r="C2358" s="5" t="s">
        <v>4978</v>
      </c>
      <c r="D2358" s="6">
        <v>-432132</v>
      </c>
      <c r="E2358" s="6">
        <v>-21162</v>
      </c>
      <c r="F2358" s="7">
        <v>4.601</v>
      </c>
      <c r="G2358" s="7">
        <v>5.4969999999999999</v>
      </c>
      <c r="H2358" s="7">
        <v>5.8109999999999999</v>
      </c>
      <c r="I2358" s="7">
        <v>4.8019999999999996</v>
      </c>
      <c r="J2358" s="7">
        <v>4.2290000000000001</v>
      </c>
      <c r="K2358" s="7">
        <v>3.6139999999999999</v>
      </c>
      <c r="L2358" s="7">
        <v>3.4740000000000002</v>
      </c>
      <c r="M2358" s="7">
        <v>3.609</v>
      </c>
      <c r="N2358" s="7">
        <v>4.41</v>
      </c>
      <c r="O2358" s="7">
        <v>4.7160000000000002</v>
      </c>
      <c r="P2358" s="7">
        <v>4.915</v>
      </c>
      <c r="Q2358" s="7">
        <v>4.6829999999999998</v>
      </c>
      <c r="R2358" s="7">
        <v>5.4489999999999998</v>
      </c>
      <c r="S2358" s="7">
        <f t="shared" si="36"/>
        <v>4.6007499999999997</v>
      </c>
    </row>
    <row r="2359" spans="1:19">
      <c r="A2359" s="5" t="str">
        <f>B2359&amp;"-"&amp;COUNTIF($B$2:B2359,B2359)</f>
        <v>MINAS GERAIS-793</v>
      </c>
      <c r="B2359" s="5" t="s">
        <v>1126</v>
      </c>
      <c r="C2359" s="5" t="s">
        <v>5146</v>
      </c>
      <c r="D2359" s="6">
        <v>-458389</v>
      </c>
      <c r="E2359" s="6">
        <v>-220279</v>
      </c>
      <c r="F2359" s="7">
        <v>4.7729999999999997</v>
      </c>
      <c r="G2359" s="7">
        <v>5.2469999999999999</v>
      </c>
      <c r="H2359" s="7">
        <v>5.6150000000000002</v>
      </c>
      <c r="I2359" s="7">
        <v>4.7560000000000002</v>
      </c>
      <c r="J2359" s="7">
        <v>4.508</v>
      </c>
      <c r="K2359" s="7">
        <v>3.8860000000000001</v>
      </c>
      <c r="L2359" s="7">
        <v>3.6469999999999998</v>
      </c>
      <c r="M2359" s="7">
        <v>3.8780000000000001</v>
      </c>
      <c r="N2359" s="7">
        <v>4.8079999999999998</v>
      </c>
      <c r="O2359" s="7">
        <v>4.9359999999999999</v>
      </c>
      <c r="P2359" s="7">
        <v>5.2990000000000004</v>
      </c>
      <c r="Q2359" s="7">
        <v>5.1639999999999997</v>
      </c>
      <c r="R2359" s="7">
        <v>5.5330000000000004</v>
      </c>
      <c r="S2359" s="7">
        <f t="shared" si="36"/>
        <v>4.7730833333333331</v>
      </c>
    </row>
    <row r="2360" spans="1:19">
      <c r="A2360" s="5" t="str">
        <f>B2360&amp;"-"&amp;COUNTIF($B$2:B2360,B2360)</f>
        <v>MINAS GERAIS-794</v>
      </c>
      <c r="B2360" s="5" t="s">
        <v>1126</v>
      </c>
      <c r="C2360" s="5" t="s">
        <v>4043</v>
      </c>
      <c r="D2360" s="6">
        <v>-433092</v>
      </c>
      <c r="E2360" s="6">
        <v>-219644</v>
      </c>
      <c r="F2360" s="7">
        <v>4.5979999999999999</v>
      </c>
      <c r="G2360" s="7">
        <v>5.5880000000000001</v>
      </c>
      <c r="H2360" s="7">
        <v>5.8650000000000002</v>
      </c>
      <c r="I2360" s="7">
        <v>4.8819999999999997</v>
      </c>
      <c r="J2360" s="7">
        <v>4.2859999999999996</v>
      </c>
      <c r="K2360" s="7">
        <v>3.5609999999999999</v>
      </c>
      <c r="L2360" s="7">
        <v>3.3769999999999998</v>
      </c>
      <c r="M2360" s="7">
        <v>3.5230000000000001</v>
      </c>
      <c r="N2360" s="7">
        <v>4.2450000000000001</v>
      </c>
      <c r="O2360" s="7">
        <v>4.5679999999999996</v>
      </c>
      <c r="P2360" s="7">
        <v>4.8899999999999997</v>
      </c>
      <c r="Q2360" s="7">
        <v>4.8220000000000001</v>
      </c>
      <c r="R2360" s="7">
        <v>5.5679999999999996</v>
      </c>
      <c r="S2360" s="7">
        <f t="shared" si="36"/>
        <v>4.5979166666666664</v>
      </c>
    </row>
    <row r="2361" spans="1:19">
      <c r="A2361" s="5" t="str">
        <f>B2361&amp;"-"&amp;COUNTIF($B$2:B2361,B2361)</f>
        <v>MINAS GERAIS-795</v>
      </c>
      <c r="B2361" s="5" t="s">
        <v>1126</v>
      </c>
      <c r="C2361" s="5" t="s">
        <v>4378</v>
      </c>
      <c r="D2361" s="6">
        <v>-420094</v>
      </c>
      <c r="E2361" s="6">
        <v>-201346</v>
      </c>
      <c r="F2361" s="7">
        <v>4.4859999999999998</v>
      </c>
      <c r="G2361" s="7">
        <v>5.351</v>
      </c>
      <c r="H2361" s="7">
        <v>5.6120000000000001</v>
      </c>
      <c r="I2361" s="7">
        <v>4.593</v>
      </c>
      <c r="J2361" s="7">
        <v>4.1950000000000003</v>
      </c>
      <c r="K2361" s="7">
        <v>3.6230000000000002</v>
      </c>
      <c r="L2361" s="7">
        <v>3.4830000000000001</v>
      </c>
      <c r="M2361" s="7">
        <v>3.6779999999999999</v>
      </c>
      <c r="N2361" s="7">
        <v>4.4020000000000001</v>
      </c>
      <c r="O2361" s="7">
        <v>4.6660000000000004</v>
      </c>
      <c r="P2361" s="7">
        <v>4.6589999999999998</v>
      </c>
      <c r="Q2361" s="7">
        <v>4.4429999999999996</v>
      </c>
      <c r="R2361" s="7">
        <v>5.1310000000000002</v>
      </c>
      <c r="S2361" s="7">
        <f t="shared" si="36"/>
        <v>4.4863333333333335</v>
      </c>
    </row>
    <row r="2362" spans="1:19">
      <c r="A2362" s="5" t="str">
        <f>B2362&amp;"-"&amp;COUNTIF($B$2:B2362,B2362)</f>
        <v>MINAS GERAIS-796</v>
      </c>
      <c r="B2362" s="5" t="s">
        <v>1126</v>
      </c>
      <c r="C2362" s="5" t="s">
        <v>5614</v>
      </c>
      <c r="D2362" s="6">
        <v>-42098</v>
      </c>
      <c r="E2362" s="6">
        <v>-19235</v>
      </c>
      <c r="F2362" s="7">
        <v>4.83</v>
      </c>
      <c r="G2362" s="7">
        <v>5.9459999999999997</v>
      </c>
      <c r="H2362" s="7">
        <v>6.109</v>
      </c>
      <c r="I2362" s="7">
        <v>5.1289999999999996</v>
      </c>
      <c r="J2362" s="7">
        <v>4.5609999999999999</v>
      </c>
      <c r="K2362" s="7">
        <v>3.8580000000000001</v>
      </c>
      <c r="L2362" s="7">
        <v>3.6320000000000001</v>
      </c>
      <c r="M2362" s="7">
        <v>3.7149999999999999</v>
      </c>
      <c r="N2362" s="7">
        <v>4.3899999999999997</v>
      </c>
      <c r="O2362" s="7">
        <v>4.8650000000000002</v>
      </c>
      <c r="P2362" s="7">
        <v>5.0999999999999996</v>
      </c>
      <c r="Q2362" s="7">
        <v>4.8840000000000003</v>
      </c>
      <c r="R2362" s="7">
        <v>5.7750000000000004</v>
      </c>
      <c r="S2362" s="7">
        <f t="shared" si="36"/>
        <v>4.8303333333333338</v>
      </c>
    </row>
    <row r="2363" spans="1:19">
      <c r="A2363" s="5" t="str">
        <f>B2363&amp;"-"&amp;COUNTIF($B$2:B2363,B2363)</f>
        <v>MINAS GERAIS-797</v>
      </c>
      <c r="B2363" s="5" t="s">
        <v>1126</v>
      </c>
      <c r="C2363" s="5" t="s">
        <v>1654</v>
      </c>
      <c r="D2363" s="6">
        <v>-450468</v>
      </c>
      <c r="E2363" s="6">
        <v>-220559</v>
      </c>
      <c r="F2363" s="7">
        <v>4.8659999999999997</v>
      </c>
      <c r="G2363" s="7">
        <v>5.4340000000000002</v>
      </c>
      <c r="H2363" s="7">
        <v>5.7590000000000003</v>
      </c>
      <c r="I2363" s="7">
        <v>4.9569999999999999</v>
      </c>
      <c r="J2363" s="7">
        <v>4.609</v>
      </c>
      <c r="K2363" s="7">
        <v>3.9140000000000001</v>
      </c>
      <c r="L2363" s="7">
        <v>3.6339999999999999</v>
      </c>
      <c r="M2363" s="7">
        <v>3.8439999999999999</v>
      </c>
      <c r="N2363" s="7">
        <v>4.7249999999999996</v>
      </c>
      <c r="O2363" s="7">
        <v>5.0250000000000004</v>
      </c>
      <c r="P2363" s="7">
        <v>5.4370000000000003</v>
      </c>
      <c r="Q2363" s="7">
        <v>5.37</v>
      </c>
      <c r="R2363" s="7">
        <v>5.6840000000000002</v>
      </c>
      <c r="S2363" s="7">
        <f t="shared" si="36"/>
        <v>4.8659999999999997</v>
      </c>
    </row>
    <row r="2364" spans="1:19">
      <c r="A2364" s="5" t="str">
        <f>B2364&amp;"-"&amp;COUNTIF($B$2:B2364,B2364)</f>
        <v>MINAS GERAIS-798</v>
      </c>
      <c r="B2364" s="5" t="s">
        <v>1126</v>
      </c>
      <c r="C2364" s="5" t="s">
        <v>1655</v>
      </c>
      <c r="D2364" s="6">
        <v>-432384</v>
      </c>
      <c r="E2364" s="6">
        <v>-213637</v>
      </c>
      <c r="F2364" s="7">
        <v>4.6210000000000004</v>
      </c>
      <c r="G2364" s="7">
        <v>5.5190000000000001</v>
      </c>
      <c r="H2364" s="7">
        <v>5.9039999999999999</v>
      </c>
      <c r="I2364" s="7">
        <v>4.8620000000000001</v>
      </c>
      <c r="J2364" s="7">
        <v>4.2160000000000002</v>
      </c>
      <c r="K2364" s="7">
        <v>3.609</v>
      </c>
      <c r="L2364" s="7">
        <v>3.431</v>
      </c>
      <c r="M2364" s="7">
        <v>3.5920000000000001</v>
      </c>
      <c r="N2364" s="7">
        <v>4.3819999999999997</v>
      </c>
      <c r="O2364" s="7">
        <v>4.6840000000000002</v>
      </c>
      <c r="P2364" s="7">
        <v>4.9580000000000002</v>
      </c>
      <c r="Q2364" s="7">
        <v>4.7190000000000003</v>
      </c>
      <c r="R2364" s="7">
        <v>5.5789999999999997</v>
      </c>
      <c r="S2364" s="7">
        <f t="shared" si="36"/>
        <v>4.6212499999999999</v>
      </c>
    </row>
    <row r="2365" spans="1:19">
      <c r="A2365" s="5" t="str">
        <f>B2365&amp;"-"&amp;COUNTIF($B$2:B2365,B2365)</f>
        <v>MINAS GERAIS-799</v>
      </c>
      <c r="B2365" s="5" t="s">
        <v>1126</v>
      </c>
      <c r="C2365" s="5" t="s">
        <v>1656</v>
      </c>
      <c r="D2365" s="6">
        <v>-422263</v>
      </c>
      <c r="E2365" s="6">
        <v>-158111</v>
      </c>
      <c r="F2365" s="7">
        <v>5.19</v>
      </c>
      <c r="G2365" s="7">
        <v>6.093</v>
      </c>
      <c r="H2365" s="7">
        <v>6.282</v>
      </c>
      <c r="I2365" s="7">
        <v>5.4429999999999996</v>
      </c>
      <c r="J2365" s="7">
        <v>4.7229999999999999</v>
      </c>
      <c r="K2365" s="7">
        <v>4.1509999999999998</v>
      </c>
      <c r="L2365" s="7">
        <v>3.8039999999999998</v>
      </c>
      <c r="M2365" s="7">
        <v>4.1070000000000002</v>
      </c>
      <c r="N2365" s="7">
        <v>4.8680000000000003</v>
      </c>
      <c r="O2365" s="7">
        <v>5.641</v>
      </c>
      <c r="P2365" s="7">
        <v>5.6970000000000001</v>
      </c>
      <c r="Q2365" s="7">
        <v>5.3879999999999999</v>
      </c>
      <c r="R2365" s="7">
        <v>6.0830000000000002</v>
      </c>
      <c r="S2365" s="7">
        <f t="shared" si="36"/>
        <v>5.1899999999999995</v>
      </c>
    </row>
    <row r="2366" spans="1:19">
      <c r="A2366" s="5" t="str">
        <f>B2366&amp;"-"&amp;COUNTIF($B$2:B2366,B2366)</f>
        <v>MINAS GERAIS-800</v>
      </c>
      <c r="B2366" s="5" t="s">
        <v>1126</v>
      </c>
      <c r="C2366" s="5" t="s">
        <v>1657</v>
      </c>
      <c r="D2366" s="6">
        <v>-416083</v>
      </c>
      <c r="E2366" s="6">
        <v>-197626</v>
      </c>
      <c r="F2366" s="7">
        <v>4.8380000000000001</v>
      </c>
      <c r="G2366" s="7">
        <v>5.9160000000000004</v>
      </c>
      <c r="H2366" s="7">
        <v>6.181</v>
      </c>
      <c r="I2366" s="7">
        <v>5.157</v>
      </c>
      <c r="J2366" s="7">
        <v>4.7140000000000004</v>
      </c>
      <c r="K2366" s="7">
        <v>3.8860000000000001</v>
      </c>
      <c r="L2366" s="7">
        <v>3.6389999999999998</v>
      </c>
      <c r="M2366" s="7">
        <v>3.7669999999999999</v>
      </c>
      <c r="N2366" s="7">
        <v>4.4560000000000004</v>
      </c>
      <c r="O2366" s="7">
        <v>4.7939999999999996</v>
      </c>
      <c r="P2366" s="7">
        <v>4.9619999999999997</v>
      </c>
      <c r="Q2366" s="7">
        <v>4.9029999999999996</v>
      </c>
      <c r="R2366" s="7">
        <v>5.6840000000000002</v>
      </c>
      <c r="S2366" s="7">
        <f t="shared" si="36"/>
        <v>4.8382500000000004</v>
      </c>
    </row>
    <row r="2367" spans="1:19">
      <c r="A2367" s="5" t="str">
        <f>B2367&amp;"-"&amp;COUNTIF($B$2:B2367,B2367)</f>
        <v>MINAS GERAIS-801</v>
      </c>
      <c r="B2367" s="5" t="s">
        <v>1126</v>
      </c>
      <c r="C2367" s="5" t="s">
        <v>1658</v>
      </c>
      <c r="D2367" s="6">
        <v>-468222</v>
      </c>
      <c r="E2367" s="6">
        <v>-199231</v>
      </c>
      <c r="F2367" s="7">
        <v>5.0439999999999996</v>
      </c>
      <c r="G2367" s="7">
        <v>5.407</v>
      </c>
      <c r="H2367" s="7">
        <v>5.6989999999999998</v>
      </c>
      <c r="I2367" s="7">
        <v>4.8099999999999996</v>
      </c>
      <c r="J2367" s="7">
        <v>4.7869999999999999</v>
      </c>
      <c r="K2367" s="7">
        <v>4.3819999999999997</v>
      </c>
      <c r="L2367" s="7">
        <v>4.1440000000000001</v>
      </c>
      <c r="M2367" s="7">
        <v>4.399</v>
      </c>
      <c r="N2367" s="7">
        <v>5.42</v>
      </c>
      <c r="O2367" s="7">
        <v>5.3310000000000004</v>
      </c>
      <c r="P2367" s="7">
        <v>5.4969999999999999</v>
      </c>
      <c r="Q2367" s="7">
        <v>5.1829999999999998</v>
      </c>
      <c r="R2367" s="7">
        <v>5.47</v>
      </c>
      <c r="S2367" s="7">
        <f t="shared" si="36"/>
        <v>5.0440833333333339</v>
      </c>
    </row>
    <row r="2368" spans="1:19">
      <c r="A2368" s="5" t="str">
        <f>B2368&amp;"-"&amp;COUNTIF($B$2:B2368,B2368)</f>
        <v>MINAS GERAIS-802</v>
      </c>
      <c r="B2368" s="5" t="s">
        <v>1126</v>
      </c>
      <c r="C2368" s="5" t="s">
        <v>1659</v>
      </c>
      <c r="D2368" s="6">
        <v>-460204</v>
      </c>
      <c r="E2368" s="6">
        <v>-19888</v>
      </c>
      <c r="F2368" s="7">
        <v>5.1349999999999998</v>
      </c>
      <c r="G2368" s="7">
        <v>5.7089999999999996</v>
      </c>
      <c r="H2368" s="7">
        <v>5.984</v>
      </c>
      <c r="I2368" s="7">
        <v>4.9329999999999998</v>
      </c>
      <c r="J2368" s="7">
        <v>4.931</v>
      </c>
      <c r="K2368" s="7">
        <v>4.4020000000000001</v>
      </c>
      <c r="L2368" s="7">
        <v>4.2069999999999999</v>
      </c>
      <c r="M2368" s="7">
        <v>4.47</v>
      </c>
      <c r="N2368" s="7">
        <v>5.4690000000000003</v>
      </c>
      <c r="O2368" s="7">
        <v>5.4569999999999999</v>
      </c>
      <c r="P2368" s="7">
        <v>5.4779999999999998</v>
      </c>
      <c r="Q2368" s="7">
        <v>5.085</v>
      </c>
      <c r="R2368" s="7">
        <v>5.4930000000000003</v>
      </c>
      <c r="S2368" s="7">
        <f t="shared" si="36"/>
        <v>5.1348333333333338</v>
      </c>
    </row>
    <row r="2369" spans="1:19">
      <c r="A2369" s="5" t="str">
        <f>B2369&amp;"-"&amp;COUNTIF($B$2:B2369,B2369)</f>
        <v>MINAS GERAIS-803</v>
      </c>
      <c r="B2369" s="5" t="s">
        <v>1126</v>
      </c>
      <c r="C2369" s="5" t="s">
        <v>4689</v>
      </c>
      <c r="D2369" s="6">
        <v>-436926</v>
      </c>
      <c r="E2369" s="6">
        <v>-196657</v>
      </c>
      <c r="F2369" s="7">
        <v>5.1829999999999998</v>
      </c>
      <c r="G2369" s="7">
        <v>5.8390000000000004</v>
      </c>
      <c r="H2369" s="7">
        <v>6.1390000000000002</v>
      </c>
      <c r="I2369" s="7">
        <v>5.2590000000000003</v>
      </c>
      <c r="J2369" s="7">
        <v>4.8170000000000002</v>
      </c>
      <c r="K2369" s="7">
        <v>4.2619999999999996</v>
      </c>
      <c r="L2369" s="7">
        <v>4.1040000000000001</v>
      </c>
      <c r="M2369" s="7">
        <v>4.3360000000000003</v>
      </c>
      <c r="N2369" s="7">
        <v>5.1520000000000001</v>
      </c>
      <c r="O2369" s="7">
        <v>5.5289999999999999</v>
      </c>
      <c r="P2369" s="7">
        <v>5.6829999999999998</v>
      </c>
      <c r="Q2369" s="7">
        <v>5.3739999999999997</v>
      </c>
      <c r="R2369" s="7">
        <v>5.6959999999999997</v>
      </c>
      <c r="S2369" s="7">
        <f t="shared" si="36"/>
        <v>5.1825000000000001</v>
      </c>
    </row>
    <row r="2370" spans="1:19">
      <c r="A2370" s="5" t="str">
        <f>B2370&amp;"-"&amp;COUNTIF($B$2:B2370,B2370)</f>
        <v>MINAS GERAIS-804</v>
      </c>
      <c r="B2370" s="5" t="s">
        <v>1126</v>
      </c>
      <c r="C2370" s="5" t="s">
        <v>1660</v>
      </c>
      <c r="D2370" s="6">
        <v>-420119</v>
      </c>
      <c r="E2370" s="6">
        <v>-192788</v>
      </c>
      <c r="F2370" s="7">
        <v>4.7750000000000004</v>
      </c>
      <c r="G2370" s="7">
        <v>5.8159999999999998</v>
      </c>
      <c r="H2370" s="7">
        <v>6.04</v>
      </c>
      <c r="I2370" s="7">
        <v>5.0679999999999996</v>
      </c>
      <c r="J2370" s="7">
        <v>4.5149999999999997</v>
      </c>
      <c r="K2370" s="7">
        <v>3.8180000000000001</v>
      </c>
      <c r="L2370" s="7">
        <v>3.5920000000000001</v>
      </c>
      <c r="M2370" s="7">
        <v>3.698</v>
      </c>
      <c r="N2370" s="7">
        <v>4.37</v>
      </c>
      <c r="O2370" s="7">
        <v>4.8239999999999998</v>
      </c>
      <c r="P2370" s="7">
        <v>5.01</v>
      </c>
      <c r="Q2370" s="7">
        <v>4.8150000000000004</v>
      </c>
      <c r="R2370" s="7">
        <v>5.7350000000000003</v>
      </c>
      <c r="S2370" s="7">
        <f t="shared" si="36"/>
        <v>4.775083333333332</v>
      </c>
    </row>
    <row r="2371" spans="1:19">
      <c r="A2371" s="5" t="str">
        <f>B2371&amp;"-"&amp;COUNTIF($B$2:B2371,B2371)</f>
        <v>MINAS GERAIS-805</v>
      </c>
      <c r="B2371" s="5" t="s">
        <v>1126</v>
      </c>
      <c r="C2371" s="5" t="s">
        <v>5147</v>
      </c>
      <c r="D2371" s="6">
        <v>-415091</v>
      </c>
      <c r="E2371" s="5" t="s">
        <v>1661</v>
      </c>
      <c r="F2371" s="7">
        <v>4.8689999999999998</v>
      </c>
      <c r="G2371" s="7">
        <v>6.085</v>
      </c>
      <c r="H2371" s="7">
        <v>6.2320000000000002</v>
      </c>
      <c r="I2371" s="7">
        <v>5.327</v>
      </c>
      <c r="J2371" s="7">
        <v>4.5819999999999999</v>
      </c>
      <c r="K2371" s="7">
        <v>3.8119999999999998</v>
      </c>
      <c r="L2371" s="7">
        <v>3.5470000000000002</v>
      </c>
      <c r="M2371" s="7">
        <v>3.6720000000000002</v>
      </c>
      <c r="N2371" s="7">
        <v>4.3600000000000003</v>
      </c>
      <c r="O2371" s="7">
        <v>4.8559999999999999</v>
      </c>
      <c r="P2371" s="7">
        <v>5.1790000000000003</v>
      </c>
      <c r="Q2371" s="7">
        <v>4.9580000000000002</v>
      </c>
      <c r="R2371" s="7">
        <v>5.8230000000000004</v>
      </c>
      <c r="S2371" s="7">
        <f t="shared" ref="S2371:S2434" si="37">(G2371+H2371+I2371+J2371+K2371+L2371+M2371+N2371+O2371+P2371+Q2371+R2371)/12</f>
        <v>4.8694166666666669</v>
      </c>
    </row>
    <row r="2372" spans="1:19">
      <c r="A2372" s="5" t="str">
        <f>B2372&amp;"-"&amp;COUNTIF($B$2:B2372,B2372)</f>
        <v>MINAS GERAIS-806</v>
      </c>
      <c r="B2372" s="5" t="s">
        <v>1126</v>
      </c>
      <c r="C2372" s="5" t="s">
        <v>1662</v>
      </c>
      <c r="D2372" s="6">
        <v>-428568</v>
      </c>
      <c r="E2372" s="6">
        <v>-206566</v>
      </c>
      <c r="F2372" s="7">
        <v>4.7030000000000003</v>
      </c>
      <c r="G2372" s="7">
        <v>5.5919999999999996</v>
      </c>
      <c r="H2372" s="7">
        <v>5.88</v>
      </c>
      <c r="I2372" s="7">
        <v>4.899</v>
      </c>
      <c r="J2372" s="7">
        <v>4.3760000000000003</v>
      </c>
      <c r="K2372" s="7">
        <v>3.7360000000000002</v>
      </c>
      <c r="L2372" s="7">
        <v>3.5249999999999999</v>
      </c>
      <c r="M2372" s="7">
        <v>3.7490000000000001</v>
      </c>
      <c r="N2372" s="7">
        <v>4.55</v>
      </c>
      <c r="O2372" s="7">
        <v>4.8289999999999997</v>
      </c>
      <c r="P2372" s="7">
        <v>5.0369999999999999</v>
      </c>
      <c r="Q2372" s="7">
        <v>4.7859999999999996</v>
      </c>
      <c r="R2372" s="7">
        <v>5.4790000000000001</v>
      </c>
      <c r="S2372" s="7">
        <f t="shared" si="37"/>
        <v>4.7031666666666663</v>
      </c>
    </row>
    <row r="2373" spans="1:19">
      <c r="A2373" s="5" t="str">
        <f>B2373&amp;"-"&amp;COUNTIF($B$2:B2373,B2373)</f>
        <v>MINAS GERAIS-807</v>
      </c>
      <c r="B2373" s="5" t="s">
        <v>1126</v>
      </c>
      <c r="C2373" s="5" t="s">
        <v>5148</v>
      </c>
      <c r="D2373" s="6">
        <v>-42648</v>
      </c>
      <c r="E2373" s="6">
        <v>-195764</v>
      </c>
      <c r="F2373" s="7">
        <v>4.8079999999999998</v>
      </c>
      <c r="G2373" s="7">
        <v>5.7679999999999998</v>
      </c>
      <c r="H2373" s="7">
        <v>6.0389999999999997</v>
      </c>
      <c r="I2373" s="7">
        <v>5.0190000000000001</v>
      </c>
      <c r="J2373" s="7">
        <v>4.5789999999999997</v>
      </c>
      <c r="K2373" s="7">
        <v>3.8119999999999998</v>
      </c>
      <c r="L2373" s="7">
        <v>3.6840000000000002</v>
      </c>
      <c r="M2373" s="7">
        <v>3.879</v>
      </c>
      <c r="N2373" s="7">
        <v>4.5629999999999997</v>
      </c>
      <c r="O2373" s="7">
        <v>4.9050000000000002</v>
      </c>
      <c r="P2373" s="7">
        <v>5.0780000000000003</v>
      </c>
      <c r="Q2373" s="7">
        <v>4.8230000000000004</v>
      </c>
      <c r="R2373" s="7">
        <v>5.5490000000000004</v>
      </c>
      <c r="S2373" s="7">
        <f t="shared" si="37"/>
        <v>4.8081666666666676</v>
      </c>
    </row>
    <row r="2374" spans="1:19">
      <c r="A2374" s="5" t="str">
        <f>B2374&amp;"-"&amp;COUNTIF($B$2:B2374,B2374)</f>
        <v>MINAS GERAIS-808</v>
      </c>
      <c r="B2374" s="5" t="s">
        <v>1126</v>
      </c>
      <c r="C2374" s="5" t="s">
        <v>1663</v>
      </c>
      <c r="D2374" s="6">
        <v>-441748</v>
      </c>
      <c r="E2374" s="6">
        <v>-211107</v>
      </c>
      <c r="F2374" s="7">
        <v>4.7910000000000004</v>
      </c>
      <c r="G2374" s="7">
        <v>5.5339999999999998</v>
      </c>
      <c r="H2374" s="7">
        <v>5.7930000000000001</v>
      </c>
      <c r="I2374" s="7">
        <v>4.8540000000000001</v>
      </c>
      <c r="J2374" s="7">
        <v>4.4180000000000001</v>
      </c>
      <c r="K2374" s="7">
        <v>3.8170000000000002</v>
      </c>
      <c r="L2374" s="7">
        <v>3.653</v>
      </c>
      <c r="M2374" s="7">
        <v>3.8769999999999998</v>
      </c>
      <c r="N2374" s="7">
        <v>4.8049999999999997</v>
      </c>
      <c r="O2374" s="7">
        <v>5.0010000000000003</v>
      </c>
      <c r="P2374" s="7">
        <v>5.2160000000000002</v>
      </c>
      <c r="Q2374" s="7">
        <v>4.9790000000000001</v>
      </c>
      <c r="R2374" s="7">
        <v>5.55</v>
      </c>
      <c r="S2374" s="7">
        <f t="shared" si="37"/>
        <v>4.7914166666666658</v>
      </c>
    </row>
    <row r="2375" spans="1:19">
      <c r="A2375" s="5" t="str">
        <f>B2375&amp;"-"&amp;COUNTIF($B$2:B2375,B2375)</f>
        <v>MINAS GERAIS-809</v>
      </c>
      <c r="B2375" s="5" t="s">
        <v>1126</v>
      </c>
      <c r="C2375" s="5" t="s">
        <v>1664</v>
      </c>
      <c r="D2375" s="6">
        <v>-45963</v>
      </c>
      <c r="E2375" s="6">
        <v>-190042</v>
      </c>
      <c r="F2375" s="7">
        <v>5.2439999999999998</v>
      </c>
      <c r="G2375" s="7">
        <v>5.7140000000000004</v>
      </c>
      <c r="H2375" s="7">
        <v>6.0289999999999999</v>
      </c>
      <c r="I2375" s="7">
        <v>5.04</v>
      </c>
      <c r="J2375" s="7">
        <v>4.9859999999999998</v>
      </c>
      <c r="K2375" s="7">
        <v>4.5919999999999996</v>
      </c>
      <c r="L2375" s="7">
        <v>4.351</v>
      </c>
      <c r="M2375" s="7">
        <v>4.6660000000000004</v>
      </c>
      <c r="N2375" s="7">
        <v>5.6269999999999998</v>
      </c>
      <c r="O2375" s="7">
        <v>5.6779999999999999</v>
      </c>
      <c r="P2375" s="7">
        <v>5.5750000000000002</v>
      </c>
      <c r="Q2375" s="7">
        <v>5.1539999999999999</v>
      </c>
      <c r="R2375" s="7">
        <v>5.5190000000000001</v>
      </c>
      <c r="S2375" s="7">
        <f t="shared" si="37"/>
        <v>5.2442500000000001</v>
      </c>
    </row>
    <row r="2376" spans="1:19">
      <c r="A2376" s="5" t="str">
        <f>B2376&amp;"-"&amp;COUNTIF($B$2:B2376,B2376)</f>
        <v>MINAS GERAIS-810</v>
      </c>
      <c r="B2376" s="5" t="s">
        <v>1126</v>
      </c>
      <c r="C2376" s="5" t="s">
        <v>1665</v>
      </c>
      <c r="D2376" s="6">
        <v>-430131</v>
      </c>
      <c r="E2376" s="6">
        <v>-211779</v>
      </c>
      <c r="F2376" s="7">
        <v>4.6909999999999998</v>
      </c>
      <c r="G2376" s="7">
        <v>5.6509999999999998</v>
      </c>
      <c r="H2376" s="7">
        <v>5.9450000000000003</v>
      </c>
      <c r="I2376" s="7">
        <v>4.9080000000000004</v>
      </c>
      <c r="J2376" s="7">
        <v>4.3209999999999997</v>
      </c>
      <c r="K2376" s="7">
        <v>3.6560000000000001</v>
      </c>
      <c r="L2376" s="7">
        <v>3.492</v>
      </c>
      <c r="M2376" s="7">
        <v>3.68</v>
      </c>
      <c r="N2376" s="7">
        <v>4.4690000000000003</v>
      </c>
      <c r="O2376" s="7">
        <v>4.7880000000000003</v>
      </c>
      <c r="P2376" s="7">
        <v>5.0259999999999998</v>
      </c>
      <c r="Q2376" s="7">
        <v>4.8150000000000004</v>
      </c>
      <c r="R2376" s="7">
        <v>5.54</v>
      </c>
      <c r="S2376" s="7">
        <f t="shared" si="37"/>
        <v>4.6909166666666655</v>
      </c>
    </row>
    <row r="2377" spans="1:19">
      <c r="A2377" s="5" t="str">
        <f>B2377&amp;"-"&amp;COUNTIF($B$2:B2377,B2377)</f>
        <v>MINAS GERAIS-811</v>
      </c>
      <c r="B2377" s="5" t="s">
        <v>1126</v>
      </c>
      <c r="C2377" s="5" t="s">
        <v>1666</v>
      </c>
      <c r="D2377" s="6">
        <v>-460975</v>
      </c>
      <c r="E2377" s="6">
        <v>-223703</v>
      </c>
      <c r="F2377" s="7">
        <v>4.7709999999999999</v>
      </c>
      <c r="G2377" s="7">
        <v>5.2169999999999996</v>
      </c>
      <c r="H2377" s="7">
        <v>5.5949999999999998</v>
      </c>
      <c r="I2377" s="7">
        <v>4.82</v>
      </c>
      <c r="J2377" s="7">
        <v>4.516</v>
      </c>
      <c r="K2377" s="7">
        <v>3.8149999999999999</v>
      </c>
      <c r="L2377" s="7">
        <v>3.5430000000000001</v>
      </c>
      <c r="M2377" s="7">
        <v>3.8290000000000002</v>
      </c>
      <c r="N2377" s="7">
        <v>4.7329999999999997</v>
      </c>
      <c r="O2377" s="7">
        <v>4.8949999999999996</v>
      </c>
      <c r="P2377" s="7">
        <v>5.3209999999999997</v>
      </c>
      <c r="Q2377" s="7">
        <v>5.32</v>
      </c>
      <c r="R2377" s="7">
        <v>5.6509999999999998</v>
      </c>
      <c r="S2377" s="7">
        <f t="shared" si="37"/>
        <v>4.7712499999999993</v>
      </c>
    </row>
    <row r="2378" spans="1:19">
      <c r="A2378" s="5" t="str">
        <f>B2378&amp;"-"&amp;COUNTIF($B$2:B2378,B2378)</f>
        <v>MINAS GERAIS-812</v>
      </c>
      <c r="B2378" s="5" t="s">
        <v>1126</v>
      </c>
      <c r="C2378" s="5" t="s">
        <v>1667</v>
      </c>
      <c r="D2378" s="6">
        <v>-463732</v>
      </c>
      <c r="E2378" s="6">
        <v>-227426</v>
      </c>
      <c r="F2378" s="7">
        <v>4.7519999999999998</v>
      </c>
      <c r="G2378" s="7">
        <v>5.1710000000000003</v>
      </c>
      <c r="H2378" s="7">
        <v>5.4589999999999996</v>
      </c>
      <c r="I2378" s="7">
        <v>4.7469999999999999</v>
      </c>
      <c r="J2378" s="7">
        <v>4.4820000000000002</v>
      </c>
      <c r="K2378" s="7">
        <v>3.8039999999999998</v>
      </c>
      <c r="L2378" s="7">
        <v>3.5790000000000002</v>
      </c>
      <c r="M2378" s="7">
        <v>3.754</v>
      </c>
      <c r="N2378" s="7">
        <v>4.6909999999999998</v>
      </c>
      <c r="O2378" s="7">
        <v>4.8760000000000003</v>
      </c>
      <c r="P2378" s="7">
        <v>5.3559999999999999</v>
      </c>
      <c r="Q2378" s="7">
        <v>5.4109999999999996</v>
      </c>
      <c r="R2378" s="7">
        <v>5.6879999999999997</v>
      </c>
      <c r="S2378" s="7">
        <f t="shared" si="37"/>
        <v>4.7515000000000001</v>
      </c>
    </row>
    <row r="2379" spans="1:19">
      <c r="A2379" s="5" t="str">
        <f>B2379&amp;"-"&amp;COUNTIF($B$2:B2379,B2379)</f>
        <v>MINAS GERAIS-813</v>
      </c>
      <c r="B2379" s="5" t="s">
        <v>1126</v>
      </c>
      <c r="C2379" s="5" t="s">
        <v>1668</v>
      </c>
      <c r="D2379" s="6">
        <v>-420231</v>
      </c>
      <c r="E2379" s="6">
        <v>-209091</v>
      </c>
      <c r="F2379" s="7">
        <v>4.8609999999999998</v>
      </c>
      <c r="G2379" s="7">
        <v>6.0170000000000003</v>
      </c>
      <c r="H2379" s="7">
        <v>6.202</v>
      </c>
      <c r="I2379" s="7">
        <v>5.0839999999999996</v>
      </c>
      <c r="J2379" s="7">
        <v>4.5259999999999998</v>
      </c>
      <c r="K2379" s="7">
        <v>3.8130000000000002</v>
      </c>
      <c r="L2379" s="7">
        <v>3.6709999999999998</v>
      </c>
      <c r="M2379" s="7">
        <v>3.8</v>
      </c>
      <c r="N2379" s="7">
        <v>4.5739999999999998</v>
      </c>
      <c r="O2379" s="7">
        <v>4.9370000000000003</v>
      </c>
      <c r="P2379" s="7">
        <v>5.1109999999999998</v>
      </c>
      <c r="Q2379" s="7">
        <v>4.8979999999999997</v>
      </c>
      <c r="R2379" s="7">
        <v>5.7009999999999996</v>
      </c>
      <c r="S2379" s="7">
        <f t="shared" si="37"/>
        <v>4.8611666666666666</v>
      </c>
    </row>
    <row r="2380" spans="1:19">
      <c r="A2380" s="5" t="str">
        <f>B2380&amp;"-"&amp;COUNTIF($B$2:B2380,B2380)</f>
        <v>MINAS GERAIS-814</v>
      </c>
      <c r="B2380" s="5" t="s">
        <v>1126</v>
      </c>
      <c r="C2380" s="5" t="s">
        <v>5437</v>
      </c>
      <c r="D2380" s="6">
        <v>-452515</v>
      </c>
      <c r="E2380" s="6">
        <v>-216926</v>
      </c>
      <c r="F2380" s="7">
        <v>4.8390000000000004</v>
      </c>
      <c r="G2380" s="7">
        <v>5.4630000000000001</v>
      </c>
      <c r="H2380" s="7">
        <v>5.6529999999999996</v>
      </c>
      <c r="I2380" s="7">
        <v>4.8470000000000004</v>
      </c>
      <c r="J2380" s="7">
        <v>4.6029999999999998</v>
      </c>
      <c r="K2380" s="7">
        <v>3.8980000000000001</v>
      </c>
      <c r="L2380" s="7">
        <v>3.657</v>
      </c>
      <c r="M2380" s="7">
        <v>3.903</v>
      </c>
      <c r="N2380" s="7">
        <v>4.7729999999999997</v>
      </c>
      <c r="O2380" s="7">
        <v>5.0339999999999998</v>
      </c>
      <c r="P2380" s="7">
        <v>5.3940000000000001</v>
      </c>
      <c r="Q2380" s="7">
        <v>5.2160000000000002</v>
      </c>
      <c r="R2380" s="7">
        <v>5.6239999999999997</v>
      </c>
      <c r="S2380" s="7">
        <f t="shared" si="37"/>
        <v>4.8387500000000001</v>
      </c>
    </row>
    <row r="2381" spans="1:19">
      <c r="A2381" s="5" t="str">
        <f>B2381&amp;"-"&amp;COUNTIF($B$2:B2381,B2381)</f>
        <v>MINAS GERAIS-815</v>
      </c>
      <c r="B2381" s="5" t="s">
        <v>1126</v>
      </c>
      <c r="C2381" s="5" t="s">
        <v>5294</v>
      </c>
      <c r="D2381" s="6">
        <v>-452285</v>
      </c>
      <c r="E2381" s="6">
        <v>-182022</v>
      </c>
      <c r="F2381" s="7">
        <v>5.492</v>
      </c>
      <c r="G2381" s="7">
        <v>6.0110000000000001</v>
      </c>
      <c r="H2381" s="7">
        <v>6.3019999999999996</v>
      </c>
      <c r="I2381" s="7">
        <v>5.468</v>
      </c>
      <c r="J2381" s="7">
        <v>5.2939999999999996</v>
      </c>
      <c r="K2381" s="7">
        <v>4.7750000000000004</v>
      </c>
      <c r="L2381" s="7">
        <v>4.4800000000000004</v>
      </c>
      <c r="M2381" s="7">
        <v>4.8470000000000004</v>
      </c>
      <c r="N2381" s="7">
        <v>5.5460000000000003</v>
      </c>
      <c r="O2381" s="7">
        <v>5.8570000000000002</v>
      </c>
      <c r="P2381" s="7">
        <v>5.8959999999999999</v>
      </c>
      <c r="Q2381" s="7">
        <v>5.5419999999999998</v>
      </c>
      <c r="R2381" s="7">
        <v>5.8890000000000002</v>
      </c>
      <c r="S2381" s="7">
        <f t="shared" si="37"/>
        <v>5.4922499999999994</v>
      </c>
    </row>
    <row r="2382" spans="1:19">
      <c r="A2382" s="5" t="str">
        <f>B2382&amp;"-"&amp;COUNTIF($B$2:B2382,B2382)</f>
        <v>MINAS GERAIS-816</v>
      </c>
      <c r="B2382" s="5" t="s">
        <v>1126</v>
      </c>
      <c r="C2382" s="5" t="s">
        <v>5295</v>
      </c>
      <c r="D2382" s="6">
        <v>-455113</v>
      </c>
      <c r="E2382" s="6">
        <v>-213699</v>
      </c>
      <c r="F2382" s="7">
        <v>4.891</v>
      </c>
      <c r="G2382" s="7">
        <v>5.5670000000000002</v>
      </c>
      <c r="H2382" s="7">
        <v>5.7350000000000003</v>
      </c>
      <c r="I2382" s="7">
        <v>4.851</v>
      </c>
      <c r="J2382" s="7">
        <v>4.5720000000000001</v>
      </c>
      <c r="K2382" s="7">
        <v>3.9870000000000001</v>
      </c>
      <c r="L2382" s="7">
        <v>3.7639999999999998</v>
      </c>
      <c r="M2382" s="7">
        <v>4.0289999999999999</v>
      </c>
      <c r="N2382" s="7">
        <v>4.9249999999999998</v>
      </c>
      <c r="O2382" s="7">
        <v>5.0999999999999996</v>
      </c>
      <c r="P2382" s="7">
        <v>5.3959999999999999</v>
      </c>
      <c r="Q2382" s="7">
        <v>5.194</v>
      </c>
      <c r="R2382" s="7">
        <v>5.5789999999999997</v>
      </c>
      <c r="S2382" s="7">
        <f t="shared" si="37"/>
        <v>4.8915833333333332</v>
      </c>
    </row>
    <row r="2383" spans="1:19">
      <c r="A2383" s="5" t="str">
        <f>B2383&amp;"-"&amp;COUNTIF($B$2:B2383,B2383)</f>
        <v>MINAS GERAIS-817</v>
      </c>
      <c r="B2383" s="5" t="s">
        <v>1126</v>
      </c>
      <c r="C2383" s="5" t="s">
        <v>1669</v>
      </c>
      <c r="D2383" s="6">
        <v>-41653</v>
      </c>
      <c r="E2383" s="6">
        <v>-189849</v>
      </c>
      <c r="F2383" s="7">
        <v>4.96</v>
      </c>
      <c r="G2383" s="7">
        <v>6.1829999999999998</v>
      </c>
      <c r="H2383" s="7">
        <v>6.2859999999999996</v>
      </c>
      <c r="I2383" s="7">
        <v>5.383</v>
      </c>
      <c r="J2383" s="7">
        <v>4.6920000000000002</v>
      </c>
      <c r="K2383" s="7">
        <v>3.9020000000000001</v>
      </c>
      <c r="L2383" s="7">
        <v>3.722</v>
      </c>
      <c r="M2383" s="7">
        <v>3.7890000000000001</v>
      </c>
      <c r="N2383" s="7">
        <v>4.4390000000000001</v>
      </c>
      <c r="O2383" s="7">
        <v>4.9480000000000004</v>
      </c>
      <c r="P2383" s="7">
        <v>5.2220000000000004</v>
      </c>
      <c r="Q2383" s="7">
        <v>5.0529999999999999</v>
      </c>
      <c r="R2383" s="7">
        <v>5.9050000000000002</v>
      </c>
      <c r="S2383" s="7">
        <f t="shared" si="37"/>
        <v>4.9603333333333337</v>
      </c>
    </row>
    <row r="2384" spans="1:19">
      <c r="A2384" s="5" t="str">
        <f>B2384&amp;"-"&amp;COUNTIF($B$2:B2384,B2384)</f>
        <v>MINAS GERAIS-818</v>
      </c>
      <c r="B2384" s="5" t="s">
        <v>1126</v>
      </c>
      <c r="C2384" s="5" t="s">
        <v>1670</v>
      </c>
      <c r="D2384" s="6">
        <v>-48705</v>
      </c>
      <c r="E2384" s="6">
        <v>-18593</v>
      </c>
      <c r="F2384" s="7">
        <v>5.2690000000000001</v>
      </c>
      <c r="G2384" s="7">
        <v>5.65</v>
      </c>
      <c r="H2384" s="7">
        <v>5.9039999999999999</v>
      </c>
      <c r="I2384" s="7">
        <v>5.1609999999999996</v>
      </c>
      <c r="J2384" s="7">
        <v>5.0389999999999997</v>
      </c>
      <c r="K2384" s="7">
        <v>4.5720000000000001</v>
      </c>
      <c r="L2384" s="7">
        <v>4.3390000000000004</v>
      </c>
      <c r="M2384" s="7">
        <v>4.54</v>
      </c>
      <c r="N2384" s="7">
        <v>5.4480000000000004</v>
      </c>
      <c r="O2384" s="7">
        <v>5.3579999999999997</v>
      </c>
      <c r="P2384" s="7">
        <v>5.6529999999999996</v>
      </c>
      <c r="Q2384" s="7">
        <v>5.6779999999999999</v>
      </c>
      <c r="R2384" s="7">
        <v>5.8819999999999997</v>
      </c>
      <c r="S2384" s="7">
        <f t="shared" si="37"/>
        <v>5.2686666666666655</v>
      </c>
    </row>
    <row r="2385" spans="1:19">
      <c r="A2385" s="5" t="str">
        <f>B2385&amp;"-"&amp;COUNTIF($B$2:B2385,B2385)</f>
        <v>MINAS GERAIS-819</v>
      </c>
      <c r="B2385" s="5" t="s">
        <v>1126</v>
      </c>
      <c r="C2385" s="5" t="s">
        <v>1671</v>
      </c>
      <c r="D2385" s="6">
        <v>-427288</v>
      </c>
      <c r="E2385" s="6">
        <v>-172833</v>
      </c>
      <c r="F2385" s="7">
        <v>5.125</v>
      </c>
      <c r="G2385" s="7">
        <v>6.08</v>
      </c>
      <c r="H2385" s="7">
        <v>6.343</v>
      </c>
      <c r="I2385" s="7">
        <v>5.3339999999999996</v>
      </c>
      <c r="J2385" s="7">
        <v>4.6719999999999997</v>
      </c>
      <c r="K2385" s="7">
        <v>4.07</v>
      </c>
      <c r="L2385" s="7">
        <v>3.94</v>
      </c>
      <c r="M2385" s="7">
        <v>4.1260000000000003</v>
      </c>
      <c r="N2385" s="7">
        <v>4.9139999999999997</v>
      </c>
      <c r="O2385" s="7">
        <v>5.415</v>
      </c>
      <c r="P2385" s="7">
        <v>5.5819999999999999</v>
      </c>
      <c r="Q2385" s="7">
        <v>5.1740000000000004</v>
      </c>
      <c r="R2385" s="7">
        <v>5.8470000000000004</v>
      </c>
      <c r="S2385" s="7">
        <f t="shared" si="37"/>
        <v>5.1247499999999997</v>
      </c>
    </row>
    <row r="2386" spans="1:19">
      <c r="A2386" s="5" t="str">
        <f>B2386&amp;"-"&amp;COUNTIF($B$2:B2386,B2386)</f>
        <v>MINAS GERAIS-820</v>
      </c>
      <c r="B2386" s="5" t="s">
        <v>1126</v>
      </c>
      <c r="C2386" s="5" t="s">
        <v>4979</v>
      </c>
      <c r="D2386" s="6">
        <v>-457863</v>
      </c>
      <c r="E2386" s="6">
        <v>-218738</v>
      </c>
      <c r="F2386" s="7">
        <v>4.8419999999999996</v>
      </c>
      <c r="G2386" s="7">
        <v>5.407</v>
      </c>
      <c r="H2386" s="7">
        <v>5.6989999999999998</v>
      </c>
      <c r="I2386" s="7">
        <v>4.8789999999999996</v>
      </c>
      <c r="J2386" s="7">
        <v>4.5519999999999996</v>
      </c>
      <c r="K2386" s="7">
        <v>3.9220000000000002</v>
      </c>
      <c r="L2386" s="7">
        <v>3.7029999999999998</v>
      </c>
      <c r="M2386" s="7">
        <v>3.91</v>
      </c>
      <c r="N2386" s="7">
        <v>4.8019999999999996</v>
      </c>
      <c r="O2386" s="7">
        <v>4.9790000000000001</v>
      </c>
      <c r="P2386" s="7">
        <v>5.3840000000000003</v>
      </c>
      <c r="Q2386" s="7">
        <v>5.2450000000000001</v>
      </c>
      <c r="R2386" s="7">
        <v>5.6260000000000003</v>
      </c>
      <c r="S2386" s="7">
        <f t="shared" si="37"/>
        <v>4.8423333333333334</v>
      </c>
    </row>
    <row r="2387" spans="1:19">
      <c r="A2387" s="5" t="str">
        <f>B2387&amp;"-"&amp;COUNTIF($B$2:B2387,B2387)</f>
        <v>MINAS GERAIS-821</v>
      </c>
      <c r="B2387" s="5" t="s">
        <v>1126</v>
      </c>
      <c r="C2387" s="5" t="s">
        <v>5615</v>
      </c>
      <c r="D2387" s="6">
        <v>-429363</v>
      </c>
      <c r="E2387" s="6">
        <v>-211209</v>
      </c>
      <c r="F2387" s="7">
        <v>4.7160000000000002</v>
      </c>
      <c r="G2387" s="7">
        <v>5.6319999999999997</v>
      </c>
      <c r="H2387" s="7">
        <v>5.992</v>
      </c>
      <c r="I2387" s="7">
        <v>4.931</v>
      </c>
      <c r="J2387" s="7">
        <v>4.3259999999999996</v>
      </c>
      <c r="K2387" s="7">
        <v>3.698</v>
      </c>
      <c r="L2387" s="7">
        <v>3.536</v>
      </c>
      <c r="M2387" s="7">
        <v>3.6930000000000001</v>
      </c>
      <c r="N2387" s="7">
        <v>4.5129999999999999</v>
      </c>
      <c r="O2387" s="7">
        <v>4.8099999999999996</v>
      </c>
      <c r="P2387" s="7">
        <v>5.069</v>
      </c>
      <c r="Q2387" s="7">
        <v>4.8179999999999996</v>
      </c>
      <c r="R2387" s="7">
        <v>5.5730000000000004</v>
      </c>
      <c r="S2387" s="7">
        <f t="shared" si="37"/>
        <v>4.7159166666666676</v>
      </c>
    </row>
    <row r="2388" spans="1:19">
      <c r="A2388" s="5" t="str">
        <f>B2388&amp;"-"&amp;COUNTIF($B$2:B2388,B2388)</f>
        <v>MINAS GERAIS-822</v>
      </c>
      <c r="B2388" s="5" t="s">
        <v>1126</v>
      </c>
      <c r="C2388" s="5" t="s">
        <v>1672</v>
      </c>
      <c r="D2388" s="6">
        <v>-447786</v>
      </c>
      <c r="E2388" s="6">
        <v>-16289</v>
      </c>
      <c r="F2388" s="7">
        <v>5.6609999999999996</v>
      </c>
      <c r="G2388" s="7">
        <v>6.2560000000000002</v>
      </c>
      <c r="H2388" s="7">
        <v>6.476</v>
      </c>
      <c r="I2388" s="7">
        <v>5.6050000000000004</v>
      </c>
      <c r="J2388" s="7">
        <v>5.5030000000000001</v>
      </c>
      <c r="K2388" s="7">
        <v>4.9429999999999996</v>
      </c>
      <c r="L2388" s="7">
        <v>4.6669999999999998</v>
      </c>
      <c r="M2388" s="7">
        <v>5.0030000000000001</v>
      </c>
      <c r="N2388" s="7">
        <v>5.85</v>
      </c>
      <c r="O2388" s="7">
        <v>5.976</v>
      </c>
      <c r="P2388" s="7">
        <v>6.0270000000000001</v>
      </c>
      <c r="Q2388" s="7">
        <v>5.492</v>
      </c>
      <c r="R2388" s="7">
        <v>6.1260000000000003</v>
      </c>
      <c r="S2388" s="7">
        <f t="shared" si="37"/>
        <v>5.6603333333333339</v>
      </c>
    </row>
    <row r="2389" spans="1:19">
      <c r="A2389" s="5" t="str">
        <f>B2389&amp;"-"&amp;COUNTIF($B$2:B2389,B2389)</f>
        <v>MINAS GERAIS-823</v>
      </c>
      <c r="B2389" s="5" t="s">
        <v>1126</v>
      </c>
      <c r="C2389" s="5" t="s">
        <v>1673</v>
      </c>
      <c r="D2389" s="6">
        <v>-421063</v>
      </c>
      <c r="E2389" s="6">
        <v>-196355</v>
      </c>
      <c r="F2389" s="7">
        <v>4.7380000000000004</v>
      </c>
      <c r="G2389" s="7">
        <v>5.7869999999999999</v>
      </c>
      <c r="H2389" s="7">
        <v>5.9249999999999998</v>
      </c>
      <c r="I2389" s="7">
        <v>5.0199999999999996</v>
      </c>
      <c r="J2389" s="7">
        <v>4.4820000000000002</v>
      </c>
      <c r="K2389" s="7">
        <v>3.77</v>
      </c>
      <c r="L2389" s="7">
        <v>3.581</v>
      </c>
      <c r="M2389" s="7">
        <v>3.754</v>
      </c>
      <c r="N2389" s="7">
        <v>4.4290000000000003</v>
      </c>
      <c r="O2389" s="7">
        <v>4.8140000000000001</v>
      </c>
      <c r="P2389" s="7">
        <v>4.9569999999999999</v>
      </c>
      <c r="Q2389" s="7">
        <v>4.7809999999999997</v>
      </c>
      <c r="R2389" s="7">
        <v>5.5590000000000002</v>
      </c>
      <c r="S2389" s="7">
        <f t="shared" si="37"/>
        <v>4.7382499999999999</v>
      </c>
    </row>
    <row r="2390" spans="1:19">
      <c r="A2390" s="5" t="str">
        <f>B2390&amp;"-"&amp;COUNTIF($B$2:B2390,B2390)</f>
        <v>MINAS GERAIS-824</v>
      </c>
      <c r="B2390" s="5" t="s">
        <v>1126</v>
      </c>
      <c r="C2390" s="5" t="s">
        <v>1674</v>
      </c>
      <c r="D2390" s="6">
        <v>-479385</v>
      </c>
      <c r="E2390" s="6">
        <v>-197477</v>
      </c>
      <c r="F2390" s="7">
        <v>5.1479999999999997</v>
      </c>
      <c r="G2390" s="7">
        <v>5.5590000000000002</v>
      </c>
      <c r="H2390" s="7">
        <v>5.8070000000000004</v>
      </c>
      <c r="I2390" s="7">
        <v>5.0289999999999999</v>
      </c>
      <c r="J2390" s="7">
        <v>4.9409999999999998</v>
      </c>
      <c r="K2390" s="7">
        <v>4.4020000000000001</v>
      </c>
      <c r="L2390" s="7">
        <v>4.1529999999999996</v>
      </c>
      <c r="M2390" s="7">
        <v>4.4459999999999997</v>
      </c>
      <c r="N2390" s="7">
        <v>5.3780000000000001</v>
      </c>
      <c r="O2390" s="7">
        <v>5.2119999999999997</v>
      </c>
      <c r="P2390" s="7">
        <v>5.5449999999999999</v>
      </c>
      <c r="Q2390" s="7">
        <v>5.5129999999999999</v>
      </c>
      <c r="R2390" s="7">
        <v>5.7859999999999996</v>
      </c>
      <c r="S2390" s="7">
        <f t="shared" si="37"/>
        <v>5.1475833333333325</v>
      </c>
    </row>
    <row r="2391" spans="1:19">
      <c r="A2391" s="5" t="str">
        <f>B2391&amp;"-"&amp;COUNTIF($B$2:B2391,B2391)</f>
        <v>MINAS GERAIS-825</v>
      </c>
      <c r="B2391" s="5" t="s">
        <v>1126</v>
      </c>
      <c r="C2391" s="5" t="s">
        <v>4980</v>
      </c>
      <c r="D2391" s="6">
        <v>-482753</v>
      </c>
      <c r="E2391" s="6">
        <v>-189146</v>
      </c>
      <c r="F2391" s="7">
        <v>5.2380000000000004</v>
      </c>
      <c r="G2391" s="7">
        <v>5.5490000000000004</v>
      </c>
      <c r="H2391" s="7">
        <v>5.8540000000000001</v>
      </c>
      <c r="I2391" s="7">
        <v>5.1120000000000001</v>
      </c>
      <c r="J2391" s="7">
        <v>5.024</v>
      </c>
      <c r="K2391" s="7">
        <v>4.5140000000000002</v>
      </c>
      <c r="L2391" s="7">
        <v>4.32</v>
      </c>
      <c r="M2391" s="7">
        <v>4.5469999999999997</v>
      </c>
      <c r="N2391" s="7">
        <v>5.4720000000000004</v>
      </c>
      <c r="O2391" s="7">
        <v>5.444</v>
      </c>
      <c r="P2391" s="7">
        <v>5.665</v>
      </c>
      <c r="Q2391" s="7">
        <v>5.5910000000000002</v>
      </c>
      <c r="R2391" s="7">
        <v>5.7679999999999998</v>
      </c>
      <c r="S2391" s="7">
        <f t="shared" si="37"/>
        <v>5.2383333333333342</v>
      </c>
    </row>
    <row r="2392" spans="1:19">
      <c r="A2392" s="5" t="str">
        <f>B2392&amp;"-"&amp;COUNTIF($B$2:B2392,B2392)</f>
        <v>MINAS GERAIS-826</v>
      </c>
      <c r="B2392" s="5" t="s">
        <v>1126</v>
      </c>
      <c r="C2392" s="5" t="s">
        <v>1675</v>
      </c>
      <c r="D2392" s="6">
        <v>-405783</v>
      </c>
      <c r="E2392" s="6">
        <v>-172553</v>
      </c>
      <c r="F2392" s="7">
        <v>4.9660000000000002</v>
      </c>
      <c r="G2392" s="7">
        <v>6.1210000000000004</v>
      </c>
      <c r="H2392" s="7">
        <v>6.29</v>
      </c>
      <c r="I2392" s="7">
        <v>5.4390000000000001</v>
      </c>
      <c r="J2392" s="7">
        <v>4.6630000000000003</v>
      </c>
      <c r="K2392" s="7">
        <v>3.8319999999999999</v>
      </c>
      <c r="L2392" s="7">
        <v>3.4649999999999999</v>
      </c>
      <c r="M2392" s="7">
        <v>3.6520000000000001</v>
      </c>
      <c r="N2392" s="7">
        <v>4.3310000000000004</v>
      </c>
      <c r="O2392" s="7">
        <v>5.0090000000000003</v>
      </c>
      <c r="P2392" s="7">
        <v>5.3159999999999998</v>
      </c>
      <c r="Q2392" s="7">
        <v>5.26</v>
      </c>
      <c r="R2392" s="7">
        <v>6.2119999999999997</v>
      </c>
      <c r="S2392" s="7">
        <f t="shared" si="37"/>
        <v>4.9658333333333333</v>
      </c>
    </row>
    <row r="2393" spans="1:19">
      <c r="A2393" s="5" t="str">
        <f>B2393&amp;"-"&amp;COUNTIF($B$2:B2393,B2393)</f>
        <v>MINAS GERAIS-827</v>
      </c>
      <c r="B2393" s="5" t="s">
        <v>1126</v>
      </c>
      <c r="C2393" s="5" t="s">
        <v>1676</v>
      </c>
      <c r="D2393" s="6">
        <v>-469025</v>
      </c>
      <c r="E2393" s="6">
        <v>-163597</v>
      </c>
      <c r="F2393" s="7">
        <v>5.5119999999999996</v>
      </c>
      <c r="G2393" s="7">
        <v>5.9169999999999998</v>
      </c>
      <c r="H2393" s="7">
        <v>6.1689999999999996</v>
      </c>
      <c r="I2393" s="7">
        <v>5.452</v>
      </c>
      <c r="J2393" s="7">
        <v>5.2960000000000003</v>
      </c>
      <c r="K2393" s="7">
        <v>4.8760000000000003</v>
      </c>
      <c r="L2393" s="7">
        <v>4.6890000000000001</v>
      </c>
      <c r="M2393" s="7">
        <v>5.0019999999999998</v>
      </c>
      <c r="N2393" s="7">
        <v>5.8680000000000003</v>
      </c>
      <c r="O2393" s="7">
        <v>5.819</v>
      </c>
      <c r="P2393" s="7">
        <v>5.8559999999999999</v>
      </c>
      <c r="Q2393" s="7">
        <v>5.3920000000000003</v>
      </c>
      <c r="R2393" s="7">
        <v>5.8090000000000002</v>
      </c>
      <c r="S2393" s="7">
        <f t="shared" si="37"/>
        <v>5.5120833333333339</v>
      </c>
    </row>
    <row r="2394" spans="1:19">
      <c r="A2394" s="5" t="str">
        <f>B2394&amp;"-"&amp;COUNTIF($B$2:B2394,B2394)</f>
        <v>MINAS GERAIS-828</v>
      </c>
      <c r="B2394" s="5" t="s">
        <v>1126</v>
      </c>
      <c r="C2394" s="5" t="s">
        <v>4044</v>
      </c>
      <c r="D2394" s="6">
        <v>-503359</v>
      </c>
      <c r="E2394" s="5" t="s">
        <v>1677</v>
      </c>
      <c r="F2394" s="7">
        <v>5.2359999999999998</v>
      </c>
      <c r="G2394" s="7">
        <v>5.8140000000000001</v>
      </c>
      <c r="H2394" s="7">
        <v>5.899</v>
      </c>
      <c r="I2394" s="7">
        <v>5.319</v>
      </c>
      <c r="J2394" s="7">
        <v>4.9779999999999998</v>
      </c>
      <c r="K2394" s="7">
        <v>4.3739999999999997</v>
      </c>
      <c r="L2394" s="7">
        <v>4.0949999999999998</v>
      </c>
      <c r="M2394" s="7">
        <v>4.3470000000000004</v>
      </c>
      <c r="N2394" s="7">
        <v>5.2039999999999997</v>
      </c>
      <c r="O2394" s="7">
        <v>5.1749999999999998</v>
      </c>
      <c r="P2394" s="7">
        <v>5.65</v>
      </c>
      <c r="Q2394" s="7">
        <v>5.8689999999999998</v>
      </c>
      <c r="R2394" s="7">
        <v>6.1109999999999998</v>
      </c>
      <c r="S2394" s="7">
        <f t="shared" si="37"/>
        <v>5.2362499999999992</v>
      </c>
    </row>
    <row r="2395" spans="1:19">
      <c r="A2395" s="5" t="str">
        <f>B2395&amp;"-"&amp;COUNTIF($B$2:B2395,B2395)</f>
        <v>MINAS GERAIS-829</v>
      </c>
      <c r="B2395" s="5" t="s">
        <v>1126</v>
      </c>
      <c r="C2395" s="5" t="s">
        <v>1678</v>
      </c>
      <c r="D2395" s="6">
        <v>-462565</v>
      </c>
      <c r="E2395" s="6">
        <v>-160603</v>
      </c>
      <c r="F2395" s="7">
        <v>5.5910000000000002</v>
      </c>
      <c r="G2395" s="7">
        <v>6.0609999999999999</v>
      </c>
      <c r="H2395" s="7">
        <v>6.367</v>
      </c>
      <c r="I2395" s="7">
        <v>5.4859999999999998</v>
      </c>
      <c r="J2395" s="7">
        <v>5.4660000000000002</v>
      </c>
      <c r="K2395" s="7">
        <v>4.9989999999999997</v>
      </c>
      <c r="L2395" s="7">
        <v>4.7149999999999999</v>
      </c>
      <c r="M2395" s="7">
        <v>5.0979999999999999</v>
      </c>
      <c r="N2395" s="7">
        <v>5.8659999999999997</v>
      </c>
      <c r="O2395" s="7">
        <v>5.9180000000000001</v>
      </c>
      <c r="P2395" s="7">
        <v>5.9279999999999999</v>
      </c>
      <c r="Q2395" s="7">
        <v>5.3040000000000003</v>
      </c>
      <c r="R2395" s="7">
        <v>5.8849999999999998</v>
      </c>
      <c r="S2395" s="7">
        <f t="shared" si="37"/>
        <v>5.5910833333333336</v>
      </c>
    </row>
    <row r="2396" spans="1:19">
      <c r="A2396" s="5" t="str">
        <f>B2396&amp;"-"&amp;COUNTIF($B$2:B2396,B2396)</f>
        <v>MINAS GERAIS-830</v>
      </c>
      <c r="B2396" s="5" t="s">
        <v>1126</v>
      </c>
      <c r="C2396" s="5" t="s">
        <v>4981</v>
      </c>
      <c r="D2396" s="6">
        <v>-427374</v>
      </c>
      <c r="E2396" s="6">
        <v>-203526</v>
      </c>
      <c r="F2396" s="7">
        <v>4.8109999999999999</v>
      </c>
      <c r="G2396" s="7">
        <v>5.7190000000000003</v>
      </c>
      <c r="H2396" s="7">
        <v>6.0579999999999998</v>
      </c>
      <c r="I2396" s="7">
        <v>5.0289999999999999</v>
      </c>
      <c r="J2396" s="7">
        <v>4.484</v>
      </c>
      <c r="K2396" s="7">
        <v>3.851</v>
      </c>
      <c r="L2396" s="7">
        <v>3.62</v>
      </c>
      <c r="M2396" s="7">
        <v>3.8490000000000002</v>
      </c>
      <c r="N2396" s="7">
        <v>4.6219999999999999</v>
      </c>
      <c r="O2396" s="7">
        <v>4.9089999999999998</v>
      </c>
      <c r="P2396" s="7">
        <v>5.1260000000000003</v>
      </c>
      <c r="Q2396" s="7">
        <v>4.867</v>
      </c>
      <c r="R2396" s="7">
        <v>5.5949999999999998</v>
      </c>
      <c r="S2396" s="7">
        <f t="shared" si="37"/>
        <v>4.8107499999999996</v>
      </c>
    </row>
    <row r="2397" spans="1:19">
      <c r="A2397" s="5" t="str">
        <f>B2397&amp;"-"&amp;COUNTIF($B$2:B2397,B2397)</f>
        <v>MINAS GERAIS-831</v>
      </c>
      <c r="B2397" s="5" t="s">
        <v>1126</v>
      </c>
      <c r="C2397" s="5" t="s">
        <v>1679</v>
      </c>
      <c r="D2397" s="6">
        <v>-45741</v>
      </c>
      <c r="E2397" s="6">
        <v>-161245</v>
      </c>
      <c r="F2397" s="7">
        <v>5.6719999999999997</v>
      </c>
      <c r="G2397" s="7">
        <v>6.2530000000000001</v>
      </c>
      <c r="H2397" s="7">
        <v>6.4210000000000003</v>
      </c>
      <c r="I2397" s="7">
        <v>5.54</v>
      </c>
      <c r="J2397" s="7">
        <v>5.5049999999999999</v>
      </c>
      <c r="K2397" s="7">
        <v>5.0339999999999998</v>
      </c>
      <c r="L2397" s="7">
        <v>4.7569999999999997</v>
      </c>
      <c r="M2397" s="7">
        <v>5.1319999999999997</v>
      </c>
      <c r="N2397" s="7">
        <v>5.98</v>
      </c>
      <c r="O2397" s="7">
        <v>5.9790000000000001</v>
      </c>
      <c r="P2397" s="7">
        <v>6.0149999999999997</v>
      </c>
      <c r="Q2397" s="7">
        <v>5.4509999999999996</v>
      </c>
      <c r="R2397" s="7">
        <v>5.9930000000000003</v>
      </c>
      <c r="S2397" s="7">
        <f t="shared" si="37"/>
        <v>5.6716666666666669</v>
      </c>
    </row>
    <row r="2398" spans="1:19">
      <c r="A2398" s="5" t="str">
        <f>B2398&amp;"-"&amp;COUNTIF($B$2:B2398,B2398)</f>
        <v>MINAS GERAIS-832</v>
      </c>
      <c r="B2398" s="5" t="s">
        <v>1126</v>
      </c>
      <c r="C2398" s="5" t="s">
        <v>5616</v>
      </c>
      <c r="D2398" s="6">
        <v>-44731</v>
      </c>
      <c r="E2398" s="6">
        <v>-17598</v>
      </c>
      <c r="F2398" s="7">
        <v>5.5910000000000002</v>
      </c>
      <c r="G2398" s="7">
        <v>6.1980000000000004</v>
      </c>
      <c r="H2398" s="7">
        <v>6.4729999999999999</v>
      </c>
      <c r="I2398" s="7">
        <v>5.548</v>
      </c>
      <c r="J2398" s="7">
        <v>5.38</v>
      </c>
      <c r="K2398" s="7">
        <v>4.8019999999999996</v>
      </c>
      <c r="L2398" s="7">
        <v>4.5179999999999998</v>
      </c>
      <c r="M2398" s="7">
        <v>4.8659999999999997</v>
      </c>
      <c r="N2398" s="7">
        <v>5.5949999999999998</v>
      </c>
      <c r="O2398" s="7">
        <v>6.0430000000000001</v>
      </c>
      <c r="P2398" s="7">
        <v>6.03</v>
      </c>
      <c r="Q2398" s="7">
        <v>5.6349999999999998</v>
      </c>
      <c r="R2398" s="7">
        <v>6.0060000000000002</v>
      </c>
      <c r="S2398" s="7">
        <f t="shared" si="37"/>
        <v>5.5911666666666662</v>
      </c>
    </row>
    <row r="2399" spans="1:19">
      <c r="A2399" s="5" t="str">
        <f>B2399&amp;"-"&amp;COUNTIF($B$2:B2399,B2399)</f>
        <v>MINAS GERAIS-833</v>
      </c>
      <c r="B2399" s="5" t="s">
        <v>1126</v>
      </c>
      <c r="C2399" s="5" t="s">
        <v>1680</v>
      </c>
      <c r="D2399" s="6">
        <v>-422953</v>
      </c>
      <c r="E2399" s="6">
        <v>-195992</v>
      </c>
      <c r="F2399" s="7">
        <v>4.7460000000000004</v>
      </c>
      <c r="G2399" s="7">
        <v>5.7859999999999996</v>
      </c>
      <c r="H2399" s="7">
        <v>5.9139999999999997</v>
      </c>
      <c r="I2399" s="7">
        <v>5.0140000000000002</v>
      </c>
      <c r="J2399" s="7">
        <v>4.4800000000000004</v>
      </c>
      <c r="K2399" s="7">
        <v>3.8109999999999999</v>
      </c>
      <c r="L2399" s="7">
        <v>3.597</v>
      </c>
      <c r="M2399" s="7">
        <v>3.76</v>
      </c>
      <c r="N2399" s="7">
        <v>4.4370000000000003</v>
      </c>
      <c r="O2399" s="7">
        <v>4.8220000000000001</v>
      </c>
      <c r="P2399" s="7">
        <v>4.9610000000000003</v>
      </c>
      <c r="Q2399" s="7">
        <v>4.7839999999999998</v>
      </c>
      <c r="R2399" s="7">
        <v>5.5880000000000001</v>
      </c>
      <c r="S2399" s="7">
        <f t="shared" si="37"/>
        <v>4.7461666666666664</v>
      </c>
    </row>
    <row r="2400" spans="1:19">
      <c r="A2400" s="5" t="str">
        <f>B2400&amp;"-"&amp;COUNTIF($B$2:B2400,B2400)</f>
        <v>MINAS GERAIS-834</v>
      </c>
      <c r="B2400" s="5" t="s">
        <v>1126</v>
      </c>
      <c r="C2400" s="5" t="s">
        <v>1681</v>
      </c>
      <c r="D2400" s="6">
        <v>-463692</v>
      </c>
      <c r="E2400" s="6">
        <v>-203337</v>
      </c>
      <c r="F2400" s="7">
        <v>4.9359999999999999</v>
      </c>
      <c r="G2400" s="7">
        <v>5.407</v>
      </c>
      <c r="H2400" s="7">
        <v>5.7779999999999996</v>
      </c>
      <c r="I2400" s="7">
        <v>4.6879999999999997</v>
      </c>
      <c r="J2400" s="7">
        <v>4.6920000000000002</v>
      </c>
      <c r="K2400" s="7">
        <v>4.2249999999999996</v>
      </c>
      <c r="L2400" s="7">
        <v>4.0350000000000001</v>
      </c>
      <c r="M2400" s="7">
        <v>4.3120000000000003</v>
      </c>
      <c r="N2400" s="7">
        <v>5.2930000000000001</v>
      </c>
      <c r="O2400" s="7">
        <v>5.2610000000000001</v>
      </c>
      <c r="P2400" s="7">
        <v>5.3440000000000003</v>
      </c>
      <c r="Q2400" s="7">
        <v>4.92</v>
      </c>
      <c r="R2400" s="7">
        <v>5.2789999999999999</v>
      </c>
      <c r="S2400" s="7">
        <f t="shared" si="37"/>
        <v>4.9361666666666677</v>
      </c>
    </row>
    <row r="2401" spans="1:19">
      <c r="A2401" s="5" t="str">
        <f>B2401&amp;"-"&amp;COUNTIF($B$2:B2401,B2401)</f>
        <v>MINAS GERAIS-835</v>
      </c>
      <c r="B2401" s="5" t="s">
        <v>1126</v>
      </c>
      <c r="C2401" s="5" t="s">
        <v>1682</v>
      </c>
      <c r="D2401" s="6">
        <v>-423096</v>
      </c>
      <c r="E2401" s="6">
        <v>-154016</v>
      </c>
      <c r="F2401" s="7">
        <v>5.2480000000000002</v>
      </c>
      <c r="G2401" s="7">
        <v>6.0030000000000001</v>
      </c>
      <c r="H2401" s="7">
        <v>6.2919999999999998</v>
      </c>
      <c r="I2401" s="7">
        <v>5.4809999999999999</v>
      </c>
      <c r="J2401" s="7">
        <v>4.8019999999999996</v>
      </c>
      <c r="K2401" s="7">
        <v>4.24</v>
      </c>
      <c r="L2401" s="7">
        <v>3.9279999999999999</v>
      </c>
      <c r="M2401" s="7">
        <v>4.2519999999999998</v>
      </c>
      <c r="N2401" s="7">
        <v>4.9809999999999999</v>
      </c>
      <c r="O2401" s="7">
        <v>5.7770000000000001</v>
      </c>
      <c r="P2401" s="7">
        <v>5.7729999999999997</v>
      </c>
      <c r="Q2401" s="7">
        <v>5.3440000000000003</v>
      </c>
      <c r="R2401" s="7">
        <v>6.1059999999999999</v>
      </c>
      <c r="S2401" s="7">
        <f t="shared" si="37"/>
        <v>5.2482499999999996</v>
      </c>
    </row>
    <row r="2402" spans="1:19">
      <c r="A2402" s="5" t="str">
        <f>B2402&amp;"-"&amp;COUNTIF($B$2:B2402,B2402)</f>
        <v>MINAS GERAIS-836</v>
      </c>
      <c r="B2402" s="5" t="s">
        <v>1126</v>
      </c>
      <c r="C2402" s="5" t="s">
        <v>1683</v>
      </c>
      <c r="D2402" s="6">
        <v>-454368</v>
      </c>
      <c r="E2402" s="6">
        <v>-215561</v>
      </c>
      <c r="F2402" s="7">
        <v>4.8689999999999998</v>
      </c>
      <c r="G2402" s="7">
        <v>5.484</v>
      </c>
      <c r="H2402" s="7">
        <v>5.7069999999999999</v>
      </c>
      <c r="I2402" s="7">
        <v>4.8860000000000001</v>
      </c>
      <c r="J2402" s="7">
        <v>4.6070000000000002</v>
      </c>
      <c r="K2402" s="7">
        <v>3.9350000000000001</v>
      </c>
      <c r="L2402" s="7">
        <v>3.698</v>
      </c>
      <c r="M2402" s="7">
        <v>3.9710000000000001</v>
      </c>
      <c r="N2402" s="7">
        <v>4.8310000000000004</v>
      </c>
      <c r="O2402" s="7">
        <v>5.0540000000000003</v>
      </c>
      <c r="P2402" s="7">
        <v>5.3869999999999996</v>
      </c>
      <c r="Q2402" s="7">
        <v>5.2060000000000004</v>
      </c>
      <c r="R2402" s="7">
        <v>5.665</v>
      </c>
      <c r="S2402" s="7">
        <f t="shared" si="37"/>
        <v>4.8692500000000001</v>
      </c>
    </row>
    <row r="2403" spans="1:19">
      <c r="A2403" s="5" t="str">
        <f>B2403&amp;"-"&amp;COUNTIF($B$2:B2403,B2403)</f>
        <v>MINAS GERAIS-837</v>
      </c>
      <c r="B2403" s="5" t="s">
        <v>1126</v>
      </c>
      <c r="C2403" s="5" t="s">
        <v>4045</v>
      </c>
      <c r="D2403" s="6">
        <v>-46031</v>
      </c>
      <c r="E2403" s="6">
        <v>-183786</v>
      </c>
      <c r="F2403" s="7">
        <v>5.383</v>
      </c>
      <c r="G2403" s="7">
        <v>5.9329999999999998</v>
      </c>
      <c r="H2403" s="7">
        <v>6.101</v>
      </c>
      <c r="I2403" s="7">
        <v>5.19</v>
      </c>
      <c r="J2403" s="7">
        <v>5.077</v>
      </c>
      <c r="K2403" s="7">
        <v>4.7069999999999999</v>
      </c>
      <c r="L2403" s="7">
        <v>4.508</v>
      </c>
      <c r="M2403" s="7">
        <v>4.8220000000000001</v>
      </c>
      <c r="N2403" s="7">
        <v>5.6929999999999996</v>
      </c>
      <c r="O2403" s="7">
        <v>5.8170000000000002</v>
      </c>
      <c r="P2403" s="7">
        <v>5.6749999999999998</v>
      </c>
      <c r="Q2403" s="7">
        <v>5.3390000000000004</v>
      </c>
      <c r="R2403" s="7">
        <v>5.7359999999999998</v>
      </c>
      <c r="S2403" s="7">
        <f t="shared" si="37"/>
        <v>5.3831666666666669</v>
      </c>
    </row>
    <row r="2404" spans="1:19">
      <c r="A2404" s="5" t="str">
        <f>B2404&amp;"-"&amp;COUNTIF($B$2:B2404,B2404)</f>
        <v>MINAS GERAIS-838</v>
      </c>
      <c r="B2404" s="5" t="s">
        <v>1126</v>
      </c>
      <c r="C2404" s="5" t="s">
        <v>4982</v>
      </c>
      <c r="D2404" s="6">
        <v>-440297</v>
      </c>
      <c r="E2404" s="6">
        <v>-157039</v>
      </c>
      <c r="F2404" s="7">
        <v>5.7409999999999997</v>
      </c>
      <c r="G2404" s="7">
        <v>6.3789999999999996</v>
      </c>
      <c r="H2404" s="7">
        <v>6.6929999999999996</v>
      </c>
      <c r="I2404" s="7">
        <v>5.7460000000000004</v>
      </c>
      <c r="J2404" s="7">
        <v>5.585</v>
      </c>
      <c r="K2404" s="7">
        <v>4.9829999999999997</v>
      </c>
      <c r="L2404" s="7">
        <v>4.7</v>
      </c>
      <c r="M2404" s="7">
        <v>5.0439999999999996</v>
      </c>
      <c r="N2404" s="7">
        <v>5.7809999999999997</v>
      </c>
      <c r="O2404" s="7">
        <v>6.1079999999999997</v>
      </c>
      <c r="P2404" s="7">
        <v>6.0949999999999998</v>
      </c>
      <c r="Q2404" s="7">
        <v>5.5670000000000002</v>
      </c>
      <c r="R2404" s="7">
        <v>6.2089999999999996</v>
      </c>
      <c r="S2404" s="7">
        <f t="shared" si="37"/>
        <v>5.7408333333333319</v>
      </c>
    </row>
    <row r="2405" spans="1:19">
      <c r="A2405" s="5" t="str">
        <f>B2405&amp;"-"&amp;COUNTIF($B$2:B2405,B2405)</f>
        <v>MINAS GERAIS-839</v>
      </c>
      <c r="B2405" s="5" t="s">
        <v>1126</v>
      </c>
      <c r="C2405" s="5" t="s">
        <v>1684</v>
      </c>
      <c r="D2405" s="6">
        <v>-469008</v>
      </c>
      <c r="E2405" s="6">
        <v>-179902</v>
      </c>
      <c r="F2405" s="7">
        <v>5.3879999999999999</v>
      </c>
      <c r="G2405" s="7">
        <v>5.8380000000000001</v>
      </c>
      <c r="H2405" s="7">
        <v>6.056</v>
      </c>
      <c r="I2405" s="7">
        <v>5.1749999999999998</v>
      </c>
      <c r="J2405" s="7">
        <v>5.16</v>
      </c>
      <c r="K2405" s="7">
        <v>4.7539999999999996</v>
      </c>
      <c r="L2405" s="7">
        <v>4.4880000000000004</v>
      </c>
      <c r="M2405" s="7">
        <v>4.8570000000000002</v>
      </c>
      <c r="N2405" s="7">
        <v>5.68</v>
      </c>
      <c r="O2405" s="7">
        <v>5.7380000000000004</v>
      </c>
      <c r="P2405" s="7">
        <v>5.81</v>
      </c>
      <c r="Q2405" s="7">
        <v>5.4080000000000004</v>
      </c>
      <c r="R2405" s="7">
        <v>5.6970000000000001</v>
      </c>
      <c r="S2405" s="7">
        <f t="shared" si="37"/>
        <v>5.3884166666666671</v>
      </c>
    </row>
    <row r="2406" spans="1:19">
      <c r="A2406" s="5" t="str">
        <f>B2406&amp;"-"&amp;COUNTIF($B$2:B2406,B2406)</f>
        <v>MINAS GERAIS-840</v>
      </c>
      <c r="B2406" s="5" t="s">
        <v>1126</v>
      </c>
      <c r="C2406" s="5" t="s">
        <v>1685</v>
      </c>
      <c r="D2406" s="6">
        <v>-48308</v>
      </c>
      <c r="E2406" s="6">
        <v>-19663</v>
      </c>
      <c r="F2406" s="7">
        <v>5.1859999999999999</v>
      </c>
      <c r="G2406" s="7">
        <v>5.6130000000000004</v>
      </c>
      <c r="H2406" s="7">
        <v>5.8579999999999997</v>
      </c>
      <c r="I2406" s="7">
        <v>5.1680000000000001</v>
      </c>
      <c r="J2406" s="7">
        <v>5.0010000000000003</v>
      </c>
      <c r="K2406" s="7">
        <v>4.4059999999999997</v>
      </c>
      <c r="L2406" s="7">
        <v>4.1660000000000004</v>
      </c>
      <c r="M2406" s="7">
        <v>4.4169999999999998</v>
      </c>
      <c r="N2406" s="7">
        <v>5.351</v>
      </c>
      <c r="O2406" s="7">
        <v>5.1879999999999997</v>
      </c>
      <c r="P2406" s="7">
        <v>5.5460000000000003</v>
      </c>
      <c r="Q2406" s="7">
        <v>5.6440000000000001</v>
      </c>
      <c r="R2406" s="7">
        <v>5.867</v>
      </c>
      <c r="S2406" s="7">
        <f t="shared" si="37"/>
        <v>5.1854166666666659</v>
      </c>
    </row>
    <row r="2407" spans="1:19">
      <c r="A2407" s="5" t="str">
        <f>B2407&amp;"-"&amp;COUNTIF($B$2:B2407,B2407)</f>
        <v>MINAS GERAIS-841</v>
      </c>
      <c r="B2407" s="5" t="s">
        <v>1126</v>
      </c>
      <c r="C2407" s="5" t="s">
        <v>4983</v>
      </c>
      <c r="D2407" s="6">
        <v>-43607</v>
      </c>
      <c r="E2407" s="6">
        <v>-155927</v>
      </c>
      <c r="F2407" s="7">
        <v>5.742</v>
      </c>
      <c r="G2407" s="7">
        <v>6.58</v>
      </c>
      <c r="H2407" s="7">
        <v>6.7610000000000001</v>
      </c>
      <c r="I2407" s="7">
        <v>5.827</v>
      </c>
      <c r="J2407" s="7">
        <v>5.5129999999999999</v>
      </c>
      <c r="K2407" s="7">
        <v>4.8959999999999999</v>
      </c>
      <c r="L2407" s="7">
        <v>4.6109999999999998</v>
      </c>
      <c r="M2407" s="7">
        <v>4.9569999999999999</v>
      </c>
      <c r="N2407" s="7">
        <v>5.6440000000000001</v>
      </c>
      <c r="O2407" s="7">
        <v>5.93</v>
      </c>
      <c r="P2407" s="7">
        <v>6.1029999999999998</v>
      </c>
      <c r="Q2407" s="7">
        <v>5.7380000000000004</v>
      </c>
      <c r="R2407" s="7">
        <v>6.3479999999999999</v>
      </c>
      <c r="S2407" s="7">
        <f t="shared" si="37"/>
        <v>5.7423333333333337</v>
      </c>
    </row>
    <row r="2408" spans="1:19">
      <c r="A2408" s="5" t="str">
        <f>B2408&amp;"-"&amp;COUNTIF($B$2:B2408,B2408)</f>
        <v>MINAS GERAIS-842</v>
      </c>
      <c r="B2408" s="5" t="s">
        <v>1126</v>
      </c>
      <c r="C2408" s="5" t="s">
        <v>1686</v>
      </c>
      <c r="D2408" s="6">
        <v>-427311</v>
      </c>
      <c r="E2408" s="6">
        <v>-173978</v>
      </c>
      <c r="F2408" s="7">
        <v>5.0830000000000002</v>
      </c>
      <c r="G2408" s="7">
        <v>6.0350000000000001</v>
      </c>
      <c r="H2408" s="7">
        <v>6.274</v>
      </c>
      <c r="I2408" s="7">
        <v>5.2489999999999997</v>
      </c>
      <c r="J2408" s="7">
        <v>4.63</v>
      </c>
      <c r="K2408" s="7">
        <v>4.05</v>
      </c>
      <c r="L2408" s="7">
        <v>3.9289999999999998</v>
      </c>
      <c r="M2408" s="7">
        <v>4.1130000000000004</v>
      </c>
      <c r="N2408" s="7">
        <v>4.8929999999999998</v>
      </c>
      <c r="O2408" s="7">
        <v>5.38</v>
      </c>
      <c r="P2408" s="7">
        <v>5.5229999999999997</v>
      </c>
      <c r="Q2408" s="7">
        <v>5.1120000000000001</v>
      </c>
      <c r="R2408" s="7">
        <v>5.8079999999999998</v>
      </c>
      <c r="S2408" s="7">
        <f t="shared" si="37"/>
        <v>5.0830000000000011</v>
      </c>
    </row>
    <row r="2409" spans="1:19">
      <c r="A2409" s="5" t="str">
        <f>B2409&amp;"-"&amp;COUNTIF($B$2:B2409,B2409)</f>
        <v>MINAS GERAIS-843</v>
      </c>
      <c r="B2409" s="5" t="s">
        <v>1126</v>
      </c>
      <c r="C2409" s="5" t="s">
        <v>1687</v>
      </c>
      <c r="D2409" s="6">
        <v>-422692</v>
      </c>
      <c r="E2409" s="6">
        <v>-200411</v>
      </c>
      <c r="F2409" s="7">
        <v>4.7779999999999996</v>
      </c>
      <c r="G2409" s="7">
        <v>5.7530000000000001</v>
      </c>
      <c r="H2409" s="7">
        <v>5.9470000000000001</v>
      </c>
      <c r="I2409" s="7">
        <v>4.9359999999999999</v>
      </c>
      <c r="J2409" s="7">
        <v>4.49</v>
      </c>
      <c r="K2409" s="7">
        <v>3.8279999999999998</v>
      </c>
      <c r="L2409" s="7">
        <v>3.6819999999999999</v>
      </c>
      <c r="M2409" s="7">
        <v>3.7989999999999999</v>
      </c>
      <c r="N2409" s="7">
        <v>4.53</v>
      </c>
      <c r="O2409" s="7">
        <v>4.91</v>
      </c>
      <c r="P2409" s="7">
        <v>5.0199999999999996</v>
      </c>
      <c r="Q2409" s="7">
        <v>4.8310000000000004</v>
      </c>
      <c r="R2409" s="7">
        <v>5.61</v>
      </c>
      <c r="S2409" s="7">
        <f t="shared" si="37"/>
        <v>4.7779999999999996</v>
      </c>
    </row>
    <row r="2410" spans="1:19">
      <c r="A2410" s="5" t="str">
        <f>B2410&amp;"-"&amp;COUNTIF($B$2:B2410,B2410)</f>
        <v>MINAS GERAIS-844</v>
      </c>
      <c r="B2410" s="5" t="s">
        <v>1126</v>
      </c>
      <c r="C2410" s="5" t="s">
        <v>1688</v>
      </c>
      <c r="D2410" s="6">
        <v>-439243</v>
      </c>
      <c r="E2410" s="6">
        <v>-196888</v>
      </c>
      <c r="F2410" s="7">
        <v>5.1989999999999998</v>
      </c>
      <c r="G2410" s="7">
        <v>5.8449999999999998</v>
      </c>
      <c r="H2410" s="7">
        <v>6.0759999999999996</v>
      </c>
      <c r="I2410" s="7">
        <v>5.2930000000000001</v>
      </c>
      <c r="J2410" s="7">
        <v>4.8860000000000001</v>
      </c>
      <c r="K2410" s="7">
        <v>4.2969999999999997</v>
      </c>
      <c r="L2410" s="7">
        <v>4.0869999999999997</v>
      </c>
      <c r="M2410" s="7">
        <v>4.3650000000000002</v>
      </c>
      <c r="N2410" s="7">
        <v>5.194</v>
      </c>
      <c r="O2410" s="7">
        <v>5.5609999999999999</v>
      </c>
      <c r="P2410" s="7">
        <v>5.6289999999999996</v>
      </c>
      <c r="Q2410" s="7">
        <v>5.444</v>
      </c>
      <c r="R2410" s="7">
        <v>5.71</v>
      </c>
      <c r="S2410" s="7">
        <f t="shared" si="37"/>
        <v>5.1989166666666664</v>
      </c>
    </row>
    <row r="2411" spans="1:19">
      <c r="A2411" s="5" t="str">
        <f>B2411&amp;"-"&amp;COUNTIF($B$2:B2411,B2411)</f>
        <v>MINAS GERAIS-845</v>
      </c>
      <c r="B2411" s="5" t="s">
        <v>1126</v>
      </c>
      <c r="C2411" s="5" t="s">
        <v>201</v>
      </c>
      <c r="D2411" s="6">
        <v>-428745</v>
      </c>
      <c r="E2411" s="6">
        <v>-207564</v>
      </c>
      <c r="F2411" s="7">
        <v>4.72</v>
      </c>
      <c r="G2411" s="7">
        <v>5.5979999999999999</v>
      </c>
      <c r="H2411" s="7">
        <v>5.9</v>
      </c>
      <c r="I2411" s="7">
        <v>4.931</v>
      </c>
      <c r="J2411" s="7">
        <v>4.37</v>
      </c>
      <c r="K2411" s="7">
        <v>3.7269999999999999</v>
      </c>
      <c r="L2411" s="7">
        <v>3.5379999999999998</v>
      </c>
      <c r="M2411" s="7">
        <v>3.7570000000000001</v>
      </c>
      <c r="N2411" s="7">
        <v>4.5720000000000001</v>
      </c>
      <c r="O2411" s="7">
        <v>4.8520000000000003</v>
      </c>
      <c r="P2411" s="7">
        <v>5.0629999999999997</v>
      </c>
      <c r="Q2411" s="7">
        <v>4.8159999999999998</v>
      </c>
      <c r="R2411" s="7">
        <v>5.5170000000000003</v>
      </c>
      <c r="S2411" s="7">
        <f t="shared" si="37"/>
        <v>4.7200833333333341</v>
      </c>
    </row>
    <row r="2412" spans="1:19">
      <c r="A2412" s="5" t="str">
        <f>B2412&amp;"-"&amp;COUNTIF($B$2:B2412,B2412)</f>
        <v>MINAS GERAIS-846</v>
      </c>
      <c r="B2412" s="5" t="s">
        <v>1126</v>
      </c>
      <c r="C2412" s="5" t="s">
        <v>1689</v>
      </c>
      <c r="D2412" s="6">
        <v>-422404</v>
      </c>
      <c r="E2412" s="6">
        <v>-208675</v>
      </c>
      <c r="F2412" s="7">
        <v>4.7699999999999996</v>
      </c>
      <c r="G2412" s="7">
        <v>5.8310000000000004</v>
      </c>
      <c r="H2412" s="7">
        <v>5.98</v>
      </c>
      <c r="I2412" s="7">
        <v>4.9669999999999996</v>
      </c>
      <c r="J2412" s="7">
        <v>4.3819999999999997</v>
      </c>
      <c r="K2412" s="7">
        <v>3.7989999999999999</v>
      </c>
      <c r="L2412" s="7">
        <v>3.6360000000000001</v>
      </c>
      <c r="M2412" s="7">
        <v>3.7480000000000002</v>
      </c>
      <c r="N2412" s="7">
        <v>4.5890000000000004</v>
      </c>
      <c r="O2412" s="7">
        <v>4.9329999999999998</v>
      </c>
      <c r="P2412" s="7">
        <v>5.024</v>
      </c>
      <c r="Q2412" s="7">
        <v>4.7969999999999997</v>
      </c>
      <c r="R2412" s="7">
        <v>5.5590000000000002</v>
      </c>
      <c r="S2412" s="7">
        <f t="shared" si="37"/>
        <v>4.7704166666666659</v>
      </c>
    </row>
    <row r="2413" spans="1:19">
      <c r="A2413" s="5" t="str">
        <f>B2413&amp;"-"&amp;COUNTIF($B$2:B2413,B2413)</f>
        <v>MINAS GERAIS-847</v>
      </c>
      <c r="B2413" s="5" t="s">
        <v>1126</v>
      </c>
      <c r="C2413" s="5" t="s">
        <v>1690</v>
      </c>
      <c r="D2413" s="6">
        <v>-450968</v>
      </c>
      <c r="E2413" s="6">
        <v>-223269</v>
      </c>
      <c r="F2413" s="7">
        <v>4.82</v>
      </c>
      <c r="G2413" s="7">
        <v>5.298</v>
      </c>
      <c r="H2413" s="7">
        <v>5.6989999999999998</v>
      </c>
      <c r="I2413" s="7">
        <v>4.8959999999999999</v>
      </c>
      <c r="J2413" s="7">
        <v>4.5579999999999998</v>
      </c>
      <c r="K2413" s="7">
        <v>3.9089999999999998</v>
      </c>
      <c r="L2413" s="7">
        <v>3.569</v>
      </c>
      <c r="M2413" s="7">
        <v>3.8210000000000002</v>
      </c>
      <c r="N2413" s="7">
        <v>4.7220000000000004</v>
      </c>
      <c r="O2413" s="7">
        <v>4.9960000000000004</v>
      </c>
      <c r="P2413" s="7">
        <v>5.3959999999999999</v>
      </c>
      <c r="Q2413" s="7">
        <v>5.2910000000000004</v>
      </c>
      <c r="R2413" s="7">
        <v>5.6879999999999997</v>
      </c>
      <c r="S2413" s="7">
        <f t="shared" si="37"/>
        <v>4.8202500000000006</v>
      </c>
    </row>
    <row r="2414" spans="1:19">
      <c r="A2414" s="5" t="str">
        <f>B2414&amp;"-"&amp;COUNTIF($B$2:B2414,B2414)</f>
        <v>MINAS GERAIS-848</v>
      </c>
      <c r="B2414" s="5" t="s">
        <v>1126</v>
      </c>
      <c r="C2414" s="5" t="s">
        <v>1691</v>
      </c>
      <c r="D2414" s="6">
        <v>-423434</v>
      </c>
      <c r="E2414" s="6">
        <v>-168075</v>
      </c>
      <c r="F2414" s="7">
        <v>5.1189999999999998</v>
      </c>
      <c r="G2414" s="7">
        <v>6.101</v>
      </c>
      <c r="H2414" s="7">
        <v>6.2350000000000003</v>
      </c>
      <c r="I2414" s="7">
        <v>5.3360000000000003</v>
      </c>
      <c r="J2414" s="7">
        <v>4.7619999999999996</v>
      </c>
      <c r="K2414" s="7">
        <v>4.056</v>
      </c>
      <c r="L2414" s="7">
        <v>3.8769999999999998</v>
      </c>
      <c r="M2414" s="7">
        <v>4.0979999999999999</v>
      </c>
      <c r="N2414" s="7">
        <v>4.8380000000000001</v>
      </c>
      <c r="O2414" s="7">
        <v>5.4119999999999999</v>
      </c>
      <c r="P2414" s="7">
        <v>5.5960000000000001</v>
      </c>
      <c r="Q2414" s="7">
        <v>5.1870000000000003</v>
      </c>
      <c r="R2414" s="7">
        <v>5.9249999999999998</v>
      </c>
      <c r="S2414" s="7">
        <f t="shared" si="37"/>
        <v>5.1185833333333335</v>
      </c>
    </row>
    <row r="2415" spans="1:19">
      <c r="A2415" s="5" t="str">
        <f>B2415&amp;"-"&amp;COUNTIF($B$2:B2415,B2415)</f>
        <v>MINAS GERAIS-849</v>
      </c>
      <c r="B2415" s="5" t="s">
        <v>1126</v>
      </c>
      <c r="C2415" s="5" t="s">
        <v>5149</v>
      </c>
      <c r="D2415" s="6">
        <v>-427019</v>
      </c>
      <c r="E2415" s="6">
        <v>-188159</v>
      </c>
      <c r="F2415" s="7">
        <v>4.6950000000000003</v>
      </c>
      <c r="G2415" s="7">
        <v>5.6150000000000002</v>
      </c>
      <c r="H2415" s="7">
        <v>5.8570000000000002</v>
      </c>
      <c r="I2415" s="7">
        <v>4.8680000000000003</v>
      </c>
      <c r="J2415" s="7">
        <v>4.3460000000000001</v>
      </c>
      <c r="K2415" s="7">
        <v>3.7509999999999999</v>
      </c>
      <c r="L2415" s="7">
        <v>3.6280000000000001</v>
      </c>
      <c r="M2415" s="7">
        <v>3.7690000000000001</v>
      </c>
      <c r="N2415" s="7">
        <v>4.4420000000000002</v>
      </c>
      <c r="O2415" s="7">
        <v>4.9089999999999998</v>
      </c>
      <c r="P2415" s="7">
        <v>5.0529999999999999</v>
      </c>
      <c r="Q2415" s="7">
        <v>4.6769999999999996</v>
      </c>
      <c r="R2415" s="7">
        <v>5.4240000000000004</v>
      </c>
      <c r="S2415" s="7">
        <f t="shared" si="37"/>
        <v>4.6949166666666668</v>
      </c>
    </row>
    <row r="2416" spans="1:19">
      <c r="A2416" s="5" t="str">
        <f>B2416&amp;"-"&amp;COUNTIF($B$2:B2416,B2416)</f>
        <v>MINAS GERAIS-850</v>
      </c>
      <c r="B2416" s="5" t="s">
        <v>1126</v>
      </c>
      <c r="C2416" s="5" t="s">
        <v>4984</v>
      </c>
      <c r="D2416" s="6">
        <v>-42308</v>
      </c>
      <c r="E2416" s="6">
        <v>-184749</v>
      </c>
      <c r="F2416" s="7">
        <v>4.8570000000000002</v>
      </c>
      <c r="G2416" s="7">
        <v>6.0430000000000001</v>
      </c>
      <c r="H2416" s="7">
        <v>6.1630000000000003</v>
      </c>
      <c r="I2416" s="7">
        <v>5.1669999999999998</v>
      </c>
      <c r="J2416" s="7">
        <v>4.4630000000000001</v>
      </c>
      <c r="K2416" s="7">
        <v>3.8359999999999999</v>
      </c>
      <c r="L2416" s="7">
        <v>3.6480000000000001</v>
      </c>
      <c r="M2416" s="7">
        <v>3.7109999999999999</v>
      </c>
      <c r="N2416" s="7">
        <v>4.4649999999999999</v>
      </c>
      <c r="O2416" s="7">
        <v>4.9969999999999999</v>
      </c>
      <c r="P2416" s="7">
        <v>5.2160000000000002</v>
      </c>
      <c r="Q2416" s="7">
        <v>4.8170000000000002</v>
      </c>
      <c r="R2416" s="7">
        <v>5.7569999999999997</v>
      </c>
      <c r="S2416" s="7">
        <f t="shared" si="37"/>
        <v>4.8569166666666659</v>
      </c>
    </row>
    <row r="2417" spans="1:19">
      <c r="A2417" s="5" t="str">
        <f>B2417&amp;"-"&amp;COUNTIF($B$2:B2417,B2417)</f>
        <v>MINAS GERAIS-851</v>
      </c>
      <c r="B2417" s="5" t="s">
        <v>1126</v>
      </c>
      <c r="C2417" s="5" t="s">
        <v>1692</v>
      </c>
      <c r="D2417" s="6">
        <v>-428365</v>
      </c>
      <c r="E2417" s="6">
        <v>-210132</v>
      </c>
      <c r="F2417" s="7">
        <v>4.7949999999999999</v>
      </c>
      <c r="G2417" s="7">
        <v>5.7919999999999998</v>
      </c>
      <c r="H2417" s="7">
        <v>6.03</v>
      </c>
      <c r="I2417" s="7">
        <v>5.0339999999999998</v>
      </c>
      <c r="J2417" s="7">
        <v>4.4000000000000004</v>
      </c>
      <c r="K2417" s="7">
        <v>3.7559999999999998</v>
      </c>
      <c r="L2417" s="7">
        <v>3.5870000000000002</v>
      </c>
      <c r="M2417" s="7">
        <v>3.7759999999999998</v>
      </c>
      <c r="N2417" s="7">
        <v>4.5810000000000004</v>
      </c>
      <c r="O2417" s="7">
        <v>4.8710000000000004</v>
      </c>
      <c r="P2417" s="7">
        <v>5.1379999999999999</v>
      </c>
      <c r="Q2417" s="7">
        <v>4.944</v>
      </c>
      <c r="R2417" s="7">
        <v>5.6289999999999996</v>
      </c>
      <c r="S2417" s="7">
        <f t="shared" si="37"/>
        <v>4.7948333333333339</v>
      </c>
    </row>
    <row r="2418" spans="1:19">
      <c r="A2418" s="5" t="str">
        <f>B2418&amp;"-"&amp;COUNTIF($B$2:B2418,B2418)</f>
        <v>MINAS GERAIS-852</v>
      </c>
      <c r="B2418" s="5" t="s">
        <v>1126</v>
      </c>
      <c r="C2418" s="5" t="s">
        <v>1693</v>
      </c>
      <c r="D2418" s="6">
        <v>-425379</v>
      </c>
      <c r="E2418" s="6">
        <v>-217676</v>
      </c>
      <c r="F2418" s="7">
        <v>4.7270000000000003</v>
      </c>
      <c r="G2418" s="7">
        <v>5.8739999999999997</v>
      </c>
      <c r="H2418" s="7">
        <v>6.0810000000000004</v>
      </c>
      <c r="I2418" s="7">
        <v>5.1050000000000004</v>
      </c>
      <c r="J2418" s="7">
        <v>4.4349999999999996</v>
      </c>
      <c r="K2418" s="7">
        <v>3.6720000000000002</v>
      </c>
      <c r="L2418" s="7">
        <v>3.4089999999999998</v>
      </c>
      <c r="M2418" s="7">
        <v>3.5569999999999999</v>
      </c>
      <c r="N2418" s="7">
        <v>4.2889999999999997</v>
      </c>
      <c r="O2418" s="7">
        <v>4.6630000000000003</v>
      </c>
      <c r="P2418" s="7">
        <v>4.9589999999999996</v>
      </c>
      <c r="Q2418" s="7">
        <v>4.9370000000000003</v>
      </c>
      <c r="R2418" s="7">
        <v>5.7430000000000003</v>
      </c>
      <c r="S2418" s="7">
        <f t="shared" si="37"/>
        <v>4.7270000000000012</v>
      </c>
    </row>
    <row r="2419" spans="1:19">
      <c r="A2419" s="5" t="str">
        <f>B2419&amp;"-"&amp;COUNTIF($B$2:B2419,B2419)</f>
        <v>MINAS GERAIS-853</v>
      </c>
      <c r="B2419" s="5" t="s">
        <v>1126</v>
      </c>
      <c r="C2419" s="5" t="s">
        <v>1694</v>
      </c>
      <c r="D2419" s="6">
        <v>-45363</v>
      </c>
      <c r="E2419" s="6">
        <v>-225373</v>
      </c>
      <c r="F2419" s="7">
        <v>4.8049999999999997</v>
      </c>
      <c r="G2419" s="7">
        <v>5.3470000000000004</v>
      </c>
      <c r="H2419" s="7">
        <v>5.633</v>
      </c>
      <c r="I2419" s="7">
        <v>4.8860000000000001</v>
      </c>
      <c r="J2419" s="7">
        <v>4.51</v>
      </c>
      <c r="K2419" s="7">
        <v>3.82</v>
      </c>
      <c r="L2419" s="7">
        <v>3.593</v>
      </c>
      <c r="M2419" s="7">
        <v>3.7970000000000002</v>
      </c>
      <c r="N2419" s="7">
        <v>4.6970000000000001</v>
      </c>
      <c r="O2419" s="7">
        <v>4.9509999999999996</v>
      </c>
      <c r="P2419" s="7">
        <v>5.399</v>
      </c>
      <c r="Q2419" s="7">
        <v>5.3360000000000003</v>
      </c>
      <c r="R2419" s="7">
        <v>5.694</v>
      </c>
      <c r="S2419" s="7">
        <f t="shared" si="37"/>
        <v>4.80525</v>
      </c>
    </row>
    <row r="2420" spans="1:19">
      <c r="A2420" s="5" t="str">
        <f>B2420&amp;"-"&amp;COUNTIF($B$2:B2420,B2420)</f>
        <v>PARA-1</v>
      </c>
      <c r="B2420" s="5" t="s">
        <v>1695</v>
      </c>
      <c r="C2420" s="5" t="s">
        <v>1696</v>
      </c>
      <c r="D2420" s="6">
        <v>-555212</v>
      </c>
      <c r="E2420" s="6">
        <v>-19015</v>
      </c>
      <c r="F2420" s="7">
        <v>4.758</v>
      </c>
      <c r="G2420" s="7">
        <v>4.3310000000000004</v>
      </c>
      <c r="H2420" s="7">
        <v>4.4489999999999998</v>
      </c>
      <c r="I2420" s="7">
        <v>4.3979999999999997</v>
      </c>
      <c r="J2420" s="7">
        <v>4.2949999999999999</v>
      </c>
      <c r="K2420" s="7">
        <v>4.3650000000000002</v>
      </c>
      <c r="L2420" s="7">
        <v>4.806</v>
      </c>
      <c r="M2420" s="7">
        <v>4.7149999999999999</v>
      </c>
      <c r="N2420" s="7">
        <v>5.3109999999999999</v>
      </c>
      <c r="O2420" s="7">
        <v>5.2530000000000001</v>
      </c>
      <c r="P2420" s="7">
        <v>5.3659999999999997</v>
      </c>
      <c r="Q2420" s="7">
        <v>5.1509999999999998</v>
      </c>
      <c r="R2420" s="7">
        <v>4.6520000000000001</v>
      </c>
      <c r="S2420" s="7">
        <f t="shared" si="37"/>
        <v>4.7576666666666663</v>
      </c>
    </row>
    <row r="2421" spans="1:19">
      <c r="A2421" s="5" t="str">
        <f>B2421&amp;"-"&amp;COUNTIF($B$2:B2421,B2421)</f>
        <v>PARA-2</v>
      </c>
      <c r="B2421" s="5" t="s">
        <v>1695</v>
      </c>
      <c r="C2421" s="5" t="s">
        <v>1697</v>
      </c>
      <c r="D2421" s="6">
        <v>-50485</v>
      </c>
      <c r="E2421" s="6">
        <v>-68055</v>
      </c>
      <c r="F2421" s="7">
        <v>4.84</v>
      </c>
      <c r="G2421" s="7">
        <v>4.6769999999999996</v>
      </c>
      <c r="H2421" s="7">
        <v>4.7149999999999999</v>
      </c>
      <c r="I2421" s="7">
        <v>4.66</v>
      </c>
      <c r="J2421" s="7">
        <v>4.556</v>
      </c>
      <c r="K2421" s="7">
        <v>4.7309999999999999</v>
      </c>
      <c r="L2421" s="7">
        <v>4.9059999999999997</v>
      </c>
      <c r="M2421" s="7">
        <v>4.9580000000000002</v>
      </c>
      <c r="N2421" s="7">
        <v>5.4749999999999996</v>
      </c>
      <c r="O2421" s="7">
        <v>5.2489999999999997</v>
      </c>
      <c r="P2421" s="7">
        <v>4.875</v>
      </c>
      <c r="Q2421" s="7">
        <v>4.7249999999999996</v>
      </c>
      <c r="R2421" s="7">
        <v>4.5519999999999996</v>
      </c>
      <c r="S2421" s="7">
        <f t="shared" si="37"/>
        <v>4.8399166666666664</v>
      </c>
    </row>
    <row r="2422" spans="1:19">
      <c r="A2422" s="5" t="str">
        <f>B2422&amp;"-"&amp;COUNTIF($B$2:B2422,B2422)</f>
        <v>PARA-3</v>
      </c>
      <c r="B2422" s="5" t="s">
        <v>1695</v>
      </c>
      <c r="C2422" s="5" t="s">
        <v>1698</v>
      </c>
      <c r="D2422" s="6">
        <v>-488792</v>
      </c>
      <c r="E2422" s="6">
        <v>-17222</v>
      </c>
      <c r="F2422" s="7">
        <v>4.8959999999999999</v>
      </c>
      <c r="G2422" s="7">
        <v>4.5579999999999998</v>
      </c>
      <c r="H2422" s="7">
        <v>4.4390000000000001</v>
      </c>
      <c r="I2422" s="7">
        <v>4.5350000000000001</v>
      </c>
      <c r="J2422" s="7">
        <v>4.5419999999999998</v>
      </c>
      <c r="K2422" s="7">
        <v>4.7439999999999998</v>
      </c>
      <c r="L2422" s="7">
        <v>4.9390000000000001</v>
      </c>
      <c r="M2422" s="7">
        <v>5.0789999999999997</v>
      </c>
      <c r="N2422" s="7">
        <v>5.3529999999999998</v>
      </c>
      <c r="O2422" s="7">
        <v>5.4119999999999999</v>
      </c>
      <c r="P2422" s="7">
        <v>5.2880000000000003</v>
      </c>
      <c r="Q2422" s="7">
        <v>5.0979999999999999</v>
      </c>
      <c r="R2422" s="7">
        <v>4.7649999999999997</v>
      </c>
      <c r="S2422" s="7">
        <f t="shared" si="37"/>
        <v>4.8959999999999999</v>
      </c>
    </row>
    <row r="2423" spans="1:19">
      <c r="A2423" s="5" t="str">
        <f>B2423&amp;"-"&amp;COUNTIF($B$2:B2423,B2423)</f>
        <v>PARA-4</v>
      </c>
      <c r="B2423" s="5" t="s">
        <v>1695</v>
      </c>
      <c r="C2423" s="5" t="s">
        <v>1699</v>
      </c>
      <c r="D2423" s="6">
        <v>-483937</v>
      </c>
      <c r="E2423" s="6">
        <v>-49537</v>
      </c>
      <c r="F2423" s="7">
        <v>4.8659999999999997</v>
      </c>
      <c r="G2423" s="7">
        <v>4.4390000000000001</v>
      </c>
      <c r="H2423" s="7">
        <v>4.5759999999999996</v>
      </c>
      <c r="I2423" s="7">
        <v>4.6429999999999998</v>
      </c>
      <c r="J2423" s="7">
        <v>4.6360000000000001</v>
      </c>
      <c r="K2423" s="7">
        <v>4.6790000000000003</v>
      </c>
      <c r="L2423" s="7">
        <v>5.0430000000000001</v>
      </c>
      <c r="M2423" s="7">
        <v>5.2</v>
      </c>
      <c r="N2423" s="7">
        <v>5.5469999999999997</v>
      </c>
      <c r="O2423" s="7">
        <v>5.3319999999999999</v>
      </c>
      <c r="P2423" s="7">
        <v>4.9370000000000003</v>
      </c>
      <c r="Q2423" s="7">
        <v>4.7649999999999997</v>
      </c>
      <c r="R2423" s="7">
        <v>4.59</v>
      </c>
      <c r="S2423" s="7">
        <f t="shared" si="37"/>
        <v>4.8655833333333334</v>
      </c>
    </row>
    <row r="2424" spans="1:19">
      <c r="A2424" s="5" t="str">
        <f>B2424&amp;"-"&amp;COUNTIF($B$2:B2424,B2424)</f>
        <v>PARA-5</v>
      </c>
      <c r="B2424" s="5" t="s">
        <v>1695</v>
      </c>
      <c r="C2424" s="5" t="s">
        <v>5617</v>
      </c>
      <c r="D2424" s="6">
        <v>-482001</v>
      </c>
      <c r="E2424" s="6">
        <v>-19597</v>
      </c>
      <c r="F2424" s="7">
        <v>4.9089999999999998</v>
      </c>
      <c r="G2424" s="7">
        <v>4.6349999999999998</v>
      </c>
      <c r="H2424" s="7">
        <v>4.5389999999999997</v>
      </c>
      <c r="I2424" s="7">
        <v>4.6020000000000003</v>
      </c>
      <c r="J2424" s="7">
        <v>4.5960000000000001</v>
      </c>
      <c r="K2424" s="7">
        <v>4.734</v>
      </c>
      <c r="L2424" s="7">
        <v>4.9160000000000004</v>
      </c>
      <c r="M2424" s="7">
        <v>5.0709999999999997</v>
      </c>
      <c r="N2424" s="7">
        <v>5.3579999999999997</v>
      </c>
      <c r="O2424" s="7">
        <v>5.4340000000000002</v>
      </c>
      <c r="P2424" s="7">
        <v>5.2569999999999997</v>
      </c>
      <c r="Q2424" s="7">
        <v>4.9909999999999997</v>
      </c>
      <c r="R2424" s="7">
        <v>4.7720000000000002</v>
      </c>
      <c r="S2424" s="7">
        <f t="shared" si="37"/>
        <v>4.9087499999999995</v>
      </c>
    </row>
    <row r="2425" spans="1:19">
      <c r="A2425" s="5" t="str">
        <f>B2425&amp;"-"&amp;COUNTIF($B$2:B2425,B2425)</f>
        <v>PARA-6</v>
      </c>
      <c r="B2425" s="5" t="s">
        <v>1695</v>
      </c>
      <c r="C2425" s="5" t="s">
        <v>5618</v>
      </c>
      <c r="D2425" s="6">
        <v>-503865</v>
      </c>
      <c r="E2425" s="5" t="s">
        <v>1700</v>
      </c>
      <c r="F2425" s="7">
        <v>4.7009999999999996</v>
      </c>
      <c r="G2425" s="7">
        <v>4.3879999999999999</v>
      </c>
      <c r="H2425" s="7">
        <v>4.0609999999999999</v>
      </c>
      <c r="I2425" s="7">
        <v>3.9590000000000001</v>
      </c>
      <c r="J2425" s="7">
        <v>3.992</v>
      </c>
      <c r="K2425" s="7">
        <v>4.4249999999999998</v>
      </c>
      <c r="L2425" s="7">
        <v>4.681</v>
      </c>
      <c r="M2425" s="7">
        <v>4.8410000000000002</v>
      </c>
      <c r="N2425" s="7">
        <v>5.2469999999999999</v>
      </c>
      <c r="O2425" s="7">
        <v>5.4969999999999999</v>
      </c>
      <c r="P2425" s="7">
        <v>5.3970000000000002</v>
      </c>
      <c r="Q2425" s="7">
        <v>5.226</v>
      </c>
      <c r="R2425" s="7">
        <v>4.6980000000000004</v>
      </c>
      <c r="S2425" s="7">
        <f t="shared" si="37"/>
        <v>4.7009999999999996</v>
      </c>
    </row>
    <row r="2426" spans="1:19">
      <c r="A2426" s="5" t="str">
        <f>B2426&amp;"-"&amp;COUNTIF($B$2:B2426,B2426)</f>
        <v>PARA-7</v>
      </c>
      <c r="B2426" s="5" t="s">
        <v>1695</v>
      </c>
      <c r="C2426" s="5" t="s">
        <v>1701</v>
      </c>
      <c r="D2426" s="6">
        <v>-547388</v>
      </c>
      <c r="E2426" s="6">
        <v>-19466</v>
      </c>
      <c r="F2426" s="7">
        <v>4.75</v>
      </c>
      <c r="G2426" s="7">
        <v>4.5060000000000002</v>
      </c>
      <c r="H2426" s="7">
        <v>4.5819999999999999</v>
      </c>
      <c r="I2426" s="7">
        <v>4.431</v>
      </c>
      <c r="J2426" s="7">
        <v>4.3109999999999999</v>
      </c>
      <c r="K2426" s="7">
        <v>4.452</v>
      </c>
      <c r="L2426" s="7">
        <v>4.6719999999999997</v>
      </c>
      <c r="M2426" s="7">
        <v>4.6769999999999996</v>
      </c>
      <c r="N2426" s="7">
        <v>5.1989999999999998</v>
      </c>
      <c r="O2426" s="7">
        <v>5.202</v>
      </c>
      <c r="P2426" s="7">
        <v>5.2380000000000004</v>
      </c>
      <c r="Q2426" s="7">
        <v>5.1429999999999998</v>
      </c>
      <c r="R2426" s="7">
        <v>4.5869999999999997</v>
      </c>
      <c r="S2426" s="7">
        <f t="shared" si="37"/>
        <v>4.75</v>
      </c>
    </row>
    <row r="2427" spans="1:19">
      <c r="A2427" s="5" t="str">
        <f>B2427&amp;"-"&amp;COUNTIF($B$2:B2427,B2427)</f>
        <v>PARA-8</v>
      </c>
      <c r="B2427" s="5" t="s">
        <v>1695</v>
      </c>
      <c r="C2427" s="5" t="s">
        <v>1702</v>
      </c>
      <c r="D2427" s="6">
        <v>-52582</v>
      </c>
      <c r="E2427" s="6">
        <v>-15213</v>
      </c>
      <c r="F2427" s="7">
        <v>4.8029999999999999</v>
      </c>
      <c r="G2427" s="7">
        <v>4.5199999999999996</v>
      </c>
      <c r="H2427" s="7">
        <v>4.5750000000000002</v>
      </c>
      <c r="I2427" s="7">
        <v>4.5789999999999997</v>
      </c>
      <c r="J2427" s="7">
        <v>4.5339999999999998</v>
      </c>
      <c r="K2427" s="7">
        <v>4.6890000000000001</v>
      </c>
      <c r="L2427" s="7">
        <v>4.9020000000000001</v>
      </c>
      <c r="M2427" s="7">
        <v>4.8600000000000003</v>
      </c>
      <c r="N2427" s="7">
        <v>5.09</v>
      </c>
      <c r="O2427" s="7">
        <v>5.0759999999999996</v>
      </c>
      <c r="P2427" s="7">
        <v>5.1680000000000001</v>
      </c>
      <c r="Q2427" s="7">
        <v>5.032</v>
      </c>
      <c r="R2427" s="7">
        <v>4.6180000000000003</v>
      </c>
      <c r="S2427" s="7">
        <f t="shared" si="37"/>
        <v>4.8035833333333331</v>
      </c>
    </row>
    <row r="2428" spans="1:19">
      <c r="A2428" s="5" t="str">
        <f>B2428&amp;"-"&amp;COUNTIF($B$2:B2428,B2428)</f>
        <v>PARA-9</v>
      </c>
      <c r="B2428" s="5" t="s">
        <v>1695</v>
      </c>
      <c r="C2428" s="5" t="s">
        <v>1703</v>
      </c>
      <c r="D2428" s="6">
        <v>-522104</v>
      </c>
      <c r="E2428" s="6">
        <v>-32045</v>
      </c>
      <c r="F2428" s="7">
        <v>4.4370000000000003</v>
      </c>
      <c r="G2428" s="7">
        <v>4.1369999999999996</v>
      </c>
      <c r="H2428" s="7">
        <v>4.3150000000000004</v>
      </c>
      <c r="I2428" s="7">
        <v>4.3230000000000004</v>
      </c>
      <c r="J2428" s="7">
        <v>4.3310000000000004</v>
      </c>
      <c r="K2428" s="7">
        <v>4.3499999999999996</v>
      </c>
      <c r="L2428" s="7">
        <v>4.5670000000000002</v>
      </c>
      <c r="M2428" s="7">
        <v>4.5110000000000001</v>
      </c>
      <c r="N2428" s="7">
        <v>4.7939999999999996</v>
      </c>
      <c r="O2428" s="7">
        <v>4.6669999999999998</v>
      </c>
      <c r="P2428" s="7">
        <v>4.5350000000000001</v>
      </c>
      <c r="Q2428" s="7">
        <v>4.5460000000000003</v>
      </c>
      <c r="R2428" s="7">
        <v>4.1619999999999999</v>
      </c>
      <c r="S2428" s="7">
        <f t="shared" si="37"/>
        <v>4.4364999999999997</v>
      </c>
    </row>
    <row r="2429" spans="1:19">
      <c r="A2429" s="5" t="str">
        <f>B2429&amp;"-"&amp;COUNTIF($B$2:B2429,B2429)</f>
        <v>PARA-10</v>
      </c>
      <c r="B2429" s="5" t="s">
        <v>1695</v>
      </c>
      <c r="C2429" s="5" t="s">
        <v>5619</v>
      </c>
      <c r="D2429" s="6">
        <v>-499358</v>
      </c>
      <c r="E2429" s="5" t="s">
        <v>1704</v>
      </c>
      <c r="F2429" s="7">
        <v>4.6619999999999999</v>
      </c>
      <c r="G2429" s="7">
        <v>4.2160000000000002</v>
      </c>
      <c r="H2429" s="7">
        <v>4.0999999999999996</v>
      </c>
      <c r="I2429" s="7">
        <v>4.125</v>
      </c>
      <c r="J2429" s="7">
        <v>4.1760000000000002</v>
      </c>
      <c r="K2429" s="7">
        <v>4.5670000000000002</v>
      </c>
      <c r="L2429" s="7">
        <v>4.7229999999999999</v>
      </c>
      <c r="M2429" s="7">
        <v>4.9610000000000003</v>
      </c>
      <c r="N2429" s="7">
        <v>5.157</v>
      </c>
      <c r="O2429" s="7">
        <v>5.2450000000000001</v>
      </c>
      <c r="P2429" s="7">
        <v>5.141</v>
      </c>
      <c r="Q2429" s="7">
        <v>5.0579999999999998</v>
      </c>
      <c r="R2429" s="7">
        <v>4.4809999999999999</v>
      </c>
      <c r="S2429" s="7">
        <f t="shared" si="37"/>
        <v>4.6624999999999988</v>
      </c>
    </row>
    <row r="2430" spans="1:19">
      <c r="A2430" s="5" t="str">
        <f>B2430&amp;"-"&amp;COUNTIF($B$2:B2430,B2430)</f>
        <v>PARA-11</v>
      </c>
      <c r="B2430" s="5" t="s">
        <v>1695</v>
      </c>
      <c r="C2430" s="5" t="s">
        <v>1705</v>
      </c>
      <c r="D2430" s="6">
        <v>-483747</v>
      </c>
      <c r="E2430" s="6">
        <v>-13643</v>
      </c>
      <c r="F2430" s="7">
        <v>4.7309999999999999</v>
      </c>
      <c r="G2430" s="7">
        <v>4.2930000000000001</v>
      </c>
      <c r="H2430" s="7">
        <v>4.2789999999999999</v>
      </c>
      <c r="I2430" s="7">
        <v>4.274</v>
      </c>
      <c r="J2430" s="7">
        <v>4.3109999999999999</v>
      </c>
      <c r="K2430" s="7">
        <v>4.5979999999999999</v>
      </c>
      <c r="L2430" s="7">
        <v>4.9359999999999999</v>
      </c>
      <c r="M2430" s="7">
        <v>5.0380000000000003</v>
      </c>
      <c r="N2430" s="7">
        <v>5.2210000000000001</v>
      </c>
      <c r="O2430" s="7">
        <v>5.29</v>
      </c>
      <c r="P2430" s="7">
        <v>5.0640000000000001</v>
      </c>
      <c r="Q2430" s="7">
        <v>4.9260000000000002</v>
      </c>
      <c r="R2430" s="7">
        <v>4.5389999999999997</v>
      </c>
      <c r="S2430" s="7">
        <f t="shared" si="37"/>
        <v>4.7307500000000005</v>
      </c>
    </row>
    <row r="2431" spans="1:19">
      <c r="A2431" s="5" t="str">
        <f>B2431&amp;"-"&amp;COUNTIF($B$2:B2431,B2431)</f>
        <v>PARA-12</v>
      </c>
      <c r="B2431" s="5" t="s">
        <v>1695</v>
      </c>
      <c r="C2431" s="5" t="s">
        <v>1706</v>
      </c>
      <c r="D2431" s="6">
        <v>-512007</v>
      </c>
      <c r="E2431" s="6">
        <v>-34702</v>
      </c>
      <c r="F2431" s="7">
        <v>4.4770000000000003</v>
      </c>
      <c r="G2431" s="7">
        <v>4.2960000000000003</v>
      </c>
      <c r="H2431" s="7">
        <v>4.3140000000000001</v>
      </c>
      <c r="I2431" s="7">
        <v>4.3890000000000002</v>
      </c>
      <c r="J2431" s="7">
        <v>4.3849999999999998</v>
      </c>
      <c r="K2431" s="7">
        <v>4.3739999999999997</v>
      </c>
      <c r="L2431" s="7">
        <v>4.6379999999999999</v>
      </c>
      <c r="M2431" s="7">
        <v>4.7050000000000001</v>
      </c>
      <c r="N2431" s="7">
        <v>4.8540000000000001</v>
      </c>
      <c r="O2431" s="7">
        <v>4.6840000000000002</v>
      </c>
      <c r="P2431" s="7">
        <v>4.4779999999999998</v>
      </c>
      <c r="Q2431" s="7">
        <v>4.3979999999999997</v>
      </c>
      <c r="R2431" s="7">
        <v>4.2089999999999996</v>
      </c>
      <c r="S2431" s="7">
        <f t="shared" si="37"/>
        <v>4.4770000000000003</v>
      </c>
    </row>
    <row r="2432" spans="1:19">
      <c r="A2432" s="5" t="str">
        <f>B2432&amp;"-"&amp;COUNTIF($B$2:B2432,B2432)</f>
        <v>PARA-13</v>
      </c>
      <c r="B2432" s="5" t="s">
        <v>1695</v>
      </c>
      <c r="C2432" s="5" t="s">
        <v>5296</v>
      </c>
      <c r="D2432" s="6">
        <v>-466459</v>
      </c>
      <c r="E2432" s="6">
        <v>-1022</v>
      </c>
      <c r="F2432" s="7">
        <v>4.9580000000000002</v>
      </c>
      <c r="G2432" s="7">
        <v>4.8209999999999997</v>
      </c>
      <c r="H2432" s="7">
        <v>4.5129999999999999</v>
      </c>
      <c r="I2432" s="7">
        <v>4.2910000000000004</v>
      </c>
      <c r="J2432" s="7">
        <v>4.3440000000000003</v>
      </c>
      <c r="K2432" s="7">
        <v>4.585</v>
      </c>
      <c r="L2432" s="7">
        <v>4.8070000000000004</v>
      </c>
      <c r="M2432" s="7">
        <v>4.9390000000000001</v>
      </c>
      <c r="N2432" s="7">
        <v>5.3390000000000004</v>
      </c>
      <c r="O2432" s="7">
        <v>5.6760000000000002</v>
      </c>
      <c r="P2432" s="7">
        <v>5.56</v>
      </c>
      <c r="Q2432" s="7">
        <v>5.48</v>
      </c>
      <c r="R2432" s="7">
        <v>5.14</v>
      </c>
      <c r="S2432" s="7">
        <f t="shared" si="37"/>
        <v>4.9579166666666667</v>
      </c>
    </row>
    <row r="2433" spans="1:19">
      <c r="A2433" s="5" t="str">
        <f>B2433&amp;"-"&amp;COUNTIF($B$2:B2433,B2433)</f>
        <v>PARA-14</v>
      </c>
      <c r="B2433" s="5" t="s">
        <v>1695</v>
      </c>
      <c r="C2433" s="5" t="s">
        <v>5620</v>
      </c>
      <c r="D2433" s="6">
        <v>-475603</v>
      </c>
      <c r="E2433" s="6">
        <v>-21334</v>
      </c>
      <c r="F2433" s="7">
        <v>4.859</v>
      </c>
      <c r="G2433" s="7">
        <v>4.5380000000000003</v>
      </c>
      <c r="H2433" s="7">
        <v>4.5570000000000004</v>
      </c>
      <c r="I2433" s="7">
        <v>4.6020000000000003</v>
      </c>
      <c r="J2433" s="7">
        <v>4.5410000000000004</v>
      </c>
      <c r="K2433" s="7">
        <v>4.6760000000000002</v>
      </c>
      <c r="L2433" s="7">
        <v>4.8940000000000001</v>
      </c>
      <c r="M2433" s="7">
        <v>5.0179999999999998</v>
      </c>
      <c r="N2433" s="7">
        <v>5.29</v>
      </c>
      <c r="O2433" s="7">
        <v>5.3769999999999998</v>
      </c>
      <c r="P2433" s="7">
        <v>5.2119999999999997</v>
      </c>
      <c r="Q2433" s="7">
        <v>4.9580000000000002</v>
      </c>
      <c r="R2433" s="7">
        <v>4.649</v>
      </c>
      <c r="S2433" s="7">
        <f t="shared" si="37"/>
        <v>4.8593333333333328</v>
      </c>
    </row>
    <row r="2434" spans="1:19">
      <c r="A2434" s="5" t="str">
        <f>B2434&amp;"-"&amp;COUNTIF($B$2:B2434,B2434)</f>
        <v>PARA-15</v>
      </c>
      <c r="B2434" s="5" t="s">
        <v>1695</v>
      </c>
      <c r="C2434" s="5" t="s">
        <v>1707</v>
      </c>
      <c r="D2434" s="6">
        <v>-553204</v>
      </c>
      <c r="E2434" s="6">
        <v>-36088</v>
      </c>
      <c r="F2434" s="7">
        <v>4.68</v>
      </c>
      <c r="G2434" s="7">
        <v>4.2190000000000003</v>
      </c>
      <c r="H2434" s="7">
        <v>4.4059999999999997</v>
      </c>
      <c r="I2434" s="7">
        <v>4.343</v>
      </c>
      <c r="J2434" s="7">
        <v>4.1660000000000004</v>
      </c>
      <c r="K2434" s="7">
        <v>4.2329999999999997</v>
      </c>
      <c r="L2434" s="7">
        <v>4.6260000000000003</v>
      </c>
      <c r="M2434" s="7">
        <v>4.6139999999999999</v>
      </c>
      <c r="N2434" s="7">
        <v>5.2439999999999998</v>
      </c>
      <c r="O2434" s="7">
        <v>5.2229999999999999</v>
      </c>
      <c r="P2434" s="7">
        <v>5.33</v>
      </c>
      <c r="Q2434" s="7">
        <v>5.1210000000000004</v>
      </c>
      <c r="R2434" s="7">
        <v>4.6340000000000003</v>
      </c>
      <c r="S2434" s="7">
        <f t="shared" si="37"/>
        <v>4.6799166666666663</v>
      </c>
    </row>
    <row r="2435" spans="1:19">
      <c r="A2435" s="5" t="str">
        <f>B2435&amp;"-"&amp;COUNTIF($B$2:B2435,B2435)</f>
        <v>PARA-16</v>
      </c>
      <c r="B2435" s="5" t="s">
        <v>1695</v>
      </c>
      <c r="C2435" s="5" t="s">
        <v>1708</v>
      </c>
      <c r="D2435" s="6">
        <v>-501991</v>
      </c>
      <c r="E2435" s="6">
        <v>-19009</v>
      </c>
      <c r="F2435" s="7">
        <v>5.0739999999999998</v>
      </c>
      <c r="G2435" s="7">
        <v>4.8019999999999996</v>
      </c>
      <c r="H2435" s="7">
        <v>4.7210000000000001</v>
      </c>
      <c r="I2435" s="7">
        <v>4.8070000000000004</v>
      </c>
      <c r="J2435" s="7">
        <v>4.8040000000000003</v>
      </c>
      <c r="K2435" s="7">
        <v>4.867</v>
      </c>
      <c r="L2435" s="7">
        <v>4.992</v>
      </c>
      <c r="M2435" s="7">
        <v>5.0869999999999997</v>
      </c>
      <c r="N2435" s="7">
        <v>5.4130000000000003</v>
      </c>
      <c r="O2435" s="7">
        <v>5.5049999999999999</v>
      </c>
      <c r="P2435" s="7">
        <v>5.5019999999999998</v>
      </c>
      <c r="Q2435" s="7">
        <v>5.3869999999999996</v>
      </c>
      <c r="R2435" s="7">
        <v>5.0049999999999999</v>
      </c>
      <c r="S2435" s="7">
        <f t="shared" ref="S2435:S2498" si="38">(G2435+H2435+I2435+J2435+K2435+L2435+M2435+N2435+O2435+P2435+Q2435+R2435)/12</f>
        <v>5.0743333333333336</v>
      </c>
    </row>
    <row r="2436" spans="1:19">
      <c r="A2436" s="5" t="str">
        <f>B2436&amp;"-"&amp;COUNTIF($B$2:B2436,B2436)</f>
        <v>PARA-17</v>
      </c>
      <c r="B2436" s="5" t="s">
        <v>1695</v>
      </c>
      <c r="C2436" s="5" t="s">
        <v>4046</v>
      </c>
      <c r="D2436" s="6">
        <v>-496698</v>
      </c>
      <c r="E2436" s="6">
        <v>-27906</v>
      </c>
      <c r="F2436" s="7">
        <v>4.75</v>
      </c>
      <c r="G2436" s="7">
        <v>4.4610000000000003</v>
      </c>
      <c r="H2436" s="7">
        <v>4.5780000000000003</v>
      </c>
      <c r="I2436" s="7">
        <v>4.548</v>
      </c>
      <c r="J2436" s="7">
        <v>4.6449999999999996</v>
      </c>
      <c r="K2436" s="7">
        <v>4.6740000000000004</v>
      </c>
      <c r="L2436" s="7">
        <v>4.8579999999999997</v>
      </c>
      <c r="M2436" s="7">
        <v>4.9480000000000004</v>
      </c>
      <c r="N2436" s="7">
        <v>5.2619999999999996</v>
      </c>
      <c r="O2436" s="7">
        <v>5.0830000000000002</v>
      </c>
      <c r="P2436" s="7">
        <v>4.8940000000000001</v>
      </c>
      <c r="Q2436" s="7">
        <v>4.6589999999999998</v>
      </c>
      <c r="R2436" s="7">
        <v>4.3920000000000003</v>
      </c>
      <c r="S2436" s="7">
        <f t="shared" si="38"/>
        <v>4.7501666666666669</v>
      </c>
    </row>
    <row r="2437" spans="1:19">
      <c r="A2437" s="5" t="str">
        <f>B2437&amp;"-"&amp;COUNTIF($B$2:B2437,B2437)</f>
        <v>PARA-18</v>
      </c>
      <c r="B2437" s="5" t="s">
        <v>1695</v>
      </c>
      <c r="C2437" s="5" t="s">
        <v>1709</v>
      </c>
      <c r="D2437" s="6">
        <v>-504077</v>
      </c>
      <c r="E2437" s="6">
        <v>-73517</v>
      </c>
      <c r="F2437" s="7">
        <v>4.8230000000000004</v>
      </c>
      <c r="G2437" s="7">
        <v>4.6239999999999997</v>
      </c>
      <c r="H2437" s="7">
        <v>4.66</v>
      </c>
      <c r="I2437" s="7">
        <v>4.5880000000000001</v>
      </c>
      <c r="J2437" s="7">
        <v>4.5449999999999999</v>
      </c>
      <c r="K2437" s="7">
        <v>4.7039999999999997</v>
      </c>
      <c r="L2437" s="7">
        <v>4.9960000000000004</v>
      </c>
      <c r="M2437" s="7">
        <v>4.9660000000000002</v>
      </c>
      <c r="N2437" s="7">
        <v>5.5730000000000004</v>
      </c>
      <c r="O2437" s="7">
        <v>5.2069999999999999</v>
      </c>
      <c r="P2437" s="7">
        <v>4.7960000000000003</v>
      </c>
      <c r="Q2437" s="7">
        <v>4.6689999999999996</v>
      </c>
      <c r="R2437" s="7">
        <v>4.548</v>
      </c>
      <c r="S2437" s="7">
        <f t="shared" si="38"/>
        <v>4.8230000000000004</v>
      </c>
    </row>
    <row r="2438" spans="1:19">
      <c r="A2438" s="5" t="str">
        <f>B2438&amp;"-"&amp;COUNTIF($B$2:B2438,B2438)</f>
        <v>PARA-19</v>
      </c>
      <c r="B2438" s="5" t="s">
        <v>1695</v>
      </c>
      <c r="C2438" s="5" t="s">
        <v>1710</v>
      </c>
      <c r="D2438" s="6">
        <v>-486199</v>
      </c>
      <c r="E2438" s="6">
        <v>-15123</v>
      </c>
      <c r="F2438" s="7">
        <v>4.8719999999999999</v>
      </c>
      <c r="G2438" s="7">
        <v>4.431</v>
      </c>
      <c r="H2438" s="7">
        <v>4.4290000000000003</v>
      </c>
      <c r="I2438" s="7">
        <v>4.49</v>
      </c>
      <c r="J2438" s="7">
        <v>4.6020000000000003</v>
      </c>
      <c r="K2438" s="7">
        <v>4.7300000000000004</v>
      </c>
      <c r="L2438" s="7">
        <v>4.9480000000000004</v>
      </c>
      <c r="M2438" s="7">
        <v>5.0529999999999999</v>
      </c>
      <c r="N2438" s="7">
        <v>5.2949999999999999</v>
      </c>
      <c r="O2438" s="7">
        <v>5.3849999999999998</v>
      </c>
      <c r="P2438" s="7">
        <v>5.2460000000000004</v>
      </c>
      <c r="Q2438" s="7">
        <v>5.157</v>
      </c>
      <c r="R2438" s="7">
        <v>4.7039999999999997</v>
      </c>
      <c r="S2438" s="7">
        <f t="shared" si="38"/>
        <v>4.8725000000000005</v>
      </c>
    </row>
    <row r="2439" spans="1:19">
      <c r="A2439" s="5" t="str">
        <f>B2439&amp;"-"&amp;COUNTIF($B$2:B2439,B2439)</f>
        <v>PARA-20</v>
      </c>
      <c r="B2439" s="5" t="s">
        <v>1695</v>
      </c>
      <c r="C2439" s="5" t="s">
        <v>105</v>
      </c>
      <c r="D2439" s="6">
        <v>-484905</v>
      </c>
      <c r="E2439" s="6">
        <v>-14562</v>
      </c>
      <c r="F2439" s="7">
        <v>4.8639999999999999</v>
      </c>
      <c r="G2439" s="7">
        <v>4.4409999999999998</v>
      </c>
      <c r="H2439" s="7">
        <v>4.4029999999999996</v>
      </c>
      <c r="I2439" s="7">
        <v>4.4139999999999997</v>
      </c>
      <c r="J2439" s="7">
        <v>4.5490000000000004</v>
      </c>
      <c r="K2439" s="7">
        <v>4.7140000000000004</v>
      </c>
      <c r="L2439" s="7">
        <v>4.968</v>
      </c>
      <c r="M2439" s="7">
        <v>5.0780000000000003</v>
      </c>
      <c r="N2439" s="7">
        <v>5.2990000000000004</v>
      </c>
      <c r="O2439" s="7">
        <v>5.3819999999999997</v>
      </c>
      <c r="P2439" s="7">
        <v>5.2510000000000003</v>
      </c>
      <c r="Q2439" s="7">
        <v>5.1180000000000003</v>
      </c>
      <c r="R2439" s="7">
        <v>4.7539999999999996</v>
      </c>
      <c r="S2439" s="7">
        <f t="shared" si="38"/>
        <v>4.8642499999999993</v>
      </c>
    </row>
    <row r="2440" spans="1:19">
      <c r="A2440" s="5" t="str">
        <f>B2440&amp;"-"&amp;COUNTIF($B$2:B2440,B2440)</f>
        <v>PARA-21</v>
      </c>
      <c r="B2440" s="5" t="s">
        <v>1695</v>
      </c>
      <c r="C2440" s="5" t="s">
        <v>1711</v>
      </c>
      <c r="D2440" s="6">
        <v>-549378</v>
      </c>
      <c r="E2440" s="6">
        <v>-26365</v>
      </c>
      <c r="F2440" s="7">
        <v>4.633</v>
      </c>
      <c r="G2440" s="7">
        <v>4.4409999999999998</v>
      </c>
      <c r="H2440" s="7">
        <v>4.4470000000000001</v>
      </c>
      <c r="I2440" s="7">
        <v>4.3460000000000001</v>
      </c>
      <c r="J2440" s="7">
        <v>4.1319999999999997</v>
      </c>
      <c r="K2440" s="7">
        <v>4.1929999999999996</v>
      </c>
      <c r="L2440" s="7">
        <v>4.4930000000000003</v>
      </c>
      <c r="M2440" s="7">
        <v>4.4379999999999997</v>
      </c>
      <c r="N2440" s="7">
        <v>5.0259999999999998</v>
      </c>
      <c r="O2440" s="7">
        <v>5.0449999999999999</v>
      </c>
      <c r="P2440" s="7">
        <v>5.242</v>
      </c>
      <c r="Q2440" s="7">
        <v>5.2030000000000003</v>
      </c>
      <c r="R2440" s="7">
        <v>4.5910000000000002</v>
      </c>
      <c r="S2440" s="7">
        <f t="shared" si="38"/>
        <v>4.6330833333333334</v>
      </c>
    </row>
    <row r="2441" spans="1:19">
      <c r="A2441" s="5" t="str">
        <f>B2441&amp;"-"&amp;COUNTIF($B$2:B2441,B2441)</f>
        <v>PARA-22</v>
      </c>
      <c r="B2441" s="5" t="s">
        <v>1695</v>
      </c>
      <c r="C2441" s="5" t="s">
        <v>1712</v>
      </c>
      <c r="D2441" s="6">
        <v>-482438</v>
      </c>
      <c r="E2441" s="6">
        <v>-13622</v>
      </c>
      <c r="F2441" s="7">
        <v>4.7539999999999996</v>
      </c>
      <c r="G2441" s="7">
        <v>4.3170000000000002</v>
      </c>
      <c r="H2441" s="7">
        <v>4.2510000000000003</v>
      </c>
      <c r="I2441" s="7">
        <v>4.2910000000000004</v>
      </c>
      <c r="J2441" s="7">
        <v>4.3419999999999996</v>
      </c>
      <c r="K2441" s="7">
        <v>4.6029999999999998</v>
      </c>
      <c r="L2441" s="7">
        <v>4.9130000000000003</v>
      </c>
      <c r="M2441" s="7">
        <v>5.0519999999999996</v>
      </c>
      <c r="N2441" s="7">
        <v>5.2939999999999996</v>
      </c>
      <c r="O2441" s="7">
        <v>5.3440000000000003</v>
      </c>
      <c r="P2441" s="7">
        <v>5.1230000000000002</v>
      </c>
      <c r="Q2441" s="7">
        <v>4.9640000000000004</v>
      </c>
      <c r="R2441" s="7">
        <v>4.5490000000000004</v>
      </c>
      <c r="S2441" s="7">
        <f t="shared" si="38"/>
        <v>4.7535833333333333</v>
      </c>
    </row>
    <row r="2442" spans="1:19">
      <c r="A2442" s="5" t="str">
        <f>B2442&amp;"-"&amp;COUNTIF($B$2:B2442,B2442)</f>
        <v>PARA-23</v>
      </c>
      <c r="B2442" s="5" t="s">
        <v>1695</v>
      </c>
      <c r="C2442" s="5" t="s">
        <v>1713</v>
      </c>
      <c r="D2442" s="6">
        <v>-486051</v>
      </c>
      <c r="E2442" s="6">
        <v>-50428</v>
      </c>
      <c r="F2442" s="7">
        <v>4.8239999999999998</v>
      </c>
      <c r="G2442" s="7">
        <v>4.415</v>
      </c>
      <c r="H2442" s="7">
        <v>4.5110000000000001</v>
      </c>
      <c r="I2442" s="7">
        <v>4.6050000000000004</v>
      </c>
      <c r="J2442" s="7">
        <v>4.6050000000000004</v>
      </c>
      <c r="K2442" s="7">
        <v>4.6790000000000003</v>
      </c>
      <c r="L2442" s="7">
        <v>5.0199999999999996</v>
      </c>
      <c r="M2442" s="7">
        <v>5.1120000000000001</v>
      </c>
      <c r="N2442" s="7">
        <v>5.5010000000000003</v>
      </c>
      <c r="O2442" s="7">
        <v>5.3170000000000002</v>
      </c>
      <c r="P2442" s="7">
        <v>4.84</v>
      </c>
      <c r="Q2442" s="7">
        <v>4.79</v>
      </c>
      <c r="R2442" s="7">
        <v>4.4870000000000001</v>
      </c>
      <c r="S2442" s="7">
        <f t="shared" si="38"/>
        <v>4.8235000000000001</v>
      </c>
    </row>
    <row r="2443" spans="1:19">
      <c r="A2443" s="5" t="str">
        <f>B2443&amp;"-"&amp;COUNTIF($B$2:B2443,B2443)</f>
        <v>PARA-24</v>
      </c>
      <c r="B2443" s="5" t="s">
        <v>1695</v>
      </c>
      <c r="C2443" s="5" t="s">
        <v>335</v>
      </c>
      <c r="D2443" s="6">
        <v>-473069</v>
      </c>
      <c r="E2443" s="6">
        <v>-13678</v>
      </c>
      <c r="F2443" s="7">
        <v>4.7750000000000004</v>
      </c>
      <c r="G2443" s="7">
        <v>4.3869999999999996</v>
      </c>
      <c r="H2443" s="7">
        <v>4.2430000000000003</v>
      </c>
      <c r="I2443" s="7">
        <v>4.2670000000000003</v>
      </c>
      <c r="J2443" s="7">
        <v>4.34</v>
      </c>
      <c r="K2443" s="7">
        <v>4.5620000000000003</v>
      </c>
      <c r="L2443" s="7">
        <v>4.8360000000000003</v>
      </c>
      <c r="M2443" s="7">
        <v>5.0019999999999998</v>
      </c>
      <c r="N2443" s="7">
        <v>5.3040000000000003</v>
      </c>
      <c r="O2443" s="7">
        <v>5.4649999999999999</v>
      </c>
      <c r="P2443" s="7">
        <v>5.2389999999999999</v>
      </c>
      <c r="Q2443" s="7">
        <v>5.0209999999999999</v>
      </c>
      <c r="R2443" s="7">
        <v>4.6340000000000003</v>
      </c>
      <c r="S2443" s="7">
        <f t="shared" si="38"/>
        <v>4.7749999999999995</v>
      </c>
    </row>
    <row r="2444" spans="1:19">
      <c r="A2444" s="5" t="str">
        <f>B2444&amp;"-"&amp;COUNTIF($B$2:B2444,B2444)</f>
        <v>PARA-25</v>
      </c>
      <c r="B2444" s="5" t="s">
        <v>1695</v>
      </c>
      <c r="C2444" s="5" t="s">
        <v>4690</v>
      </c>
      <c r="D2444" s="6">
        <v>-46771</v>
      </c>
      <c r="E2444" s="6">
        <v>-1053</v>
      </c>
      <c r="F2444" s="7">
        <v>4.8369999999999997</v>
      </c>
      <c r="G2444" s="7">
        <v>4.6609999999999996</v>
      </c>
      <c r="H2444" s="7">
        <v>4.3520000000000003</v>
      </c>
      <c r="I2444" s="7">
        <v>4.18</v>
      </c>
      <c r="J2444" s="7">
        <v>4.194</v>
      </c>
      <c r="K2444" s="7">
        <v>4.4749999999999996</v>
      </c>
      <c r="L2444" s="7">
        <v>4.7469999999999999</v>
      </c>
      <c r="M2444" s="7">
        <v>4.8570000000000002</v>
      </c>
      <c r="N2444" s="7">
        <v>5.2649999999999997</v>
      </c>
      <c r="O2444" s="7">
        <v>5.5659999999999998</v>
      </c>
      <c r="P2444" s="7">
        <v>5.4589999999999996</v>
      </c>
      <c r="Q2444" s="7">
        <v>5.3029999999999999</v>
      </c>
      <c r="R2444" s="7">
        <v>4.9870000000000001</v>
      </c>
      <c r="S2444" s="7">
        <f t="shared" si="38"/>
        <v>4.8371666666666666</v>
      </c>
    </row>
    <row r="2445" spans="1:19">
      <c r="A2445" s="5" t="str">
        <f>B2445&amp;"-"&amp;COUNTIF($B$2:B2445,B2445)</f>
        <v>PARA-26</v>
      </c>
      <c r="B2445" s="5" t="s">
        <v>1695</v>
      </c>
      <c r="C2445" s="5" t="s">
        <v>1714</v>
      </c>
      <c r="D2445" s="6">
        <v>-525393</v>
      </c>
      <c r="E2445" s="6">
        <v>-32979</v>
      </c>
      <c r="F2445" s="7">
        <v>4.3780000000000001</v>
      </c>
      <c r="G2445" s="7">
        <v>4.1189999999999998</v>
      </c>
      <c r="H2445" s="7">
        <v>4.21</v>
      </c>
      <c r="I2445" s="7">
        <v>4.2640000000000002</v>
      </c>
      <c r="J2445" s="7">
        <v>4.2709999999999999</v>
      </c>
      <c r="K2445" s="7">
        <v>4.2519999999999998</v>
      </c>
      <c r="L2445" s="7">
        <v>4.4939999999999998</v>
      </c>
      <c r="M2445" s="7">
        <v>4.4690000000000003</v>
      </c>
      <c r="N2445" s="7">
        <v>4.7389999999999999</v>
      </c>
      <c r="O2445" s="7">
        <v>4.5819999999999999</v>
      </c>
      <c r="P2445" s="7">
        <v>4.5259999999999998</v>
      </c>
      <c r="Q2445" s="7">
        <v>4.4569999999999999</v>
      </c>
      <c r="R2445" s="7">
        <v>4.1539999999999999</v>
      </c>
      <c r="S2445" s="7">
        <f t="shared" si="38"/>
        <v>4.3780833333333335</v>
      </c>
    </row>
    <row r="2446" spans="1:19">
      <c r="A2446" s="5" t="str">
        <f>B2446&amp;"-"&amp;COUNTIF($B$2:B2446,B2446)</f>
        <v>PARA-27</v>
      </c>
      <c r="B2446" s="5" t="s">
        <v>1695</v>
      </c>
      <c r="C2446" s="5" t="s">
        <v>1715</v>
      </c>
      <c r="D2446" s="6">
        <v>-484027</v>
      </c>
      <c r="E2446" s="6">
        <v>-56987</v>
      </c>
      <c r="F2446" s="7">
        <v>4.923</v>
      </c>
      <c r="G2446" s="7">
        <v>4.5979999999999999</v>
      </c>
      <c r="H2446" s="7">
        <v>4.7450000000000001</v>
      </c>
      <c r="I2446" s="7">
        <v>4.7450000000000001</v>
      </c>
      <c r="J2446" s="7">
        <v>4.7060000000000004</v>
      </c>
      <c r="K2446" s="7">
        <v>4.7149999999999999</v>
      </c>
      <c r="L2446" s="7">
        <v>5.0369999999999999</v>
      </c>
      <c r="M2446" s="7">
        <v>5.2389999999999999</v>
      </c>
      <c r="N2446" s="7">
        <v>5.6849999999999996</v>
      </c>
      <c r="O2446" s="7">
        <v>5.4329999999999998</v>
      </c>
      <c r="P2446" s="7">
        <v>4.9089999999999998</v>
      </c>
      <c r="Q2446" s="7">
        <v>4.7270000000000003</v>
      </c>
      <c r="R2446" s="7">
        <v>4.54</v>
      </c>
      <c r="S2446" s="7">
        <f t="shared" si="38"/>
        <v>4.9232500000000003</v>
      </c>
    </row>
    <row r="2447" spans="1:19">
      <c r="A2447" s="5" t="str">
        <f>B2447&amp;"-"&amp;COUNTIF($B$2:B2447,B2447)</f>
        <v>PARA-28</v>
      </c>
      <c r="B2447" s="5" t="s">
        <v>1695</v>
      </c>
      <c r="C2447" s="5" t="s">
        <v>1716</v>
      </c>
      <c r="D2447" s="6">
        <v>-495738</v>
      </c>
      <c r="E2447" s="6">
        <v>-37723</v>
      </c>
      <c r="F2447" s="7">
        <v>4.6449999999999996</v>
      </c>
      <c r="G2447" s="7">
        <v>4.3239999999999998</v>
      </c>
      <c r="H2447" s="7">
        <v>4.5279999999999996</v>
      </c>
      <c r="I2447" s="7">
        <v>4.5620000000000003</v>
      </c>
      <c r="J2447" s="7">
        <v>4.6269999999999998</v>
      </c>
      <c r="K2447" s="7">
        <v>4.5739999999999998</v>
      </c>
      <c r="L2447" s="7">
        <v>4.8</v>
      </c>
      <c r="M2447" s="7">
        <v>4.8970000000000002</v>
      </c>
      <c r="N2447" s="7">
        <v>5.2</v>
      </c>
      <c r="O2447" s="7">
        <v>4.9420000000000002</v>
      </c>
      <c r="P2447" s="7">
        <v>4.5919999999999996</v>
      </c>
      <c r="Q2447" s="7">
        <v>4.4829999999999997</v>
      </c>
      <c r="R2447" s="7">
        <v>4.21</v>
      </c>
      <c r="S2447" s="7">
        <f t="shared" si="38"/>
        <v>4.644916666666667</v>
      </c>
    </row>
    <row r="2448" spans="1:19">
      <c r="A2448" s="5" t="str">
        <f>B2448&amp;"-"&amp;COUNTIF($B$2:B2448,B2448)</f>
        <v>PARA-29</v>
      </c>
      <c r="B2448" s="5" t="s">
        <v>1695</v>
      </c>
      <c r="C2448" s="5" t="s">
        <v>1717</v>
      </c>
      <c r="D2448" s="6">
        <v>-504795</v>
      </c>
      <c r="E2448" s="6">
        <v>-16807</v>
      </c>
      <c r="F2448" s="7">
        <v>4.7249999999999996</v>
      </c>
      <c r="G2448" s="7">
        <v>4.3970000000000002</v>
      </c>
      <c r="H2448" s="7">
        <v>4.32</v>
      </c>
      <c r="I2448" s="7">
        <v>4.3040000000000003</v>
      </c>
      <c r="J2448" s="7">
        <v>4.415</v>
      </c>
      <c r="K2448" s="7">
        <v>4.5979999999999999</v>
      </c>
      <c r="L2448" s="7">
        <v>4.8289999999999997</v>
      </c>
      <c r="M2448" s="7">
        <v>4.9160000000000004</v>
      </c>
      <c r="N2448" s="7">
        <v>5.2290000000000001</v>
      </c>
      <c r="O2448" s="7">
        <v>5.1449999999999996</v>
      </c>
      <c r="P2448" s="7">
        <v>5.0549999999999997</v>
      </c>
      <c r="Q2448" s="7">
        <v>4.97</v>
      </c>
      <c r="R2448" s="7">
        <v>4.5220000000000002</v>
      </c>
      <c r="S2448" s="7">
        <f t="shared" si="38"/>
        <v>4.7250000000000005</v>
      </c>
    </row>
    <row r="2449" spans="1:19">
      <c r="A2449" s="5" t="str">
        <f>B2449&amp;"-"&amp;COUNTIF($B$2:B2449,B2449)</f>
        <v>PARA-30</v>
      </c>
      <c r="B2449" s="5" t="s">
        <v>1695</v>
      </c>
      <c r="C2449" s="5" t="s">
        <v>1718</v>
      </c>
      <c r="D2449" s="6">
        <v>-480384</v>
      </c>
      <c r="E2449" s="6">
        <v>-1518</v>
      </c>
      <c r="F2449" s="7">
        <v>4.8470000000000004</v>
      </c>
      <c r="G2449" s="7">
        <v>4.4269999999999996</v>
      </c>
      <c r="H2449" s="7">
        <v>4.3769999999999998</v>
      </c>
      <c r="I2449" s="7">
        <v>4.383</v>
      </c>
      <c r="J2449" s="7">
        <v>4.3940000000000001</v>
      </c>
      <c r="K2449" s="7">
        <v>4.7</v>
      </c>
      <c r="L2449" s="7">
        <v>4.9939999999999998</v>
      </c>
      <c r="M2449" s="7">
        <v>5.1109999999999998</v>
      </c>
      <c r="N2449" s="7">
        <v>5.4169999999999998</v>
      </c>
      <c r="O2449" s="7">
        <v>5.4320000000000004</v>
      </c>
      <c r="P2449" s="7">
        <v>5.3010000000000002</v>
      </c>
      <c r="Q2449" s="7">
        <v>4.9980000000000002</v>
      </c>
      <c r="R2449" s="7">
        <v>4.6319999999999997</v>
      </c>
      <c r="S2449" s="7">
        <f t="shared" si="38"/>
        <v>4.8471666666666664</v>
      </c>
    </row>
    <row r="2450" spans="1:19">
      <c r="A2450" s="5" t="str">
        <f>B2450&amp;"-"&amp;COUNTIF($B$2:B2450,B2450)</f>
        <v>PARA-31</v>
      </c>
      <c r="B2450" s="5" t="s">
        <v>1695</v>
      </c>
      <c r="C2450" s="5" t="s">
        <v>1719</v>
      </c>
      <c r="D2450" s="6">
        <v>-489603</v>
      </c>
      <c r="E2450" s="6">
        <v>-10111</v>
      </c>
      <c r="F2450" s="7">
        <v>4.8319999999999999</v>
      </c>
      <c r="G2450" s="7">
        <v>4.4450000000000003</v>
      </c>
      <c r="H2450" s="7">
        <v>4.2939999999999996</v>
      </c>
      <c r="I2450" s="7">
        <v>4.3579999999999997</v>
      </c>
      <c r="J2450" s="7">
        <v>4.4329999999999998</v>
      </c>
      <c r="K2450" s="7">
        <v>4.8250000000000002</v>
      </c>
      <c r="L2450" s="7">
        <v>4.9320000000000004</v>
      </c>
      <c r="M2450" s="7">
        <v>5.0629999999999997</v>
      </c>
      <c r="N2450" s="7">
        <v>5.2350000000000003</v>
      </c>
      <c r="O2450" s="7">
        <v>5.46</v>
      </c>
      <c r="P2450" s="7">
        <v>5.2069999999999999</v>
      </c>
      <c r="Q2450" s="7">
        <v>5.0759999999999996</v>
      </c>
      <c r="R2450" s="7">
        <v>4.6559999999999997</v>
      </c>
      <c r="S2450" s="7">
        <f t="shared" si="38"/>
        <v>4.8319999999999999</v>
      </c>
    </row>
    <row r="2451" spans="1:19">
      <c r="A2451" s="5" t="str">
        <f>B2451&amp;"-"&amp;COUNTIF($B$2:B2451,B2451)</f>
        <v>PARA-32</v>
      </c>
      <c r="B2451" s="5" t="s">
        <v>1695</v>
      </c>
      <c r="C2451" s="5" t="s">
        <v>5621</v>
      </c>
      <c r="D2451" s="6">
        <v>-465463</v>
      </c>
      <c r="E2451" s="6">
        <v>-17601</v>
      </c>
      <c r="F2451" s="7">
        <v>4.7919999999999998</v>
      </c>
      <c r="G2451" s="7">
        <v>4.4820000000000002</v>
      </c>
      <c r="H2451" s="7">
        <v>4.3440000000000003</v>
      </c>
      <c r="I2451" s="7">
        <v>4.3250000000000002</v>
      </c>
      <c r="J2451" s="7">
        <v>4.4089999999999998</v>
      </c>
      <c r="K2451" s="7">
        <v>4.5620000000000003</v>
      </c>
      <c r="L2451" s="7">
        <v>4.7889999999999997</v>
      </c>
      <c r="M2451" s="7">
        <v>4.95</v>
      </c>
      <c r="N2451" s="7">
        <v>5.3259999999999996</v>
      </c>
      <c r="O2451" s="7">
        <v>5.5149999999999997</v>
      </c>
      <c r="P2451" s="7">
        <v>5.2210000000000001</v>
      </c>
      <c r="Q2451" s="7">
        <v>5.0010000000000003</v>
      </c>
      <c r="R2451" s="7">
        <v>4.5830000000000002</v>
      </c>
      <c r="S2451" s="7">
        <f t="shared" si="38"/>
        <v>4.7922500000000001</v>
      </c>
    </row>
    <row r="2452" spans="1:19">
      <c r="A2452" s="5" t="str">
        <f>B2452&amp;"-"&amp;COUNTIF($B$2:B2452,B2452)</f>
        <v>PARA-33</v>
      </c>
      <c r="B2452" s="5" t="s">
        <v>1695</v>
      </c>
      <c r="C2452" s="5" t="s">
        <v>5622</v>
      </c>
      <c r="D2452" s="6">
        <v>-494983</v>
      </c>
      <c r="E2452" s="6">
        <v>-22433</v>
      </c>
      <c r="F2452" s="7">
        <v>5.0110000000000001</v>
      </c>
      <c r="G2452" s="7">
        <v>4.6269999999999998</v>
      </c>
      <c r="H2452" s="7">
        <v>4.6820000000000004</v>
      </c>
      <c r="I2452" s="7">
        <v>4.742</v>
      </c>
      <c r="J2452" s="7">
        <v>4.8179999999999996</v>
      </c>
      <c r="K2452" s="7">
        <v>4.9249999999999998</v>
      </c>
      <c r="L2452" s="7">
        <v>5.0439999999999996</v>
      </c>
      <c r="M2452" s="7">
        <v>5.08</v>
      </c>
      <c r="N2452" s="7">
        <v>5.3929999999999998</v>
      </c>
      <c r="O2452" s="7">
        <v>5.4859999999999998</v>
      </c>
      <c r="P2452" s="7">
        <v>5.3129999999999997</v>
      </c>
      <c r="Q2452" s="7">
        <v>5.2</v>
      </c>
      <c r="R2452" s="7">
        <v>4.819</v>
      </c>
      <c r="S2452" s="7">
        <f t="shared" si="38"/>
        <v>5.0107500000000007</v>
      </c>
    </row>
    <row r="2453" spans="1:19">
      <c r="A2453" s="5" t="str">
        <f>B2453&amp;"-"&amp;COUNTIF($B$2:B2453,B2453)</f>
        <v>PARA-34</v>
      </c>
      <c r="B2453" s="5" t="s">
        <v>1695</v>
      </c>
      <c r="C2453" s="5" t="s">
        <v>5623</v>
      </c>
      <c r="D2453" s="6">
        <v>-49878</v>
      </c>
      <c r="E2453" s="6">
        <v>-6497</v>
      </c>
      <c r="F2453" s="7">
        <v>4.9089999999999998</v>
      </c>
      <c r="G2453" s="7">
        <v>4.6740000000000004</v>
      </c>
      <c r="H2453" s="7">
        <v>4.8040000000000003</v>
      </c>
      <c r="I2453" s="7">
        <v>4.7389999999999999</v>
      </c>
      <c r="J2453" s="7">
        <v>4.6829999999999998</v>
      </c>
      <c r="K2453" s="7">
        <v>4.774</v>
      </c>
      <c r="L2453" s="7">
        <v>4.9749999999999996</v>
      </c>
      <c r="M2453" s="7">
        <v>5.0469999999999997</v>
      </c>
      <c r="N2453" s="7">
        <v>5.5110000000000001</v>
      </c>
      <c r="O2453" s="7">
        <v>5.3529999999999998</v>
      </c>
      <c r="P2453" s="7">
        <v>4.968</v>
      </c>
      <c r="Q2453" s="7">
        <v>4.7439999999999998</v>
      </c>
      <c r="R2453" s="7">
        <v>4.6399999999999997</v>
      </c>
      <c r="S2453" s="7">
        <f t="shared" si="38"/>
        <v>4.9093333333333335</v>
      </c>
    </row>
    <row r="2454" spans="1:19">
      <c r="A2454" s="5" t="str">
        <f>B2454&amp;"-"&amp;COUNTIF($B$2:B2454,B2454)</f>
        <v>PARA-35</v>
      </c>
      <c r="B2454" s="5" t="s">
        <v>1695</v>
      </c>
      <c r="C2454" s="5" t="s">
        <v>1720</v>
      </c>
      <c r="D2454" s="6">
        <v>-471781</v>
      </c>
      <c r="E2454" s="6">
        <v>-12057</v>
      </c>
      <c r="F2454" s="7">
        <v>4.75</v>
      </c>
      <c r="G2454" s="7">
        <v>4.41</v>
      </c>
      <c r="H2454" s="7">
        <v>4.2119999999999997</v>
      </c>
      <c r="I2454" s="7">
        <v>4.16</v>
      </c>
      <c r="J2454" s="7">
        <v>4.2649999999999997</v>
      </c>
      <c r="K2454" s="7">
        <v>4.5179999999999998</v>
      </c>
      <c r="L2454" s="7">
        <v>4.7549999999999999</v>
      </c>
      <c r="M2454" s="7">
        <v>4.8840000000000003</v>
      </c>
      <c r="N2454" s="7">
        <v>5.218</v>
      </c>
      <c r="O2454" s="7">
        <v>5.5019999999999998</v>
      </c>
      <c r="P2454" s="7">
        <v>5.2939999999999996</v>
      </c>
      <c r="Q2454" s="7">
        <v>5.0659999999999998</v>
      </c>
      <c r="R2454" s="7">
        <v>4.7119999999999997</v>
      </c>
      <c r="S2454" s="7">
        <f t="shared" si="38"/>
        <v>4.7496666666666663</v>
      </c>
    </row>
    <row r="2455" spans="1:19">
      <c r="A2455" s="5" t="str">
        <f>B2455&amp;"-"&amp;COUNTIF($B$2:B2455,B2455)</f>
        <v>PARA-36</v>
      </c>
      <c r="B2455" s="5" t="s">
        <v>1695</v>
      </c>
      <c r="C2455" s="5" t="s">
        <v>4691</v>
      </c>
      <c r="D2455" s="6">
        <v>-470633</v>
      </c>
      <c r="E2455" s="6">
        <v>-17482</v>
      </c>
      <c r="F2455" s="7">
        <v>4.8550000000000004</v>
      </c>
      <c r="G2455" s="7">
        <v>4.593</v>
      </c>
      <c r="H2455" s="7">
        <v>4.3979999999999997</v>
      </c>
      <c r="I2455" s="7">
        <v>4.4509999999999996</v>
      </c>
      <c r="J2455" s="7">
        <v>4.4450000000000003</v>
      </c>
      <c r="K2455" s="7">
        <v>4.5670000000000002</v>
      </c>
      <c r="L2455" s="7">
        <v>4.9050000000000002</v>
      </c>
      <c r="M2455" s="7">
        <v>5.05</v>
      </c>
      <c r="N2455" s="7">
        <v>5.3449999999999998</v>
      </c>
      <c r="O2455" s="7">
        <v>5.508</v>
      </c>
      <c r="P2455" s="7">
        <v>5.2949999999999999</v>
      </c>
      <c r="Q2455" s="7">
        <v>5.0449999999999999</v>
      </c>
      <c r="R2455" s="7">
        <v>4.6550000000000002</v>
      </c>
      <c r="S2455" s="7">
        <f t="shared" si="38"/>
        <v>4.8547500000000001</v>
      </c>
    </row>
    <row r="2456" spans="1:19">
      <c r="A2456" s="5" t="str">
        <f>B2456&amp;"-"&amp;COUNTIF($B$2:B2456,B2456)</f>
        <v>PARA-37</v>
      </c>
      <c r="B2456" s="5" t="s">
        <v>1695</v>
      </c>
      <c r="C2456" s="5" t="s">
        <v>1721</v>
      </c>
      <c r="D2456" s="6">
        <v>-479171</v>
      </c>
      <c r="E2456" s="6">
        <v>-12983</v>
      </c>
      <c r="F2456" s="7">
        <v>4.71</v>
      </c>
      <c r="G2456" s="7">
        <v>4.3719999999999999</v>
      </c>
      <c r="H2456" s="7">
        <v>4.1970000000000001</v>
      </c>
      <c r="I2456" s="7">
        <v>4.2679999999999998</v>
      </c>
      <c r="J2456" s="7">
        <v>4.3159999999999998</v>
      </c>
      <c r="K2456" s="7">
        <v>4.5640000000000001</v>
      </c>
      <c r="L2456" s="7">
        <v>4.835</v>
      </c>
      <c r="M2456" s="7">
        <v>4.9550000000000001</v>
      </c>
      <c r="N2456" s="7">
        <v>5.2009999999999996</v>
      </c>
      <c r="O2456" s="7">
        <v>5.2809999999999997</v>
      </c>
      <c r="P2456" s="7">
        <v>5.109</v>
      </c>
      <c r="Q2456" s="7">
        <v>4.907</v>
      </c>
      <c r="R2456" s="7">
        <v>4.5149999999999997</v>
      </c>
      <c r="S2456" s="7">
        <f t="shared" si="38"/>
        <v>4.71</v>
      </c>
    </row>
    <row r="2457" spans="1:19">
      <c r="A2457" s="5" t="str">
        <f>B2457&amp;"-"&amp;COUNTIF($B$2:B2457,B2457)</f>
        <v>PARA-38</v>
      </c>
      <c r="B2457" s="5" t="s">
        <v>1695</v>
      </c>
      <c r="C2457" s="5" t="s">
        <v>1722</v>
      </c>
      <c r="D2457" s="6">
        <v>-499874</v>
      </c>
      <c r="E2457" s="5" t="s">
        <v>1723</v>
      </c>
      <c r="F2457" s="7">
        <v>4.8150000000000004</v>
      </c>
      <c r="G2457" s="7">
        <v>4.4939999999999998</v>
      </c>
      <c r="H2457" s="7">
        <v>4.08</v>
      </c>
      <c r="I2457" s="7">
        <v>4.0039999999999996</v>
      </c>
      <c r="J2457" s="7">
        <v>4.0419999999999998</v>
      </c>
      <c r="K2457" s="7">
        <v>4.5289999999999999</v>
      </c>
      <c r="L2457" s="7">
        <v>4.9139999999999997</v>
      </c>
      <c r="M2457" s="7">
        <v>5.069</v>
      </c>
      <c r="N2457" s="7">
        <v>5.3879999999999999</v>
      </c>
      <c r="O2457" s="7">
        <v>5.6219999999999999</v>
      </c>
      <c r="P2457" s="7">
        <v>5.5030000000000001</v>
      </c>
      <c r="Q2457" s="7">
        <v>5.35</v>
      </c>
      <c r="R2457" s="7">
        <v>4.7880000000000003</v>
      </c>
      <c r="S2457" s="7">
        <f t="shared" si="38"/>
        <v>4.8152499999999998</v>
      </c>
    </row>
    <row r="2458" spans="1:19">
      <c r="A2458" s="5" t="str">
        <f>B2458&amp;"-"&amp;COUNTIF($B$2:B2458,B2458)</f>
        <v>PARA-39</v>
      </c>
      <c r="B2458" s="5" t="s">
        <v>1695</v>
      </c>
      <c r="C2458" s="5" t="s">
        <v>1724</v>
      </c>
      <c r="D2458" s="6">
        <v>-482808</v>
      </c>
      <c r="E2458" s="5" t="s">
        <v>1725</v>
      </c>
      <c r="F2458" s="7">
        <v>4.7050000000000001</v>
      </c>
      <c r="G2458" s="7">
        <v>4.3499999999999996</v>
      </c>
      <c r="H2458" s="7">
        <v>4.1289999999999996</v>
      </c>
      <c r="I2458" s="7">
        <v>4.0949999999999998</v>
      </c>
      <c r="J2458" s="7">
        <v>4.1459999999999999</v>
      </c>
      <c r="K2458" s="7">
        <v>4.4550000000000001</v>
      </c>
      <c r="L2458" s="7">
        <v>4.6920000000000002</v>
      </c>
      <c r="M2458" s="7">
        <v>4.8140000000000001</v>
      </c>
      <c r="N2458" s="7">
        <v>5.1079999999999997</v>
      </c>
      <c r="O2458" s="7">
        <v>5.4020000000000001</v>
      </c>
      <c r="P2458" s="7">
        <v>5.33</v>
      </c>
      <c r="Q2458" s="7">
        <v>5.2329999999999997</v>
      </c>
      <c r="R2458" s="7">
        <v>4.7060000000000004</v>
      </c>
      <c r="S2458" s="7">
        <f t="shared" si="38"/>
        <v>4.7049999999999992</v>
      </c>
    </row>
    <row r="2459" spans="1:19">
      <c r="A2459" s="5" t="str">
        <f>B2459&amp;"-"&amp;COUNTIF($B$2:B2459,B2459)</f>
        <v>PARA-40</v>
      </c>
      <c r="B2459" s="5" t="s">
        <v>1695</v>
      </c>
      <c r="C2459" s="5" t="s">
        <v>5624</v>
      </c>
      <c r="D2459" s="6">
        <v>-479426</v>
      </c>
      <c r="E2459" s="6">
        <v>-19928</v>
      </c>
      <c r="F2459" s="7">
        <v>4.8739999999999997</v>
      </c>
      <c r="G2459" s="7">
        <v>4.58</v>
      </c>
      <c r="H2459" s="7">
        <v>4.5609999999999999</v>
      </c>
      <c r="I2459" s="7">
        <v>4.5910000000000002</v>
      </c>
      <c r="J2459" s="7">
        <v>4.5869999999999997</v>
      </c>
      <c r="K2459" s="7">
        <v>4.7</v>
      </c>
      <c r="L2459" s="7">
        <v>4.9050000000000002</v>
      </c>
      <c r="M2459" s="7">
        <v>5.0309999999999997</v>
      </c>
      <c r="N2459" s="7">
        <v>5.343</v>
      </c>
      <c r="O2459" s="7">
        <v>5.3730000000000002</v>
      </c>
      <c r="P2459" s="7">
        <v>5.2039999999999997</v>
      </c>
      <c r="Q2459" s="7">
        <v>4.95</v>
      </c>
      <c r="R2459" s="7">
        <v>4.6660000000000004</v>
      </c>
      <c r="S2459" s="7">
        <f t="shared" si="38"/>
        <v>4.87425</v>
      </c>
    </row>
    <row r="2460" spans="1:19">
      <c r="A2460" s="5" t="str">
        <f>B2460&amp;"-"&amp;COUNTIF($B$2:B2460,B2460)</f>
        <v>PARA-41</v>
      </c>
      <c r="B2460" s="5" t="s">
        <v>1695</v>
      </c>
      <c r="C2460" s="5" t="s">
        <v>4692</v>
      </c>
      <c r="D2460" s="6">
        <v>-492693</v>
      </c>
      <c r="E2460" s="6">
        <v>-82618</v>
      </c>
      <c r="F2460" s="7">
        <v>5.0789999999999997</v>
      </c>
      <c r="G2460" s="7">
        <v>4.7919999999999998</v>
      </c>
      <c r="H2460" s="7">
        <v>4.9269999999999996</v>
      </c>
      <c r="I2460" s="7">
        <v>4.8150000000000004</v>
      </c>
      <c r="J2460" s="7">
        <v>4.7229999999999999</v>
      </c>
      <c r="K2460" s="7">
        <v>4.915</v>
      </c>
      <c r="L2460" s="7">
        <v>5.1289999999999996</v>
      </c>
      <c r="M2460" s="7">
        <v>5.2619999999999996</v>
      </c>
      <c r="N2460" s="7">
        <v>5.89</v>
      </c>
      <c r="O2460" s="7">
        <v>5.6580000000000004</v>
      </c>
      <c r="P2460" s="7">
        <v>5.15</v>
      </c>
      <c r="Q2460" s="7">
        <v>4.8879999999999999</v>
      </c>
      <c r="R2460" s="7">
        <v>4.79</v>
      </c>
      <c r="S2460" s="7">
        <f t="shared" si="38"/>
        <v>5.0782499999999997</v>
      </c>
    </row>
    <row r="2461" spans="1:19">
      <c r="A2461" s="5" t="str">
        <f>B2461&amp;"-"&amp;COUNTIF($B$2:B2461,B2461)</f>
        <v>PARA-42</v>
      </c>
      <c r="B2461" s="5" t="s">
        <v>1695</v>
      </c>
      <c r="C2461" s="5" t="s">
        <v>1726</v>
      </c>
      <c r="D2461" s="6">
        <v>-507702</v>
      </c>
      <c r="E2461" s="6">
        <v>-78114</v>
      </c>
      <c r="F2461" s="7">
        <v>4.8029999999999999</v>
      </c>
      <c r="G2461" s="7">
        <v>4.6100000000000003</v>
      </c>
      <c r="H2461" s="7">
        <v>4.6710000000000003</v>
      </c>
      <c r="I2461" s="7">
        <v>4.5019999999999998</v>
      </c>
      <c r="J2461" s="7">
        <v>4.4779999999999998</v>
      </c>
      <c r="K2461" s="7">
        <v>4.6890000000000001</v>
      </c>
      <c r="L2461" s="7">
        <v>5.01</v>
      </c>
      <c r="M2461" s="7">
        <v>5.0570000000000004</v>
      </c>
      <c r="N2461" s="7">
        <v>5.5750000000000002</v>
      </c>
      <c r="O2461" s="7">
        <v>5.1680000000000001</v>
      </c>
      <c r="P2461" s="7">
        <v>4.7439999999999998</v>
      </c>
      <c r="Q2461" s="7">
        <v>4.6449999999999996</v>
      </c>
      <c r="R2461" s="7">
        <v>4.484</v>
      </c>
      <c r="S2461" s="7">
        <f t="shared" si="38"/>
        <v>4.8027500000000005</v>
      </c>
    </row>
    <row r="2462" spans="1:19">
      <c r="A2462" s="5" t="str">
        <f>B2462&amp;"-"&amp;COUNTIF($B$2:B2462,B2462)</f>
        <v>PARA-43</v>
      </c>
      <c r="B2462" s="5" t="s">
        <v>1695</v>
      </c>
      <c r="C2462" s="5" t="s">
        <v>5150</v>
      </c>
      <c r="D2462" s="6">
        <v>-496033</v>
      </c>
      <c r="E2462" s="6">
        <v>-6095</v>
      </c>
      <c r="F2462" s="7">
        <v>4.7629999999999999</v>
      </c>
      <c r="G2462" s="7">
        <v>4.4580000000000002</v>
      </c>
      <c r="H2462" s="7">
        <v>4.6669999999999998</v>
      </c>
      <c r="I2462" s="7">
        <v>4.524</v>
      </c>
      <c r="J2462" s="7">
        <v>4.6399999999999997</v>
      </c>
      <c r="K2462" s="7">
        <v>4.7080000000000002</v>
      </c>
      <c r="L2462" s="7">
        <v>4.9560000000000004</v>
      </c>
      <c r="M2462" s="7">
        <v>5.0609999999999999</v>
      </c>
      <c r="N2462" s="7">
        <v>5.5250000000000004</v>
      </c>
      <c r="O2462" s="7">
        <v>5.1479999999999997</v>
      </c>
      <c r="P2462" s="7">
        <v>4.6769999999999996</v>
      </c>
      <c r="Q2462" s="7">
        <v>4.4669999999999996</v>
      </c>
      <c r="R2462" s="7">
        <v>4.3209999999999997</v>
      </c>
      <c r="S2462" s="7">
        <f t="shared" si="38"/>
        <v>4.7626666666666662</v>
      </c>
    </row>
    <row r="2463" spans="1:19">
      <c r="A2463" s="5" t="str">
        <f>B2463&amp;"-"&amp;COUNTIF($B$2:B2463,B2463)</f>
        <v>PARA-44</v>
      </c>
      <c r="B2463" s="5" t="s">
        <v>1695</v>
      </c>
      <c r="C2463" s="5" t="s">
        <v>1727</v>
      </c>
      <c r="D2463" s="6">
        <v>-497985</v>
      </c>
      <c r="E2463" s="6">
        <v>-18103</v>
      </c>
      <c r="F2463" s="7">
        <v>5.077</v>
      </c>
      <c r="G2463" s="7">
        <v>4.6420000000000003</v>
      </c>
      <c r="H2463" s="7">
        <v>4.6369999999999996</v>
      </c>
      <c r="I2463" s="7">
        <v>4.78</v>
      </c>
      <c r="J2463" s="7">
        <v>4.7560000000000002</v>
      </c>
      <c r="K2463" s="7">
        <v>4.9989999999999997</v>
      </c>
      <c r="L2463" s="7">
        <v>5.15</v>
      </c>
      <c r="M2463" s="7">
        <v>5.12</v>
      </c>
      <c r="N2463" s="7">
        <v>5.3840000000000003</v>
      </c>
      <c r="O2463" s="7">
        <v>5.5919999999999996</v>
      </c>
      <c r="P2463" s="7">
        <v>5.5519999999999996</v>
      </c>
      <c r="Q2463" s="7">
        <v>5.3769999999999998</v>
      </c>
      <c r="R2463" s="7">
        <v>4.9329999999999998</v>
      </c>
      <c r="S2463" s="7">
        <f t="shared" si="38"/>
        <v>5.0768333333333331</v>
      </c>
    </row>
    <row r="2464" spans="1:19">
      <c r="A2464" s="5" t="str">
        <f>B2464&amp;"-"&amp;COUNTIF($B$2:B2464,B2464)</f>
        <v>PARA-45</v>
      </c>
      <c r="B2464" s="5" t="s">
        <v>1695</v>
      </c>
      <c r="C2464" s="5" t="s">
        <v>5625</v>
      </c>
      <c r="D2464" s="6">
        <v>-551173</v>
      </c>
      <c r="E2464" s="6">
        <v>-18881</v>
      </c>
      <c r="F2464" s="7">
        <v>4.88</v>
      </c>
      <c r="G2464" s="7">
        <v>4.532</v>
      </c>
      <c r="H2464" s="7">
        <v>4.6130000000000004</v>
      </c>
      <c r="I2464" s="7">
        <v>4.5149999999999997</v>
      </c>
      <c r="J2464" s="7">
        <v>4.4560000000000004</v>
      </c>
      <c r="K2464" s="7">
        <v>4.5910000000000002</v>
      </c>
      <c r="L2464" s="7">
        <v>4.9160000000000004</v>
      </c>
      <c r="M2464" s="7">
        <v>4.8109999999999999</v>
      </c>
      <c r="N2464" s="7">
        <v>5.3319999999999999</v>
      </c>
      <c r="O2464" s="7">
        <v>5.3280000000000003</v>
      </c>
      <c r="P2464" s="7">
        <v>5.4489999999999998</v>
      </c>
      <c r="Q2464" s="7">
        <v>5.2729999999999997</v>
      </c>
      <c r="R2464" s="7">
        <v>4.7450000000000001</v>
      </c>
      <c r="S2464" s="7">
        <f t="shared" si="38"/>
        <v>4.8800833333333333</v>
      </c>
    </row>
    <row r="2465" spans="1:19">
      <c r="A2465" s="5" t="str">
        <f>B2465&amp;"-"&amp;COUNTIF($B$2:B2465,B2465)</f>
        <v>PARA-46</v>
      </c>
      <c r="B2465" s="5" t="s">
        <v>1695</v>
      </c>
      <c r="C2465" s="5" t="s">
        <v>5626</v>
      </c>
      <c r="D2465" s="6">
        <v>-478519</v>
      </c>
      <c r="E2465" s="5" t="s">
        <v>1728</v>
      </c>
      <c r="F2465" s="7">
        <v>4.8250000000000002</v>
      </c>
      <c r="G2465" s="7">
        <v>4.5890000000000004</v>
      </c>
      <c r="H2465" s="7">
        <v>4.2489999999999997</v>
      </c>
      <c r="I2465" s="7">
        <v>4.1369999999999996</v>
      </c>
      <c r="J2465" s="7">
        <v>4.2160000000000002</v>
      </c>
      <c r="K2465" s="7">
        <v>4.4870000000000001</v>
      </c>
      <c r="L2465" s="7">
        <v>4.8079999999999998</v>
      </c>
      <c r="M2465" s="7">
        <v>4.915</v>
      </c>
      <c r="N2465" s="7">
        <v>5.2569999999999997</v>
      </c>
      <c r="O2465" s="7">
        <v>5.484</v>
      </c>
      <c r="P2465" s="7">
        <v>5.4219999999999997</v>
      </c>
      <c r="Q2465" s="7">
        <v>5.3449999999999998</v>
      </c>
      <c r="R2465" s="7">
        <v>4.9930000000000003</v>
      </c>
      <c r="S2465" s="7">
        <f t="shared" si="38"/>
        <v>4.825166666666667</v>
      </c>
    </row>
    <row r="2466" spans="1:19">
      <c r="A2466" s="5" t="str">
        <f>B2466&amp;"-"&amp;COUNTIF($B$2:B2466,B2466)</f>
        <v>PARA-47</v>
      </c>
      <c r="B2466" s="5" t="s">
        <v>1695</v>
      </c>
      <c r="C2466" s="5" t="s">
        <v>1729</v>
      </c>
      <c r="D2466" s="6">
        <v>-475514</v>
      </c>
      <c r="E2466" s="6">
        <v>-42962</v>
      </c>
      <c r="F2466" s="7">
        <v>4.78</v>
      </c>
      <c r="G2466" s="7">
        <v>4.452</v>
      </c>
      <c r="H2466" s="7">
        <v>4.665</v>
      </c>
      <c r="I2466" s="7">
        <v>4.6520000000000001</v>
      </c>
      <c r="J2466" s="7">
        <v>4.7709999999999999</v>
      </c>
      <c r="K2466" s="7">
        <v>4.6769999999999996</v>
      </c>
      <c r="L2466" s="7">
        <v>4.8659999999999997</v>
      </c>
      <c r="M2466" s="7">
        <v>4.9080000000000004</v>
      </c>
      <c r="N2466" s="7">
        <v>5.1870000000000003</v>
      </c>
      <c r="O2466" s="7">
        <v>5.2220000000000004</v>
      </c>
      <c r="P2466" s="7">
        <v>4.8730000000000002</v>
      </c>
      <c r="Q2466" s="7">
        <v>4.5949999999999998</v>
      </c>
      <c r="R2466" s="7">
        <v>4.49</v>
      </c>
      <c r="S2466" s="7">
        <f t="shared" si="38"/>
        <v>4.7798333333333334</v>
      </c>
    </row>
    <row r="2467" spans="1:19">
      <c r="A2467" s="5" t="str">
        <f>B2467&amp;"-"&amp;COUNTIF($B$2:B2467,B2467)</f>
        <v>PARA-48</v>
      </c>
      <c r="B2467" s="5" t="s">
        <v>1695</v>
      </c>
      <c r="C2467" s="5" t="s">
        <v>5627</v>
      </c>
      <c r="D2467" s="6">
        <v>-493556</v>
      </c>
      <c r="E2467" s="6">
        <v>-61043</v>
      </c>
      <c r="F2467" s="7">
        <v>4.9029999999999996</v>
      </c>
      <c r="G2467" s="7">
        <v>4.6109999999999998</v>
      </c>
      <c r="H2467" s="7">
        <v>4.7729999999999997</v>
      </c>
      <c r="I2467" s="7">
        <v>4.7</v>
      </c>
      <c r="J2467" s="7">
        <v>4.7249999999999996</v>
      </c>
      <c r="K2467" s="7">
        <v>4.7910000000000004</v>
      </c>
      <c r="L2467" s="7">
        <v>5.0549999999999997</v>
      </c>
      <c r="M2467" s="7">
        <v>5.1619999999999999</v>
      </c>
      <c r="N2467" s="7">
        <v>5.6040000000000001</v>
      </c>
      <c r="O2467" s="7">
        <v>5.2290000000000001</v>
      </c>
      <c r="P2467" s="7">
        <v>4.8899999999999997</v>
      </c>
      <c r="Q2467" s="7">
        <v>4.72</v>
      </c>
      <c r="R2467" s="7">
        <v>4.5739999999999998</v>
      </c>
      <c r="S2467" s="7">
        <f t="shared" si="38"/>
        <v>4.9028333333333327</v>
      </c>
    </row>
    <row r="2468" spans="1:19">
      <c r="A2468" s="5" t="str">
        <f>B2468&amp;"-"&amp;COUNTIF($B$2:B2468,B2468)</f>
        <v>PARA-49</v>
      </c>
      <c r="B2468" s="5" t="s">
        <v>1695</v>
      </c>
      <c r="C2468" s="5" t="s">
        <v>1730</v>
      </c>
      <c r="D2468" s="6">
        <v>-567409</v>
      </c>
      <c r="E2468" s="6">
        <v>-21684</v>
      </c>
      <c r="F2468" s="7">
        <v>4.6500000000000004</v>
      </c>
      <c r="G2468" s="7">
        <v>4.1580000000000004</v>
      </c>
      <c r="H2468" s="7">
        <v>4.1980000000000004</v>
      </c>
      <c r="I2468" s="7">
        <v>4.2140000000000004</v>
      </c>
      <c r="J2468" s="7">
        <v>4.09</v>
      </c>
      <c r="K2468" s="7">
        <v>4.1779999999999999</v>
      </c>
      <c r="L2468" s="7">
        <v>4.74</v>
      </c>
      <c r="M2468" s="7">
        <v>4.75</v>
      </c>
      <c r="N2468" s="7">
        <v>5.3259999999999996</v>
      </c>
      <c r="O2468" s="7">
        <v>5.2190000000000003</v>
      </c>
      <c r="P2468" s="7">
        <v>5.3040000000000003</v>
      </c>
      <c r="Q2468" s="7">
        <v>5.0839999999999996</v>
      </c>
      <c r="R2468" s="7">
        <v>4.5369999999999999</v>
      </c>
      <c r="S2468" s="7">
        <f t="shared" si="38"/>
        <v>4.6498333333333344</v>
      </c>
    </row>
    <row r="2469" spans="1:19">
      <c r="A2469" s="5" t="str">
        <f>B2469&amp;"-"&amp;COUNTIF($B$2:B2469,B2469)</f>
        <v>PARA-50</v>
      </c>
      <c r="B2469" s="5" t="s">
        <v>1695</v>
      </c>
      <c r="C2469" s="5" t="s">
        <v>1731</v>
      </c>
      <c r="D2469" s="6">
        <v>-497022</v>
      </c>
      <c r="E2469" s="6">
        <v>-75573</v>
      </c>
      <c r="F2469" s="7">
        <v>4.9539999999999997</v>
      </c>
      <c r="G2469" s="7">
        <v>4.7409999999999997</v>
      </c>
      <c r="H2469" s="7">
        <v>4.7869999999999999</v>
      </c>
      <c r="I2469" s="7">
        <v>4.6859999999999999</v>
      </c>
      <c r="J2469" s="7">
        <v>4.6379999999999999</v>
      </c>
      <c r="K2469" s="7">
        <v>4.7949999999999999</v>
      </c>
      <c r="L2469" s="7">
        <v>5.0380000000000003</v>
      </c>
      <c r="M2469" s="7">
        <v>5.1319999999999997</v>
      </c>
      <c r="N2469" s="7">
        <v>5.7220000000000004</v>
      </c>
      <c r="O2469" s="7">
        <v>5.4409999999999998</v>
      </c>
      <c r="P2469" s="7">
        <v>4.9960000000000004</v>
      </c>
      <c r="Q2469" s="7">
        <v>4.7699999999999996</v>
      </c>
      <c r="R2469" s="7">
        <v>4.7039999999999997</v>
      </c>
      <c r="S2469" s="7">
        <f t="shared" si="38"/>
        <v>4.9541666666666675</v>
      </c>
    </row>
    <row r="2470" spans="1:19">
      <c r="A2470" s="5" t="str">
        <f>B2470&amp;"-"&amp;COUNTIF($B$2:B2470,B2470)</f>
        <v>PARA-51</v>
      </c>
      <c r="B2470" s="5" t="s">
        <v>1695</v>
      </c>
      <c r="C2470" s="5" t="s">
        <v>4047</v>
      </c>
      <c r="D2470" s="6">
        <v>-470509</v>
      </c>
      <c r="E2470" s="6">
        <v>-19302</v>
      </c>
      <c r="F2470" s="7">
        <v>4.9329999999999998</v>
      </c>
      <c r="G2470" s="7">
        <v>4.6440000000000001</v>
      </c>
      <c r="H2470" s="7">
        <v>4.4560000000000004</v>
      </c>
      <c r="I2470" s="7">
        <v>4.54</v>
      </c>
      <c r="J2470" s="7">
        <v>4.5469999999999997</v>
      </c>
      <c r="K2470" s="7">
        <v>4.6719999999999997</v>
      </c>
      <c r="L2470" s="7">
        <v>4.9429999999999996</v>
      </c>
      <c r="M2470" s="7">
        <v>5.0819999999999999</v>
      </c>
      <c r="N2470" s="7">
        <v>5.4429999999999996</v>
      </c>
      <c r="O2470" s="7">
        <v>5.57</v>
      </c>
      <c r="P2470" s="7">
        <v>5.359</v>
      </c>
      <c r="Q2470" s="7">
        <v>5.165</v>
      </c>
      <c r="R2470" s="7">
        <v>4.7729999999999997</v>
      </c>
      <c r="S2470" s="7">
        <f t="shared" si="38"/>
        <v>4.9328333333333338</v>
      </c>
    </row>
    <row r="2471" spans="1:19">
      <c r="A2471" s="5" t="str">
        <f>B2471&amp;"-"&amp;COUNTIF($B$2:B2471,B2471)</f>
        <v>PARA-52</v>
      </c>
      <c r="B2471" s="5" t="s">
        <v>1695</v>
      </c>
      <c r="C2471" s="5" t="s">
        <v>5628</v>
      </c>
      <c r="D2471" s="6">
        <v>-490978</v>
      </c>
      <c r="E2471" s="6">
        <v>-38438</v>
      </c>
      <c r="F2471" s="7">
        <v>4.742</v>
      </c>
      <c r="G2471" s="7">
        <v>4.3849999999999998</v>
      </c>
      <c r="H2471" s="7">
        <v>4.5620000000000003</v>
      </c>
      <c r="I2471" s="7">
        <v>4.665</v>
      </c>
      <c r="J2471" s="7">
        <v>4.6470000000000002</v>
      </c>
      <c r="K2471" s="7">
        <v>4.6429999999999998</v>
      </c>
      <c r="L2471" s="7">
        <v>4.9409999999999998</v>
      </c>
      <c r="M2471" s="7">
        <v>4.9710000000000001</v>
      </c>
      <c r="N2471" s="7">
        <v>5.2309999999999999</v>
      </c>
      <c r="O2471" s="7">
        <v>5.0830000000000002</v>
      </c>
      <c r="P2471" s="7">
        <v>4.8159999999999998</v>
      </c>
      <c r="Q2471" s="7">
        <v>4.633</v>
      </c>
      <c r="R2471" s="7">
        <v>4.3289999999999997</v>
      </c>
      <c r="S2471" s="7">
        <f t="shared" si="38"/>
        <v>4.7421666666666669</v>
      </c>
    </row>
    <row r="2472" spans="1:19">
      <c r="A2472" s="5" t="str">
        <f>B2472&amp;"-"&amp;COUNTIF($B$2:B2472,B2472)</f>
        <v>PARA-53</v>
      </c>
      <c r="B2472" s="5" t="s">
        <v>1695</v>
      </c>
      <c r="C2472" s="5" t="s">
        <v>5629</v>
      </c>
      <c r="D2472" s="6">
        <v>-516309</v>
      </c>
      <c r="E2472" s="6">
        <v>-14127</v>
      </c>
      <c r="F2472" s="7">
        <v>4.7919999999999998</v>
      </c>
      <c r="G2472" s="7">
        <v>4.5129999999999999</v>
      </c>
      <c r="H2472" s="7">
        <v>4.3890000000000002</v>
      </c>
      <c r="I2472" s="7">
        <v>4.3869999999999996</v>
      </c>
      <c r="J2472" s="7">
        <v>4.4269999999999996</v>
      </c>
      <c r="K2472" s="7">
        <v>4.6260000000000003</v>
      </c>
      <c r="L2472" s="7">
        <v>4.8310000000000004</v>
      </c>
      <c r="M2472" s="7">
        <v>4.843</v>
      </c>
      <c r="N2472" s="7">
        <v>5.1630000000000003</v>
      </c>
      <c r="O2472" s="7">
        <v>5.3010000000000002</v>
      </c>
      <c r="P2472" s="7">
        <v>5.1929999999999996</v>
      </c>
      <c r="Q2472" s="7">
        <v>5.1719999999999997</v>
      </c>
      <c r="R2472" s="7">
        <v>4.6639999999999997</v>
      </c>
      <c r="S2472" s="7">
        <f t="shared" si="38"/>
        <v>4.792416666666667</v>
      </c>
    </row>
    <row r="2473" spans="1:19">
      <c r="A2473" s="5" t="str">
        <f>B2473&amp;"-"&amp;COUNTIF($B$2:B2473,B2473)</f>
        <v>PARA-54</v>
      </c>
      <c r="B2473" s="5" t="s">
        <v>1695</v>
      </c>
      <c r="C2473" s="5" t="s">
        <v>4693</v>
      </c>
      <c r="D2473" s="6">
        <v>-476231</v>
      </c>
      <c r="E2473" s="6">
        <v>-11266</v>
      </c>
      <c r="F2473" s="7">
        <v>4.7290000000000001</v>
      </c>
      <c r="G2473" s="7">
        <v>4.3559999999999999</v>
      </c>
      <c r="H2473" s="7">
        <v>4.1950000000000003</v>
      </c>
      <c r="I2473" s="7">
        <v>4.1360000000000001</v>
      </c>
      <c r="J2473" s="7">
        <v>4.266</v>
      </c>
      <c r="K2473" s="7">
        <v>4.5430000000000001</v>
      </c>
      <c r="L2473" s="7">
        <v>4.7939999999999996</v>
      </c>
      <c r="M2473" s="7">
        <v>4.9379999999999997</v>
      </c>
      <c r="N2473" s="7">
        <v>5.202</v>
      </c>
      <c r="O2473" s="7">
        <v>5.4119999999999999</v>
      </c>
      <c r="P2473" s="7">
        <v>5.234</v>
      </c>
      <c r="Q2473" s="7">
        <v>5.0510000000000002</v>
      </c>
      <c r="R2473" s="7">
        <v>4.6210000000000004</v>
      </c>
      <c r="S2473" s="7">
        <f t="shared" si="38"/>
        <v>4.7290000000000001</v>
      </c>
    </row>
    <row r="2474" spans="1:19">
      <c r="A2474" s="5" t="str">
        <f>B2474&amp;"-"&amp;COUNTIF($B$2:B2474,B2474)</f>
        <v>PARA-55</v>
      </c>
      <c r="B2474" s="5" t="s">
        <v>1695</v>
      </c>
      <c r="C2474" s="5" t="s">
        <v>4379</v>
      </c>
      <c r="D2474" s="6">
        <v>-489578</v>
      </c>
      <c r="E2474" s="6">
        <v>-19757</v>
      </c>
      <c r="F2474" s="7">
        <v>4.8380000000000001</v>
      </c>
      <c r="G2474" s="7">
        <v>4.4880000000000004</v>
      </c>
      <c r="H2474" s="7">
        <v>4.5220000000000002</v>
      </c>
      <c r="I2474" s="7">
        <v>4.5670000000000002</v>
      </c>
      <c r="J2474" s="7">
        <v>4.6269999999999998</v>
      </c>
      <c r="K2474" s="7">
        <v>4.7140000000000004</v>
      </c>
      <c r="L2474" s="7">
        <v>4.9249999999999998</v>
      </c>
      <c r="M2474" s="7">
        <v>5.0730000000000004</v>
      </c>
      <c r="N2474" s="7">
        <v>5.2880000000000003</v>
      </c>
      <c r="O2474" s="7">
        <v>5.2460000000000004</v>
      </c>
      <c r="P2474" s="7">
        <v>5.0549999999999997</v>
      </c>
      <c r="Q2474" s="7">
        <v>4.9119999999999999</v>
      </c>
      <c r="R2474" s="7">
        <v>4.6449999999999996</v>
      </c>
      <c r="S2474" s="7">
        <f t="shared" si="38"/>
        <v>4.8384999999999998</v>
      </c>
    </row>
    <row r="2475" spans="1:19">
      <c r="A2475" s="5" t="str">
        <f>B2475&amp;"-"&amp;COUNTIF($B$2:B2475,B2475)</f>
        <v>PARA-56</v>
      </c>
      <c r="B2475" s="5" t="s">
        <v>1695</v>
      </c>
      <c r="C2475" s="5" t="s">
        <v>1732</v>
      </c>
      <c r="D2475" s="6">
        <v>-479086</v>
      </c>
      <c r="E2475" s="6">
        <v>-14293</v>
      </c>
      <c r="F2475" s="7">
        <v>4.7610000000000001</v>
      </c>
      <c r="G2475" s="7">
        <v>4.3730000000000002</v>
      </c>
      <c r="H2475" s="7">
        <v>4.2770000000000001</v>
      </c>
      <c r="I2475" s="7">
        <v>4.3120000000000003</v>
      </c>
      <c r="J2475" s="7">
        <v>4.3129999999999997</v>
      </c>
      <c r="K2475" s="7">
        <v>4.5979999999999999</v>
      </c>
      <c r="L2475" s="7">
        <v>4.8810000000000002</v>
      </c>
      <c r="M2475" s="7">
        <v>4.9960000000000004</v>
      </c>
      <c r="N2475" s="7">
        <v>5.2930000000000001</v>
      </c>
      <c r="O2475" s="7">
        <v>5.3920000000000003</v>
      </c>
      <c r="P2475" s="7">
        <v>5.2060000000000004</v>
      </c>
      <c r="Q2475" s="7">
        <v>4.96</v>
      </c>
      <c r="R2475" s="7">
        <v>4.5289999999999999</v>
      </c>
      <c r="S2475" s="7">
        <f t="shared" si="38"/>
        <v>4.7608333333333341</v>
      </c>
    </row>
    <row r="2476" spans="1:19">
      <c r="A2476" s="5" t="str">
        <f>B2476&amp;"-"&amp;COUNTIF($B$2:B2476,B2476)</f>
        <v>PARA-57</v>
      </c>
      <c r="B2476" s="5" t="s">
        <v>1695</v>
      </c>
      <c r="C2476" s="5" t="s">
        <v>5630</v>
      </c>
      <c r="D2476" s="6">
        <v>-475006</v>
      </c>
      <c r="E2476" s="6">
        <v>-25562</v>
      </c>
      <c r="F2476" s="7">
        <v>4.8840000000000003</v>
      </c>
      <c r="G2476" s="7">
        <v>4.5759999999999996</v>
      </c>
      <c r="H2476" s="7">
        <v>4.6189999999999998</v>
      </c>
      <c r="I2476" s="7">
        <v>4.5839999999999996</v>
      </c>
      <c r="J2476" s="7">
        <v>4.6539999999999999</v>
      </c>
      <c r="K2476" s="7">
        <v>4.7220000000000004</v>
      </c>
      <c r="L2476" s="7">
        <v>4.9379999999999997</v>
      </c>
      <c r="M2476" s="7">
        <v>4.9969999999999999</v>
      </c>
      <c r="N2476" s="7">
        <v>5.3440000000000003</v>
      </c>
      <c r="O2476" s="7">
        <v>5.3730000000000002</v>
      </c>
      <c r="P2476" s="7">
        <v>5.2370000000000001</v>
      </c>
      <c r="Q2476" s="7">
        <v>4.9039999999999999</v>
      </c>
      <c r="R2476" s="7">
        <v>4.6559999999999997</v>
      </c>
      <c r="S2476" s="7">
        <f t="shared" si="38"/>
        <v>4.8836666666666675</v>
      </c>
    </row>
    <row r="2477" spans="1:19">
      <c r="A2477" s="5" t="str">
        <f>B2477&amp;"-"&amp;COUNTIF($B$2:B2477,B2477)</f>
        <v>PARA-58</v>
      </c>
      <c r="B2477" s="5" t="s">
        <v>1695</v>
      </c>
      <c r="C2477" s="5" t="s">
        <v>1733</v>
      </c>
      <c r="D2477" s="6">
        <v>-474464</v>
      </c>
      <c r="E2477" s="6">
        <v>-17702</v>
      </c>
      <c r="F2477" s="7">
        <v>4.8630000000000004</v>
      </c>
      <c r="G2477" s="7">
        <v>4.5069999999999997</v>
      </c>
      <c r="H2477" s="7">
        <v>4.5019999999999998</v>
      </c>
      <c r="I2477" s="7">
        <v>4.4489999999999998</v>
      </c>
      <c r="J2477" s="7">
        <v>4.5389999999999997</v>
      </c>
      <c r="K2477" s="7">
        <v>4.66</v>
      </c>
      <c r="L2477" s="7">
        <v>4.9569999999999999</v>
      </c>
      <c r="M2477" s="7">
        <v>5.0590000000000002</v>
      </c>
      <c r="N2477" s="7">
        <v>5.3570000000000002</v>
      </c>
      <c r="O2477" s="7">
        <v>5.4480000000000004</v>
      </c>
      <c r="P2477" s="7">
        <v>5.1989999999999998</v>
      </c>
      <c r="Q2477" s="7">
        <v>5.0659999999999998</v>
      </c>
      <c r="R2477" s="7">
        <v>4.6130000000000004</v>
      </c>
      <c r="S2477" s="7">
        <f t="shared" si="38"/>
        <v>4.8630000000000004</v>
      </c>
    </row>
    <row r="2478" spans="1:19">
      <c r="A2478" s="5" t="str">
        <f>B2478&amp;"-"&amp;COUNTIF($B$2:B2478,B2478)</f>
        <v>PARA-59</v>
      </c>
      <c r="B2478" s="5" t="s">
        <v>1695</v>
      </c>
      <c r="C2478" s="5" t="s">
        <v>1734</v>
      </c>
      <c r="D2478" s="6">
        <v>-559931</v>
      </c>
      <c r="E2478" s="6">
        <v>-42671</v>
      </c>
      <c r="F2478" s="7">
        <v>4.6779999999999999</v>
      </c>
      <c r="G2478" s="7">
        <v>4.32</v>
      </c>
      <c r="H2478" s="7">
        <v>4.4059999999999997</v>
      </c>
      <c r="I2478" s="7">
        <v>4.3979999999999997</v>
      </c>
      <c r="J2478" s="7">
        <v>4.2279999999999998</v>
      </c>
      <c r="K2478" s="7">
        <v>4.2350000000000003</v>
      </c>
      <c r="L2478" s="7">
        <v>4.5289999999999999</v>
      </c>
      <c r="M2478" s="7">
        <v>4.5220000000000002</v>
      </c>
      <c r="N2478" s="7">
        <v>5.1959999999999997</v>
      </c>
      <c r="O2478" s="7">
        <v>5.1859999999999999</v>
      </c>
      <c r="P2478" s="7">
        <v>5.2830000000000004</v>
      </c>
      <c r="Q2478" s="7">
        <v>5.0780000000000003</v>
      </c>
      <c r="R2478" s="7">
        <v>4.75</v>
      </c>
      <c r="S2478" s="7">
        <f t="shared" si="38"/>
        <v>4.6775833333333336</v>
      </c>
    </row>
    <row r="2479" spans="1:19">
      <c r="A2479" s="5" t="str">
        <f>B2479&amp;"-"&amp;COUNTIF($B$2:B2479,B2479)</f>
        <v>PARA-60</v>
      </c>
      <c r="B2479" s="5" t="s">
        <v>1695</v>
      </c>
      <c r="C2479" s="5" t="s">
        <v>1735</v>
      </c>
      <c r="D2479" s="6">
        <v>-493311</v>
      </c>
      <c r="E2479" s="6">
        <v>-51324</v>
      </c>
      <c r="F2479" s="7">
        <v>4.7930000000000001</v>
      </c>
      <c r="G2479" s="7">
        <v>4.4039999999999999</v>
      </c>
      <c r="H2479" s="7">
        <v>4.6230000000000002</v>
      </c>
      <c r="I2479" s="7">
        <v>4.5659999999999998</v>
      </c>
      <c r="J2479" s="7">
        <v>4.6589999999999998</v>
      </c>
      <c r="K2479" s="7">
        <v>4.665</v>
      </c>
      <c r="L2479" s="7">
        <v>5.0199999999999996</v>
      </c>
      <c r="M2479" s="7">
        <v>5.1159999999999997</v>
      </c>
      <c r="N2479" s="7">
        <v>5.4539999999999997</v>
      </c>
      <c r="O2479" s="7">
        <v>5.1849999999999996</v>
      </c>
      <c r="P2479" s="7">
        <v>4.7949999999999999</v>
      </c>
      <c r="Q2479" s="7">
        <v>4.6440000000000001</v>
      </c>
      <c r="R2479" s="7">
        <v>4.3769999999999998</v>
      </c>
      <c r="S2479" s="7">
        <f t="shared" si="38"/>
        <v>4.7923333333333336</v>
      </c>
    </row>
    <row r="2480" spans="1:19">
      <c r="A2480" s="5" t="str">
        <f>B2480&amp;"-"&amp;COUNTIF($B$2:B2480,B2480)</f>
        <v>PARA-61</v>
      </c>
      <c r="B2480" s="5" t="s">
        <v>1695</v>
      </c>
      <c r="C2480" s="5" t="s">
        <v>1736</v>
      </c>
      <c r="D2480" s="6">
        <v>-577548</v>
      </c>
      <c r="E2480" s="6">
        <v>-62151</v>
      </c>
      <c r="F2480" s="7">
        <v>4.5620000000000003</v>
      </c>
      <c r="G2480" s="7">
        <v>4.1980000000000004</v>
      </c>
      <c r="H2480" s="7">
        <v>4.3860000000000001</v>
      </c>
      <c r="I2480" s="7">
        <v>4.3140000000000001</v>
      </c>
      <c r="J2480" s="7">
        <v>4.08</v>
      </c>
      <c r="K2480" s="7">
        <v>4.1470000000000002</v>
      </c>
      <c r="L2480" s="7">
        <v>4.5910000000000002</v>
      </c>
      <c r="M2480" s="7">
        <v>4.5620000000000003</v>
      </c>
      <c r="N2480" s="7">
        <v>5.2789999999999999</v>
      </c>
      <c r="O2480" s="7">
        <v>5.0529999999999999</v>
      </c>
      <c r="P2480" s="7">
        <v>4.8970000000000002</v>
      </c>
      <c r="Q2480" s="7">
        <v>4.7519999999999998</v>
      </c>
      <c r="R2480" s="7">
        <v>4.4880000000000004</v>
      </c>
      <c r="S2480" s="7">
        <f t="shared" si="38"/>
        <v>4.5622499999999997</v>
      </c>
    </row>
    <row r="2481" spans="1:19">
      <c r="A2481" s="5" t="str">
        <f>B2481&amp;"-"&amp;COUNTIF($B$2:B2481,B2481)</f>
        <v>PARA-62</v>
      </c>
      <c r="B2481" s="5" t="s">
        <v>1695</v>
      </c>
      <c r="C2481" s="5" t="s">
        <v>5631</v>
      </c>
      <c r="D2481" s="6">
        <v>-491157</v>
      </c>
      <c r="E2481" s="6">
        <v>-44466</v>
      </c>
      <c r="F2481" s="7">
        <v>4.7249999999999996</v>
      </c>
      <c r="G2481" s="7">
        <v>4.4039999999999999</v>
      </c>
      <c r="H2481" s="7">
        <v>4.5529999999999999</v>
      </c>
      <c r="I2481" s="7">
        <v>4.5839999999999996</v>
      </c>
      <c r="J2481" s="7">
        <v>4.6399999999999997</v>
      </c>
      <c r="K2481" s="7">
        <v>4.5579999999999998</v>
      </c>
      <c r="L2481" s="7">
        <v>4.827</v>
      </c>
      <c r="M2481" s="7">
        <v>4.9660000000000002</v>
      </c>
      <c r="N2481" s="7">
        <v>5.2510000000000003</v>
      </c>
      <c r="O2481" s="7">
        <v>5.1689999999999996</v>
      </c>
      <c r="P2481" s="7">
        <v>4.7169999999999996</v>
      </c>
      <c r="Q2481" s="7">
        <v>4.625</v>
      </c>
      <c r="R2481" s="7">
        <v>4.41</v>
      </c>
      <c r="S2481" s="7">
        <f t="shared" si="38"/>
        <v>4.7253333333333325</v>
      </c>
    </row>
    <row r="2482" spans="1:19">
      <c r="A2482" s="5" t="str">
        <f>B2482&amp;"-"&amp;COUNTIF($B$2:B2482,B2482)</f>
        <v>PARA-63</v>
      </c>
      <c r="B2482" s="5" t="s">
        <v>1695</v>
      </c>
      <c r="C2482" s="5" t="s">
        <v>1737</v>
      </c>
      <c r="D2482" s="6">
        <v>-560893</v>
      </c>
      <c r="E2482" s="6">
        <v>-21639</v>
      </c>
      <c r="F2482" s="7">
        <v>4.7320000000000002</v>
      </c>
      <c r="G2482" s="7">
        <v>4.3460000000000001</v>
      </c>
      <c r="H2482" s="7">
        <v>4.4089999999999998</v>
      </c>
      <c r="I2482" s="7">
        <v>4.3860000000000001</v>
      </c>
      <c r="J2482" s="7">
        <v>4.1239999999999997</v>
      </c>
      <c r="K2482" s="7">
        <v>4.194</v>
      </c>
      <c r="L2482" s="7">
        <v>4.6669999999999998</v>
      </c>
      <c r="M2482" s="7">
        <v>4.6369999999999996</v>
      </c>
      <c r="N2482" s="7">
        <v>5.2709999999999999</v>
      </c>
      <c r="O2482" s="7">
        <v>5.2930000000000001</v>
      </c>
      <c r="P2482" s="7">
        <v>5.4509999999999996</v>
      </c>
      <c r="Q2482" s="7">
        <v>5.27</v>
      </c>
      <c r="R2482" s="7">
        <v>4.7309999999999999</v>
      </c>
      <c r="S2482" s="7">
        <f t="shared" si="38"/>
        <v>4.7315833333333339</v>
      </c>
    </row>
    <row r="2483" spans="1:19">
      <c r="A2483" s="5" t="str">
        <f>B2483&amp;"-"&amp;COUNTIF($B$2:B2483,B2483)</f>
        <v>PARA-64</v>
      </c>
      <c r="B2483" s="5" t="s">
        <v>1695</v>
      </c>
      <c r="C2483" s="5" t="s">
        <v>1738</v>
      </c>
      <c r="D2483" s="6">
        <v>-493821</v>
      </c>
      <c r="E2483" s="6">
        <v>-18958</v>
      </c>
      <c r="F2483" s="7">
        <v>5.1459999999999999</v>
      </c>
      <c r="G2483" s="7">
        <v>4.7880000000000003</v>
      </c>
      <c r="H2483" s="7">
        <v>4.7809999999999997</v>
      </c>
      <c r="I2483" s="7">
        <v>4.8719999999999999</v>
      </c>
      <c r="J2483" s="7">
        <v>4.96</v>
      </c>
      <c r="K2483" s="7">
        <v>5.0129999999999999</v>
      </c>
      <c r="L2483" s="7">
        <v>5.1520000000000001</v>
      </c>
      <c r="M2483" s="7">
        <v>5.2080000000000002</v>
      </c>
      <c r="N2483" s="7">
        <v>5.4489999999999998</v>
      </c>
      <c r="O2483" s="7">
        <v>5.5880000000000001</v>
      </c>
      <c r="P2483" s="7">
        <v>5.5259999999999998</v>
      </c>
      <c r="Q2483" s="7">
        <v>5.375</v>
      </c>
      <c r="R2483" s="7">
        <v>5.03</v>
      </c>
      <c r="S2483" s="7">
        <f t="shared" si="38"/>
        <v>5.1451666666666673</v>
      </c>
    </row>
    <row r="2484" spans="1:19">
      <c r="A2484" s="5" t="str">
        <f>B2484&amp;"-"&amp;COUNTIF($B$2:B2484,B2484)</f>
        <v>PARA-65</v>
      </c>
      <c r="B2484" s="5" t="s">
        <v>1695</v>
      </c>
      <c r="C2484" s="5" t="s">
        <v>5378</v>
      </c>
      <c r="D2484" s="6">
        <v>-475571</v>
      </c>
      <c r="E2484" s="6">
        <v>-20456</v>
      </c>
      <c r="F2484" s="7">
        <v>4.9180000000000001</v>
      </c>
      <c r="G2484" s="7">
        <v>4.609</v>
      </c>
      <c r="H2484" s="7">
        <v>4.508</v>
      </c>
      <c r="I2484" s="7">
        <v>4.601</v>
      </c>
      <c r="J2484" s="7">
        <v>4.5860000000000003</v>
      </c>
      <c r="K2484" s="7">
        <v>4.766</v>
      </c>
      <c r="L2484" s="7">
        <v>4.9710000000000001</v>
      </c>
      <c r="M2484" s="7">
        <v>5.0910000000000002</v>
      </c>
      <c r="N2484" s="7">
        <v>5.3659999999999997</v>
      </c>
      <c r="O2484" s="7">
        <v>5.4690000000000003</v>
      </c>
      <c r="P2484" s="7">
        <v>5.2789999999999999</v>
      </c>
      <c r="Q2484" s="7">
        <v>5.0359999999999996</v>
      </c>
      <c r="R2484" s="7">
        <v>4.7309999999999999</v>
      </c>
      <c r="S2484" s="7">
        <f t="shared" si="38"/>
        <v>4.9177499999999998</v>
      </c>
    </row>
    <row r="2485" spans="1:19">
      <c r="A2485" s="5" t="str">
        <f>B2485&amp;"-"&amp;COUNTIF($B$2:B2485,B2485)</f>
        <v>PARA-66</v>
      </c>
      <c r="B2485" s="5" t="s">
        <v>1695</v>
      </c>
      <c r="C2485" s="5" t="s">
        <v>5379</v>
      </c>
      <c r="D2485" s="6">
        <v>-47601</v>
      </c>
      <c r="E2485" s="5" t="s">
        <v>1739</v>
      </c>
      <c r="F2485" s="7">
        <v>4.7619999999999996</v>
      </c>
      <c r="G2485" s="7">
        <v>4.5199999999999996</v>
      </c>
      <c r="H2485" s="7">
        <v>4.2320000000000002</v>
      </c>
      <c r="I2485" s="7">
        <v>4.1559999999999997</v>
      </c>
      <c r="J2485" s="7">
        <v>4.1680000000000001</v>
      </c>
      <c r="K2485" s="7">
        <v>4.4809999999999999</v>
      </c>
      <c r="L2485" s="7">
        <v>4.7359999999999998</v>
      </c>
      <c r="M2485" s="7">
        <v>4.835</v>
      </c>
      <c r="N2485" s="7">
        <v>5.1959999999999997</v>
      </c>
      <c r="O2485" s="7">
        <v>5.46</v>
      </c>
      <c r="P2485" s="7">
        <v>5.3310000000000004</v>
      </c>
      <c r="Q2485" s="7">
        <v>5.1890000000000001</v>
      </c>
      <c r="R2485" s="7">
        <v>4.8390000000000004</v>
      </c>
      <c r="S2485" s="7">
        <f t="shared" si="38"/>
        <v>4.761916666666667</v>
      </c>
    </row>
    <row r="2486" spans="1:19">
      <c r="A2486" s="5" t="str">
        <f>B2486&amp;"-"&amp;COUNTIF($B$2:B2486,B2486)</f>
        <v>PARA-67</v>
      </c>
      <c r="B2486" s="5" t="s">
        <v>1695</v>
      </c>
      <c r="C2486" s="5" t="s">
        <v>5632</v>
      </c>
      <c r="D2486" s="6">
        <v>-491331</v>
      </c>
      <c r="E2486" s="6">
        <v>-53812</v>
      </c>
      <c r="F2486" s="7">
        <v>4.8810000000000002</v>
      </c>
      <c r="G2486" s="7">
        <v>4.5709999999999997</v>
      </c>
      <c r="H2486" s="7">
        <v>4.71</v>
      </c>
      <c r="I2486" s="7">
        <v>4.7080000000000002</v>
      </c>
      <c r="J2486" s="7">
        <v>4.7850000000000001</v>
      </c>
      <c r="K2486" s="7">
        <v>4.6929999999999996</v>
      </c>
      <c r="L2486" s="7">
        <v>5.0069999999999997</v>
      </c>
      <c r="M2486" s="7">
        <v>5.1369999999999996</v>
      </c>
      <c r="N2486" s="7">
        <v>5.5060000000000002</v>
      </c>
      <c r="O2486" s="7">
        <v>5.3289999999999997</v>
      </c>
      <c r="P2486" s="7">
        <v>4.8949999999999996</v>
      </c>
      <c r="Q2486" s="7">
        <v>4.7439999999999998</v>
      </c>
      <c r="R2486" s="7">
        <v>4.4889999999999999</v>
      </c>
      <c r="S2486" s="7">
        <f t="shared" si="38"/>
        <v>4.8811666666666662</v>
      </c>
    </row>
    <row r="2487" spans="1:19">
      <c r="A2487" s="5" t="str">
        <f>B2487&amp;"-"&amp;COUNTIF($B$2:B2487,B2487)</f>
        <v>PARA-68</v>
      </c>
      <c r="B2487" s="5" t="s">
        <v>1695</v>
      </c>
      <c r="C2487" s="5" t="s">
        <v>5380</v>
      </c>
      <c r="D2487" s="6">
        <v>-474516</v>
      </c>
      <c r="E2487" s="5" t="s">
        <v>1740</v>
      </c>
      <c r="F2487" s="7">
        <v>4.8369999999999997</v>
      </c>
      <c r="G2487" s="7">
        <v>4.62</v>
      </c>
      <c r="H2487" s="7">
        <v>4.3159999999999998</v>
      </c>
      <c r="I2487" s="7">
        <v>4.2</v>
      </c>
      <c r="J2487" s="7">
        <v>4.2220000000000004</v>
      </c>
      <c r="K2487" s="7">
        <v>4.53</v>
      </c>
      <c r="L2487" s="7">
        <v>4.7770000000000001</v>
      </c>
      <c r="M2487" s="7">
        <v>4.9260000000000002</v>
      </c>
      <c r="N2487" s="7">
        <v>5.2510000000000003</v>
      </c>
      <c r="O2487" s="7">
        <v>5.4960000000000004</v>
      </c>
      <c r="P2487" s="7">
        <v>5.4089999999999998</v>
      </c>
      <c r="Q2487" s="7">
        <v>5.3019999999999996</v>
      </c>
      <c r="R2487" s="7">
        <v>5</v>
      </c>
      <c r="S2487" s="7">
        <f t="shared" si="38"/>
        <v>4.8374166666666669</v>
      </c>
    </row>
    <row r="2488" spans="1:19">
      <c r="A2488" s="5" t="str">
        <f>B2488&amp;"-"&amp;COUNTIF($B$2:B2488,B2488)</f>
        <v>PARA-69</v>
      </c>
      <c r="B2488" s="5" t="s">
        <v>1695</v>
      </c>
      <c r="C2488" s="5" t="s">
        <v>1741</v>
      </c>
      <c r="D2488" s="6">
        <v>-476964</v>
      </c>
      <c r="E2488" s="5" t="s">
        <v>1742</v>
      </c>
      <c r="F2488" s="7">
        <v>4.9340000000000002</v>
      </c>
      <c r="G2488" s="7">
        <v>4.742</v>
      </c>
      <c r="H2488" s="7">
        <v>4.3490000000000002</v>
      </c>
      <c r="I2488" s="7">
        <v>4.2649999999999997</v>
      </c>
      <c r="J2488" s="7">
        <v>4.29</v>
      </c>
      <c r="K2488" s="7">
        <v>4.601</v>
      </c>
      <c r="L2488" s="7">
        <v>4.867</v>
      </c>
      <c r="M2488" s="7">
        <v>5.0140000000000002</v>
      </c>
      <c r="N2488" s="7">
        <v>5.3490000000000002</v>
      </c>
      <c r="O2488" s="7">
        <v>5.6029999999999998</v>
      </c>
      <c r="P2488" s="7">
        <v>5.5490000000000004</v>
      </c>
      <c r="Q2488" s="7">
        <v>5.48</v>
      </c>
      <c r="R2488" s="7">
        <v>5.0990000000000002</v>
      </c>
      <c r="S2488" s="7">
        <f t="shared" si="38"/>
        <v>4.9340000000000011</v>
      </c>
    </row>
    <row r="2489" spans="1:19">
      <c r="A2489" s="5" t="str">
        <f>B2489&amp;"-"&amp;COUNTIF($B$2:B2489,B2489)</f>
        <v>PARA-70</v>
      </c>
      <c r="B2489" s="5" t="s">
        <v>1695</v>
      </c>
      <c r="C2489" s="5" t="s">
        <v>1743</v>
      </c>
      <c r="D2489" s="6">
        <v>-48331</v>
      </c>
      <c r="E2489" s="6">
        <v>-13647</v>
      </c>
      <c r="F2489" s="7">
        <v>4.7309999999999999</v>
      </c>
      <c r="G2489" s="7">
        <v>4.2930000000000001</v>
      </c>
      <c r="H2489" s="7">
        <v>4.2789999999999999</v>
      </c>
      <c r="I2489" s="7">
        <v>4.274</v>
      </c>
      <c r="J2489" s="7">
        <v>4.3109999999999999</v>
      </c>
      <c r="K2489" s="7">
        <v>4.5979999999999999</v>
      </c>
      <c r="L2489" s="7">
        <v>4.9359999999999999</v>
      </c>
      <c r="M2489" s="7">
        <v>5.0380000000000003</v>
      </c>
      <c r="N2489" s="7">
        <v>5.2210000000000001</v>
      </c>
      <c r="O2489" s="7">
        <v>5.29</v>
      </c>
      <c r="P2489" s="7">
        <v>5.0640000000000001</v>
      </c>
      <c r="Q2489" s="7">
        <v>4.9260000000000002</v>
      </c>
      <c r="R2489" s="7">
        <v>4.5389999999999997</v>
      </c>
      <c r="S2489" s="7">
        <f t="shared" si="38"/>
        <v>4.7307500000000005</v>
      </c>
    </row>
    <row r="2490" spans="1:19">
      <c r="A2490" s="5" t="str">
        <f>B2490&amp;"-"&amp;COUNTIF($B$2:B2490,B2490)</f>
        <v>PARA-71</v>
      </c>
      <c r="B2490" s="5" t="s">
        <v>1695</v>
      </c>
      <c r="C2490" s="5" t="s">
        <v>4985</v>
      </c>
      <c r="D2490" s="6">
        <v>-528879</v>
      </c>
      <c r="E2490" s="6">
        <v>-34468</v>
      </c>
      <c r="F2490" s="7">
        <v>4.359</v>
      </c>
      <c r="G2490" s="7">
        <v>4.133</v>
      </c>
      <c r="H2490" s="7">
        <v>4.26</v>
      </c>
      <c r="I2490" s="7">
        <v>4.2489999999999997</v>
      </c>
      <c r="J2490" s="7">
        <v>4.173</v>
      </c>
      <c r="K2490" s="7">
        <v>4.18</v>
      </c>
      <c r="L2490" s="7">
        <v>4.4329999999999998</v>
      </c>
      <c r="M2490" s="7">
        <v>4.4409999999999998</v>
      </c>
      <c r="N2490" s="7">
        <v>4.7119999999999997</v>
      </c>
      <c r="O2490" s="7">
        <v>4.5490000000000004</v>
      </c>
      <c r="P2490" s="7">
        <v>4.585</v>
      </c>
      <c r="Q2490" s="7">
        <v>4.4850000000000003</v>
      </c>
      <c r="R2490" s="7">
        <v>4.1020000000000003</v>
      </c>
      <c r="S2490" s="7">
        <f t="shared" si="38"/>
        <v>4.3584999999999994</v>
      </c>
    </row>
    <row r="2491" spans="1:19">
      <c r="A2491" s="5" t="str">
        <f>B2491&amp;"-"&amp;COUNTIF($B$2:B2491,B2491)</f>
        <v>PARA-72</v>
      </c>
      <c r="B2491" s="5" t="s">
        <v>1695</v>
      </c>
      <c r="C2491" s="5" t="s">
        <v>4694</v>
      </c>
      <c r="D2491" s="6">
        <v>-507153</v>
      </c>
      <c r="E2491" s="6">
        <v>-18036</v>
      </c>
      <c r="F2491" s="7">
        <v>4.8479999999999999</v>
      </c>
      <c r="G2491" s="7">
        <v>4.5599999999999996</v>
      </c>
      <c r="H2491" s="7">
        <v>4.4320000000000004</v>
      </c>
      <c r="I2491" s="7">
        <v>4.5140000000000002</v>
      </c>
      <c r="J2491" s="7">
        <v>4.5119999999999996</v>
      </c>
      <c r="K2491" s="7">
        <v>4.6950000000000003</v>
      </c>
      <c r="L2491" s="7">
        <v>4.9160000000000004</v>
      </c>
      <c r="M2491" s="7">
        <v>5.0359999999999996</v>
      </c>
      <c r="N2491" s="7">
        <v>5.28</v>
      </c>
      <c r="O2491" s="7">
        <v>5.2969999999999997</v>
      </c>
      <c r="P2491" s="7">
        <v>5.1559999999999997</v>
      </c>
      <c r="Q2491" s="7">
        <v>5.0439999999999996</v>
      </c>
      <c r="R2491" s="7">
        <v>4.7290000000000001</v>
      </c>
      <c r="S2491" s="7">
        <f t="shared" si="38"/>
        <v>4.8475833333333327</v>
      </c>
    </row>
    <row r="2492" spans="1:19">
      <c r="A2492" s="5" t="str">
        <f>B2492&amp;"-"&amp;COUNTIF($B$2:B2492,B2492)</f>
        <v>PARA-73</v>
      </c>
      <c r="B2492" s="5" t="s">
        <v>1695</v>
      </c>
      <c r="C2492" s="5" t="s">
        <v>1744</v>
      </c>
      <c r="D2492" s="6">
        <v>-495046</v>
      </c>
      <c r="E2492" s="6">
        <v>-25835</v>
      </c>
      <c r="F2492" s="7">
        <v>4.891</v>
      </c>
      <c r="G2492" s="7">
        <v>4.5490000000000004</v>
      </c>
      <c r="H2492" s="7">
        <v>4.657</v>
      </c>
      <c r="I2492" s="7">
        <v>4.6909999999999998</v>
      </c>
      <c r="J2492" s="7">
        <v>4.718</v>
      </c>
      <c r="K2492" s="7">
        <v>4.8010000000000002</v>
      </c>
      <c r="L2492" s="7">
        <v>4.9329999999999998</v>
      </c>
      <c r="M2492" s="7">
        <v>5.0330000000000004</v>
      </c>
      <c r="N2492" s="7">
        <v>5.3339999999999996</v>
      </c>
      <c r="O2492" s="7">
        <v>5.2839999999999998</v>
      </c>
      <c r="P2492" s="7">
        <v>5.1529999999999996</v>
      </c>
      <c r="Q2492" s="7">
        <v>4.9550000000000001</v>
      </c>
      <c r="R2492" s="7">
        <v>4.585</v>
      </c>
      <c r="S2492" s="7">
        <f t="shared" si="38"/>
        <v>4.8910833333333326</v>
      </c>
    </row>
    <row r="2493" spans="1:19">
      <c r="A2493" s="5" t="str">
        <f>B2493&amp;"-"&amp;COUNTIF($B$2:B2493,B2493)</f>
        <v>PARA-74</v>
      </c>
      <c r="B2493" s="5" t="s">
        <v>1695</v>
      </c>
      <c r="C2493" s="5" t="s">
        <v>1745</v>
      </c>
      <c r="D2493" s="6">
        <v>-487671</v>
      </c>
      <c r="E2493" s="6">
        <v>-18903</v>
      </c>
      <c r="F2493" s="7">
        <v>4.8730000000000002</v>
      </c>
      <c r="G2493" s="7">
        <v>4.5010000000000003</v>
      </c>
      <c r="H2493" s="7">
        <v>4.51</v>
      </c>
      <c r="I2493" s="7">
        <v>4.569</v>
      </c>
      <c r="J2493" s="7">
        <v>4.5979999999999999</v>
      </c>
      <c r="K2493" s="7">
        <v>4.7350000000000003</v>
      </c>
      <c r="L2493" s="7">
        <v>4.9340000000000002</v>
      </c>
      <c r="M2493" s="7">
        <v>5.0670000000000002</v>
      </c>
      <c r="N2493" s="7">
        <v>5.3120000000000003</v>
      </c>
      <c r="O2493" s="7">
        <v>5.3070000000000004</v>
      </c>
      <c r="P2493" s="7">
        <v>5.2069999999999999</v>
      </c>
      <c r="Q2493" s="7">
        <v>5.0110000000000001</v>
      </c>
      <c r="R2493" s="7">
        <v>4.7279999999999998</v>
      </c>
      <c r="S2493" s="7">
        <f t="shared" si="38"/>
        <v>4.8732500000000005</v>
      </c>
    </row>
    <row r="2494" spans="1:19">
      <c r="A2494" s="5" t="str">
        <f>B2494&amp;"-"&amp;COUNTIF($B$2:B2494,B2494)</f>
        <v>PARA-75</v>
      </c>
      <c r="B2494" s="5" t="s">
        <v>1695</v>
      </c>
      <c r="C2494" s="5" t="s">
        <v>1746</v>
      </c>
      <c r="D2494" s="6">
        <v>-546515</v>
      </c>
      <c r="E2494" s="6">
        <v>-26819</v>
      </c>
      <c r="F2494" s="7">
        <v>4.5469999999999997</v>
      </c>
      <c r="G2494" s="7">
        <v>4.4119999999999999</v>
      </c>
      <c r="H2494" s="7">
        <v>4.3789999999999996</v>
      </c>
      <c r="I2494" s="7">
        <v>4.2380000000000004</v>
      </c>
      <c r="J2494" s="7">
        <v>4.1159999999999997</v>
      </c>
      <c r="K2494" s="7">
        <v>4.1909999999999998</v>
      </c>
      <c r="L2494" s="7">
        <v>4.4450000000000003</v>
      </c>
      <c r="M2494" s="7">
        <v>4.3840000000000003</v>
      </c>
      <c r="N2494" s="7">
        <v>4.9139999999999997</v>
      </c>
      <c r="O2494" s="7">
        <v>4.8600000000000003</v>
      </c>
      <c r="P2494" s="7">
        <v>5.1520000000000001</v>
      </c>
      <c r="Q2494" s="7">
        <v>4.9930000000000003</v>
      </c>
      <c r="R2494" s="7">
        <v>4.4790000000000001</v>
      </c>
      <c r="S2494" s="7">
        <f t="shared" si="38"/>
        <v>4.5469166666666672</v>
      </c>
    </row>
    <row r="2495" spans="1:19">
      <c r="A2495" s="5" t="str">
        <f>B2495&amp;"-"&amp;COUNTIF($B$2:B2495,B2495)</f>
        <v>PARA-76</v>
      </c>
      <c r="B2495" s="5" t="s">
        <v>1695</v>
      </c>
      <c r="C2495" s="5" t="s">
        <v>1747</v>
      </c>
      <c r="D2495" s="6">
        <v>-540728</v>
      </c>
      <c r="E2495" s="6">
        <v>-19981</v>
      </c>
      <c r="F2495" s="7">
        <v>4.9749999999999996</v>
      </c>
      <c r="G2495" s="7">
        <v>4.8920000000000003</v>
      </c>
      <c r="H2495" s="7">
        <v>4.774</v>
      </c>
      <c r="I2495" s="7">
        <v>4.7880000000000003</v>
      </c>
      <c r="J2495" s="7">
        <v>4.6280000000000001</v>
      </c>
      <c r="K2495" s="7">
        <v>4.6959999999999997</v>
      </c>
      <c r="L2495" s="7">
        <v>4.9390000000000001</v>
      </c>
      <c r="M2495" s="7">
        <v>4.9000000000000004</v>
      </c>
      <c r="N2495" s="7">
        <v>5.2080000000000002</v>
      </c>
      <c r="O2495" s="7">
        <v>5.1289999999999996</v>
      </c>
      <c r="P2495" s="7">
        <v>5.4089999999999998</v>
      </c>
      <c r="Q2495" s="7">
        <v>5.3860000000000001</v>
      </c>
      <c r="R2495" s="7">
        <v>4.9589999999999996</v>
      </c>
      <c r="S2495" s="7">
        <f t="shared" si="38"/>
        <v>4.9756666666666662</v>
      </c>
    </row>
    <row r="2496" spans="1:19">
      <c r="A2496" s="5" t="str">
        <f>B2496&amp;"-"&amp;COUNTIF($B$2:B2496,B2496)</f>
        <v>PARA-77</v>
      </c>
      <c r="B2496" s="5" t="s">
        <v>1695</v>
      </c>
      <c r="C2496" s="5" t="s">
        <v>5633</v>
      </c>
      <c r="D2496" s="6">
        <v>-492228</v>
      </c>
      <c r="E2496" s="6">
        <v>-15397</v>
      </c>
      <c r="F2496" s="7">
        <v>4.8819999999999997</v>
      </c>
      <c r="G2496" s="7">
        <v>4.4779999999999998</v>
      </c>
      <c r="H2496" s="7">
        <v>4.3810000000000002</v>
      </c>
      <c r="I2496" s="7">
        <v>4.4779999999999998</v>
      </c>
      <c r="J2496" s="7">
        <v>4.5039999999999996</v>
      </c>
      <c r="K2496" s="7">
        <v>4.74</v>
      </c>
      <c r="L2496" s="7">
        <v>4.8650000000000002</v>
      </c>
      <c r="M2496" s="7">
        <v>5.032</v>
      </c>
      <c r="N2496" s="7">
        <v>5.3010000000000002</v>
      </c>
      <c r="O2496" s="7">
        <v>5.3760000000000003</v>
      </c>
      <c r="P2496" s="7">
        <v>5.3760000000000003</v>
      </c>
      <c r="Q2496" s="7">
        <v>5.2469999999999999</v>
      </c>
      <c r="R2496" s="7">
        <v>4.8029999999999999</v>
      </c>
      <c r="S2496" s="7">
        <f t="shared" si="38"/>
        <v>4.8817500000000003</v>
      </c>
    </row>
    <row r="2497" spans="1:19">
      <c r="A2497" s="5" t="str">
        <f>B2497&amp;"-"&amp;COUNTIF($B$2:B2497,B2497)</f>
        <v>PARA-78</v>
      </c>
      <c r="B2497" s="5" t="s">
        <v>1695</v>
      </c>
      <c r="C2497" s="5" t="s">
        <v>5634</v>
      </c>
      <c r="D2497" s="6">
        <v>-469703</v>
      </c>
      <c r="E2497" s="6">
        <v>-2268</v>
      </c>
      <c r="F2497" s="7">
        <v>4.931</v>
      </c>
      <c r="G2497" s="7">
        <v>4.5709999999999997</v>
      </c>
      <c r="H2497" s="7">
        <v>4.5960000000000001</v>
      </c>
      <c r="I2497" s="7">
        <v>4.5880000000000001</v>
      </c>
      <c r="J2497" s="7">
        <v>4.601</v>
      </c>
      <c r="K2497" s="7">
        <v>4.7190000000000003</v>
      </c>
      <c r="L2497" s="7">
        <v>4.9269999999999996</v>
      </c>
      <c r="M2497" s="7">
        <v>5.0129999999999999</v>
      </c>
      <c r="N2497" s="7">
        <v>5.407</v>
      </c>
      <c r="O2497" s="7">
        <v>5.5129999999999999</v>
      </c>
      <c r="P2497" s="7">
        <v>5.298</v>
      </c>
      <c r="Q2497" s="7">
        <v>5.0910000000000002</v>
      </c>
      <c r="R2497" s="7">
        <v>4.851</v>
      </c>
      <c r="S2497" s="7">
        <f t="shared" si="38"/>
        <v>4.9312499999999995</v>
      </c>
    </row>
    <row r="2498" spans="1:19">
      <c r="A2498" s="5" t="str">
        <f>B2498&amp;"-"&amp;COUNTIF($B$2:B2498,B2498)</f>
        <v>PARA-79</v>
      </c>
      <c r="B2498" s="5" t="s">
        <v>1695</v>
      </c>
      <c r="C2498" s="5" t="s">
        <v>1748</v>
      </c>
      <c r="D2498" s="6">
        <v>-490826</v>
      </c>
      <c r="E2498" s="6">
        <v>-49166</v>
      </c>
      <c r="F2498" s="7">
        <v>4.734</v>
      </c>
      <c r="G2498" s="7">
        <v>4.3869999999999996</v>
      </c>
      <c r="H2498" s="7">
        <v>4.4589999999999996</v>
      </c>
      <c r="I2498" s="7">
        <v>4.4939999999999998</v>
      </c>
      <c r="J2498" s="7">
        <v>4.5010000000000003</v>
      </c>
      <c r="K2498" s="7">
        <v>4.5519999999999996</v>
      </c>
      <c r="L2498" s="7">
        <v>4.9489999999999998</v>
      </c>
      <c r="M2498" s="7">
        <v>5.07</v>
      </c>
      <c r="N2498" s="7">
        <v>5.4379999999999997</v>
      </c>
      <c r="O2498" s="7">
        <v>5.2279999999999998</v>
      </c>
      <c r="P2498" s="7">
        <v>4.7460000000000004</v>
      </c>
      <c r="Q2498" s="7">
        <v>4.6210000000000004</v>
      </c>
      <c r="R2498" s="7">
        <v>4.3639999999999999</v>
      </c>
      <c r="S2498" s="7">
        <f t="shared" si="38"/>
        <v>4.7340833333333334</v>
      </c>
    </row>
    <row r="2499" spans="1:19">
      <c r="A2499" s="5" t="str">
        <f>B2499&amp;"-"&amp;COUNTIF($B$2:B2499,B2499)</f>
        <v>PARA-80</v>
      </c>
      <c r="B2499" s="5" t="s">
        <v>1695</v>
      </c>
      <c r="C2499" s="5" t="s">
        <v>1749</v>
      </c>
      <c r="D2499" s="6">
        <v>-473915</v>
      </c>
      <c r="E2499" s="6">
        <v>-12044</v>
      </c>
      <c r="F2499" s="7">
        <v>4.7750000000000004</v>
      </c>
      <c r="G2499" s="7">
        <v>4.3890000000000002</v>
      </c>
      <c r="H2499" s="7">
        <v>4.2229999999999999</v>
      </c>
      <c r="I2499" s="7">
        <v>4.2119999999999997</v>
      </c>
      <c r="J2499" s="7">
        <v>4.2759999999999998</v>
      </c>
      <c r="K2499" s="7">
        <v>4.5419999999999998</v>
      </c>
      <c r="L2499" s="7">
        <v>4.8159999999999998</v>
      </c>
      <c r="M2499" s="7">
        <v>4.915</v>
      </c>
      <c r="N2499" s="7">
        <v>5.242</v>
      </c>
      <c r="O2499" s="7">
        <v>5.5110000000000001</v>
      </c>
      <c r="P2499" s="7">
        <v>5.3339999999999996</v>
      </c>
      <c r="Q2499" s="7">
        <v>5.1280000000000001</v>
      </c>
      <c r="R2499" s="7">
        <v>4.718</v>
      </c>
      <c r="S2499" s="7">
        <f t="shared" ref="S2499:S2562" si="39">(G2499+H2499+I2499+J2499+K2499+L2499+M2499+N2499+O2499+P2499+Q2499+R2499)/12</f>
        <v>4.775500000000001</v>
      </c>
    </row>
    <row r="2500" spans="1:19">
      <c r="A2500" s="5" t="str">
        <f>B2500&amp;"-"&amp;COUNTIF($B$2:B2500,B2500)</f>
        <v>PARA-81</v>
      </c>
      <c r="B2500" s="5" t="s">
        <v>1695</v>
      </c>
      <c r="C2500" s="5" t="s">
        <v>1750</v>
      </c>
      <c r="D2500" s="6">
        <v>-55379</v>
      </c>
      <c r="E2500" s="6">
        <v>-71439</v>
      </c>
      <c r="F2500" s="7">
        <v>4.5999999999999996</v>
      </c>
      <c r="G2500" s="7">
        <v>4.34</v>
      </c>
      <c r="H2500" s="7">
        <v>4.33</v>
      </c>
      <c r="I2500" s="7">
        <v>4.3019999999999996</v>
      </c>
      <c r="J2500" s="7">
        <v>4.1829999999999998</v>
      </c>
      <c r="K2500" s="7">
        <v>4.343</v>
      </c>
      <c r="L2500" s="7">
        <v>4.665</v>
      </c>
      <c r="M2500" s="7">
        <v>4.6639999999999997</v>
      </c>
      <c r="N2500" s="7">
        <v>5.2240000000000002</v>
      </c>
      <c r="O2500" s="7">
        <v>4.9269999999999996</v>
      </c>
      <c r="P2500" s="7">
        <v>4.9180000000000001</v>
      </c>
      <c r="Q2500" s="7">
        <v>4.7279999999999998</v>
      </c>
      <c r="R2500" s="7">
        <v>4.5670000000000002</v>
      </c>
      <c r="S2500" s="7">
        <f t="shared" si="39"/>
        <v>4.5992500000000005</v>
      </c>
    </row>
    <row r="2501" spans="1:19">
      <c r="A2501" s="5" t="str">
        <f>B2501&amp;"-"&amp;COUNTIF($B$2:B2501,B2501)</f>
        <v>PARA-82</v>
      </c>
      <c r="B2501" s="5" t="s">
        <v>1695</v>
      </c>
      <c r="C2501" s="5" t="s">
        <v>1751</v>
      </c>
      <c r="D2501" s="6">
        <v>-499503</v>
      </c>
      <c r="E2501" s="6">
        <v>-42479</v>
      </c>
      <c r="F2501" s="7">
        <v>4.6779999999999999</v>
      </c>
      <c r="G2501" s="7">
        <v>4.2530000000000001</v>
      </c>
      <c r="H2501" s="7">
        <v>4.5350000000000001</v>
      </c>
      <c r="I2501" s="7">
        <v>4.6340000000000003</v>
      </c>
      <c r="J2501" s="7">
        <v>4.6159999999999997</v>
      </c>
      <c r="K2501" s="7">
        <v>4.6859999999999999</v>
      </c>
      <c r="L2501" s="7">
        <v>4.91</v>
      </c>
      <c r="M2501" s="7">
        <v>4.9989999999999997</v>
      </c>
      <c r="N2501" s="7">
        <v>5.1980000000000004</v>
      </c>
      <c r="O2501" s="7">
        <v>4.9509999999999996</v>
      </c>
      <c r="P2501" s="7">
        <v>4.5720000000000001</v>
      </c>
      <c r="Q2501" s="7">
        <v>4.5119999999999996</v>
      </c>
      <c r="R2501" s="7">
        <v>4.2729999999999997</v>
      </c>
      <c r="S2501" s="7">
        <f t="shared" si="39"/>
        <v>4.6782500000000011</v>
      </c>
    </row>
    <row r="2502" spans="1:19">
      <c r="A2502" s="5" t="str">
        <f>B2502&amp;"-"&amp;COUNTIF($B$2:B2502,B2502)</f>
        <v>PARA-83</v>
      </c>
      <c r="B2502" s="5" t="s">
        <v>1695</v>
      </c>
      <c r="C2502" s="5" t="s">
        <v>5635</v>
      </c>
      <c r="D2502" s="6">
        <v>-498632</v>
      </c>
      <c r="E2502" s="6">
        <v>-2004</v>
      </c>
      <c r="F2502" s="7">
        <v>4.875</v>
      </c>
      <c r="G2502" s="7">
        <v>4.6219999999999999</v>
      </c>
      <c r="H2502" s="7">
        <v>4.5679999999999996</v>
      </c>
      <c r="I2502" s="7">
        <v>4.6100000000000003</v>
      </c>
      <c r="J2502" s="7">
        <v>4.6459999999999999</v>
      </c>
      <c r="K2502" s="7">
        <v>4.681</v>
      </c>
      <c r="L2502" s="7">
        <v>4.7919999999999998</v>
      </c>
      <c r="M2502" s="7">
        <v>4.8869999999999996</v>
      </c>
      <c r="N2502" s="7">
        <v>5.2220000000000004</v>
      </c>
      <c r="O2502" s="7">
        <v>5.3209999999999997</v>
      </c>
      <c r="P2502" s="7">
        <v>5.2729999999999997</v>
      </c>
      <c r="Q2502" s="7">
        <v>5.0979999999999999</v>
      </c>
      <c r="R2502" s="7">
        <v>4.774</v>
      </c>
      <c r="S2502" s="7">
        <f t="shared" si="39"/>
        <v>4.8745000000000003</v>
      </c>
    </row>
    <row r="2503" spans="1:19">
      <c r="A2503" s="5" t="str">
        <f>B2503&amp;"-"&amp;COUNTIF($B$2:B2503,B2503)</f>
        <v>PARA-84</v>
      </c>
      <c r="B2503" s="5" t="s">
        <v>1695</v>
      </c>
      <c r="C2503" s="5" t="s">
        <v>5636</v>
      </c>
      <c r="D2503" s="6">
        <v>-558584</v>
      </c>
      <c r="E2503" s="6">
        <v>-17603</v>
      </c>
      <c r="F2503" s="7">
        <v>4.6609999999999996</v>
      </c>
      <c r="G2503" s="7">
        <v>4.2560000000000002</v>
      </c>
      <c r="H2503" s="7">
        <v>4.2889999999999997</v>
      </c>
      <c r="I2503" s="7">
        <v>4.266</v>
      </c>
      <c r="J2503" s="7">
        <v>4.0949999999999998</v>
      </c>
      <c r="K2503" s="7">
        <v>4.2560000000000002</v>
      </c>
      <c r="L2503" s="7">
        <v>4.6950000000000003</v>
      </c>
      <c r="M2503" s="7">
        <v>4.6879999999999997</v>
      </c>
      <c r="N2503" s="7">
        <v>5.2380000000000004</v>
      </c>
      <c r="O2503" s="7">
        <v>5.2069999999999999</v>
      </c>
      <c r="P2503" s="7">
        <v>5.2679999999999998</v>
      </c>
      <c r="Q2503" s="7">
        <v>5.109</v>
      </c>
      <c r="R2503" s="7">
        <v>4.5650000000000004</v>
      </c>
      <c r="S2503" s="7">
        <f t="shared" si="39"/>
        <v>4.6610000000000005</v>
      </c>
    </row>
    <row r="2504" spans="1:19">
      <c r="A2504" s="5" t="str">
        <f>B2504&amp;"-"&amp;COUNTIF($B$2:B2504,B2504)</f>
        <v>PARA-85</v>
      </c>
      <c r="B2504" s="5" t="s">
        <v>1695</v>
      </c>
      <c r="C2504" s="5" t="s">
        <v>4380</v>
      </c>
      <c r="D2504" s="6">
        <v>-471155</v>
      </c>
      <c r="E2504" s="6">
        <v>-15462</v>
      </c>
      <c r="F2504" s="7">
        <v>4.8049999999999997</v>
      </c>
      <c r="G2504" s="7">
        <v>4.4349999999999996</v>
      </c>
      <c r="H2504" s="7">
        <v>4.3099999999999996</v>
      </c>
      <c r="I2504" s="7">
        <v>4.3159999999999998</v>
      </c>
      <c r="J2504" s="7">
        <v>4.3780000000000001</v>
      </c>
      <c r="K2504" s="7">
        <v>4.5739999999999998</v>
      </c>
      <c r="L2504" s="7">
        <v>4.8600000000000003</v>
      </c>
      <c r="M2504" s="7">
        <v>5.0220000000000002</v>
      </c>
      <c r="N2504" s="7">
        <v>5.2969999999999997</v>
      </c>
      <c r="O2504" s="7">
        <v>5.5140000000000002</v>
      </c>
      <c r="P2504" s="7">
        <v>5.2320000000000002</v>
      </c>
      <c r="Q2504" s="7">
        <v>5.0389999999999997</v>
      </c>
      <c r="R2504" s="7">
        <v>4.6859999999999999</v>
      </c>
      <c r="S2504" s="7">
        <f t="shared" si="39"/>
        <v>4.80525</v>
      </c>
    </row>
    <row r="2505" spans="1:19">
      <c r="A2505" s="5" t="str">
        <f>B2505&amp;"-"&amp;COUNTIF($B$2:B2505,B2505)</f>
        <v>PARA-86</v>
      </c>
      <c r="B2505" s="5" t="s">
        <v>1695</v>
      </c>
      <c r="C2505" s="5" t="s">
        <v>4986</v>
      </c>
      <c r="D2505" s="6">
        <v>-510862</v>
      </c>
      <c r="E2505" s="6">
        <v>-67533</v>
      </c>
      <c r="F2505" s="7">
        <v>4.74</v>
      </c>
      <c r="G2505" s="7">
        <v>4.4589999999999996</v>
      </c>
      <c r="H2505" s="7">
        <v>4.5670000000000002</v>
      </c>
      <c r="I2505" s="7">
        <v>4.4800000000000004</v>
      </c>
      <c r="J2505" s="7">
        <v>4.4450000000000003</v>
      </c>
      <c r="K2505" s="7">
        <v>4.625</v>
      </c>
      <c r="L2505" s="7">
        <v>4.8659999999999997</v>
      </c>
      <c r="M2505" s="7">
        <v>4.8879999999999999</v>
      </c>
      <c r="N2505" s="7">
        <v>5.3630000000000004</v>
      </c>
      <c r="O2505" s="7">
        <v>5.2320000000000002</v>
      </c>
      <c r="P2505" s="7">
        <v>4.8230000000000004</v>
      </c>
      <c r="Q2505" s="7">
        <v>4.6580000000000004</v>
      </c>
      <c r="R2505" s="7">
        <v>4.47</v>
      </c>
      <c r="S2505" s="7">
        <f t="shared" si="39"/>
        <v>4.7396666666666665</v>
      </c>
    </row>
    <row r="2506" spans="1:19">
      <c r="A2506" s="5" t="str">
        <f>B2506&amp;"-"&amp;COUNTIF($B$2:B2506,B2506)</f>
        <v>PARA-87</v>
      </c>
      <c r="B2506" s="5" t="s">
        <v>1695</v>
      </c>
      <c r="C2506" s="5" t="s">
        <v>5637</v>
      </c>
      <c r="D2506" s="6">
        <v>-50639</v>
      </c>
      <c r="E2506" s="6">
        <v>-38377</v>
      </c>
      <c r="F2506" s="7">
        <v>4.5519999999999996</v>
      </c>
      <c r="G2506" s="7">
        <v>4.2279999999999998</v>
      </c>
      <c r="H2506" s="7">
        <v>4.3680000000000003</v>
      </c>
      <c r="I2506" s="7">
        <v>4.4359999999999999</v>
      </c>
      <c r="J2506" s="7">
        <v>4.4189999999999996</v>
      </c>
      <c r="K2506" s="7">
        <v>4.4800000000000004</v>
      </c>
      <c r="L2506" s="7">
        <v>4.74</v>
      </c>
      <c r="M2506" s="7">
        <v>4.8070000000000004</v>
      </c>
      <c r="N2506" s="7">
        <v>5.056</v>
      </c>
      <c r="O2506" s="7">
        <v>4.8129999999999997</v>
      </c>
      <c r="P2506" s="7">
        <v>4.5599999999999996</v>
      </c>
      <c r="Q2506" s="7">
        <v>4.4880000000000004</v>
      </c>
      <c r="R2506" s="7">
        <v>4.2220000000000004</v>
      </c>
      <c r="S2506" s="7">
        <f t="shared" si="39"/>
        <v>4.5514166666666673</v>
      </c>
    </row>
    <row r="2507" spans="1:19">
      <c r="A2507" s="5" t="str">
        <f>B2507&amp;"-"&amp;COUNTIF($B$2:B2507,B2507)</f>
        <v>PARA-88</v>
      </c>
      <c r="B2507" s="5" t="s">
        <v>1695</v>
      </c>
      <c r="C2507" s="5" t="s">
        <v>5638</v>
      </c>
      <c r="D2507" s="6">
        <v>-483185</v>
      </c>
      <c r="E2507" s="6">
        <v>-57407</v>
      </c>
      <c r="F2507" s="7">
        <v>4.9530000000000003</v>
      </c>
      <c r="G2507" s="7">
        <v>4.6150000000000002</v>
      </c>
      <c r="H2507" s="7">
        <v>4.7309999999999999</v>
      </c>
      <c r="I2507" s="7">
        <v>4.7640000000000002</v>
      </c>
      <c r="J2507" s="7">
        <v>4.7720000000000002</v>
      </c>
      <c r="K2507" s="7">
        <v>4.7699999999999996</v>
      </c>
      <c r="L2507" s="7">
        <v>5.0999999999999996</v>
      </c>
      <c r="M2507" s="7">
        <v>5.2270000000000003</v>
      </c>
      <c r="N2507" s="7">
        <v>5.7069999999999999</v>
      </c>
      <c r="O2507" s="7">
        <v>5.4390000000000001</v>
      </c>
      <c r="P2507" s="7">
        <v>4.952</v>
      </c>
      <c r="Q2507" s="7">
        <v>4.7699999999999996</v>
      </c>
      <c r="R2507" s="7">
        <v>4.593</v>
      </c>
      <c r="S2507" s="7">
        <f t="shared" si="39"/>
        <v>4.9533333333333331</v>
      </c>
    </row>
    <row r="2508" spans="1:19">
      <c r="A2508" s="5" t="str">
        <f>B2508&amp;"-"&amp;COUNTIF($B$2:B2508,B2508)</f>
        <v>PARA-89</v>
      </c>
      <c r="B2508" s="5" t="s">
        <v>1695</v>
      </c>
      <c r="C2508" s="5" t="s">
        <v>1752</v>
      </c>
      <c r="D2508" s="6">
        <v>-473531</v>
      </c>
      <c r="E2508" s="6">
        <v>-30025</v>
      </c>
      <c r="F2508" s="7">
        <v>4.8879999999999999</v>
      </c>
      <c r="G2508" s="7">
        <v>4.6029999999999998</v>
      </c>
      <c r="H2508" s="7">
        <v>4.681</v>
      </c>
      <c r="I2508" s="7">
        <v>4.7110000000000003</v>
      </c>
      <c r="J2508" s="7">
        <v>4.7210000000000001</v>
      </c>
      <c r="K2508" s="7">
        <v>4.7060000000000004</v>
      </c>
      <c r="L2508" s="7">
        <v>4.8330000000000002</v>
      </c>
      <c r="M2508" s="7">
        <v>4.9260000000000002</v>
      </c>
      <c r="N2508" s="7">
        <v>5.2140000000000004</v>
      </c>
      <c r="O2508" s="7">
        <v>5.4050000000000002</v>
      </c>
      <c r="P2508" s="7">
        <v>5.226</v>
      </c>
      <c r="Q2508" s="7">
        <v>4.9119999999999999</v>
      </c>
      <c r="R2508" s="7">
        <v>4.7160000000000002</v>
      </c>
      <c r="S2508" s="7">
        <f t="shared" si="39"/>
        <v>4.8878333333333339</v>
      </c>
    </row>
    <row r="2509" spans="1:19">
      <c r="A2509" s="5" t="str">
        <f>B2509&amp;"-"&amp;COUNTIF($B$2:B2509,B2509)</f>
        <v>PARA-90</v>
      </c>
      <c r="B2509" s="5" t="s">
        <v>1695</v>
      </c>
      <c r="C2509" s="5" t="s">
        <v>1753</v>
      </c>
      <c r="D2509" s="6">
        <v>-499041</v>
      </c>
      <c r="E2509" s="6">
        <v>-60682</v>
      </c>
      <c r="F2509" s="7">
        <v>4.774</v>
      </c>
      <c r="G2509" s="7">
        <v>4.4969999999999999</v>
      </c>
      <c r="H2509" s="7">
        <v>4.5640000000000001</v>
      </c>
      <c r="I2509" s="7">
        <v>4.49</v>
      </c>
      <c r="J2509" s="7">
        <v>4.4969999999999999</v>
      </c>
      <c r="K2509" s="7">
        <v>4.7060000000000004</v>
      </c>
      <c r="L2509" s="7">
        <v>4.9489999999999998</v>
      </c>
      <c r="M2509" s="7">
        <v>5.1379999999999999</v>
      </c>
      <c r="N2509" s="7">
        <v>5.6</v>
      </c>
      <c r="O2509" s="7">
        <v>5.2249999999999996</v>
      </c>
      <c r="P2509" s="7">
        <v>4.8</v>
      </c>
      <c r="Q2509" s="7">
        <v>4.4950000000000001</v>
      </c>
      <c r="R2509" s="7">
        <v>4.327</v>
      </c>
      <c r="S2509" s="7">
        <f t="shared" si="39"/>
        <v>4.774</v>
      </c>
    </row>
    <row r="2510" spans="1:19">
      <c r="A2510" s="5" t="str">
        <f>B2510&amp;"-"&amp;COUNTIF($B$2:B2510,B2510)</f>
        <v>PARA-91</v>
      </c>
      <c r="B2510" s="5" t="s">
        <v>1695</v>
      </c>
      <c r="C2510" s="5" t="s">
        <v>1754</v>
      </c>
      <c r="D2510" s="6">
        <v>-500444</v>
      </c>
      <c r="E2510" s="6">
        <v>-78343</v>
      </c>
      <c r="F2510" s="7">
        <v>4.9749999999999996</v>
      </c>
      <c r="G2510" s="7">
        <v>4.8609999999999998</v>
      </c>
      <c r="H2510" s="7">
        <v>4.8259999999999996</v>
      </c>
      <c r="I2510" s="7">
        <v>4.7050000000000001</v>
      </c>
      <c r="J2510" s="7">
        <v>4.6890000000000001</v>
      </c>
      <c r="K2510" s="7">
        <v>4.82</v>
      </c>
      <c r="L2510" s="7">
        <v>5.0190000000000001</v>
      </c>
      <c r="M2510" s="7">
        <v>5.1059999999999999</v>
      </c>
      <c r="N2510" s="7">
        <v>5.78</v>
      </c>
      <c r="O2510" s="7">
        <v>5.391</v>
      </c>
      <c r="P2510" s="7">
        <v>4.9390000000000001</v>
      </c>
      <c r="Q2510" s="7">
        <v>4.8380000000000001</v>
      </c>
      <c r="R2510" s="7">
        <v>4.7249999999999996</v>
      </c>
      <c r="S2510" s="7">
        <f t="shared" si="39"/>
        <v>4.9749166666666671</v>
      </c>
    </row>
    <row r="2511" spans="1:19">
      <c r="A2511" s="5" t="str">
        <f>B2511&amp;"-"&amp;COUNTIF($B$2:B2511,B2511)</f>
        <v>PARA-92</v>
      </c>
      <c r="B2511" s="5" t="s">
        <v>1695</v>
      </c>
      <c r="C2511" s="5" t="s">
        <v>1755</v>
      </c>
      <c r="D2511" s="6">
        <v>-473204</v>
      </c>
      <c r="E2511" s="6">
        <v>-11923</v>
      </c>
      <c r="F2511" s="7">
        <v>4.7750000000000004</v>
      </c>
      <c r="G2511" s="7">
        <v>4.3890000000000002</v>
      </c>
      <c r="H2511" s="7">
        <v>4.2229999999999999</v>
      </c>
      <c r="I2511" s="7">
        <v>4.2119999999999997</v>
      </c>
      <c r="J2511" s="7">
        <v>4.2759999999999998</v>
      </c>
      <c r="K2511" s="7">
        <v>4.5419999999999998</v>
      </c>
      <c r="L2511" s="7">
        <v>4.8159999999999998</v>
      </c>
      <c r="M2511" s="7">
        <v>4.915</v>
      </c>
      <c r="N2511" s="7">
        <v>5.242</v>
      </c>
      <c r="O2511" s="7">
        <v>5.5110000000000001</v>
      </c>
      <c r="P2511" s="7">
        <v>5.3339999999999996</v>
      </c>
      <c r="Q2511" s="7">
        <v>5.1280000000000001</v>
      </c>
      <c r="R2511" s="7">
        <v>4.718</v>
      </c>
      <c r="S2511" s="7">
        <f t="shared" si="39"/>
        <v>4.775500000000001</v>
      </c>
    </row>
    <row r="2512" spans="1:19">
      <c r="A2512" s="5" t="str">
        <f>B2512&amp;"-"&amp;COUNTIF($B$2:B2512,B2512)</f>
        <v>PARA-93</v>
      </c>
      <c r="B2512" s="5" t="s">
        <v>1695</v>
      </c>
      <c r="C2512" s="5" t="s">
        <v>4695</v>
      </c>
      <c r="D2512" s="6">
        <v>-488622</v>
      </c>
      <c r="E2512" s="6">
        <v>-64427</v>
      </c>
      <c r="F2512" s="7">
        <v>4.9420000000000002</v>
      </c>
      <c r="G2512" s="7">
        <v>4.5670000000000002</v>
      </c>
      <c r="H2512" s="7">
        <v>4.7770000000000001</v>
      </c>
      <c r="I2512" s="7">
        <v>4.6159999999999997</v>
      </c>
      <c r="J2512" s="7">
        <v>4.72</v>
      </c>
      <c r="K2512" s="7">
        <v>4.8159999999999998</v>
      </c>
      <c r="L2512" s="7">
        <v>5.117</v>
      </c>
      <c r="M2512" s="7">
        <v>5.2549999999999999</v>
      </c>
      <c r="N2512" s="7">
        <v>5.7519999999999998</v>
      </c>
      <c r="O2512" s="7">
        <v>5.4530000000000003</v>
      </c>
      <c r="P2512" s="7">
        <v>4.9729999999999999</v>
      </c>
      <c r="Q2512" s="7">
        <v>4.6929999999999996</v>
      </c>
      <c r="R2512" s="7">
        <v>4.5670000000000002</v>
      </c>
      <c r="S2512" s="7">
        <f t="shared" si="39"/>
        <v>4.942166666666667</v>
      </c>
    </row>
    <row r="2513" spans="1:19">
      <c r="A2513" s="5" t="str">
        <f>B2513&amp;"-"&amp;COUNTIF($B$2:B2513,B2513)</f>
        <v>PARA-94</v>
      </c>
      <c r="B2513" s="5" t="s">
        <v>1695</v>
      </c>
      <c r="C2513" s="5" t="s">
        <v>1756</v>
      </c>
      <c r="D2513" s="6">
        <v>-542128</v>
      </c>
      <c r="E2513" s="6">
        <v>-38685</v>
      </c>
      <c r="F2513" s="7">
        <v>4.5010000000000003</v>
      </c>
      <c r="G2513" s="7">
        <v>4.1269999999999998</v>
      </c>
      <c r="H2513" s="7">
        <v>4.234</v>
      </c>
      <c r="I2513" s="7">
        <v>4.226</v>
      </c>
      <c r="J2513" s="7">
        <v>4.1390000000000002</v>
      </c>
      <c r="K2513" s="7">
        <v>4.2670000000000003</v>
      </c>
      <c r="L2513" s="7">
        <v>4.6159999999999997</v>
      </c>
      <c r="M2513" s="7">
        <v>4.51</v>
      </c>
      <c r="N2513" s="7">
        <v>4.9909999999999997</v>
      </c>
      <c r="O2513" s="7">
        <v>4.798</v>
      </c>
      <c r="P2513" s="7">
        <v>4.9770000000000003</v>
      </c>
      <c r="Q2513" s="7">
        <v>4.7640000000000002</v>
      </c>
      <c r="R2513" s="7">
        <v>4.3540000000000001</v>
      </c>
      <c r="S2513" s="7">
        <f t="shared" si="39"/>
        <v>4.5002500000000003</v>
      </c>
    </row>
    <row r="2514" spans="1:19">
      <c r="A2514" s="5" t="str">
        <f>B2514&amp;"-"&amp;COUNTIF($B$2:B2514,B2514)</f>
        <v>PARA-95</v>
      </c>
      <c r="B2514" s="5" t="s">
        <v>1695</v>
      </c>
      <c r="C2514" s="5" t="s">
        <v>1757</v>
      </c>
      <c r="D2514" s="6">
        <v>-488665</v>
      </c>
      <c r="E2514" s="6">
        <v>-13963</v>
      </c>
      <c r="F2514" s="7">
        <v>5.149</v>
      </c>
      <c r="G2514" s="7">
        <v>4.8070000000000004</v>
      </c>
      <c r="H2514" s="7">
        <v>4.6539999999999999</v>
      </c>
      <c r="I2514" s="7">
        <v>4.7309999999999999</v>
      </c>
      <c r="J2514" s="7">
        <v>4.8040000000000003</v>
      </c>
      <c r="K2514" s="7">
        <v>4.99</v>
      </c>
      <c r="L2514" s="7">
        <v>5.165</v>
      </c>
      <c r="M2514" s="7">
        <v>5.2290000000000001</v>
      </c>
      <c r="N2514" s="7">
        <v>5.5069999999999997</v>
      </c>
      <c r="O2514" s="7">
        <v>5.673</v>
      </c>
      <c r="P2514" s="7">
        <v>5.5810000000000004</v>
      </c>
      <c r="Q2514" s="7">
        <v>5.4960000000000004</v>
      </c>
      <c r="R2514" s="7">
        <v>5.1529999999999996</v>
      </c>
      <c r="S2514" s="7">
        <f t="shared" si="39"/>
        <v>5.1491666666666669</v>
      </c>
    </row>
    <row r="2515" spans="1:19">
      <c r="A2515" s="5" t="str">
        <f>B2515&amp;"-"&amp;COUNTIF($B$2:B2515,B2515)</f>
        <v>PARA-96</v>
      </c>
      <c r="B2515" s="5" t="s">
        <v>1695</v>
      </c>
      <c r="C2515" s="5" t="s">
        <v>1758</v>
      </c>
      <c r="D2515" s="6">
        <v>-508198</v>
      </c>
      <c r="E2515" s="6">
        <v>-19368</v>
      </c>
      <c r="F2515" s="7">
        <v>4.8639999999999999</v>
      </c>
      <c r="G2515" s="7">
        <v>4.5890000000000004</v>
      </c>
      <c r="H2515" s="7">
        <v>4.4889999999999999</v>
      </c>
      <c r="I2515" s="7">
        <v>4.5919999999999996</v>
      </c>
      <c r="J2515" s="7">
        <v>4.6079999999999997</v>
      </c>
      <c r="K2515" s="7">
        <v>4.7080000000000002</v>
      </c>
      <c r="L2515" s="7">
        <v>4.9160000000000004</v>
      </c>
      <c r="M2515" s="7">
        <v>4.9859999999999998</v>
      </c>
      <c r="N2515" s="7">
        <v>5.2590000000000003</v>
      </c>
      <c r="O2515" s="7">
        <v>5.31</v>
      </c>
      <c r="P2515" s="7">
        <v>5.1379999999999999</v>
      </c>
      <c r="Q2515" s="7">
        <v>5.056</v>
      </c>
      <c r="R2515" s="7">
        <v>4.718</v>
      </c>
      <c r="S2515" s="7">
        <f t="shared" si="39"/>
        <v>4.8640833333333333</v>
      </c>
    </row>
    <row r="2516" spans="1:19">
      <c r="A2516" s="5" t="str">
        <f>B2516&amp;"-"&amp;COUNTIF($B$2:B2516,B2516)</f>
        <v>PARA-97</v>
      </c>
      <c r="B2516" s="5" t="s">
        <v>1695</v>
      </c>
      <c r="C2516" s="5" t="s">
        <v>1759</v>
      </c>
      <c r="D2516" s="6">
        <v>-522365</v>
      </c>
      <c r="E2516" s="6">
        <v>-17473</v>
      </c>
      <c r="F2516" s="7">
        <v>4.718</v>
      </c>
      <c r="G2516" s="7">
        <v>4.4770000000000003</v>
      </c>
      <c r="H2516" s="7">
        <v>4.5069999999999997</v>
      </c>
      <c r="I2516" s="7">
        <v>4.484</v>
      </c>
      <c r="J2516" s="7">
        <v>4.4649999999999999</v>
      </c>
      <c r="K2516" s="7">
        <v>4.5</v>
      </c>
      <c r="L2516" s="7">
        <v>4.6639999999999997</v>
      </c>
      <c r="M2516" s="7">
        <v>4.6900000000000004</v>
      </c>
      <c r="N2516" s="7">
        <v>5.0549999999999997</v>
      </c>
      <c r="O2516" s="7">
        <v>5.1310000000000002</v>
      </c>
      <c r="P2516" s="7">
        <v>5.1070000000000002</v>
      </c>
      <c r="Q2516" s="7">
        <v>4.9660000000000002</v>
      </c>
      <c r="R2516" s="7">
        <v>4.569</v>
      </c>
      <c r="S2516" s="7">
        <f t="shared" si="39"/>
        <v>4.7179166666666665</v>
      </c>
    </row>
    <row r="2517" spans="1:19">
      <c r="A2517" s="5" t="str">
        <f>B2517&amp;"-"&amp;COUNTIF($B$2:B2517,B2517)</f>
        <v>PARA-98</v>
      </c>
      <c r="B2517" s="5" t="s">
        <v>1695</v>
      </c>
      <c r="C2517" s="5" t="s">
        <v>1760</v>
      </c>
      <c r="D2517" s="6">
        <v>-534817</v>
      </c>
      <c r="E2517" s="6">
        <v>-17929</v>
      </c>
      <c r="F2517" s="7">
        <v>4.907</v>
      </c>
      <c r="G2517" s="7">
        <v>4.6559999999999997</v>
      </c>
      <c r="H2517" s="7">
        <v>4.6539999999999999</v>
      </c>
      <c r="I2517" s="7">
        <v>4.6980000000000004</v>
      </c>
      <c r="J2517" s="7">
        <v>4.6289999999999996</v>
      </c>
      <c r="K2517" s="7">
        <v>4.7149999999999999</v>
      </c>
      <c r="L2517" s="7">
        <v>4.9619999999999997</v>
      </c>
      <c r="M2517" s="7">
        <v>4.9329999999999998</v>
      </c>
      <c r="N2517" s="7">
        <v>5.218</v>
      </c>
      <c r="O2517" s="7">
        <v>5.109</v>
      </c>
      <c r="P2517" s="7">
        <v>5.3520000000000003</v>
      </c>
      <c r="Q2517" s="7">
        <v>5.194</v>
      </c>
      <c r="R2517" s="7">
        <v>4.7640000000000002</v>
      </c>
      <c r="S2517" s="7">
        <f t="shared" si="39"/>
        <v>4.9070000000000009</v>
      </c>
    </row>
    <row r="2518" spans="1:19">
      <c r="A2518" s="5" t="str">
        <f>B2518&amp;"-"&amp;COUNTIF($B$2:B2518,B2518)</f>
        <v>PARA-99</v>
      </c>
      <c r="B2518" s="5" t="s">
        <v>1695</v>
      </c>
      <c r="C2518" s="5" t="s">
        <v>1761</v>
      </c>
      <c r="D2518" s="6">
        <v>-471256</v>
      </c>
      <c r="E2518" s="5" t="s">
        <v>1762</v>
      </c>
      <c r="F2518" s="7">
        <v>4.8280000000000003</v>
      </c>
      <c r="G2518" s="7">
        <v>4.601</v>
      </c>
      <c r="H2518" s="7">
        <v>4.3579999999999997</v>
      </c>
      <c r="I2518" s="7">
        <v>4.2210000000000001</v>
      </c>
      <c r="J2518" s="7">
        <v>4.2329999999999997</v>
      </c>
      <c r="K2518" s="7">
        <v>4.4820000000000002</v>
      </c>
      <c r="L2518" s="7">
        <v>4.8</v>
      </c>
      <c r="M2518" s="7">
        <v>4.8810000000000002</v>
      </c>
      <c r="N2518" s="7">
        <v>5.194</v>
      </c>
      <c r="O2518" s="7">
        <v>5.5170000000000003</v>
      </c>
      <c r="P2518" s="7">
        <v>5.4119999999999999</v>
      </c>
      <c r="Q2518" s="7">
        <v>5.2670000000000003</v>
      </c>
      <c r="R2518" s="7">
        <v>4.9749999999999996</v>
      </c>
      <c r="S2518" s="7">
        <f t="shared" si="39"/>
        <v>4.8284166666666675</v>
      </c>
    </row>
    <row r="2519" spans="1:19">
      <c r="A2519" s="5" t="str">
        <f>B2519&amp;"-"&amp;COUNTIF($B$2:B2519,B2519)</f>
        <v>PARA-100</v>
      </c>
      <c r="B2519" s="5" t="s">
        <v>1695</v>
      </c>
      <c r="C2519" s="5" t="s">
        <v>1763</v>
      </c>
      <c r="D2519" s="6">
        <v>-47005</v>
      </c>
      <c r="E2519" s="5" t="s">
        <v>1764</v>
      </c>
      <c r="F2519" s="7">
        <v>4.8609999999999998</v>
      </c>
      <c r="G2519" s="7">
        <v>4.6399999999999997</v>
      </c>
      <c r="H2519" s="7">
        <v>4.4039999999999999</v>
      </c>
      <c r="I2519" s="7">
        <v>4.25</v>
      </c>
      <c r="J2519" s="7">
        <v>4.266</v>
      </c>
      <c r="K2519" s="7">
        <v>4.4850000000000003</v>
      </c>
      <c r="L2519" s="7">
        <v>4.7779999999999996</v>
      </c>
      <c r="M2519" s="7">
        <v>4.8940000000000001</v>
      </c>
      <c r="N2519" s="7">
        <v>5.2439999999999998</v>
      </c>
      <c r="O2519" s="7">
        <v>5.5350000000000001</v>
      </c>
      <c r="P2519" s="7">
        <v>5.4640000000000004</v>
      </c>
      <c r="Q2519" s="7">
        <v>5.3220000000000001</v>
      </c>
      <c r="R2519" s="7">
        <v>5.0460000000000003</v>
      </c>
      <c r="S2519" s="7">
        <f t="shared" si="39"/>
        <v>4.860666666666666</v>
      </c>
    </row>
    <row r="2520" spans="1:19">
      <c r="A2520" s="5" t="str">
        <f>B2520&amp;"-"&amp;COUNTIF($B$2:B2520,B2520)</f>
        <v>PARA-101</v>
      </c>
      <c r="B2520" s="5" t="s">
        <v>1695</v>
      </c>
      <c r="C2520" s="5" t="s">
        <v>4626</v>
      </c>
      <c r="D2520" s="6">
        <v>-500321</v>
      </c>
      <c r="E2520" s="6">
        <v>-80257</v>
      </c>
      <c r="F2520" s="7">
        <v>4.9809999999999999</v>
      </c>
      <c r="G2520" s="7">
        <v>4.851</v>
      </c>
      <c r="H2520" s="7">
        <v>4.9000000000000004</v>
      </c>
      <c r="I2520" s="7">
        <v>4.7220000000000004</v>
      </c>
      <c r="J2520" s="7">
        <v>4.6890000000000001</v>
      </c>
      <c r="K2520" s="7">
        <v>4.7889999999999997</v>
      </c>
      <c r="L2520" s="7">
        <v>4.99</v>
      </c>
      <c r="M2520" s="7">
        <v>4.9749999999999996</v>
      </c>
      <c r="N2520" s="7">
        <v>5.6980000000000004</v>
      </c>
      <c r="O2520" s="7">
        <v>5.4340000000000002</v>
      </c>
      <c r="P2520" s="7">
        <v>5.0540000000000003</v>
      </c>
      <c r="Q2520" s="7">
        <v>4.9050000000000002</v>
      </c>
      <c r="R2520" s="7">
        <v>4.7640000000000002</v>
      </c>
      <c r="S2520" s="7">
        <f t="shared" si="39"/>
        <v>4.9809166666666673</v>
      </c>
    </row>
    <row r="2521" spans="1:19">
      <c r="A2521" s="5" t="str">
        <f>B2521&amp;"-"&amp;COUNTIF($B$2:B2521,B2521)</f>
        <v>PARA-102</v>
      </c>
      <c r="B2521" s="5" t="s">
        <v>1695</v>
      </c>
      <c r="C2521" s="5" t="s">
        <v>1765</v>
      </c>
      <c r="D2521" s="6">
        <v>-500432</v>
      </c>
      <c r="E2521" s="6">
        <v>-73174</v>
      </c>
      <c r="F2521" s="7">
        <v>4.9379999999999997</v>
      </c>
      <c r="G2521" s="7">
        <v>4.7539999999999996</v>
      </c>
      <c r="H2521" s="7">
        <v>4.8029999999999999</v>
      </c>
      <c r="I2521" s="7">
        <v>4.681</v>
      </c>
      <c r="J2521" s="7">
        <v>4.6820000000000004</v>
      </c>
      <c r="K2521" s="7">
        <v>4.8419999999999996</v>
      </c>
      <c r="L2521" s="7">
        <v>5.0149999999999997</v>
      </c>
      <c r="M2521" s="7">
        <v>5.0460000000000003</v>
      </c>
      <c r="N2521" s="7">
        <v>5.6660000000000004</v>
      </c>
      <c r="O2521" s="7">
        <v>5.3410000000000002</v>
      </c>
      <c r="P2521" s="7">
        <v>4.968</v>
      </c>
      <c r="Q2521" s="7">
        <v>4.7729999999999997</v>
      </c>
      <c r="R2521" s="7">
        <v>4.681</v>
      </c>
      <c r="S2521" s="7">
        <f t="shared" si="39"/>
        <v>4.937666666666666</v>
      </c>
    </row>
    <row r="2522" spans="1:19">
      <c r="A2522" s="5" t="str">
        <f>B2522&amp;"-"&amp;COUNTIF($B$2:B2522,B2522)</f>
        <v>PARA-103</v>
      </c>
      <c r="B2522" s="5" t="s">
        <v>1695</v>
      </c>
      <c r="C2522" s="5" t="s">
        <v>5639</v>
      </c>
      <c r="D2522" s="6">
        <v>-480673</v>
      </c>
      <c r="E2522" s="6">
        <v>-47783</v>
      </c>
      <c r="F2522" s="7">
        <v>4.8250000000000002</v>
      </c>
      <c r="G2522" s="7">
        <v>4.4390000000000001</v>
      </c>
      <c r="H2522" s="7">
        <v>4.5940000000000003</v>
      </c>
      <c r="I2522" s="7">
        <v>4.6219999999999999</v>
      </c>
      <c r="J2522" s="7">
        <v>4.7220000000000004</v>
      </c>
      <c r="K2522" s="7">
        <v>4.7110000000000003</v>
      </c>
      <c r="L2522" s="7">
        <v>4.9379999999999997</v>
      </c>
      <c r="M2522" s="7">
        <v>5.05</v>
      </c>
      <c r="N2522" s="7">
        <v>5.452</v>
      </c>
      <c r="O2522" s="7">
        <v>5.26</v>
      </c>
      <c r="P2522" s="7">
        <v>4.8739999999999997</v>
      </c>
      <c r="Q2522" s="7">
        <v>4.6920000000000002</v>
      </c>
      <c r="R2522" s="7">
        <v>4.5510000000000002</v>
      </c>
      <c r="S2522" s="7">
        <f t="shared" si="39"/>
        <v>4.8254166666666665</v>
      </c>
    </row>
    <row r="2523" spans="1:19">
      <c r="A2523" s="5" t="str">
        <f>B2523&amp;"-"&amp;COUNTIF($B$2:B2523,B2523)</f>
        <v>PARA-104</v>
      </c>
      <c r="B2523" s="5" t="s">
        <v>1695</v>
      </c>
      <c r="C2523" s="5" t="s">
        <v>5151</v>
      </c>
      <c r="D2523" s="6">
        <v>-549096</v>
      </c>
      <c r="E2523" s="6">
        <v>-41007</v>
      </c>
      <c r="F2523" s="7">
        <v>4.5309999999999997</v>
      </c>
      <c r="G2523" s="7">
        <v>4.1059999999999999</v>
      </c>
      <c r="H2523" s="7">
        <v>4.2590000000000003</v>
      </c>
      <c r="I2523" s="7">
        <v>4.2480000000000002</v>
      </c>
      <c r="J2523" s="7">
        <v>4.1680000000000001</v>
      </c>
      <c r="K2523" s="7">
        <v>4.181</v>
      </c>
      <c r="L2523" s="7">
        <v>4.5069999999999997</v>
      </c>
      <c r="M2523" s="7">
        <v>4.4660000000000002</v>
      </c>
      <c r="N2523" s="7">
        <v>5.0759999999999996</v>
      </c>
      <c r="O2523" s="7">
        <v>4.9790000000000001</v>
      </c>
      <c r="P2523" s="7">
        <v>5.0490000000000004</v>
      </c>
      <c r="Q2523" s="7">
        <v>4.8600000000000003</v>
      </c>
      <c r="R2523" s="7">
        <v>4.4690000000000003</v>
      </c>
      <c r="S2523" s="7">
        <f t="shared" si="39"/>
        <v>4.5306666666666668</v>
      </c>
    </row>
    <row r="2524" spans="1:19">
      <c r="A2524" s="5" t="str">
        <f>B2524&amp;"-"&amp;COUNTIF($B$2:B2524,B2524)</f>
        <v>PARA-105</v>
      </c>
      <c r="B2524" s="5" t="s">
        <v>1695</v>
      </c>
      <c r="C2524" s="5" t="s">
        <v>4048</v>
      </c>
      <c r="D2524" s="6">
        <v>-480202</v>
      </c>
      <c r="E2524" s="5" t="s">
        <v>1766</v>
      </c>
      <c r="F2524" s="7">
        <v>4.9130000000000003</v>
      </c>
      <c r="G2524" s="7">
        <v>4.673</v>
      </c>
      <c r="H2524" s="7">
        <v>4.2469999999999999</v>
      </c>
      <c r="I2524" s="7">
        <v>4.2089999999999996</v>
      </c>
      <c r="J2524" s="7">
        <v>4.2770000000000001</v>
      </c>
      <c r="K2524" s="7">
        <v>4.4989999999999997</v>
      </c>
      <c r="L2524" s="7">
        <v>4.8109999999999999</v>
      </c>
      <c r="M2524" s="7">
        <v>4.9409999999999998</v>
      </c>
      <c r="N2524" s="7">
        <v>5.3719999999999999</v>
      </c>
      <c r="O2524" s="7">
        <v>5.6459999999999999</v>
      </c>
      <c r="P2524" s="7">
        <v>5.6079999999999997</v>
      </c>
      <c r="Q2524" s="7">
        <v>5.5419999999999998</v>
      </c>
      <c r="R2524" s="7">
        <v>5.1369999999999996</v>
      </c>
      <c r="S2524" s="7">
        <f t="shared" si="39"/>
        <v>4.9135</v>
      </c>
    </row>
    <row r="2525" spans="1:19">
      <c r="A2525" s="5" t="str">
        <f>B2525&amp;"-"&amp;COUNTIF($B$2:B2525,B2525)</f>
        <v>PARA-106</v>
      </c>
      <c r="B2525" s="5" t="s">
        <v>1695</v>
      </c>
      <c r="C2525" s="5" t="s">
        <v>4049</v>
      </c>
      <c r="D2525" s="6">
        <v>-487301</v>
      </c>
      <c r="E2525" s="6">
        <v>-5549</v>
      </c>
      <c r="F2525" s="7">
        <v>4.9089999999999998</v>
      </c>
      <c r="G2525" s="7">
        <v>4.5940000000000003</v>
      </c>
      <c r="H2525" s="7">
        <v>4.7510000000000003</v>
      </c>
      <c r="I2525" s="7">
        <v>4.7480000000000002</v>
      </c>
      <c r="J2525" s="7">
        <v>4.7869999999999999</v>
      </c>
      <c r="K2525" s="7">
        <v>4.726</v>
      </c>
      <c r="L2525" s="7">
        <v>5.0339999999999998</v>
      </c>
      <c r="M2525" s="7">
        <v>5.1269999999999998</v>
      </c>
      <c r="N2525" s="7">
        <v>5.6050000000000004</v>
      </c>
      <c r="O2525" s="7">
        <v>5.3739999999999997</v>
      </c>
      <c r="P2525" s="7">
        <v>4.8520000000000003</v>
      </c>
      <c r="Q2525" s="7">
        <v>4.7610000000000001</v>
      </c>
      <c r="R2525" s="7">
        <v>4.5469999999999997</v>
      </c>
      <c r="S2525" s="7">
        <f t="shared" si="39"/>
        <v>4.9088333333333329</v>
      </c>
    </row>
    <row r="2526" spans="1:19">
      <c r="A2526" s="5" t="str">
        <f>B2526&amp;"-"&amp;COUNTIF($B$2:B2526,B2526)</f>
        <v>PARA-107</v>
      </c>
      <c r="B2526" s="5" t="s">
        <v>1695</v>
      </c>
      <c r="C2526" s="5" t="s">
        <v>4050</v>
      </c>
      <c r="D2526" s="6">
        <v>-477668</v>
      </c>
      <c r="E2526" s="6">
        <v>-16881</v>
      </c>
      <c r="F2526" s="7">
        <v>4.899</v>
      </c>
      <c r="G2526" s="7">
        <v>4.585</v>
      </c>
      <c r="H2526" s="7">
        <v>4.5190000000000001</v>
      </c>
      <c r="I2526" s="7">
        <v>4.4720000000000004</v>
      </c>
      <c r="J2526" s="7">
        <v>4.5469999999999997</v>
      </c>
      <c r="K2526" s="7">
        <v>4.7270000000000003</v>
      </c>
      <c r="L2526" s="7">
        <v>4.9880000000000004</v>
      </c>
      <c r="M2526" s="7">
        <v>5.0869999999999997</v>
      </c>
      <c r="N2526" s="7">
        <v>5.3479999999999999</v>
      </c>
      <c r="O2526" s="7">
        <v>5.4340000000000002</v>
      </c>
      <c r="P2526" s="7">
        <v>5.319</v>
      </c>
      <c r="Q2526" s="7">
        <v>5.0810000000000004</v>
      </c>
      <c r="R2526" s="7">
        <v>4.6769999999999996</v>
      </c>
      <c r="S2526" s="7">
        <f t="shared" si="39"/>
        <v>4.8986666666666663</v>
      </c>
    </row>
    <row r="2527" spans="1:19">
      <c r="A2527" s="5" t="str">
        <f>B2527&amp;"-"&amp;COUNTIF($B$2:B2527,B2527)</f>
        <v>PARA-108</v>
      </c>
      <c r="B2527" s="5" t="s">
        <v>1695</v>
      </c>
      <c r="C2527" s="5" t="s">
        <v>4381</v>
      </c>
      <c r="D2527" s="6">
        <v>-519908</v>
      </c>
      <c r="E2527" s="6">
        <v>-66429</v>
      </c>
      <c r="F2527" s="7">
        <v>4.7039999999999997</v>
      </c>
      <c r="G2527" s="7">
        <v>4.3419999999999996</v>
      </c>
      <c r="H2527" s="7">
        <v>4.5830000000000002</v>
      </c>
      <c r="I2527" s="7">
        <v>4.5229999999999997</v>
      </c>
      <c r="J2527" s="7">
        <v>4.4359999999999999</v>
      </c>
      <c r="K2527" s="7">
        <v>4.6189999999999998</v>
      </c>
      <c r="L2527" s="7">
        <v>4.9029999999999996</v>
      </c>
      <c r="M2527" s="7">
        <v>4.8360000000000003</v>
      </c>
      <c r="N2527" s="7">
        <v>5.2850000000000001</v>
      </c>
      <c r="O2527" s="7">
        <v>5.0940000000000003</v>
      </c>
      <c r="P2527" s="7">
        <v>4.8029999999999999</v>
      </c>
      <c r="Q2527" s="7">
        <v>4.6349999999999998</v>
      </c>
      <c r="R2527" s="7">
        <v>4.3899999999999997</v>
      </c>
      <c r="S2527" s="7">
        <f t="shared" si="39"/>
        <v>4.7040833333333332</v>
      </c>
    </row>
    <row r="2528" spans="1:19">
      <c r="A2528" s="5" t="str">
        <f>B2528&amp;"-"&amp;COUNTIF($B$2:B2528,B2528)</f>
        <v>PARA-109</v>
      </c>
      <c r="B2528" s="5" t="s">
        <v>1695</v>
      </c>
      <c r="C2528" s="5" t="s">
        <v>5640</v>
      </c>
      <c r="D2528" s="6">
        <v>-477923</v>
      </c>
      <c r="E2528" s="6">
        <v>-11702</v>
      </c>
      <c r="F2528" s="7">
        <v>4.7409999999999997</v>
      </c>
      <c r="G2528" s="7">
        <v>4.3410000000000002</v>
      </c>
      <c r="H2528" s="7">
        <v>4.218</v>
      </c>
      <c r="I2528" s="7">
        <v>4.2060000000000004</v>
      </c>
      <c r="J2528" s="7">
        <v>4.282</v>
      </c>
      <c r="K2528" s="7">
        <v>4.5739999999999998</v>
      </c>
      <c r="L2528" s="7">
        <v>4.8129999999999997</v>
      </c>
      <c r="M2528" s="7">
        <v>5.0030000000000001</v>
      </c>
      <c r="N2528" s="7">
        <v>5.2220000000000004</v>
      </c>
      <c r="O2528" s="7">
        <v>5.3680000000000003</v>
      </c>
      <c r="P2528" s="7">
        <v>5.2640000000000002</v>
      </c>
      <c r="Q2528" s="7">
        <v>5.0350000000000001</v>
      </c>
      <c r="R2528" s="7">
        <v>4.5709999999999997</v>
      </c>
      <c r="S2528" s="7">
        <f t="shared" si="39"/>
        <v>4.7414166666666668</v>
      </c>
    </row>
    <row r="2529" spans="1:19">
      <c r="A2529" s="5" t="str">
        <f>B2529&amp;"-"&amp;COUNTIF($B$2:B2529,B2529)</f>
        <v>PARA-110</v>
      </c>
      <c r="B2529" s="5" t="s">
        <v>1695</v>
      </c>
      <c r="C2529" s="5" t="s">
        <v>4051</v>
      </c>
      <c r="D2529" s="6">
        <v>-485595</v>
      </c>
      <c r="E2529" s="6">
        <v>-63951</v>
      </c>
      <c r="F2529" s="7">
        <v>5.0019999999999998</v>
      </c>
      <c r="G2529" s="7">
        <v>4.6710000000000003</v>
      </c>
      <c r="H2529" s="7">
        <v>4.8410000000000002</v>
      </c>
      <c r="I2529" s="7">
        <v>4.72</v>
      </c>
      <c r="J2529" s="7">
        <v>4.7789999999999999</v>
      </c>
      <c r="K2529" s="7">
        <v>4.8819999999999997</v>
      </c>
      <c r="L2529" s="7">
        <v>5.16</v>
      </c>
      <c r="M2529" s="7">
        <v>5.2439999999999998</v>
      </c>
      <c r="N2529" s="7">
        <v>5.7370000000000001</v>
      </c>
      <c r="O2529" s="7">
        <v>5.6189999999999998</v>
      </c>
      <c r="P2529" s="7">
        <v>5.0570000000000004</v>
      </c>
      <c r="Q2529" s="7">
        <v>4.7220000000000004</v>
      </c>
      <c r="R2529" s="7">
        <v>4.5869999999999997</v>
      </c>
      <c r="S2529" s="7">
        <f t="shared" si="39"/>
        <v>5.0015833333333335</v>
      </c>
    </row>
    <row r="2530" spans="1:19">
      <c r="A2530" s="5" t="str">
        <f>B2530&amp;"-"&amp;COUNTIF($B$2:B2530,B2530)</f>
        <v>PARA-111</v>
      </c>
      <c r="B2530" s="5" t="s">
        <v>1695</v>
      </c>
      <c r="C2530" s="5" t="s">
        <v>4052</v>
      </c>
      <c r="D2530" s="6">
        <v>-47921</v>
      </c>
      <c r="E2530" s="5" t="s">
        <v>1767</v>
      </c>
      <c r="F2530" s="7">
        <v>4.6779999999999999</v>
      </c>
      <c r="G2530" s="7">
        <v>4.3150000000000004</v>
      </c>
      <c r="H2530" s="7">
        <v>4.0510000000000002</v>
      </c>
      <c r="I2530" s="7">
        <v>3.988</v>
      </c>
      <c r="J2530" s="7">
        <v>4.13</v>
      </c>
      <c r="K2530" s="7">
        <v>4.4109999999999996</v>
      </c>
      <c r="L2530" s="7">
        <v>4.7539999999999996</v>
      </c>
      <c r="M2530" s="7">
        <v>4.8579999999999997</v>
      </c>
      <c r="N2530" s="7">
        <v>5.1740000000000004</v>
      </c>
      <c r="O2530" s="7">
        <v>5.4210000000000003</v>
      </c>
      <c r="P2530" s="7">
        <v>5.298</v>
      </c>
      <c r="Q2530" s="7">
        <v>5.08</v>
      </c>
      <c r="R2530" s="7">
        <v>4.66</v>
      </c>
      <c r="S2530" s="7">
        <f t="shared" si="39"/>
        <v>4.6783333333333337</v>
      </c>
    </row>
    <row r="2531" spans="1:19">
      <c r="A2531" s="5" t="str">
        <f>B2531&amp;"-"&amp;COUNTIF($B$2:B2531,B2531)</f>
        <v>PARA-112</v>
      </c>
      <c r="B2531" s="5" t="s">
        <v>1695</v>
      </c>
      <c r="C2531" s="5" t="s">
        <v>4053</v>
      </c>
      <c r="D2531" s="6">
        <v>-471814</v>
      </c>
      <c r="E2531" s="5" t="s">
        <v>1768</v>
      </c>
      <c r="F2531" s="7">
        <v>4.9459999999999997</v>
      </c>
      <c r="G2531" s="7">
        <v>4.7549999999999999</v>
      </c>
      <c r="H2531" s="7">
        <v>4.4859999999999998</v>
      </c>
      <c r="I2531" s="7">
        <v>4.3140000000000001</v>
      </c>
      <c r="J2531" s="7">
        <v>4.3470000000000004</v>
      </c>
      <c r="K2531" s="7">
        <v>4.665</v>
      </c>
      <c r="L2531" s="7">
        <v>4.8899999999999997</v>
      </c>
      <c r="M2531" s="7">
        <v>4.9989999999999997</v>
      </c>
      <c r="N2531" s="7">
        <v>5.3049999999999997</v>
      </c>
      <c r="O2531" s="7">
        <v>5.5860000000000003</v>
      </c>
      <c r="P2531" s="7">
        <v>5.4960000000000004</v>
      </c>
      <c r="Q2531" s="7">
        <v>5.391</v>
      </c>
      <c r="R2531" s="7">
        <v>5.1150000000000002</v>
      </c>
      <c r="S2531" s="7">
        <f t="shared" si="39"/>
        <v>4.9457500000000003</v>
      </c>
    </row>
    <row r="2532" spans="1:19">
      <c r="A2532" s="5" t="str">
        <f>B2532&amp;"-"&amp;COUNTIF($B$2:B2532,B2532)</f>
        <v>PARA-113</v>
      </c>
      <c r="B2532" s="5" t="s">
        <v>1695</v>
      </c>
      <c r="C2532" s="5" t="s">
        <v>4054</v>
      </c>
      <c r="D2532" s="6">
        <v>-487925</v>
      </c>
      <c r="E2532" s="6">
        <v>-53606</v>
      </c>
      <c r="F2532" s="7">
        <v>5.008</v>
      </c>
      <c r="G2532" s="7">
        <v>4.7430000000000003</v>
      </c>
      <c r="H2532" s="7">
        <v>4.8079999999999998</v>
      </c>
      <c r="I2532" s="7">
        <v>4.8570000000000002</v>
      </c>
      <c r="J2532" s="7">
        <v>4.976</v>
      </c>
      <c r="K2532" s="7">
        <v>4.8419999999999996</v>
      </c>
      <c r="L2532" s="7">
        <v>5.1070000000000002</v>
      </c>
      <c r="M2532" s="7">
        <v>5.1470000000000002</v>
      </c>
      <c r="N2532" s="7">
        <v>5.649</v>
      </c>
      <c r="O2532" s="7">
        <v>5.4820000000000002</v>
      </c>
      <c r="P2532" s="7">
        <v>4.9829999999999997</v>
      </c>
      <c r="Q2532" s="7">
        <v>4.875</v>
      </c>
      <c r="R2532" s="7">
        <v>4.633</v>
      </c>
      <c r="S2532" s="7">
        <f t="shared" si="39"/>
        <v>5.0084999999999997</v>
      </c>
    </row>
    <row r="2533" spans="1:19">
      <c r="A2533" s="5" t="str">
        <f>B2533&amp;"-"&amp;COUNTIF($B$2:B2533,B2533)</f>
        <v>PARA-114</v>
      </c>
      <c r="B2533" s="5" t="s">
        <v>1695</v>
      </c>
      <c r="C2533" s="5" t="s">
        <v>5641</v>
      </c>
      <c r="D2533" s="6">
        <v>-474788</v>
      </c>
      <c r="E2533" s="6">
        <v>-16135</v>
      </c>
      <c r="F2533" s="7">
        <v>4.875</v>
      </c>
      <c r="G2533" s="7">
        <v>4.5599999999999996</v>
      </c>
      <c r="H2533" s="7">
        <v>4.4039999999999999</v>
      </c>
      <c r="I2533" s="7">
        <v>4.3840000000000003</v>
      </c>
      <c r="J2533" s="7">
        <v>4.492</v>
      </c>
      <c r="K2533" s="7">
        <v>4.66</v>
      </c>
      <c r="L2533" s="7">
        <v>5</v>
      </c>
      <c r="M2533" s="7">
        <v>5.0919999999999996</v>
      </c>
      <c r="N2533" s="7">
        <v>5.41</v>
      </c>
      <c r="O2533" s="7">
        <v>5.5259999999999998</v>
      </c>
      <c r="P2533" s="7">
        <v>5.2489999999999997</v>
      </c>
      <c r="Q2533" s="7">
        <v>5.069</v>
      </c>
      <c r="R2533" s="7">
        <v>4.6589999999999998</v>
      </c>
      <c r="S2533" s="7">
        <f t="shared" si="39"/>
        <v>4.8754166666666663</v>
      </c>
    </row>
    <row r="2534" spans="1:19">
      <c r="A2534" s="5" t="str">
        <f>B2534&amp;"-"&amp;COUNTIF($B$2:B2534,B2534)</f>
        <v>PARA-115</v>
      </c>
      <c r="B2534" s="5" t="s">
        <v>1695</v>
      </c>
      <c r="C2534" s="5" t="s">
        <v>4055</v>
      </c>
      <c r="D2534" s="6">
        <v>-495305</v>
      </c>
      <c r="E2534" s="6">
        <v>-17159</v>
      </c>
      <c r="F2534" s="7">
        <v>5.0449999999999999</v>
      </c>
      <c r="G2534" s="7">
        <v>4.633</v>
      </c>
      <c r="H2534" s="7">
        <v>4.577</v>
      </c>
      <c r="I2534" s="7">
        <v>4.6920000000000002</v>
      </c>
      <c r="J2534" s="7">
        <v>4.6890000000000001</v>
      </c>
      <c r="K2534" s="7">
        <v>4.992</v>
      </c>
      <c r="L2534" s="7">
        <v>5.056</v>
      </c>
      <c r="M2534" s="7">
        <v>5.1660000000000004</v>
      </c>
      <c r="N2534" s="7">
        <v>5.3220000000000001</v>
      </c>
      <c r="O2534" s="7">
        <v>5.5650000000000004</v>
      </c>
      <c r="P2534" s="7">
        <v>5.49</v>
      </c>
      <c r="Q2534" s="7">
        <v>5.3970000000000002</v>
      </c>
      <c r="R2534" s="7">
        <v>4.9530000000000003</v>
      </c>
      <c r="S2534" s="7">
        <f t="shared" si="39"/>
        <v>5.0443333333333342</v>
      </c>
    </row>
    <row r="2535" spans="1:19">
      <c r="A2535" s="5" t="str">
        <f>B2535&amp;"-"&amp;COUNTIF($B$2:B2535,B2535)</f>
        <v>PARA-116</v>
      </c>
      <c r="B2535" s="5" t="s">
        <v>1695</v>
      </c>
      <c r="C2535" s="5" t="s">
        <v>5152</v>
      </c>
      <c r="D2535" s="6">
        <v>-473476</v>
      </c>
      <c r="E2535" s="5" t="s">
        <v>1769</v>
      </c>
      <c r="F2535" s="7">
        <v>5.0599999999999996</v>
      </c>
      <c r="G2535" s="7">
        <v>4.944</v>
      </c>
      <c r="H2535" s="7">
        <v>4.5339999999999998</v>
      </c>
      <c r="I2535" s="7">
        <v>4.45</v>
      </c>
      <c r="J2535" s="7">
        <v>4.508</v>
      </c>
      <c r="K2535" s="7">
        <v>4.8049999999999997</v>
      </c>
      <c r="L2535" s="7">
        <v>5.0990000000000002</v>
      </c>
      <c r="M2535" s="7">
        <v>5.2169999999999996</v>
      </c>
      <c r="N2535" s="7">
        <v>5.2380000000000004</v>
      </c>
      <c r="O2535" s="7">
        <v>5.657</v>
      </c>
      <c r="P2535" s="7">
        <v>5.5380000000000003</v>
      </c>
      <c r="Q2535" s="7">
        <v>5.5030000000000001</v>
      </c>
      <c r="R2535" s="7">
        <v>5.23</v>
      </c>
      <c r="S2535" s="7">
        <f t="shared" si="39"/>
        <v>5.0602499999999999</v>
      </c>
    </row>
    <row r="2536" spans="1:19">
      <c r="A2536" s="5" t="str">
        <f>B2536&amp;"-"&amp;COUNTIF($B$2:B2536,B2536)</f>
        <v>PARA-117</v>
      </c>
      <c r="B2536" s="5" t="s">
        <v>1695</v>
      </c>
      <c r="C2536" s="5" t="s">
        <v>1770</v>
      </c>
      <c r="D2536" s="6">
        <v>-485143</v>
      </c>
      <c r="E2536" s="5" t="s">
        <v>1771</v>
      </c>
      <c r="F2536" s="7">
        <v>5.0469999999999997</v>
      </c>
      <c r="G2536" s="7">
        <v>4.6970000000000001</v>
      </c>
      <c r="H2536" s="7">
        <v>4.3849999999999998</v>
      </c>
      <c r="I2536" s="7">
        <v>4.4080000000000004</v>
      </c>
      <c r="J2536" s="7">
        <v>4.4809999999999999</v>
      </c>
      <c r="K2536" s="7">
        <v>4.8410000000000002</v>
      </c>
      <c r="L2536" s="7">
        <v>5.0460000000000003</v>
      </c>
      <c r="M2536" s="7">
        <v>5.1029999999999998</v>
      </c>
      <c r="N2536" s="7">
        <v>5.4550000000000001</v>
      </c>
      <c r="O2536" s="7">
        <v>5.7080000000000002</v>
      </c>
      <c r="P2536" s="7">
        <v>5.67</v>
      </c>
      <c r="Q2536" s="7">
        <v>5.6139999999999999</v>
      </c>
      <c r="R2536" s="7">
        <v>5.1550000000000002</v>
      </c>
      <c r="S2536" s="7">
        <f t="shared" si="39"/>
        <v>5.0469166666666672</v>
      </c>
    </row>
    <row r="2537" spans="1:19">
      <c r="A2537" s="5" t="str">
        <f>B2537&amp;"-"&amp;COUNTIF($B$2:B2537,B2537)</f>
        <v>PARA-118</v>
      </c>
      <c r="B2537" s="5" t="s">
        <v>1695</v>
      </c>
      <c r="C2537" s="5" t="s">
        <v>5642</v>
      </c>
      <c r="D2537" s="6">
        <v>-482955</v>
      </c>
      <c r="E2537" s="6">
        <v>-12265</v>
      </c>
      <c r="F2537" s="7">
        <v>4.6820000000000004</v>
      </c>
      <c r="G2537" s="7">
        <v>4.2949999999999999</v>
      </c>
      <c r="H2537" s="7">
        <v>4.1710000000000003</v>
      </c>
      <c r="I2537" s="7">
        <v>4.1210000000000004</v>
      </c>
      <c r="J2537" s="7">
        <v>4.2210000000000001</v>
      </c>
      <c r="K2537" s="7">
        <v>4.4829999999999997</v>
      </c>
      <c r="L2537" s="7">
        <v>4.8170000000000002</v>
      </c>
      <c r="M2537" s="7">
        <v>4.9470000000000001</v>
      </c>
      <c r="N2537" s="7">
        <v>5.2160000000000002</v>
      </c>
      <c r="O2537" s="7">
        <v>5.306</v>
      </c>
      <c r="P2537" s="7">
        <v>5.1420000000000003</v>
      </c>
      <c r="Q2537" s="7">
        <v>4.9429999999999996</v>
      </c>
      <c r="R2537" s="7">
        <v>4.5209999999999999</v>
      </c>
      <c r="S2537" s="7">
        <f t="shared" si="39"/>
        <v>4.6819166666666669</v>
      </c>
    </row>
    <row r="2538" spans="1:19">
      <c r="A2538" s="5" t="str">
        <f>B2538&amp;"-"&amp;COUNTIF($B$2:B2538,B2538)</f>
        <v>PARA-119</v>
      </c>
      <c r="B2538" s="5" t="s">
        <v>1695</v>
      </c>
      <c r="C2538" s="5" t="s">
        <v>1772</v>
      </c>
      <c r="D2538" s="6">
        <v>-491775</v>
      </c>
      <c r="E2538" s="5" t="s">
        <v>1773</v>
      </c>
      <c r="F2538" s="7">
        <v>4.7300000000000004</v>
      </c>
      <c r="G2538" s="7">
        <v>4.3220000000000001</v>
      </c>
      <c r="H2538" s="7">
        <v>4.1280000000000001</v>
      </c>
      <c r="I2538" s="7">
        <v>4.24</v>
      </c>
      <c r="J2538" s="7">
        <v>4.3109999999999999</v>
      </c>
      <c r="K2538" s="7">
        <v>4.6879999999999997</v>
      </c>
      <c r="L2538" s="7">
        <v>4.9139999999999997</v>
      </c>
      <c r="M2538" s="7">
        <v>5.05</v>
      </c>
      <c r="N2538" s="7">
        <v>5.1970000000000001</v>
      </c>
      <c r="O2538" s="7">
        <v>5.3</v>
      </c>
      <c r="P2538" s="7">
        <v>5.0960000000000001</v>
      </c>
      <c r="Q2538" s="7">
        <v>4.9889999999999999</v>
      </c>
      <c r="R2538" s="7">
        <v>4.5309999999999997</v>
      </c>
      <c r="S2538" s="7">
        <f t="shared" si="39"/>
        <v>4.7304999999999993</v>
      </c>
    </row>
    <row r="2539" spans="1:19">
      <c r="A2539" s="5" t="str">
        <f>B2539&amp;"-"&amp;COUNTIF($B$2:B2539,B2539)</f>
        <v>PARA-120</v>
      </c>
      <c r="B2539" s="5" t="s">
        <v>1695</v>
      </c>
      <c r="C2539" s="5" t="s">
        <v>5643</v>
      </c>
      <c r="D2539" s="6">
        <v>-48157</v>
      </c>
      <c r="E2539" s="6">
        <v>-12982</v>
      </c>
      <c r="F2539" s="7">
        <v>4.7110000000000003</v>
      </c>
      <c r="G2539" s="7">
        <v>4.33</v>
      </c>
      <c r="H2539" s="7">
        <v>4.1909999999999998</v>
      </c>
      <c r="I2539" s="7">
        <v>4.1669999999999998</v>
      </c>
      <c r="J2539" s="7">
        <v>4.2889999999999997</v>
      </c>
      <c r="K2539" s="7">
        <v>4.5430000000000001</v>
      </c>
      <c r="L2539" s="7">
        <v>4.8609999999999998</v>
      </c>
      <c r="M2539" s="7">
        <v>4.9809999999999999</v>
      </c>
      <c r="N2539" s="7">
        <v>5.2370000000000001</v>
      </c>
      <c r="O2539" s="7">
        <v>5.3630000000000004</v>
      </c>
      <c r="P2539" s="7">
        <v>5.1230000000000002</v>
      </c>
      <c r="Q2539" s="7">
        <v>4.899</v>
      </c>
      <c r="R2539" s="7">
        <v>4.5549999999999997</v>
      </c>
      <c r="S2539" s="7">
        <f t="shared" si="39"/>
        <v>4.7115833333333335</v>
      </c>
    </row>
    <row r="2540" spans="1:19">
      <c r="A2540" s="5" t="str">
        <f>B2540&amp;"-"&amp;COUNTIF($B$2:B2540,B2540)</f>
        <v>PARA-121</v>
      </c>
      <c r="B2540" s="5" t="s">
        <v>1695</v>
      </c>
      <c r="C2540" s="5" t="s">
        <v>5644</v>
      </c>
      <c r="D2540" s="6">
        <v>-469012</v>
      </c>
      <c r="E2540" s="6">
        <v>-15218</v>
      </c>
      <c r="F2540" s="7">
        <v>4.7939999999999996</v>
      </c>
      <c r="G2540" s="7">
        <v>4.4820000000000002</v>
      </c>
      <c r="H2540" s="7">
        <v>4.2910000000000004</v>
      </c>
      <c r="I2540" s="7">
        <v>4.3109999999999999</v>
      </c>
      <c r="J2540" s="7">
        <v>4.3460000000000001</v>
      </c>
      <c r="K2540" s="7">
        <v>4.5279999999999996</v>
      </c>
      <c r="L2540" s="7">
        <v>4.8079999999999998</v>
      </c>
      <c r="M2540" s="7">
        <v>5.0129999999999999</v>
      </c>
      <c r="N2540" s="7">
        <v>5.282</v>
      </c>
      <c r="O2540" s="7">
        <v>5.484</v>
      </c>
      <c r="P2540" s="7">
        <v>5.2649999999999997</v>
      </c>
      <c r="Q2540" s="7">
        <v>5.0439999999999996</v>
      </c>
      <c r="R2540" s="7">
        <v>4.6749999999999998</v>
      </c>
      <c r="S2540" s="7">
        <f t="shared" si="39"/>
        <v>4.7940833333333321</v>
      </c>
    </row>
    <row r="2541" spans="1:19">
      <c r="A2541" s="5" t="str">
        <f>B2541&amp;"-"&amp;COUNTIF($B$2:B2541,B2541)</f>
        <v>PARA-122</v>
      </c>
      <c r="B2541" s="5" t="s">
        <v>1695</v>
      </c>
      <c r="C2541" s="5" t="s">
        <v>1774</v>
      </c>
      <c r="D2541" s="6">
        <v>-497208</v>
      </c>
      <c r="E2541" s="6">
        <v>-8859</v>
      </c>
      <c r="F2541" s="7">
        <v>5.1079999999999997</v>
      </c>
      <c r="G2541" s="7">
        <v>4.9119999999999999</v>
      </c>
      <c r="H2541" s="7">
        <v>5.0010000000000003</v>
      </c>
      <c r="I2541" s="7">
        <v>4.8010000000000002</v>
      </c>
      <c r="J2541" s="7">
        <v>4.7619999999999996</v>
      </c>
      <c r="K2541" s="7">
        <v>4.9249999999999998</v>
      </c>
      <c r="L2541" s="7">
        <v>5.0999999999999996</v>
      </c>
      <c r="M2541" s="7">
        <v>5.2320000000000002</v>
      </c>
      <c r="N2541" s="7">
        <v>5.89</v>
      </c>
      <c r="O2541" s="7">
        <v>5.5350000000000001</v>
      </c>
      <c r="P2541" s="7">
        <v>5.1210000000000004</v>
      </c>
      <c r="Q2541" s="7">
        <v>5.0519999999999996</v>
      </c>
      <c r="R2541" s="7">
        <v>4.9669999999999996</v>
      </c>
      <c r="S2541" s="7">
        <f t="shared" si="39"/>
        <v>5.1081666666666665</v>
      </c>
    </row>
    <row r="2542" spans="1:19">
      <c r="A2542" s="5" t="str">
        <f>B2542&amp;"-"&amp;COUNTIF($B$2:B2542,B2542)</f>
        <v>PARA-123</v>
      </c>
      <c r="B2542" s="5" t="s">
        <v>1695</v>
      </c>
      <c r="C2542" s="5" t="s">
        <v>5645</v>
      </c>
      <c r="D2542" s="6">
        <v>-475739</v>
      </c>
      <c r="E2542" s="6">
        <v>-13486</v>
      </c>
      <c r="F2542" s="7">
        <v>4.7549999999999999</v>
      </c>
      <c r="G2542" s="7">
        <v>4.3479999999999999</v>
      </c>
      <c r="H2542" s="7">
        <v>4.2060000000000004</v>
      </c>
      <c r="I2542" s="7">
        <v>4.242</v>
      </c>
      <c r="J2542" s="7">
        <v>4.3369999999999997</v>
      </c>
      <c r="K2542" s="7">
        <v>4.5990000000000002</v>
      </c>
      <c r="L2542" s="7">
        <v>4.8460000000000001</v>
      </c>
      <c r="M2542" s="7">
        <v>4.9669999999999996</v>
      </c>
      <c r="N2542" s="7">
        <v>5.2610000000000001</v>
      </c>
      <c r="O2542" s="7">
        <v>5.4290000000000003</v>
      </c>
      <c r="P2542" s="7">
        <v>5.2370000000000001</v>
      </c>
      <c r="Q2542" s="7">
        <v>4.9880000000000004</v>
      </c>
      <c r="R2542" s="7">
        <v>4.6029999999999998</v>
      </c>
      <c r="S2542" s="7">
        <f t="shared" si="39"/>
        <v>4.7552500000000002</v>
      </c>
    </row>
    <row r="2543" spans="1:19">
      <c r="A2543" s="5" t="str">
        <f>B2543&amp;"-"&amp;COUNTIF($B$2:B2543,B2543)</f>
        <v>PARA-124</v>
      </c>
      <c r="B2543" s="5" t="s">
        <v>1695</v>
      </c>
      <c r="C2543" s="5" t="s">
        <v>1775</v>
      </c>
      <c r="D2543" s="6">
        <v>-503504</v>
      </c>
      <c r="E2543" s="6">
        <v>-93285</v>
      </c>
      <c r="F2543" s="7">
        <v>5.0460000000000003</v>
      </c>
      <c r="G2543" s="7">
        <v>4.931</v>
      </c>
      <c r="H2543" s="7">
        <v>4.9610000000000003</v>
      </c>
      <c r="I2543" s="7">
        <v>4.8129999999999997</v>
      </c>
      <c r="J2543" s="7">
        <v>4.6879999999999997</v>
      </c>
      <c r="K2543" s="7">
        <v>4.8220000000000001</v>
      </c>
      <c r="L2543" s="7">
        <v>4.9720000000000004</v>
      </c>
      <c r="M2543" s="7">
        <v>5.1390000000000002</v>
      </c>
      <c r="N2543" s="7">
        <v>5.7779999999999996</v>
      </c>
      <c r="O2543" s="7">
        <v>5.3680000000000003</v>
      </c>
      <c r="P2543" s="7">
        <v>5.0910000000000002</v>
      </c>
      <c r="Q2543" s="7">
        <v>5.04</v>
      </c>
      <c r="R2543" s="7">
        <v>4.95</v>
      </c>
      <c r="S2543" s="7">
        <f t="shared" si="39"/>
        <v>5.0460833333333337</v>
      </c>
    </row>
    <row r="2544" spans="1:19">
      <c r="A2544" s="5" t="str">
        <f>B2544&amp;"-"&amp;COUNTIF($B$2:B2544,B2544)</f>
        <v>PARA-125</v>
      </c>
      <c r="B2544" s="5" t="s">
        <v>1695</v>
      </c>
      <c r="C2544" s="5" t="s">
        <v>4382</v>
      </c>
      <c r="D2544" s="5" t="s">
        <v>1776</v>
      </c>
      <c r="E2544" s="6">
        <v>-24389</v>
      </c>
      <c r="F2544" s="7">
        <v>4.875</v>
      </c>
      <c r="G2544" s="7">
        <v>4.6559999999999997</v>
      </c>
      <c r="H2544" s="7">
        <v>4.7409999999999997</v>
      </c>
      <c r="I2544" s="7">
        <v>4.6139999999999999</v>
      </c>
      <c r="J2544" s="7">
        <v>4.4009999999999998</v>
      </c>
      <c r="K2544" s="7">
        <v>4.5430000000000001</v>
      </c>
      <c r="L2544" s="7">
        <v>4.867</v>
      </c>
      <c r="M2544" s="7">
        <v>4.7069999999999999</v>
      </c>
      <c r="N2544" s="7">
        <v>5.1219999999999999</v>
      </c>
      <c r="O2544" s="7">
        <v>5.0709999999999997</v>
      </c>
      <c r="P2544" s="7">
        <v>5.4729999999999999</v>
      </c>
      <c r="Q2544" s="7">
        <v>5.444</v>
      </c>
      <c r="R2544" s="7">
        <v>4.8579999999999997</v>
      </c>
      <c r="S2544" s="7">
        <f t="shared" si="39"/>
        <v>4.8747499999999997</v>
      </c>
    </row>
    <row r="2545" spans="1:19">
      <c r="A2545" s="5" t="str">
        <f>B2545&amp;"-"&amp;COUNTIF($B$2:B2545,B2545)</f>
        <v>PARA-126</v>
      </c>
      <c r="B2545" s="5" t="s">
        <v>1695</v>
      </c>
      <c r="C2545" s="5" t="s">
        <v>4383</v>
      </c>
      <c r="D2545" s="6">
        <v>-473955</v>
      </c>
      <c r="E2545" s="5" t="s">
        <v>1777</v>
      </c>
      <c r="F2545" s="7">
        <v>4.8040000000000003</v>
      </c>
      <c r="G2545" s="7">
        <v>4.585</v>
      </c>
      <c r="H2545" s="7">
        <v>4.2649999999999997</v>
      </c>
      <c r="I2545" s="7">
        <v>4.2</v>
      </c>
      <c r="J2545" s="7">
        <v>4.1989999999999998</v>
      </c>
      <c r="K2545" s="7">
        <v>4.4740000000000002</v>
      </c>
      <c r="L2545" s="7">
        <v>4.7560000000000002</v>
      </c>
      <c r="M2545" s="7">
        <v>4.91</v>
      </c>
      <c r="N2545" s="7">
        <v>5.2039999999999997</v>
      </c>
      <c r="O2545" s="7">
        <v>5.4989999999999997</v>
      </c>
      <c r="P2545" s="7">
        <v>5.3780000000000001</v>
      </c>
      <c r="Q2545" s="7">
        <v>5.2229999999999999</v>
      </c>
      <c r="R2545" s="7">
        <v>4.95</v>
      </c>
      <c r="S2545" s="7">
        <f t="shared" si="39"/>
        <v>4.803583333333334</v>
      </c>
    </row>
    <row r="2546" spans="1:19">
      <c r="A2546" s="5" t="str">
        <f>B2546&amp;"-"&amp;COUNTIF($B$2:B2546,B2546)</f>
        <v>PARA-127</v>
      </c>
      <c r="B2546" s="5" t="s">
        <v>1695</v>
      </c>
      <c r="C2546" s="5" t="s">
        <v>5646</v>
      </c>
      <c r="D2546" s="6">
        <v>-481318</v>
      </c>
      <c r="E2546" s="6">
        <v>-11526</v>
      </c>
      <c r="F2546" s="7">
        <v>4.6840000000000002</v>
      </c>
      <c r="G2546" s="7">
        <v>4.3099999999999996</v>
      </c>
      <c r="H2546" s="7">
        <v>4.1589999999999998</v>
      </c>
      <c r="I2546" s="7">
        <v>4.0869999999999997</v>
      </c>
      <c r="J2546" s="7">
        <v>4.2270000000000003</v>
      </c>
      <c r="K2546" s="7">
        <v>4.5010000000000003</v>
      </c>
      <c r="L2546" s="7">
        <v>4.8410000000000002</v>
      </c>
      <c r="M2546" s="7">
        <v>4.9749999999999996</v>
      </c>
      <c r="N2546" s="7">
        <v>5.2229999999999999</v>
      </c>
      <c r="O2546" s="7">
        <v>5.32</v>
      </c>
      <c r="P2546" s="7">
        <v>5.15</v>
      </c>
      <c r="Q2546" s="7">
        <v>4.8959999999999999</v>
      </c>
      <c r="R2546" s="7">
        <v>4.5220000000000002</v>
      </c>
      <c r="S2546" s="7">
        <f t="shared" si="39"/>
        <v>4.6842499999999996</v>
      </c>
    </row>
    <row r="2547" spans="1:19">
      <c r="A2547" s="5" t="str">
        <f>B2547&amp;"-"&amp;COUNTIF($B$2:B2547,B2547)</f>
        <v>PARA-128</v>
      </c>
      <c r="B2547" s="5" t="s">
        <v>1695</v>
      </c>
      <c r="C2547" s="5" t="s">
        <v>1778</v>
      </c>
      <c r="D2547" s="6">
        <v>-497008</v>
      </c>
      <c r="E2547" s="6">
        <v>-69411</v>
      </c>
      <c r="F2547" s="7">
        <v>4.9169999999999998</v>
      </c>
      <c r="G2547" s="7">
        <v>4.68</v>
      </c>
      <c r="H2547" s="7">
        <v>4.76</v>
      </c>
      <c r="I2547" s="7">
        <v>4.6829999999999998</v>
      </c>
      <c r="J2547" s="7">
        <v>4.6470000000000002</v>
      </c>
      <c r="K2547" s="7">
        <v>4.8410000000000002</v>
      </c>
      <c r="L2547" s="7">
        <v>5.0430000000000001</v>
      </c>
      <c r="M2547" s="7">
        <v>5.0830000000000002</v>
      </c>
      <c r="N2547" s="7">
        <v>5.6059999999999999</v>
      </c>
      <c r="O2547" s="7">
        <v>5.3940000000000001</v>
      </c>
      <c r="P2547" s="7">
        <v>4.952</v>
      </c>
      <c r="Q2547" s="7">
        <v>4.6920000000000002</v>
      </c>
      <c r="R2547" s="7">
        <v>4.6230000000000002</v>
      </c>
      <c r="S2547" s="7">
        <f t="shared" si="39"/>
        <v>4.9169999999999998</v>
      </c>
    </row>
    <row r="2548" spans="1:19">
      <c r="A2548" s="5" t="str">
        <f>B2548&amp;"-"&amp;COUNTIF($B$2:B2548,B2548)</f>
        <v>PARA-129</v>
      </c>
      <c r="B2548" s="5" t="s">
        <v>1695</v>
      </c>
      <c r="C2548" s="5" t="s">
        <v>4384</v>
      </c>
      <c r="D2548" s="6">
        <v>-519491</v>
      </c>
      <c r="E2548" s="6">
        <v>-25864</v>
      </c>
      <c r="F2548" s="7">
        <v>4.556</v>
      </c>
      <c r="G2548" s="7">
        <v>4.2649999999999997</v>
      </c>
      <c r="H2548" s="7">
        <v>4.3259999999999996</v>
      </c>
      <c r="I2548" s="7">
        <v>4.34</v>
      </c>
      <c r="J2548" s="7">
        <v>4.3769999999999998</v>
      </c>
      <c r="K2548" s="7">
        <v>4.4009999999999998</v>
      </c>
      <c r="L2548" s="7">
        <v>4.5810000000000004</v>
      </c>
      <c r="M2548" s="7">
        <v>4.7</v>
      </c>
      <c r="N2548" s="7">
        <v>5.0279999999999996</v>
      </c>
      <c r="O2548" s="7">
        <v>4.9160000000000004</v>
      </c>
      <c r="P2548" s="7">
        <v>4.819</v>
      </c>
      <c r="Q2548" s="7">
        <v>4.649</v>
      </c>
      <c r="R2548" s="7">
        <v>4.266</v>
      </c>
      <c r="S2548" s="7">
        <f t="shared" si="39"/>
        <v>4.5556666666666663</v>
      </c>
    </row>
    <row r="2549" spans="1:19">
      <c r="A2549" s="5" t="str">
        <f>B2549&amp;"-"&amp;COUNTIF($B$2:B2549,B2549)</f>
        <v>PARA-130</v>
      </c>
      <c r="B2549" s="5" t="s">
        <v>1695</v>
      </c>
      <c r="C2549" s="5" t="s">
        <v>1779</v>
      </c>
      <c r="D2549" s="6">
        <v>-485156</v>
      </c>
      <c r="E2549" s="5" t="s">
        <v>1780</v>
      </c>
      <c r="F2549" s="7">
        <v>5.03</v>
      </c>
      <c r="G2549" s="7">
        <v>4.726</v>
      </c>
      <c r="H2549" s="7">
        <v>4.351</v>
      </c>
      <c r="I2549" s="7">
        <v>4.38</v>
      </c>
      <c r="J2549" s="7">
        <v>4.47</v>
      </c>
      <c r="K2549" s="7">
        <v>4.8600000000000003</v>
      </c>
      <c r="L2549" s="7">
        <v>5.0780000000000003</v>
      </c>
      <c r="M2549" s="7">
        <v>5.1680000000000001</v>
      </c>
      <c r="N2549" s="7">
        <v>5.3810000000000002</v>
      </c>
      <c r="O2549" s="7">
        <v>5.665</v>
      </c>
      <c r="P2549" s="7">
        <v>5.5960000000000001</v>
      </c>
      <c r="Q2549" s="7">
        <v>5.532</v>
      </c>
      <c r="R2549" s="7">
        <v>5.1539999999999999</v>
      </c>
      <c r="S2549" s="7">
        <f t="shared" si="39"/>
        <v>5.0300833333333328</v>
      </c>
    </row>
    <row r="2550" spans="1:19">
      <c r="A2550" s="5" t="str">
        <f>B2550&amp;"-"&amp;COUNTIF($B$2:B2550,B2550)</f>
        <v>PARA-131</v>
      </c>
      <c r="B2550" s="5" t="s">
        <v>1695</v>
      </c>
      <c r="C2550" s="5" t="s">
        <v>4987</v>
      </c>
      <c r="D2550" s="6">
        <v>-489493</v>
      </c>
      <c r="E2550" s="6">
        <v>-29462</v>
      </c>
      <c r="F2550" s="7">
        <v>4.774</v>
      </c>
      <c r="G2550" s="7">
        <v>4.4450000000000003</v>
      </c>
      <c r="H2550" s="7">
        <v>4.5170000000000003</v>
      </c>
      <c r="I2550" s="7">
        <v>4.67</v>
      </c>
      <c r="J2550" s="7">
        <v>4.6920000000000002</v>
      </c>
      <c r="K2550" s="7">
        <v>4.7069999999999999</v>
      </c>
      <c r="L2550" s="7">
        <v>4.875</v>
      </c>
      <c r="M2550" s="7">
        <v>4.9829999999999997</v>
      </c>
      <c r="N2550" s="7">
        <v>5.2069999999999999</v>
      </c>
      <c r="O2550" s="7">
        <v>5.117</v>
      </c>
      <c r="P2550" s="7">
        <v>4.9080000000000004</v>
      </c>
      <c r="Q2550" s="7">
        <v>4.6760000000000002</v>
      </c>
      <c r="R2550" s="7">
        <v>4.4909999999999997</v>
      </c>
      <c r="S2550" s="7">
        <f t="shared" si="39"/>
        <v>4.774</v>
      </c>
    </row>
    <row r="2551" spans="1:19">
      <c r="A2551" s="5" t="str">
        <f>B2551&amp;"-"&amp;COUNTIF($B$2:B2551,B2551)</f>
        <v>PARA-132</v>
      </c>
      <c r="B2551" s="5" t="s">
        <v>1695</v>
      </c>
      <c r="C2551" s="5" t="s">
        <v>1781</v>
      </c>
      <c r="D2551" s="6">
        <v>-479094</v>
      </c>
      <c r="E2551" s="6">
        <v>-1037</v>
      </c>
      <c r="F2551" s="7">
        <v>4.6870000000000003</v>
      </c>
      <c r="G2551" s="7">
        <v>4.343</v>
      </c>
      <c r="H2551" s="7">
        <v>4.0590000000000002</v>
      </c>
      <c r="I2551" s="7">
        <v>4.0119999999999996</v>
      </c>
      <c r="J2551" s="7">
        <v>4.1639999999999997</v>
      </c>
      <c r="K2551" s="7">
        <v>4.4800000000000004</v>
      </c>
      <c r="L2551" s="7">
        <v>4.8150000000000004</v>
      </c>
      <c r="M2551" s="7">
        <v>4.9139999999999997</v>
      </c>
      <c r="N2551" s="7">
        <v>5.1920000000000002</v>
      </c>
      <c r="O2551" s="7">
        <v>5.3739999999999997</v>
      </c>
      <c r="P2551" s="7">
        <v>5.21</v>
      </c>
      <c r="Q2551" s="7">
        <v>5.0579999999999998</v>
      </c>
      <c r="R2551" s="7">
        <v>4.6180000000000003</v>
      </c>
      <c r="S2551" s="7">
        <f t="shared" si="39"/>
        <v>4.686583333333334</v>
      </c>
    </row>
    <row r="2552" spans="1:19">
      <c r="A2552" s="5" t="str">
        <f>B2552&amp;"-"&amp;COUNTIF($B$2:B2552,B2552)</f>
        <v>PARA-133</v>
      </c>
      <c r="B2552" s="5" t="s">
        <v>1695</v>
      </c>
      <c r="C2552" s="5" t="s">
        <v>1782</v>
      </c>
      <c r="D2552" s="6">
        <v>-564881</v>
      </c>
      <c r="E2552" s="6">
        <v>-21048</v>
      </c>
      <c r="F2552" s="7">
        <v>4.7590000000000003</v>
      </c>
      <c r="G2552" s="7">
        <v>4.3330000000000002</v>
      </c>
      <c r="H2552" s="7">
        <v>4.3949999999999996</v>
      </c>
      <c r="I2552" s="7">
        <v>4.359</v>
      </c>
      <c r="J2552" s="7">
        <v>4.2030000000000003</v>
      </c>
      <c r="K2552" s="7">
        <v>4.2969999999999997</v>
      </c>
      <c r="L2552" s="7">
        <v>4.819</v>
      </c>
      <c r="M2552" s="7">
        <v>4.7619999999999996</v>
      </c>
      <c r="N2552" s="7">
        <v>5.2480000000000002</v>
      </c>
      <c r="O2552" s="7">
        <v>5.3410000000000002</v>
      </c>
      <c r="P2552" s="7">
        <v>5.42</v>
      </c>
      <c r="Q2552" s="7">
        <v>5.2380000000000004</v>
      </c>
      <c r="R2552" s="7">
        <v>4.694</v>
      </c>
      <c r="S2552" s="7">
        <f t="shared" si="39"/>
        <v>4.7590833333333338</v>
      </c>
    </row>
    <row r="2553" spans="1:19">
      <c r="A2553" s="5" t="str">
        <f>B2553&amp;"-"&amp;COUNTIF($B$2:B2553,B2553)</f>
        <v>PARA-134</v>
      </c>
      <c r="B2553" s="5" t="s">
        <v>1695</v>
      </c>
      <c r="C2553" s="5" t="s">
        <v>4696</v>
      </c>
      <c r="D2553" s="6">
        <v>-481545</v>
      </c>
      <c r="E2553" s="6">
        <v>-24184</v>
      </c>
      <c r="F2553" s="7">
        <v>4.8570000000000002</v>
      </c>
      <c r="G2553" s="7">
        <v>4.5960000000000001</v>
      </c>
      <c r="H2553" s="7">
        <v>4.5750000000000002</v>
      </c>
      <c r="I2553" s="7">
        <v>4.6779999999999999</v>
      </c>
      <c r="J2553" s="7">
        <v>4.6710000000000003</v>
      </c>
      <c r="K2553" s="7">
        <v>4.6840000000000002</v>
      </c>
      <c r="L2553" s="7">
        <v>4.9089999999999998</v>
      </c>
      <c r="M2553" s="7">
        <v>5.0110000000000001</v>
      </c>
      <c r="N2553" s="7">
        <v>5.2779999999999996</v>
      </c>
      <c r="O2553" s="7">
        <v>5.2729999999999997</v>
      </c>
      <c r="P2553" s="7">
        <v>5.0789999999999997</v>
      </c>
      <c r="Q2553" s="7">
        <v>4.8680000000000003</v>
      </c>
      <c r="R2553" s="7">
        <v>4.6630000000000003</v>
      </c>
      <c r="S2553" s="7">
        <f t="shared" si="39"/>
        <v>4.8570833333333328</v>
      </c>
    </row>
    <row r="2554" spans="1:19">
      <c r="A2554" s="5" t="str">
        <f>B2554&amp;"-"&amp;COUNTIF($B$2:B2554,B2554)</f>
        <v>PARA-135</v>
      </c>
      <c r="B2554" s="5" t="s">
        <v>1695</v>
      </c>
      <c r="C2554" s="5" t="s">
        <v>1783</v>
      </c>
      <c r="D2554" s="6">
        <v>-469026</v>
      </c>
      <c r="E2554" s="6">
        <v>-10784</v>
      </c>
      <c r="F2554" s="7">
        <v>4.7969999999999997</v>
      </c>
      <c r="G2554" s="7">
        <v>4.5369999999999999</v>
      </c>
      <c r="H2554" s="7">
        <v>4.3170000000000002</v>
      </c>
      <c r="I2554" s="7">
        <v>4.1470000000000002</v>
      </c>
      <c r="J2554" s="7">
        <v>4.2160000000000002</v>
      </c>
      <c r="K2554" s="7">
        <v>4.476</v>
      </c>
      <c r="L2554" s="7">
        <v>4.7839999999999998</v>
      </c>
      <c r="M2554" s="7">
        <v>4.8789999999999996</v>
      </c>
      <c r="N2554" s="7">
        <v>5.2309999999999999</v>
      </c>
      <c r="O2554" s="7">
        <v>5.5369999999999999</v>
      </c>
      <c r="P2554" s="7">
        <v>5.3630000000000004</v>
      </c>
      <c r="Q2554" s="7">
        <v>5.2110000000000003</v>
      </c>
      <c r="R2554" s="7">
        <v>4.8650000000000002</v>
      </c>
      <c r="S2554" s="7">
        <f t="shared" si="39"/>
        <v>4.7969166666666663</v>
      </c>
    </row>
    <row r="2555" spans="1:19">
      <c r="A2555" s="5" t="str">
        <f>B2555&amp;"-"&amp;COUNTIF($B$2:B2555,B2555)</f>
        <v>PARA-136</v>
      </c>
      <c r="B2555" s="5" t="s">
        <v>1695</v>
      </c>
      <c r="C2555" s="5" t="s">
        <v>4056</v>
      </c>
      <c r="D2555" s="6">
        <v>-559433</v>
      </c>
      <c r="E2555" s="6">
        <v>-45739</v>
      </c>
      <c r="F2555" s="7">
        <v>4.4870000000000001</v>
      </c>
      <c r="G2555" s="7">
        <v>4.0490000000000004</v>
      </c>
      <c r="H2555" s="7">
        <v>4.1669999999999998</v>
      </c>
      <c r="I2555" s="7">
        <v>4.1239999999999997</v>
      </c>
      <c r="J2555" s="7">
        <v>3.9740000000000002</v>
      </c>
      <c r="K2555" s="7">
        <v>4.0659999999999998</v>
      </c>
      <c r="L2555" s="7">
        <v>4.476</v>
      </c>
      <c r="M2555" s="7">
        <v>4.4640000000000004</v>
      </c>
      <c r="N2555" s="7">
        <v>5.0880000000000001</v>
      </c>
      <c r="O2555" s="7">
        <v>5.0679999999999996</v>
      </c>
      <c r="P2555" s="7">
        <v>5.0650000000000004</v>
      </c>
      <c r="Q2555" s="7">
        <v>4.8179999999999996</v>
      </c>
      <c r="R2555" s="7">
        <v>4.49</v>
      </c>
      <c r="S2555" s="7">
        <f t="shared" si="39"/>
        <v>4.4874166666666664</v>
      </c>
    </row>
    <row r="2556" spans="1:19">
      <c r="A2556" s="5" t="str">
        <f>B2556&amp;"-"&amp;COUNTIF($B$2:B2556,B2556)</f>
        <v>PARA-137</v>
      </c>
      <c r="B2556" s="5" t="s">
        <v>1695</v>
      </c>
      <c r="C2556" s="5" t="s">
        <v>5381</v>
      </c>
      <c r="D2556" s="6">
        <v>-51163</v>
      </c>
      <c r="E2556" s="6">
        <v>-67473</v>
      </c>
      <c r="F2556" s="7">
        <v>4.758</v>
      </c>
      <c r="G2556" s="7">
        <v>4.4930000000000003</v>
      </c>
      <c r="H2556" s="7">
        <v>4.601</v>
      </c>
      <c r="I2556" s="7">
        <v>4.4740000000000002</v>
      </c>
      <c r="J2556" s="7">
        <v>4.4779999999999998</v>
      </c>
      <c r="K2556" s="7">
        <v>4.673</v>
      </c>
      <c r="L2556" s="7">
        <v>4.9379999999999997</v>
      </c>
      <c r="M2556" s="7">
        <v>4.8810000000000002</v>
      </c>
      <c r="N2556" s="7">
        <v>5.4009999999999998</v>
      </c>
      <c r="O2556" s="7">
        <v>5.1909999999999998</v>
      </c>
      <c r="P2556" s="7">
        <v>4.8140000000000001</v>
      </c>
      <c r="Q2556" s="7">
        <v>4.6870000000000003</v>
      </c>
      <c r="R2556" s="7">
        <v>4.4640000000000004</v>
      </c>
      <c r="S2556" s="7">
        <f t="shared" si="39"/>
        <v>4.7579166666666657</v>
      </c>
    </row>
    <row r="2557" spans="1:19">
      <c r="A2557" s="5" t="str">
        <f>B2557&amp;"-"&amp;COUNTIF($B$2:B2557,B2557)</f>
        <v>PARA-138</v>
      </c>
      <c r="B2557" s="5" t="s">
        <v>1695</v>
      </c>
      <c r="C2557" s="5" t="s">
        <v>1784</v>
      </c>
      <c r="D2557" s="6">
        <v>-496777</v>
      </c>
      <c r="E2557" s="6">
        <v>-37661</v>
      </c>
      <c r="F2557" s="7">
        <v>4.6870000000000003</v>
      </c>
      <c r="G2557" s="7">
        <v>4.3520000000000003</v>
      </c>
      <c r="H2557" s="7">
        <v>4.5410000000000004</v>
      </c>
      <c r="I2557" s="7">
        <v>4.5789999999999997</v>
      </c>
      <c r="J2557" s="7">
        <v>4.6589999999999998</v>
      </c>
      <c r="K2557" s="7">
        <v>4.6059999999999999</v>
      </c>
      <c r="L2557" s="7">
        <v>4.859</v>
      </c>
      <c r="M2557" s="7">
        <v>4.9580000000000002</v>
      </c>
      <c r="N2557" s="7">
        <v>5.2519999999999998</v>
      </c>
      <c r="O2557" s="7">
        <v>5.008</v>
      </c>
      <c r="P2557" s="7">
        <v>4.6619999999999999</v>
      </c>
      <c r="Q2557" s="7">
        <v>4.5199999999999996</v>
      </c>
      <c r="R2557" s="7">
        <v>4.2519999999999998</v>
      </c>
      <c r="S2557" s="7">
        <f t="shared" si="39"/>
        <v>4.687333333333334</v>
      </c>
    </row>
    <row r="2558" spans="1:19">
      <c r="A2558" s="5" t="str">
        <f>B2558&amp;"-"&amp;COUNTIF($B$2:B2558,B2558)</f>
        <v>PARA-139</v>
      </c>
      <c r="B2558" s="5" t="s">
        <v>1695</v>
      </c>
      <c r="C2558" s="5" t="s">
        <v>5153</v>
      </c>
      <c r="D2558" s="6">
        <v>-474985</v>
      </c>
      <c r="E2558" s="6">
        <v>-37395</v>
      </c>
      <c r="F2558" s="7">
        <v>4.7750000000000004</v>
      </c>
      <c r="G2558" s="7">
        <v>4.4470000000000001</v>
      </c>
      <c r="H2558" s="7">
        <v>4.6230000000000002</v>
      </c>
      <c r="I2558" s="7">
        <v>4.742</v>
      </c>
      <c r="J2558" s="7">
        <v>4.7489999999999997</v>
      </c>
      <c r="K2558" s="7">
        <v>4.694</v>
      </c>
      <c r="L2558" s="7">
        <v>4.8360000000000003</v>
      </c>
      <c r="M2558" s="7">
        <v>4.8789999999999996</v>
      </c>
      <c r="N2558" s="7">
        <v>5.109</v>
      </c>
      <c r="O2558" s="7">
        <v>5.1520000000000001</v>
      </c>
      <c r="P2558" s="7">
        <v>4.8869999999999996</v>
      </c>
      <c r="Q2558" s="7">
        <v>4.6829999999999998</v>
      </c>
      <c r="R2558" s="7">
        <v>4.5030000000000001</v>
      </c>
      <c r="S2558" s="7">
        <f t="shared" si="39"/>
        <v>4.7753333333333332</v>
      </c>
    </row>
    <row r="2559" spans="1:19">
      <c r="A2559" s="5" t="str">
        <f>B2559&amp;"-"&amp;COUNTIF($B$2:B2559,B2559)</f>
        <v>PARA-140</v>
      </c>
      <c r="B2559" s="5" t="s">
        <v>1695</v>
      </c>
      <c r="C2559" s="5" t="s">
        <v>5647</v>
      </c>
      <c r="D2559" s="6">
        <v>-537401</v>
      </c>
      <c r="E2559" s="6">
        <v>-37156</v>
      </c>
      <c r="F2559" s="7">
        <v>4.4509999999999996</v>
      </c>
      <c r="G2559" s="7">
        <v>4.2069999999999999</v>
      </c>
      <c r="H2559" s="7">
        <v>4.22</v>
      </c>
      <c r="I2559" s="7">
        <v>4.2489999999999997</v>
      </c>
      <c r="J2559" s="7">
        <v>4.0469999999999997</v>
      </c>
      <c r="K2559" s="7">
        <v>4.2750000000000004</v>
      </c>
      <c r="L2559" s="7">
        <v>4.524</v>
      </c>
      <c r="M2559" s="7">
        <v>4.4630000000000001</v>
      </c>
      <c r="N2559" s="7">
        <v>4.9329999999999998</v>
      </c>
      <c r="O2559" s="7">
        <v>4.7789999999999999</v>
      </c>
      <c r="P2559" s="7">
        <v>4.83</v>
      </c>
      <c r="Q2559" s="7">
        <v>4.6639999999999997</v>
      </c>
      <c r="R2559" s="7">
        <v>4.2240000000000002</v>
      </c>
      <c r="S2559" s="7">
        <f t="shared" si="39"/>
        <v>4.4512500000000008</v>
      </c>
    </row>
    <row r="2560" spans="1:19">
      <c r="A2560" s="5" t="str">
        <f>B2560&amp;"-"&amp;COUNTIF($B$2:B2560,B2560)</f>
        <v>PARA-141</v>
      </c>
      <c r="B2560" s="5" t="s">
        <v>1695</v>
      </c>
      <c r="C2560" s="5" t="s">
        <v>1785</v>
      </c>
      <c r="D2560" s="6">
        <v>-48139</v>
      </c>
      <c r="E2560" s="5" t="s">
        <v>1786</v>
      </c>
      <c r="F2560" s="7">
        <v>4.625</v>
      </c>
      <c r="G2560" s="7">
        <v>4.2720000000000002</v>
      </c>
      <c r="H2560" s="7">
        <v>4.0330000000000004</v>
      </c>
      <c r="I2560" s="7">
        <v>3.9860000000000002</v>
      </c>
      <c r="J2560" s="7">
        <v>4.0609999999999999</v>
      </c>
      <c r="K2560" s="7">
        <v>4.4089999999999998</v>
      </c>
      <c r="L2560" s="7">
        <v>4.6639999999999997</v>
      </c>
      <c r="M2560" s="7">
        <v>4.8129999999999997</v>
      </c>
      <c r="N2560" s="7">
        <v>5.1369999999999996</v>
      </c>
      <c r="O2560" s="7">
        <v>5.343</v>
      </c>
      <c r="P2560" s="7">
        <v>5.1859999999999999</v>
      </c>
      <c r="Q2560" s="7">
        <v>5.069</v>
      </c>
      <c r="R2560" s="7">
        <v>4.5259999999999998</v>
      </c>
      <c r="S2560" s="7">
        <f t="shared" si="39"/>
        <v>4.6249166666666666</v>
      </c>
    </row>
    <row r="2561" spans="1:19">
      <c r="A2561" s="5" t="str">
        <f>B2561&amp;"-"&amp;COUNTIF($B$2:B2561,B2561)</f>
        <v>PARA-142</v>
      </c>
      <c r="B2561" s="5" t="s">
        <v>1695</v>
      </c>
      <c r="C2561" s="5" t="s">
        <v>1787</v>
      </c>
      <c r="D2561" s="6">
        <v>-461389</v>
      </c>
      <c r="E2561" s="6">
        <v>-12024</v>
      </c>
      <c r="F2561" s="7">
        <v>4.9290000000000003</v>
      </c>
      <c r="G2561" s="7">
        <v>4.7779999999999996</v>
      </c>
      <c r="H2561" s="7">
        <v>4.4950000000000001</v>
      </c>
      <c r="I2561" s="7">
        <v>4.3230000000000004</v>
      </c>
      <c r="J2561" s="7">
        <v>4.2709999999999999</v>
      </c>
      <c r="K2561" s="7">
        <v>4.532</v>
      </c>
      <c r="L2561" s="7">
        <v>4.7809999999999997</v>
      </c>
      <c r="M2561" s="7">
        <v>4.92</v>
      </c>
      <c r="N2561" s="7">
        <v>5.2960000000000003</v>
      </c>
      <c r="O2561" s="7">
        <v>5.6790000000000003</v>
      </c>
      <c r="P2561" s="7">
        <v>5.5250000000000004</v>
      </c>
      <c r="Q2561" s="7">
        <v>5.4390000000000001</v>
      </c>
      <c r="R2561" s="7">
        <v>5.1130000000000004</v>
      </c>
      <c r="S2561" s="7">
        <f t="shared" si="39"/>
        <v>4.9293333333333331</v>
      </c>
    </row>
    <row r="2562" spans="1:19">
      <c r="A2562" s="5" t="str">
        <f>B2562&amp;"-"&amp;COUNTIF($B$2:B2562,B2562)</f>
        <v>PARA-143</v>
      </c>
      <c r="B2562" s="5" t="s">
        <v>1695</v>
      </c>
      <c r="C2562" s="5" t="s">
        <v>5154</v>
      </c>
      <c r="D2562" s="6">
        <v>-520146</v>
      </c>
      <c r="E2562" s="6">
        <v>-28868</v>
      </c>
      <c r="F2562" s="7">
        <v>4.6079999999999997</v>
      </c>
      <c r="G2562" s="7">
        <v>4.3440000000000003</v>
      </c>
      <c r="H2562" s="7">
        <v>4.4210000000000003</v>
      </c>
      <c r="I2562" s="7">
        <v>4.407</v>
      </c>
      <c r="J2562" s="7">
        <v>4.516</v>
      </c>
      <c r="K2562" s="7">
        <v>4.4589999999999996</v>
      </c>
      <c r="L2562" s="7">
        <v>4.6310000000000002</v>
      </c>
      <c r="M2562" s="7">
        <v>4.68</v>
      </c>
      <c r="N2562" s="7">
        <v>4.9020000000000001</v>
      </c>
      <c r="O2562" s="7">
        <v>4.9260000000000002</v>
      </c>
      <c r="P2562" s="7">
        <v>4.8899999999999997</v>
      </c>
      <c r="Q2562" s="7">
        <v>4.7430000000000003</v>
      </c>
      <c r="R2562" s="7">
        <v>4.38</v>
      </c>
      <c r="S2562" s="7">
        <f t="shared" si="39"/>
        <v>4.6082500000000008</v>
      </c>
    </row>
    <row r="2563" spans="1:19">
      <c r="A2563" s="5" t="str">
        <f>B2563&amp;"-"&amp;COUNTIF($B$2:B2563,B2563)</f>
        <v>PARA-144</v>
      </c>
      <c r="B2563" s="5" t="s">
        <v>1695</v>
      </c>
      <c r="C2563" s="5" t="s">
        <v>1788</v>
      </c>
      <c r="D2563" s="6">
        <v>-499441</v>
      </c>
      <c r="E2563" s="6">
        <v>-70987</v>
      </c>
      <c r="F2563" s="7">
        <v>4.9269999999999996</v>
      </c>
      <c r="G2563" s="7">
        <v>4.7229999999999999</v>
      </c>
      <c r="H2563" s="7">
        <v>4.79</v>
      </c>
      <c r="I2563" s="7">
        <v>4.6660000000000004</v>
      </c>
      <c r="J2563" s="7">
        <v>4.6669999999999998</v>
      </c>
      <c r="K2563" s="7">
        <v>4.8499999999999996</v>
      </c>
      <c r="L2563" s="7">
        <v>5.0439999999999996</v>
      </c>
      <c r="M2563" s="7">
        <v>5.0389999999999997</v>
      </c>
      <c r="N2563" s="7">
        <v>5.641</v>
      </c>
      <c r="O2563" s="7">
        <v>5.3849999999999998</v>
      </c>
      <c r="P2563" s="7">
        <v>4.93</v>
      </c>
      <c r="Q2563" s="7">
        <v>4.7450000000000001</v>
      </c>
      <c r="R2563" s="7">
        <v>4.6449999999999996</v>
      </c>
      <c r="S2563" s="7">
        <f t="shared" ref="S2563:S2626" si="40">(G2563+H2563+I2563+J2563+K2563+L2563+M2563+N2563+O2563+P2563+Q2563+R2563)/12</f>
        <v>4.9270833333333321</v>
      </c>
    </row>
    <row r="2564" spans="1:19">
      <c r="A2564" s="5" t="str">
        <f>B2564&amp;"-"&amp;COUNTIF($B$2:B2564,B2564)</f>
        <v>PARAIBA-1</v>
      </c>
      <c r="B2564" s="5" t="s">
        <v>1789</v>
      </c>
      <c r="C2564" s="5" t="s">
        <v>1790</v>
      </c>
      <c r="D2564" s="6">
        <v>-37636</v>
      </c>
      <c r="E2564" s="6">
        <v>-75119</v>
      </c>
      <c r="F2564" s="7">
        <v>5.899</v>
      </c>
      <c r="G2564" s="7">
        <v>6.1360000000000001</v>
      </c>
      <c r="H2564" s="7">
        <v>6.077</v>
      </c>
      <c r="I2564" s="7">
        <v>6.0810000000000004</v>
      </c>
      <c r="J2564" s="7">
        <v>5.8049999999999997</v>
      </c>
      <c r="K2564" s="7">
        <v>5.0960000000000001</v>
      </c>
      <c r="L2564" s="7">
        <v>4.7629999999999999</v>
      </c>
      <c r="M2564" s="7">
        <v>5.0140000000000002</v>
      </c>
      <c r="N2564" s="7">
        <v>5.8079999999999998</v>
      </c>
      <c r="O2564" s="7">
        <v>6.4939999999999998</v>
      </c>
      <c r="P2564" s="7">
        <v>6.5570000000000004</v>
      </c>
      <c r="Q2564" s="7">
        <v>6.6790000000000003</v>
      </c>
      <c r="R2564" s="7">
        <v>6.2809999999999997</v>
      </c>
      <c r="S2564" s="7">
        <f t="shared" si="40"/>
        <v>5.8992500000000012</v>
      </c>
    </row>
    <row r="2565" spans="1:19">
      <c r="A2565" s="5" t="str">
        <f>B2565&amp;"-"&amp;COUNTIF($B$2:B2565,B2565)</f>
        <v>PARAIBA-2</v>
      </c>
      <c r="B2565" s="5" t="s">
        <v>1789</v>
      </c>
      <c r="C2565" s="5" t="s">
        <v>1791</v>
      </c>
      <c r="D2565" s="6">
        <v>-381684</v>
      </c>
      <c r="E2565" s="6">
        <v>-70922</v>
      </c>
      <c r="F2565" s="7">
        <v>6.0410000000000004</v>
      </c>
      <c r="G2565" s="7">
        <v>6.327</v>
      </c>
      <c r="H2565" s="7">
        <v>6.1660000000000004</v>
      </c>
      <c r="I2565" s="7">
        <v>6.2279999999999998</v>
      </c>
      <c r="J2565" s="7">
        <v>5.8970000000000002</v>
      </c>
      <c r="K2565" s="7">
        <v>5.27</v>
      </c>
      <c r="L2565" s="7">
        <v>4.9039999999999999</v>
      </c>
      <c r="M2565" s="7">
        <v>5.1920000000000002</v>
      </c>
      <c r="N2565" s="7">
        <v>5.93</v>
      </c>
      <c r="O2565" s="7">
        <v>6.5529999999999999</v>
      </c>
      <c r="P2565" s="7">
        <v>6.6660000000000004</v>
      </c>
      <c r="Q2565" s="7">
        <v>6.8449999999999998</v>
      </c>
      <c r="R2565" s="7">
        <v>6.5060000000000002</v>
      </c>
      <c r="S2565" s="7">
        <f t="shared" si="40"/>
        <v>6.0403333333333329</v>
      </c>
    </row>
    <row r="2566" spans="1:19">
      <c r="A2566" s="5" t="str">
        <f>B2566&amp;"-"&amp;COUNTIF($B$2:B2566,B2566)</f>
        <v>PARAIBA-3</v>
      </c>
      <c r="B2566" s="5" t="s">
        <v>1789</v>
      </c>
      <c r="C2566" s="5" t="s">
        <v>1792</v>
      </c>
      <c r="D2566" s="6">
        <v>-356271</v>
      </c>
      <c r="E2566" s="6">
        <v>-70411</v>
      </c>
      <c r="F2566" s="7">
        <v>5.2050000000000001</v>
      </c>
      <c r="G2566" s="7">
        <v>5.5709999999999997</v>
      </c>
      <c r="H2566" s="7">
        <v>5.66</v>
      </c>
      <c r="I2566" s="7">
        <v>5.6589999999999998</v>
      </c>
      <c r="J2566" s="7">
        <v>5.1740000000000004</v>
      </c>
      <c r="K2566" s="7">
        <v>4.5810000000000004</v>
      </c>
      <c r="L2566" s="7">
        <v>4.0460000000000003</v>
      </c>
      <c r="M2566" s="7">
        <v>4.1390000000000002</v>
      </c>
      <c r="N2566" s="7">
        <v>4.8680000000000003</v>
      </c>
      <c r="O2566" s="7">
        <v>5.3890000000000002</v>
      </c>
      <c r="P2566" s="7">
        <v>5.6879999999999997</v>
      </c>
      <c r="Q2566" s="7">
        <v>5.9349999999999996</v>
      </c>
      <c r="R2566" s="7">
        <v>5.75</v>
      </c>
      <c r="S2566" s="7">
        <f t="shared" si="40"/>
        <v>5.205000000000001</v>
      </c>
    </row>
    <row r="2567" spans="1:19">
      <c r="A2567" s="5" t="str">
        <f>B2567&amp;"-"&amp;COUNTIF($B$2:B2567,B2567)</f>
        <v>PARAIBA-4</v>
      </c>
      <c r="B2567" s="5" t="s">
        <v>1789</v>
      </c>
      <c r="C2567" s="5" t="s">
        <v>1793</v>
      </c>
      <c r="D2567" s="6">
        <v>-357639</v>
      </c>
      <c r="E2567" s="6">
        <v>-70608</v>
      </c>
      <c r="F2567" s="7">
        <v>5.2610000000000001</v>
      </c>
      <c r="G2567" s="7">
        <v>5.5990000000000002</v>
      </c>
      <c r="H2567" s="7">
        <v>5.726</v>
      </c>
      <c r="I2567" s="7">
        <v>5.7160000000000002</v>
      </c>
      <c r="J2567" s="7">
        <v>5.282</v>
      </c>
      <c r="K2567" s="7">
        <v>4.617</v>
      </c>
      <c r="L2567" s="7">
        <v>4.0979999999999999</v>
      </c>
      <c r="M2567" s="7">
        <v>4.1710000000000003</v>
      </c>
      <c r="N2567" s="7">
        <v>4.9470000000000001</v>
      </c>
      <c r="O2567" s="7">
        <v>5.4359999999999999</v>
      </c>
      <c r="P2567" s="7">
        <v>5.7309999999999999</v>
      </c>
      <c r="Q2567" s="7">
        <v>6</v>
      </c>
      <c r="R2567" s="7">
        <v>5.81</v>
      </c>
      <c r="S2567" s="7">
        <f t="shared" si="40"/>
        <v>5.2610833333333344</v>
      </c>
    </row>
    <row r="2568" spans="1:19">
      <c r="A2568" s="5" t="str">
        <f>B2568&amp;"-"&amp;COUNTIF($B$2:B2568,B2568)</f>
        <v>PARAIBA-5</v>
      </c>
      <c r="B2568" s="5" t="s">
        <v>1789</v>
      </c>
      <c r="C2568" s="5" t="s">
        <v>1794</v>
      </c>
      <c r="D2568" s="6">
        <v>-355338</v>
      </c>
      <c r="E2568" s="6">
        <v>-69474</v>
      </c>
      <c r="F2568" s="7">
        <v>5.1840000000000002</v>
      </c>
      <c r="G2568" s="7">
        <v>5.484</v>
      </c>
      <c r="H2568" s="7">
        <v>5.6040000000000001</v>
      </c>
      <c r="I2568" s="7">
        <v>5.6310000000000002</v>
      </c>
      <c r="J2568" s="7">
        <v>5.1680000000000001</v>
      </c>
      <c r="K2568" s="7">
        <v>4.5629999999999997</v>
      </c>
      <c r="L2568" s="7">
        <v>4.117</v>
      </c>
      <c r="M2568" s="7">
        <v>4.2009999999999996</v>
      </c>
      <c r="N2568" s="7">
        <v>4.9560000000000004</v>
      </c>
      <c r="O2568" s="7">
        <v>5.375</v>
      </c>
      <c r="P2568" s="7">
        <v>5.6029999999999998</v>
      </c>
      <c r="Q2568" s="7">
        <v>5.8559999999999999</v>
      </c>
      <c r="R2568" s="7">
        <v>5.6479999999999997</v>
      </c>
      <c r="S2568" s="7">
        <f t="shared" si="40"/>
        <v>5.1838333333333333</v>
      </c>
    </row>
    <row r="2569" spans="1:19">
      <c r="A2569" s="5" t="str">
        <f>B2569&amp;"-"&amp;COUNTIF($B$2:B2569,B2569)</f>
        <v>PARAIBA-6</v>
      </c>
      <c r="B2569" s="5" t="s">
        <v>1789</v>
      </c>
      <c r="C2569" s="5" t="s">
        <v>1795</v>
      </c>
      <c r="D2569" s="6">
        <v>-360514</v>
      </c>
      <c r="E2569" s="6">
        <v>-77371</v>
      </c>
      <c r="F2569" s="7">
        <v>5.3840000000000003</v>
      </c>
      <c r="G2569" s="7">
        <v>5.8570000000000002</v>
      </c>
      <c r="H2569" s="7">
        <v>5.8129999999999997</v>
      </c>
      <c r="I2569" s="7">
        <v>5.7919999999999998</v>
      </c>
      <c r="J2569" s="7">
        <v>5.2949999999999999</v>
      </c>
      <c r="K2569" s="7">
        <v>4.681</v>
      </c>
      <c r="L2569" s="7">
        <v>4.1580000000000004</v>
      </c>
      <c r="M2569" s="7">
        <v>4.37</v>
      </c>
      <c r="N2569" s="7">
        <v>4.9939999999999998</v>
      </c>
      <c r="O2569" s="7">
        <v>5.6390000000000002</v>
      </c>
      <c r="P2569" s="7">
        <v>5.9240000000000004</v>
      </c>
      <c r="Q2569" s="7">
        <v>6.1859999999999999</v>
      </c>
      <c r="R2569" s="7">
        <v>5.9020000000000001</v>
      </c>
      <c r="S2569" s="7">
        <f t="shared" si="40"/>
        <v>5.3842500000000006</v>
      </c>
    </row>
    <row r="2570" spans="1:19">
      <c r="A2570" s="5" t="str">
        <f>B2570&amp;"-"&amp;COUNTIF($B$2:B2570,B2570)</f>
        <v>PARAIBA-7</v>
      </c>
      <c r="B2570" s="5" t="s">
        <v>1789</v>
      </c>
      <c r="C2570" s="5" t="s">
        <v>4057</v>
      </c>
      <c r="D2570" s="6">
        <v>-360113</v>
      </c>
      <c r="E2570" s="6">
        <v>-68995</v>
      </c>
      <c r="F2570" s="7">
        <v>5.4029999999999996</v>
      </c>
      <c r="G2570" s="7">
        <v>5.7050000000000001</v>
      </c>
      <c r="H2570" s="7">
        <v>5.75</v>
      </c>
      <c r="I2570" s="7">
        <v>5.7789999999999999</v>
      </c>
      <c r="J2570" s="7">
        <v>5.3250000000000002</v>
      </c>
      <c r="K2570" s="7">
        <v>4.7619999999999996</v>
      </c>
      <c r="L2570" s="7">
        <v>4.2290000000000001</v>
      </c>
      <c r="M2570" s="7">
        <v>4.3869999999999996</v>
      </c>
      <c r="N2570" s="7">
        <v>5.14</v>
      </c>
      <c r="O2570" s="7">
        <v>5.6580000000000004</v>
      </c>
      <c r="P2570" s="7">
        <v>5.9989999999999997</v>
      </c>
      <c r="Q2570" s="7">
        <v>6.181</v>
      </c>
      <c r="R2570" s="7">
        <v>5.923</v>
      </c>
      <c r="S2570" s="7">
        <f t="shared" si="40"/>
        <v>5.4031666666666665</v>
      </c>
    </row>
    <row r="2571" spans="1:19">
      <c r="A2571" s="5" t="str">
        <f>B2571&amp;"-"&amp;COUNTIF($B$2:B2571,B2571)</f>
        <v>PARAIBA-8</v>
      </c>
      <c r="B2571" s="5" t="s">
        <v>1789</v>
      </c>
      <c r="C2571" s="5" t="s">
        <v>1796</v>
      </c>
      <c r="D2571" s="6">
        <v>-34906</v>
      </c>
      <c r="E2571" s="6">
        <v>-74302</v>
      </c>
      <c r="F2571" s="7">
        <v>5.4160000000000004</v>
      </c>
      <c r="G2571" s="7">
        <v>5.7480000000000002</v>
      </c>
      <c r="H2571" s="7">
        <v>5.984</v>
      </c>
      <c r="I2571" s="7">
        <v>6.0019999999999998</v>
      </c>
      <c r="J2571" s="7">
        <v>5.2930000000000001</v>
      </c>
      <c r="K2571" s="7">
        <v>4.7009999999999996</v>
      </c>
      <c r="L2571" s="7">
        <v>4.2910000000000004</v>
      </c>
      <c r="M2571" s="7">
        <v>4.3390000000000004</v>
      </c>
      <c r="N2571" s="7">
        <v>5.1420000000000003</v>
      </c>
      <c r="O2571" s="7">
        <v>5.5529999999999999</v>
      </c>
      <c r="P2571" s="7">
        <v>5.8769999999999998</v>
      </c>
      <c r="Q2571" s="7">
        <v>6.0149999999999997</v>
      </c>
      <c r="R2571" s="7">
        <v>6.0490000000000004</v>
      </c>
      <c r="S2571" s="7">
        <f t="shared" si="40"/>
        <v>5.4161666666666664</v>
      </c>
    </row>
    <row r="2572" spans="1:19">
      <c r="A2572" s="5" t="str">
        <f>B2572&amp;"-"&amp;COUNTIF($B$2:B2572,B2572)</f>
        <v>PARAIBA-9</v>
      </c>
      <c r="B2572" s="5" t="s">
        <v>1789</v>
      </c>
      <c r="C2572" s="5" t="s">
        <v>1797</v>
      </c>
      <c r="D2572" s="6">
        <v>-37063</v>
      </c>
      <c r="E2572" s="6">
        <v>-75674</v>
      </c>
      <c r="F2572" s="7">
        <v>5.7779999999999996</v>
      </c>
      <c r="G2572" s="7">
        <v>6.21</v>
      </c>
      <c r="H2572" s="7">
        <v>6.0990000000000002</v>
      </c>
      <c r="I2572" s="7">
        <v>6.0650000000000004</v>
      </c>
      <c r="J2572" s="7">
        <v>5.7050000000000001</v>
      </c>
      <c r="K2572" s="7">
        <v>4.9589999999999996</v>
      </c>
      <c r="L2572" s="7">
        <v>4.4909999999999997</v>
      </c>
      <c r="M2572" s="7">
        <v>4.7</v>
      </c>
      <c r="N2572" s="7">
        <v>5.4660000000000002</v>
      </c>
      <c r="O2572" s="7">
        <v>6.2480000000000002</v>
      </c>
      <c r="P2572" s="7">
        <v>6.4790000000000001</v>
      </c>
      <c r="Q2572" s="7">
        <v>6.6029999999999998</v>
      </c>
      <c r="R2572" s="7">
        <v>6.3090000000000002</v>
      </c>
      <c r="S2572" s="7">
        <f t="shared" si="40"/>
        <v>5.7778333333333336</v>
      </c>
    </row>
    <row r="2573" spans="1:19">
      <c r="A2573" s="5" t="str">
        <f>B2573&amp;"-"&amp;COUNTIF($B$2:B2573,B2573)</f>
        <v>PARAIBA-10</v>
      </c>
      <c r="B2573" s="5" t="s">
        <v>1789</v>
      </c>
      <c r="C2573" s="5" t="s">
        <v>1798</v>
      </c>
      <c r="D2573" s="6">
        <v>-380806</v>
      </c>
      <c r="E2573" s="6">
        <v>-67851</v>
      </c>
      <c r="F2573" s="7">
        <v>6.0209999999999999</v>
      </c>
      <c r="G2573" s="7">
        <v>6.101</v>
      </c>
      <c r="H2573" s="7">
        <v>6.125</v>
      </c>
      <c r="I2573" s="7">
        <v>6.226</v>
      </c>
      <c r="J2573" s="7">
        <v>5.8819999999999997</v>
      </c>
      <c r="K2573" s="7">
        <v>5.3070000000000004</v>
      </c>
      <c r="L2573" s="7">
        <v>4.9950000000000001</v>
      </c>
      <c r="M2573" s="7">
        <v>5.21</v>
      </c>
      <c r="N2573" s="7">
        <v>6.0190000000000001</v>
      </c>
      <c r="O2573" s="7">
        <v>6.5170000000000003</v>
      </c>
      <c r="P2573" s="7">
        <v>6.66</v>
      </c>
      <c r="Q2573" s="7">
        <v>6.8090000000000002</v>
      </c>
      <c r="R2573" s="7">
        <v>6.399</v>
      </c>
      <c r="S2573" s="7">
        <f t="shared" si="40"/>
        <v>6.020833333333333</v>
      </c>
    </row>
    <row r="2574" spans="1:19">
      <c r="A2574" s="5" t="str">
        <f>B2574&amp;"-"&amp;COUNTIF($B$2:B2574,B2574)</f>
        <v>PARAIBA-11</v>
      </c>
      <c r="B2574" s="5" t="s">
        <v>1789</v>
      </c>
      <c r="C2574" s="5" t="s">
        <v>4697</v>
      </c>
      <c r="D2574" s="6">
        <v>-353793</v>
      </c>
      <c r="E2574" s="6">
        <v>-68521</v>
      </c>
      <c r="F2574" s="7">
        <v>5.3449999999999998</v>
      </c>
      <c r="G2574" s="7">
        <v>5.6420000000000003</v>
      </c>
      <c r="H2574" s="7">
        <v>5.6870000000000003</v>
      </c>
      <c r="I2574" s="7">
        <v>5.8179999999999996</v>
      </c>
      <c r="J2574" s="7">
        <v>5.3220000000000001</v>
      </c>
      <c r="K2574" s="7">
        <v>4.7030000000000003</v>
      </c>
      <c r="L2574" s="7">
        <v>4.22</v>
      </c>
      <c r="M2574" s="7">
        <v>4.3579999999999997</v>
      </c>
      <c r="N2574" s="7">
        <v>5.085</v>
      </c>
      <c r="O2574" s="7">
        <v>5.524</v>
      </c>
      <c r="P2574" s="7">
        <v>5.8140000000000001</v>
      </c>
      <c r="Q2574" s="7">
        <v>6.0620000000000003</v>
      </c>
      <c r="R2574" s="7">
        <v>5.9020000000000001</v>
      </c>
      <c r="S2574" s="7">
        <f t="shared" si="40"/>
        <v>5.3447499999999986</v>
      </c>
    </row>
    <row r="2575" spans="1:19">
      <c r="A2575" s="5" t="str">
        <f>B2575&amp;"-"&amp;COUNTIF($B$2:B2575,B2575)</f>
        <v>PARAIBA-12</v>
      </c>
      <c r="B2575" s="5" t="s">
        <v>1789</v>
      </c>
      <c r="C2575" s="5" t="s">
        <v>1799</v>
      </c>
      <c r="D2575" s="6">
        <v>-357555</v>
      </c>
      <c r="E2575" s="6">
        <v>-68285</v>
      </c>
      <c r="F2575" s="7">
        <v>5.431</v>
      </c>
      <c r="G2575" s="7">
        <v>5.7569999999999997</v>
      </c>
      <c r="H2575" s="7">
        <v>5.8010000000000002</v>
      </c>
      <c r="I2575" s="7">
        <v>5.899</v>
      </c>
      <c r="J2575" s="7">
        <v>5.3369999999999997</v>
      </c>
      <c r="K2575" s="7">
        <v>4.7789999999999999</v>
      </c>
      <c r="L2575" s="7">
        <v>4.29</v>
      </c>
      <c r="M2575" s="7">
        <v>4.476</v>
      </c>
      <c r="N2575" s="7">
        <v>5.2430000000000003</v>
      </c>
      <c r="O2575" s="7">
        <v>5.6879999999999997</v>
      </c>
      <c r="P2575" s="7">
        <v>5.88</v>
      </c>
      <c r="Q2575" s="7">
        <v>6.1429999999999998</v>
      </c>
      <c r="R2575" s="7">
        <v>5.8869999999999996</v>
      </c>
      <c r="S2575" s="7">
        <f t="shared" si="40"/>
        <v>5.4316666666666675</v>
      </c>
    </row>
    <row r="2576" spans="1:19">
      <c r="A2576" s="5" t="str">
        <f>B2576&amp;"-"&amp;COUNTIF($B$2:B2576,B2576)</f>
        <v>PARAIBA-13</v>
      </c>
      <c r="B2576" s="5" t="s">
        <v>1789</v>
      </c>
      <c r="C2576" s="5" t="s">
        <v>1800</v>
      </c>
      <c r="D2576" s="6">
        <v>-357409</v>
      </c>
      <c r="E2576" s="6">
        <v>-65346</v>
      </c>
      <c r="F2576" s="7">
        <v>5.4820000000000002</v>
      </c>
      <c r="G2576" s="7">
        <v>5.7770000000000001</v>
      </c>
      <c r="H2576" s="7">
        <v>5.8529999999999998</v>
      </c>
      <c r="I2576" s="7">
        <v>5.9390000000000001</v>
      </c>
      <c r="J2576" s="7">
        <v>5.41</v>
      </c>
      <c r="K2576" s="7">
        <v>4.8769999999999998</v>
      </c>
      <c r="L2576" s="7">
        <v>4.4059999999999997</v>
      </c>
      <c r="M2576" s="7">
        <v>4.5880000000000001</v>
      </c>
      <c r="N2576" s="7">
        <v>5.2990000000000004</v>
      </c>
      <c r="O2576" s="7">
        <v>5.7720000000000002</v>
      </c>
      <c r="P2576" s="7">
        <v>5.9290000000000003</v>
      </c>
      <c r="Q2576" s="7">
        <v>6.1180000000000003</v>
      </c>
      <c r="R2576" s="7">
        <v>5.82</v>
      </c>
      <c r="S2576" s="7">
        <f t="shared" si="40"/>
        <v>5.4823333333333339</v>
      </c>
    </row>
    <row r="2577" spans="1:19">
      <c r="A2577" s="5" t="str">
        <f>B2577&amp;"-"&amp;COUNTIF($B$2:B2577,B2577)</f>
        <v>PARAIBA-14</v>
      </c>
      <c r="B2577" s="5" t="s">
        <v>1789</v>
      </c>
      <c r="C2577" s="5" t="s">
        <v>1801</v>
      </c>
      <c r="D2577" s="6">
        <v>-357026</v>
      </c>
      <c r="E2577" s="6">
        <v>-69654</v>
      </c>
      <c r="F2577" s="7">
        <v>5.3710000000000004</v>
      </c>
      <c r="G2577" s="7">
        <v>5.7210000000000001</v>
      </c>
      <c r="H2577" s="7">
        <v>5.8540000000000001</v>
      </c>
      <c r="I2577" s="7">
        <v>5.7969999999999997</v>
      </c>
      <c r="J2577" s="7">
        <v>5.3390000000000004</v>
      </c>
      <c r="K2577" s="7">
        <v>4.702</v>
      </c>
      <c r="L2577" s="7">
        <v>4.1520000000000001</v>
      </c>
      <c r="M2577" s="7">
        <v>4.2969999999999997</v>
      </c>
      <c r="N2577" s="7">
        <v>5.0270000000000001</v>
      </c>
      <c r="O2577" s="7">
        <v>5.5910000000000002</v>
      </c>
      <c r="P2577" s="7">
        <v>5.8650000000000002</v>
      </c>
      <c r="Q2577" s="7">
        <v>6.1529999999999996</v>
      </c>
      <c r="R2577" s="7">
        <v>5.9560000000000004</v>
      </c>
      <c r="S2577" s="7">
        <f t="shared" si="40"/>
        <v>5.3711666666666664</v>
      </c>
    </row>
    <row r="2578" spans="1:19">
      <c r="A2578" s="5" t="str">
        <f>B2578&amp;"-"&amp;COUNTIF($B$2:B2578,B2578)</f>
        <v>PARAIBA-15</v>
      </c>
      <c r="B2578" s="5" t="s">
        <v>1789</v>
      </c>
      <c r="C2578" s="5" t="s">
        <v>4851</v>
      </c>
      <c r="D2578" s="6">
        <v>-36945</v>
      </c>
      <c r="E2578" s="6">
        <v>-71238</v>
      </c>
      <c r="F2578" s="7">
        <v>5.8419999999999996</v>
      </c>
      <c r="G2578" s="7">
        <v>6.0789999999999997</v>
      </c>
      <c r="H2578" s="7">
        <v>6.1349999999999998</v>
      </c>
      <c r="I2578" s="7">
        <v>6.101</v>
      </c>
      <c r="J2578" s="7">
        <v>5.758</v>
      </c>
      <c r="K2578" s="7">
        <v>5.109</v>
      </c>
      <c r="L2578" s="7">
        <v>4.5890000000000004</v>
      </c>
      <c r="M2578" s="7">
        <v>4.9340000000000002</v>
      </c>
      <c r="N2578" s="7">
        <v>5.72</v>
      </c>
      <c r="O2578" s="7">
        <v>6.3559999999999999</v>
      </c>
      <c r="P2578" s="7">
        <v>6.4880000000000004</v>
      </c>
      <c r="Q2578" s="7">
        <v>6.585</v>
      </c>
      <c r="R2578" s="7">
        <v>6.2439999999999998</v>
      </c>
      <c r="S2578" s="7">
        <f t="shared" si="40"/>
        <v>5.841499999999999</v>
      </c>
    </row>
    <row r="2579" spans="1:19">
      <c r="A2579" s="5" t="str">
        <f>B2579&amp;"-"&amp;COUNTIF($B$2:B2579,B2579)</f>
        <v>PARAIBA-16</v>
      </c>
      <c r="B2579" s="5" t="s">
        <v>1789</v>
      </c>
      <c r="C2579" s="5" t="s">
        <v>1802</v>
      </c>
      <c r="D2579" s="6">
        <v>-359251</v>
      </c>
      <c r="E2579" s="6">
        <v>-70499</v>
      </c>
      <c r="F2579" s="7">
        <v>5.4539999999999997</v>
      </c>
      <c r="G2579" s="7">
        <v>5.8310000000000004</v>
      </c>
      <c r="H2579" s="7">
        <v>5.85</v>
      </c>
      <c r="I2579" s="7">
        <v>5.9080000000000004</v>
      </c>
      <c r="J2579" s="7">
        <v>5.39</v>
      </c>
      <c r="K2579" s="7">
        <v>4.7869999999999999</v>
      </c>
      <c r="L2579" s="7">
        <v>4.2549999999999999</v>
      </c>
      <c r="M2579" s="7">
        <v>4.45</v>
      </c>
      <c r="N2579" s="7">
        <v>5.157</v>
      </c>
      <c r="O2579" s="7">
        <v>5.6820000000000004</v>
      </c>
      <c r="P2579" s="7">
        <v>5.9710000000000001</v>
      </c>
      <c r="Q2579" s="7">
        <v>6.2</v>
      </c>
      <c r="R2579" s="7">
        <v>5.9660000000000002</v>
      </c>
      <c r="S2579" s="7">
        <f t="shared" si="40"/>
        <v>5.4539166666666672</v>
      </c>
    </row>
    <row r="2580" spans="1:19">
      <c r="A2580" s="5" t="str">
        <f>B2580&amp;"-"&amp;COUNTIF($B$2:B2580,B2580)</f>
        <v>PARAIBA-17</v>
      </c>
      <c r="B2580" s="5" t="s">
        <v>1789</v>
      </c>
      <c r="C2580" s="5" t="s">
        <v>1803</v>
      </c>
      <c r="D2580" s="6">
        <v>-357068</v>
      </c>
      <c r="E2580" s="6">
        <v>-75452</v>
      </c>
      <c r="F2580" s="7">
        <v>5.3029999999999999</v>
      </c>
      <c r="G2580" s="7">
        <v>5.718</v>
      </c>
      <c r="H2580" s="7">
        <v>5.74</v>
      </c>
      <c r="I2580" s="7">
        <v>5.7910000000000004</v>
      </c>
      <c r="J2580" s="7">
        <v>5.2539999999999996</v>
      </c>
      <c r="K2580" s="7">
        <v>4.5490000000000004</v>
      </c>
      <c r="L2580" s="7">
        <v>4.0449999999999999</v>
      </c>
      <c r="M2580" s="7">
        <v>4.2450000000000001</v>
      </c>
      <c r="N2580" s="7">
        <v>4.9569999999999999</v>
      </c>
      <c r="O2580" s="7">
        <v>5.5449999999999999</v>
      </c>
      <c r="P2580" s="7">
        <v>5.827</v>
      </c>
      <c r="Q2580" s="7">
        <v>6.0590000000000002</v>
      </c>
      <c r="R2580" s="7">
        <v>5.9109999999999996</v>
      </c>
      <c r="S2580" s="7">
        <f t="shared" si="40"/>
        <v>5.3034166666666662</v>
      </c>
    </row>
    <row r="2581" spans="1:19">
      <c r="A2581" s="5" t="str">
        <f>B2581&amp;"-"&amp;COUNTIF($B$2:B2581,B2581)</f>
        <v>PARAIBA-18</v>
      </c>
      <c r="B2581" s="5" t="s">
        <v>1789</v>
      </c>
      <c r="C2581" s="5" t="s">
        <v>4698</v>
      </c>
      <c r="D2581" s="6">
        <v>-367314</v>
      </c>
      <c r="E2581" s="6">
        <v>-7075</v>
      </c>
      <c r="F2581" s="7">
        <v>5.6420000000000003</v>
      </c>
      <c r="G2581" s="7">
        <v>5.9640000000000004</v>
      </c>
      <c r="H2581" s="7">
        <v>5.9589999999999996</v>
      </c>
      <c r="I2581" s="7">
        <v>5.9189999999999996</v>
      </c>
      <c r="J2581" s="7">
        <v>5.5179999999999998</v>
      </c>
      <c r="K2581" s="7">
        <v>4.9089999999999998</v>
      </c>
      <c r="L2581" s="7">
        <v>4.4119999999999999</v>
      </c>
      <c r="M2581" s="7">
        <v>4.6589999999999998</v>
      </c>
      <c r="N2581" s="7">
        <v>5.4370000000000003</v>
      </c>
      <c r="O2581" s="7">
        <v>6.0810000000000004</v>
      </c>
      <c r="P2581" s="7">
        <v>6.3140000000000001</v>
      </c>
      <c r="Q2581" s="7">
        <v>6.4269999999999996</v>
      </c>
      <c r="R2581" s="7">
        <v>6.0990000000000002</v>
      </c>
      <c r="S2581" s="7">
        <f t="shared" si="40"/>
        <v>5.6414999999999997</v>
      </c>
    </row>
    <row r="2582" spans="1:19">
      <c r="A2582" s="5" t="str">
        <f>B2582&amp;"-"&amp;COUNTIF($B$2:B2582,B2582)</f>
        <v>PARAIBA-19</v>
      </c>
      <c r="B2582" s="5" t="s">
        <v>1789</v>
      </c>
      <c r="C2582" s="5" t="s">
        <v>4699</v>
      </c>
      <c r="D2582" s="6">
        <v>-349335</v>
      </c>
      <c r="E2582" s="6">
        <v>-66904</v>
      </c>
      <c r="F2582" s="7">
        <v>5.7560000000000002</v>
      </c>
      <c r="G2582" s="7">
        <v>6.1550000000000002</v>
      </c>
      <c r="H2582" s="7">
        <v>6.1559999999999997</v>
      </c>
      <c r="I2582" s="7">
        <v>6.2290000000000001</v>
      </c>
      <c r="J2582" s="7">
        <v>5.601</v>
      </c>
      <c r="K2582" s="7">
        <v>5.0529999999999999</v>
      </c>
      <c r="L2582" s="7">
        <v>4.532</v>
      </c>
      <c r="M2582" s="7">
        <v>4.6879999999999997</v>
      </c>
      <c r="N2582" s="7">
        <v>5.5590000000000002</v>
      </c>
      <c r="O2582" s="7">
        <v>6.0039999999999996</v>
      </c>
      <c r="P2582" s="7">
        <v>6.2880000000000003</v>
      </c>
      <c r="Q2582" s="7">
        <v>6.5010000000000003</v>
      </c>
      <c r="R2582" s="7">
        <v>6.3079999999999998</v>
      </c>
      <c r="S2582" s="7">
        <f t="shared" si="40"/>
        <v>5.7561666666666662</v>
      </c>
    </row>
    <row r="2583" spans="1:19">
      <c r="A2583" s="5" t="str">
        <f>B2583&amp;"-"&amp;COUNTIF($B$2:B2583,B2583)</f>
        <v>PARAIBA-20</v>
      </c>
      <c r="B2583" s="5" t="s">
        <v>1789</v>
      </c>
      <c r="C2583" s="5" t="s">
        <v>1804</v>
      </c>
      <c r="D2583" s="6">
        <v>-356309</v>
      </c>
      <c r="E2583" s="6">
        <v>-67444</v>
      </c>
      <c r="F2583" s="7">
        <v>5.44</v>
      </c>
      <c r="G2583" s="7">
        <v>5.6849999999999996</v>
      </c>
      <c r="H2583" s="7">
        <v>5.8310000000000004</v>
      </c>
      <c r="I2583" s="7">
        <v>5.8890000000000002</v>
      </c>
      <c r="J2583" s="7">
        <v>5.3460000000000001</v>
      </c>
      <c r="K2583" s="7">
        <v>4.8159999999999998</v>
      </c>
      <c r="L2583" s="7">
        <v>4.375</v>
      </c>
      <c r="M2583" s="7">
        <v>4.4729999999999999</v>
      </c>
      <c r="N2583" s="7">
        <v>5.2380000000000004</v>
      </c>
      <c r="O2583" s="7">
        <v>5.7220000000000004</v>
      </c>
      <c r="P2583" s="7">
        <v>5.8929999999999998</v>
      </c>
      <c r="Q2583" s="7">
        <v>6.1280000000000001</v>
      </c>
      <c r="R2583" s="7">
        <v>5.8840000000000003</v>
      </c>
      <c r="S2583" s="7">
        <f t="shared" si="40"/>
        <v>5.44</v>
      </c>
    </row>
    <row r="2584" spans="1:19">
      <c r="A2584" s="5" t="str">
        <f>B2584&amp;"-"&amp;COUNTIF($B$2:B2584,B2584)</f>
        <v>PARAIBA-21</v>
      </c>
      <c r="B2584" s="5" t="s">
        <v>1789</v>
      </c>
      <c r="C2584" s="5" t="s">
        <v>4852</v>
      </c>
      <c r="D2584" s="6">
        <v>-36255</v>
      </c>
      <c r="E2584" s="6">
        <v>-66425</v>
      </c>
      <c r="F2584" s="7">
        <v>5.5789999999999997</v>
      </c>
      <c r="G2584" s="7">
        <v>5.8719999999999999</v>
      </c>
      <c r="H2584" s="7">
        <v>5.8529999999999998</v>
      </c>
      <c r="I2584" s="7">
        <v>5.907</v>
      </c>
      <c r="J2584" s="7">
        <v>5.5039999999999996</v>
      </c>
      <c r="K2584" s="7">
        <v>4.8719999999999999</v>
      </c>
      <c r="L2584" s="7">
        <v>4.4960000000000004</v>
      </c>
      <c r="M2584" s="7">
        <v>4.7060000000000004</v>
      </c>
      <c r="N2584" s="7">
        <v>5.3929999999999998</v>
      </c>
      <c r="O2584" s="7">
        <v>5.9459999999999997</v>
      </c>
      <c r="P2584" s="7">
        <v>6.2149999999999999</v>
      </c>
      <c r="Q2584" s="7">
        <v>6.25</v>
      </c>
      <c r="R2584" s="7">
        <v>5.94</v>
      </c>
      <c r="S2584" s="7">
        <f t="shared" si="40"/>
        <v>5.5794999999999995</v>
      </c>
    </row>
    <row r="2585" spans="1:19">
      <c r="A2585" s="5" t="str">
        <f>B2585&amp;"-"&amp;COUNTIF($B$2:B2585,B2585)</f>
        <v>PARAIBA-22</v>
      </c>
      <c r="B2585" s="5" t="s">
        <v>1789</v>
      </c>
      <c r="C2585" s="5" t="s">
        <v>103</v>
      </c>
      <c r="D2585" s="6">
        <v>-363166</v>
      </c>
      <c r="E2585" s="6">
        <v>-77527</v>
      </c>
      <c r="F2585" s="7">
        <v>5.5380000000000003</v>
      </c>
      <c r="G2585" s="7">
        <v>6.0030000000000001</v>
      </c>
      <c r="H2585" s="7">
        <v>5.9059999999999997</v>
      </c>
      <c r="I2585" s="7">
        <v>5.9260000000000002</v>
      </c>
      <c r="J2585" s="7">
        <v>5.46</v>
      </c>
      <c r="K2585" s="7">
        <v>4.7880000000000003</v>
      </c>
      <c r="L2585" s="7">
        <v>4.3209999999999997</v>
      </c>
      <c r="M2585" s="7">
        <v>4.4569999999999999</v>
      </c>
      <c r="N2585" s="7">
        <v>5.17</v>
      </c>
      <c r="O2585" s="7">
        <v>5.8550000000000004</v>
      </c>
      <c r="P2585" s="7">
        <v>6.1219999999999999</v>
      </c>
      <c r="Q2585" s="7">
        <v>6.35</v>
      </c>
      <c r="R2585" s="7">
        <v>6.0910000000000002</v>
      </c>
      <c r="S2585" s="7">
        <f t="shared" si="40"/>
        <v>5.537416666666668</v>
      </c>
    </row>
    <row r="2586" spans="1:19">
      <c r="A2586" s="5" t="str">
        <f>B2586&amp;"-"&amp;COUNTIF($B$2:B2586,B2586)</f>
        <v>PARAIBA-23</v>
      </c>
      <c r="B2586" s="5" t="s">
        <v>1789</v>
      </c>
      <c r="C2586" s="5" t="s">
        <v>1805</v>
      </c>
      <c r="D2586" s="6">
        <v>-360674</v>
      </c>
      <c r="E2586" s="6">
        <v>-67186</v>
      </c>
      <c r="F2586" s="7">
        <v>5.4349999999999996</v>
      </c>
      <c r="G2586" s="7">
        <v>5.7190000000000003</v>
      </c>
      <c r="H2586" s="7">
        <v>5.766</v>
      </c>
      <c r="I2586" s="7">
        <v>5.83</v>
      </c>
      <c r="J2586" s="7">
        <v>5.35</v>
      </c>
      <c r="K2586" s="7">
        <v>4.7869999999999999</v>
      </c>
      <c r="L2586" s="7">
        <v>4.3369999999999997</v>
      </c>
      <c r="M2586" s="7">
        <v>4.4630000000000001</v>
      </c>
      <c r="N2586" s="7">
        <v>5.1749999999999998</v>
      </c>
      <c r="O2586" s="7">
        <v>5.7169999999999996</v>
      </c>
      <c r="P2586" s="7">
        <v>5.9939999999999998</v>
      </c>
      <c r="Q2586" s="7">
        <v>6.1710000000000003</v>
      </c>
      <c r="R2586" s="7">
        <v>5.915</v>
      </c>
      <c r="S2586" s="7">
        <f t="shared" si="40"/>
        <v>5.4353333333333325</v>
      </c>
    </row>
    <row r="2587" spans="1:19">
      <c r="A2587" s="5" t="str">
        <f>B2587&amp;"-"&amp;COUNTIF($B$2:B2587,B2587)</f>
        <v>PARAIBA-24</v>
      </c>
      <c r="B2587" s="5" t="s">
        <v>1789</v>
      </c>
      <c r="C2587" s="5" t="s">
        <v>1806</v>
      </c>
      <c r="D2587" s="6">
        <v>-359958</v>
      </c>
      <c r="E2587" s="6">
        <v>-75178</v>
      </c>
      <c r="F2587" s="7">
        <v>5.3339999999999996</v>
      </c>
      <c r="G2587" s="7">
        <v>5.7960000000000003</v>
      </c>
      <c r="H2587" s="7">
        <v>5.7590000000000003</v>
      </c>
      <c r="I2587" s="7">
        <v>5.79</v>
      </c>
      <c r="J2587" s="7">
        <v>5.27</v>
      </c>
      <c r="K2587" s="7">
        <v>4.617</v>
      </c>
      <c r="L2587" s="7">
        <v>4.0469999999999997</v>
      </c>
      <c r="M2587" s="7">
        <v>4.2610000000000001</v>
      </c>
      <c r="N2587" s="7">
        <v>4.9560000000000004</v>
      </c>
      <c r="O2587" s="7">
        <v>5.585</v>
      </c>
      <c r="P2587" s="7">
        <v>5.8689999999999998</v>
      </c>
      <c r="Q2587" s="7">
        <v>6.1580000000000004</v>
      </c>
      <c r="R2587" s="7">
        <v>5.9050000000000002</v>
      </c>
      <c r="S2587" s="7">
        <f t="shared" si="40"/>
        <v>5.3344166666666668</v>
      </c>
    </row>
    <row r="2588" spans="1:19">
      <c r="A2588" s="5" t="str">
        <f>B2588&amp;"-"&amp;COUNTIF($B$2:B2588,B2588)</f>
        <v>PARAIBA-25</v>
      </c>
      <c r="B2588" s="5" t="s">
        <v>1789</v>
      </c>
      <c r="C2588" s="5" t="s">
        <v>1807</v>
      </c>
      <c r="D2588" s="6">
        <v>-349256</v>
      </c>
      <c r="E2588" s="6">
        <v>-71282</v>
      </c>
      <c r="F2588" s="7">
        <v>5.4729999999999999</v>
      </c>
      <c r="G2588" s="7">
        <v>5.8220000000000001</v>
      </c>
      <c r="H2588" s="7">
        <v>5.9749999999999996</v>
      </c>
      <c r="I2588" s="7">
        <v>6.0330000000000004</v>
      </c>
      <c r="J2588" s="7">
        <v>5.3529999999999998</v>
      </c>
      <c r="K2588" s="7">
        <v>4.7610000000000001</v>
      </c>
      <c r="L2588" s="7">
        <v>4.2889999999999997</v>
      </c>
      <c r="M2588" s="7">
        <v>4.4050000000000002</v>
      </c>
      <c r="N2588" s="7">
        <v>5.1970000000000001</v>
      </c>
      <c r="O2588" s="7">
        <v>5.6269999999999998</v>
      </c>
      <c r="P2588" s="7">
        <v>5.9189999999999996</v>
      </c>
      <c r="Q2588" s="7">
        <v>6.194</v>
      </c>
      <c r="R2588" s="7">
        <v>6.0990000000000002</v>
      </c>
      <c r="S2588" s="7">
        <f t="shared" si="40"/>
        <v>5.4728333333333339</v>
      </c>
    </row>
    <row r="2589" spans="1:19">
      <c r="A2589" s="5" t="str">
        <f>B2589&amp;"-"&amp;COUNTIF($B$2:B2589,B2589)</f>
        <v>PARAIBA-26</v>
      </c>
      <c r="B2589" s="5" t="s">
        <v>1789</v>
      </c>
      <c r="C2589" s="5" t="s">
        <v>105</v>
      </c>
      <c r="D2589" s="6">
        <v>-355172</v>
      </c>
      <c r="E2589" s="6">
        <v>-67435</v>
      </c>
      <c r="F2589" s="7">
        <v>5.3239999999999998</v>
      </c>
      <c r="G2589" s="7">
        <v>5.6109999999999998</v>
      </c>
      <c r="H2589" s="7">
        <v>5.6769999999999996</v>
      </c>
      <c r="I2589" s="7">
        <v>5.7389999999999999</v>
      </c>
      <c r="J2589" s="7">
        <v>5.2460000000000004</v>
      </c>
      <c r="K2589" s="7">
        <v>4.7690000000000001</v>
      </c>
      <c r="L2589" s="7">
        <v>4.3040000000000003</v>
      </c>
      <c r="M2589" s="7">
        <v>4.3719999999999999</v>
      </c>
      <c r="N2589" s="7">
        <v>5.13</v>
      </c>
      <c r="O2589" s="7">
        <v>5.593</v>
      </c>
      <c r="P2589" s="7">
        <v>5.7830000000000004</v>
      </c>
      <c r="Q2589" s="7">
        <v>5.968</v>
      </c>
      <c r="R2589" s="7">
        <v>5.6989999999999998</v>
      </c>
      <c r="S2589" s="7">
        <f t="shared" si="40"/>
        <v>5.3242500000000001</v>
      </c>
    </row>
    <row r="2590" spans="1:19">
      <c r="A2590" s="5" t="str">
        <f>B2590&amp;"-"&amp;COUNTIF($B$2:B2590,B2590)</f>
        <v>PARAIBA-27</v>
      </c>
      <c r="B2590" s="5" t="s">
        <v>1789</v>
      </c>
      <c r="C2590" s="5" t="s">
        <v>4385</v>
      </c>
      <c r="D2590" s="6">
        <v>-375351</v>
      </c>
      <c r="E2590" s="6">
        <v>-61856</v>
      </c>
      <c r="F2590" s="7">
        <v>5.97</v>
      </c>
      <c r="G2590" s="7">
        <v>6.0940000000000003</v>
      </c>
      <c r="H2590" s="7">
        <v>6.1269999999999998</v>
      </c>
      <c r="I2590" s="7">
        <v>6.1059999999999999</v>
      </c>
      <c r="J2590" s="7">
        <v>5.8659999999999997</v>
      </c>
      <c r="K2590" s="7">
        <v>5.3449999999999998</v>
      </c>
      <c r="L2590" s="7">
        <v>4.9720000000000004</v>
      </c>
      <c r="M2590" s="7">
        <v>5.2610000000000001</v>
      </c>
      <c r="N2590" s="7">
        <v>5.9470000000000001</v>
      </c>
      <c r="O2590" s="7">
        <v>6.5010000000000003</v>
      </c>
      <c r="P2590" s="7">
        <v>6.6029999999999998</v>
      </c>
      <c r="Q2590" s="7">
        <v>6.609</v>
      </c>
      <c r="R2590" s="7">
        <v>6.2</v>
      </c>
      <c r="S2590" s="7">
        <f t="shared" si="40"/>
        <v>5.9692499999999997</v>
      </c>
    </row>
    <row r="2591" spans="1:19">
      <c r="A2591" s="5" t="str">
        <f>B2591&amp;"-"&amp;COUNTIF($B$2:B2591,B2591)</f>
        <v>PARAIBA-28</v>
      </c>
      <c r="B2591" s="5" t="s">
        <v>1789</v>
      </c>
      <c r="C2591" s="5" t="s">
        <v>1808</v>
      </c>
      <c r="D2591" s="6">
        <v>-385502</v>
      </c>
      <c r="E2591" s="6">
        <v>-64538</v>
      </c>
      <c r="F2591" s="7">
        <v>5.8739999999999997</v>
      </c>
      <c r="G2591" s="7">
        <v>5.976</v>
      </c>
      <c r="H2591" s="7">
        <v>5.8949999999999996</v>
      </c>
      <c r="I2591" s="7">
        <v>5.8140000000000001</v>
      </c>
      <c r="J2591" s="7">
        <v>5.5090000000000003</v>
      </c>
      <c r="K2591" s="7">
        <v>5.0839999999999996</v>
      </c>
      <c r="L2591" s="7">
        <v>4.92</v>
      </c>
      <c r="M2591" s="7">
        <v>5.2910000000000004</v>
      </c>
      <c r="N2591" s="7">
        <v>6.0490000000000004</v>
      </c>
      <c r="O2591" s="7">
        <v>6.4950000000000001</v>
      </c>
      <c r="P2591" s="7">
        <v>6.6050000000000004</v>
      </c>
      <c r="Q2591" s="7">
        <v>6.7009999999999996</v>
      </c>
      <c r="R2591" s="7">
        <v>6.1449999999999996</v>
      </c>
      <c r="S2591" s="7">
        <f t="shared" si="40"/>
        <v>5.8736666666666659</v>
      </c>
    </row>
    <row r="2592" spans="1:19">
      <c r="A2592" s="5" t="str">
        <f>B2592&amp;"-"&amp;COUNTIF($B$2:B2592,B2592)</f>
        <v>PARAIBA-29</v>
      </c>
      <c r="B2592" s="5" t="s">
        <v>1789</v>
      </c>
      <c r="C2592" s="5" t="s">
        <v>1809</v>
      </c>
      <c r="D2592" s="6">
        <v>-382181</v>
      </c>
      <c r="E2592" s="6">
        <v>-74206</v>
      </c>
      <c r="F2592" s="7">
        <v>5.9870000000000001</v>
      </c>
      <c r="G2592" s="7">
        <v>6.2069999999999999</v>
      </c>
      <c r="H2592" s="7">
        <v>6.1820000000000004</v>
      </c>
      <c r="I2592" s="7">
        <v>6.2149999999999999</v>
      </c>
      <c r="J2592" s="7">
        <v>5.8849999999999998</v>
      </c>
      <c r="K2592" s="7">
        <v>5.2069999999999999</v>
      </c>
      <c r="L2592" s="7">
        <v>4.7919999999999998</v>
      </c>
      <c r="M2592" s="7">
        <v>5.0570000000000004</v>
      </c>
      <c r="N2592" s="7">
        <v>5.8620000000000001</v>
      </c>
      <c r="O2592" s="7">
        <v>6.5410000000000004</v>
      </c>
      <c r="P2592" s="7">
        <v>6.6</v>
      </c>
      <c r="Q2592" s="7">
        <v>6.8019999999999996</v>
      </c>
      <c r="R2592" s="7">
        <v>6.492</v>
      </c>
      <c r="S2592" s="7">
        <f t="shared" si="40"/>
        <v>5.9868333333333341</v>
      </c>
    </row>
    <row r="2593" spans="1:19">
      <c r="A2593" s="5" t="str">
        <f>B2593&amp;"-"&amp;COUNTIF($B$2:B2593,B2593)</f>
        <v>PARAIBA-30</v>
      </c>
      <c r="B2593" s="5" t="s">
        <v>1789</v>
      </c>
      <c r="C2593" s="5" t="s">
        <v>1810</v>
      </c>
      <c r="D2593" s="6">
        <v>-362369</v>
      </c>
      <c r="E2593" s="6">
        <v>-72598</v>
      </c>
      <c r="F2593" s="7">
        <v>5.4420000000000002</v>
      </c>
      <c r="G2593" s="7">
        <v>5.8120000000000003</v>
      </c>
      <c r="H2593" s="7">
        <v>5.78</v>
      </c>
      <c r="I2593" s="7">
        <v>5.8780000000000001</v>
      </c>
      <c r="J2593" s="7">
        <v>5.3559999999999999</v>
      </c>
      <c r="K2593" s="7">
        <v>4.7080000000000002</v>
      </c>
      <c r="L2593" s="7">
        <v>4.1909999999999998</v>
      </c>
      <c r="M2593" s="7">
        <v>4.4279999999999999</v>
      </c>
      <c r="N2593" s="7">
        <v>5.0830000000000002</v>
      </c>
      <c r="O2593" s="7">
        <v>5.75</v>
      </c>
      <c r="P2593" s="7">
        <v>6.0529999999999999</v>
      </c>
      <c r="Q2593" s="7">
        <v>6.2640000000000002</v>
      </c>
      <c r="R2593" s="7">
        <v>6.0030000000000001</v>
      </c>
      <c r="S2593" s="7">
        <f t="shared" si="40"/>
        <v>5.4421666666666662</v>
      </c>
    </row>
    <row r="2594" spans="1:19">
      <c r="A2594" s="5" t="str">
        <f>B2594&amp;"-"&amp;COUNTIF($B$2:B2594,B2594)</f>
        <v>PARAIBA-31</v>
      </c>
      <c r="B2594" s="5" t="s">
        <v>1789</v>
      </c>
      <c r="C2594" s="5" t="s">
        <v>1811</v>
      </c>
      <c r="D2594" s="6">
        <v>-386457</v>
      </c>
      <c r="E2594" s="6">
        <v>-68164</v>
      </c>
      <c r="F2594" s="7">
        <v>5.9950000000000001</v>
      </c>
      <c r="G2594" s="7">
        <v>6.0839999999999996</v>
      </c>
      <c r="H2594" s="7">
        <v>6.0830000000000002</v>
      </c>
      <c r="I2594" s="7">
        <v>6.0540000000000003</v>
      </c>
      <c r="J2594" s="7">
        <v>5.766</v>
      </c>
      <c r="K2594" s="7">
        <v>5.2889999999999997</v>
      </c>
      <c r="L2594" s="7">
        <v>5.069</v>
      </c>
      <c r="M2594" s="7">
        <v>5.3520000000000003</v>
      </c>
      <c r="N2594" s="7">
        <v>6.0640000000000001</v>
      </c>
      <c r="O2594" s="7">
        <v>6.492</v>
      </c>
      <c r="P2594" s="7">
        <v>6.58</v>
      </c>
      <c r="Q2594" s="7">
        <v>6.7450000000000001</v>
      </c>
      <c r="R2594" s="7">
        <v>6.3659999999999997</v>
      </c>
      <c r="S2594" s="7">
        <f t="shared" si="40"/>
        <v>5.9953333333333338</v>
      </c>
    </row>
    <row r="2595" spans="1:19">
      <c r="A2595" s="5" t="str">
        <f>B2595&amp;"-"&amp;COUNTIF($B$2:B2595,B2595)</f>
        <v>PARAIBA-32</v>
      </c>
      <c r="B2595" s="5" t="s">
        <v>1789</v>
      </c>
      <c r="C2595" s="5" t="s">
        <v>1184</v>
      </c>
      <c r="D2595" s="6">
        <v>-379237</v>
      </c>
      <c r="E2595" s="6">
        <v>-64422</v>
      </c>
      <c r="F2595" s="7">
        <v>6.0060000000000002</v>
      </c>
      <c r="G2595" s="7">
        <v>6.1440000000000001</v>
      </c>
      <c r="H2595" s="7">
        <v>6.1050000000000004</v>
      </c>
      <c r="I2595" s="7">
        <v>6.1390000000000002</v>
      </c>
      <c r="J2595" s="7">
        <v>5.8280000000000003</v>
      </c>
      <c r="K2595" s="7">
        <v>5.3250000000000002</v>
      </c>
      <c r="L2595" s="7">
        <v>5.04</v>
      </c>
      <c r="M2595" s="7">
        <v>5.3259999999999996</v>
      </c>
      <c r="N2595" s="7">
        <v>6.0419999999999998</v>
      </c>
      <c r="O2595" s="7">
        <v>6.4809999999999999</v>
      </c>
      <c r="P2595" s="7">
        <v>6.6230000000000002</v>
      </c>
      <c r="Q2595" s="7">
        <v>6.726</v>
      </c>
      <c r="R2595" s="7">
        <v>6.2880000000000003</v>
      </c>
      <c r="S2595" s="7">
        <f t="shared" si="40"/>
        <v>6.0055833333333339</v>
      </c>
    </row>
    <row r="2596" spans="1:19">
      <c r="A2596" s="5" t="str">
        <f>B2596&amp;"-"&amp;COUNTIF($B$2:B2596,B2596)</f>
        <v>PARAIBA-33</v>
      </c>
      <c r="B2596" s="5" t="s">
        <v>1789</v>
      </c>
      <c r="C2596" s="5" t="s">
        <v>4386</v>
      </c>
      <c r="D2596" s="6">
        <v>-385136</v>
      </c>
      <c r="E2596" s="6">
        <v>-73138</v>
      </c>
      <c r="F2596" s="7">
        <v>5.9379999999999997</v>
      </c>
      <c r="G2596" s="7">
        <v>5.99</v>
      </c>
      <c r="H2596" s="7">
        <v>6.032</v>
      </c>
      <c r="I2596" s="7">
        <v>5.9980000000000002</v>
      </c>
      <c r="J2596" s="7">
        <v>5.6369999999999996</v>
      </c>
      <c r="K2596" s="7">
        <v>5.0880000000000001</v>
      </c>
      <c r="L2596" s="7">
        <v>4.8949999999999996</v>
      </c>
      <c r="M2596" s="7">
        <v>5.1820000000000004</v>
      </c>
      <c r="N2596" s="7">
        <v>5.9409999999999998</v>
      </c>
      <c r="O2596" s="7">
        <v>6.625</v>
      </c>
      <c r="P2596" s="7">
        <v>6.67</v>
      </c>
      <c r="Q2596" s="7">
        <v>6.7990000000000004</v>
      </c>
      <c r="R2596" s="7">
        <v>6.4020000000000001</v>
      </c>
      <c r="S2596" s="7">
        <f t="shared" si="40"/>
        <v>5.9382500000000009</v>
      </c>
    </row>
    <row r="2597" spans="1:19">
      <c r="A2597" s="5" t="str">
        <f>B2597&amp;"-"&amp;COUNTIF($B$2:B2597,B2597)</f>
        <v>PARAIBA-34</v>
      </c>
      <c r="B2597" s="5" t="s">
        <v>1789</v>
      </c>
      <c r="C2597" s="5" t="s">
        <v>4058</v>
      </c>
      <c r="D2597" s="6">
        <v>-361323</v>
      </c>
      <c r="E2597" s="6">
        <v>-74826</v>
      </c>
      <c r="F2597" s="7">
        <v>5.44</v>
      </c>
      <c r="G2597" s="7">
        <v>5.8769999999999998</v>
      </c>
      <c r="H2597" s="7">
        <v>5.8840000000000003</v>
      </c>
      <c r="I2597" s="7">
        <v>5.8689999999999998</v>
      </c>
      <c r="J2597" s="7">
        <v>5.3879999999999999</v>
      </c>
      <c r="K2597" s="7">
        <v>4.7329999999999997</v>
      </c>
      <c r="L2597" s="7">
        <v>4.1829999999999998</v>
      </c>
      <c r="M2597" s="7">
        <v>4.3739999999999997</v>
      </c>
      <c r="N2597" s="7">
        <v>5.0190000000000001</v>
      </c>
      <c r="O2597" s="7">
        <v>5.702</v>
      </c>
      <c r="P2597" s="7">
        <v>5.9569999999999999</v>
      </c>
      <c r="Q2597" s="7">
        <v>6.2309999999999999</v>
      </c>
      <c r="R2597" s="7">
        <v>6.0620000000000003</v>
      </c>
      <c r="S2597" s="7">
        <f t="shared" si="40"/>
        <v>5.4399166666666661</v>
      </c>
    </row>
    <row r="2598" spans="1:19">
      <c r="A2598" s="5" t="str">
        <f>B2598&amp;"-"&amp;COUNTIF($B$2:B2598,B2598)</f>
        <v>PARAIBA-35</v>
      </c>
      <c r="B2598" s="5" t="s">
        <v>1789</v>
      </c>
      <c r="C2598" s="5" t="s">
        <v>1812</v>
      </c>
      <c r="D2598" s="6">
        <v>-35619</v>
      </c>
      <c r="E2598" s="6">
        <v>-68024</v>
      </c>
      <c r="F2598" s="7">
        <v>5.3520000000000003</v>
      </c>
      <c r="G2598" s="7">
        <v>5.6689999999999996</v>
      </c>
      <c r="H2598" s="7">
        <v>5.79</v>
      </c>
      <c r="I2598" s="7">
        <v>5.8019999999999996</v>
      </c>
      <c r="J2598" s="7">
        <v>5.29</v>
      </c>
      <c r="K2598" s="7">
        <v>4.6980000000000004</v>
      </c>
      <c r="L2598" s="7">
        <v>4.194</v>
      </c>
      <c r="M2598" s="7">
        <v>4.3250000000000002</v>
      </c>
      <c r="N2598" s="7">
        <v>5.1180000000000003</v>
      </c>
      <c r="O2598" s="7">
        <v>5.5979999999999999</v>
      </c>
      <c r="P2598" s="7">
        <v>5.8380000000000001</v>
      </c>
      <c r="Q2598" s="7">
        <v>6.0430000000000001</v>
      </c>
      <c r="R2598" s="7">
        <v>5.8550000000000004</v>
      </c>
      <c r="S2598" s="7">
        <f t="shared" si="40"/>
        <v>5.3516666666666666</v>
      </c>
    </row>
    <row r="2599" spans="1:19">
      <c r="A2599" s="5" t="str">
        <f>B2599&amp;"-"&amp;COUNTIF($B$2:B2599,B2599)</f>
        <v>PARAIBA-36</v>
      </c>
      <c r="B2599" s="5" t="s">
        <v>1789</v>
      </c>
      <c r="C2599" s="5" t="s">
        <v>1813</v>
      </c>
      <c r="D2599" s="6">
        <v>-374946</v>
      </c>
      <c r="E2599" s="6">
        <v>-63423</v>
      </c>
      <c r="F2599" s="7">
        <v>5.9930000000000003</v>
      </c>
      <c r="G2599" s="7">
        <v>6.18</v>
      </c>
      <c r="H2599" s="7">
        <v>6.2370000000000001</v>
      </c>
      <c r="I2599" s="7">
        <v>6.16</v>
      </c>
      <c r="J2599" s="7">
        <v>5.8570000000000002</v>
      </c>
      <c r="K2599" s="7">
        <v>5.351</v>
      </c>
      <c r="L2599" s="7">
        <v>4.9509999999999996</v>
      </c>
      <c r="M2599" s="7">
        <v>5.2240000000000002</v>
      </c>
      <c r="N2599" s="7">
        <v>5.915</v>
      </c>
      <c r="O2599" s="7">
        <v>6.4749999999999996</v>
      </c>
      <c r="P2599" s="7">
        <v>6.6369999999999996</v>
      </c>
      <c r="Q2599" s="7">
        <v>6.6529999999999996</v>
      </c>
      <c r="R2599" s="7">
        <v>6.2759999999999998</v>
      </c>
      <c r="S2599" s="7">
        <f t="shared" si="40"/>
        <v>5.9929999999999994</v>
      </c>
    </row>
    <row r="2600" spans="1:19">
      <c r="A2600" s="5" t="str">
        <f>B2600&amp;"-"&amp;COUNTIF($B$2:B2600,B2600)</f>
        <v>PARAIBA-37</v>
      </c>
      <c r="B2600" s="5" t="s">
        <v>1789</v>
      </c>
      <c r="C2600" s="5" t="s">
        <v>1814</v>
      </c>
      <c r="D2600" s="6">
        <v>-378256</v>
      </c>
      <c r="E2600" s="6">
        <v>-63711</v>
      </c>
      <c r="F2600" s="7">
        <v>5.9980000000000002</v>
      </c>
      <c r="G2600" s="7">
        <v>6.1360000000000001</v>
      </c>
      <c r="H2600" s="7">
        <v>6.1310000000000002</v>
      </c>
      <c r="I2600" s="7">
        <v>6.1040000000000001</v>
      </c>
      <c r="J2600" s="7">
        <v>5.81</v>
      </c>
      <c r="K2600" s="7">
        <v>5.3120000000000003</v>
      </c>
      <c r="L2600" s="7">
        <v>4.9930000000000003</v>
      </c>
      <c r="M2600" s="7">
        <v>5.3010000000000002</v>
      </c>
      <c r="N2600" s="7">
        <v>6.024</v>
      </c>
      <c r="O2600" s="7">
        <v>6.5529999999999999</v>
      </c>
      <c r="P2600" s="7">
        <v>6.6390000000000002</v>
      </c>
      <c r="Q2600" s="7">
        <v>6.6929999999999996</v>
      </c>
      <c r="R2600" s="7">
        <v>6.2779999999999996</v>
      </c>
      <c r="S2600" s="7">
        <f t="shared" si="40"/>
        <v>5.9978333333333333</v>
      </c>
    </row>
    <row r="2601" spans="1:19">
      <c r="A2601" s="5" t="str">
        <f>B2601&amp;"-"&amp;COUNTIF($B$2:B2601,B2601)</f>
        <v>PARAIBA-38</v>
      </c>
      <c r="B2601" s="5" t="s">
        <v>1789</v>
      </c>
      <c r="C2601" s="5" t="s">
        <v>5382</v>
      </c>
      <c r="D2601" s="6">
        <v>-349058</v>
      </c>
      <c r="E2601" s="6">
        <v>-75139</v>
      </c>
      <c r="F2601" s="7">
        <v>5.41</v>
      </c>
      <c r="G2601" s="7">
        <v>5.7460000000000004</v>
      </c>
      <c r="H2601" s="7">
        <v>6.0179999999999998</v>
      </c>
      <c r="I2601" s="7">
        <v>6.0039999999999996</v>
      </c>
      <c r="J2601" s="7">
        <v>5.306</v>
      </c>
      <c r="K2601" s="7">
        <v>4.6479999999999997</v>
      </c>
      <c r="L2601" s="7">
        <v>4.2640000000000002</v>
      </c>
      <c r="M2601" s="7">
        <v>4.3330000000000002</v>
      </c>
      <c r="N2601" s="7">
        <v>5.109</v>
      </c>
      <c r="O2601" s="7">
        <v>5.5490000000000004</v>
      </c>
      <c r="P2601" s="7">
        <v>5.8710000000000004</v>
      </c>
      <c r="Q2601" s="7">
        <v>6.0309999999999997</v>
      </c>
      <c r="R2601" s="7">
        <v>6.0449999999999999</v>
      </c>
      <c r="S2601" s="7">
        <f t="shared" si="40"/>
        <v>5.4103333333333339</v>
      </c>
    </row>
    <row r="2602" spans="1:19">
      <c r="A2602" s="5" t="str">
        <f>B2602&amp;"-"&amp;COUNTIF($B$2:B2602,B2602)</f>
        <v>PARAIBA-39</v>
      </c>
      <c r="B2602" s="5" t="s">
        <v>1789</v>
      </c>
      <c r="C2602" s="5" t="s">
        <v>1815</v>
      </c>
      <c r="D2602" s="6">
        <v>-362881</v>
      </c>
      <c r="E2602" s="6">
        <v>-74919</v>
      </c>
      <c r="F2602" s="7">
        <v>5.5609999999999999</v>
      </c>
      <c r="G2602" s="7">
        <v>5.9219999999999997</v>
      </c>
      <c r="H2602" s="7">
        <v>6.0579999999999998</v>
      </c>
      <c r="I2602" s="7">
        <v>6.0170000000000003</v>
      </c>
      <c r="J2602" s="7">
        <v>5.5010000000000003</v>
      </c>
      <c r="K2602" s="7">
        <v>4.827</v>
      </c>
      <c r="L2602" s="7">
        <v>4.2359999999999998</v>
      </c>
      <c r="M2602" s="7">
        <v>4.4749999999999996</v>
      </c>
      <c r="N2602" s="7">
        <v>5.1429999999999998</v>
      </c>
      <c r="O2602" s="7">
        <v>5.8639999999999999</v>
      </c>
      <c r="P2602" s="7">
        <v>6.1319999999999997</v>
      </c>
      <c r="Q2602" s="7">
        <v>6.3659999999999997</v>
      </c>
      <c r="R2602" s="7">
        <v>6.1920000000000002</v>
      </c>
      <c r="S2602" s="7">
        <f t="shared" si="40"/>
        <v>5.5610833333333334</v>
      </c>
    </row>
    <row r="2603" spans="1:19">
      <c r="A2603" s="5" t="str">
        <f>B2603&amp;"-"&amp;COUNTIF($B$2:B2603,B2603)</f>
        <v>PARAIBA-40</v>
      </c>
      <c r="B2603" s="5" t="s">
        <v>1789</v>
      </c>
      <c r="C2603" s="5" t="s">
        <v>1816</v>
      </c>
      <c r="D2603" s="6">
        <v>-348287</v>
      </c>
      <c r="E2603" s="6">
        <v>-69877</v>
      </c>
      <c r="F2603" s="7">
        <v>5.6189999999999998</v>
      </c>
      <c r="G2603" s="7">
        <v>5.931</v>
      </c>
      <c r="H2603" s="7">
        <v>6.069</v>
      </c>
      <c r="I2603" s="7">
        <v>6.0990000000000002</v>
      </c>
      <c r="J2603" s="7">
        <v>5.484</v>
      </c>
      <c r="K2603" s="7">
        <v>4.9189999999999996</v>
      </c>
      <c r="L2603" s="7">
        <v>4.4459999999999997</v>
      </c>
      <c r="M2603" s="7">
        <v>4.5670000000000002</v>
      </c>
      <c r="N2603" s="7">
        <v>5.3890000000000002</v>
      </c>
      <c r="O2603" s="7">
        <v>5.89</v>
      </c>
      <c r="P2603" s="7">
        <v>6.173</v>
      </c>
      <c r="Q2603" s="7">
        <v>6.3019999999999996</v>
      </c>
      <c r="R2603" s="7">
        <v>6.1619999999999999</v>
      </c>
      <c r="S2603" s="7">
        <f t="shared" si="40"/>
        <v>5.619250000000001</v>
      </c>
    </row>
    <row r="2604" spans="1:19">
      <c r="A2604" s="5" t="str">
        <f>B2604&amp;"-"&amp;COUNTIF($B$2:B2604,B2604)</f>
        <v>PARAIBA-41</v>
      </c>
      <c r="B2604" s="5" t="s">
        <v>1789</v>
      </c>
      <c r="C2604" s="5" t="s">
        <v>1817</v>
      </c>
      <c r="D2604" s="6">
        <v>-386786</v>
      </c>
      <c r="E2604" s="6">
        <v>-69189</v>
      </c>
      <c r="F2604" s="7">
        <v>6.0030000000000001</v>
      </c>
      <c r="G2604" s="7">
        <v>6.117</v>
      </c>
      <c r="H2604" s="7">
        <v>6.1079999999999997</v>
      </c>
      <c r="I2604" s="7">
        <v>6.0529999999999999</v>
      </c>
      <c r="J2604" s="7">
        <v>5.7729999999999997</v>
      </c>
      <c r="K2604" s="7">
        <v>5.3079999999999998</v>
      </c>
      <c r="L2604" s="7">
        <v>5.0629999999999997</v>
      </c>
      <c r="M2604" s="7">
        <v>5.327</v>
      </c>
      <c r="N2604" s="7">
        <v>6.0549999999999997</v>
      </c>
      <c r="O2604" s="7">
        <v>6.5069999999999997</v>
      </c>
      <c r="P2604" s="7">
        <v>6.5839999999999996</v>
      </c>
      <c r="Q2604" s="7">
        <v>6.766</v>
      </c>
      <c r="R2604" s="7">
        <v>6.3760000000000003</v>
      </c>
      <c r="S2604" s="7">
        <f t="shared" si="40"/>
        <v>6.0030833333333335</v>
      </c>
    </row>
    <row r="2605" spans="1:19">
      <c r="A2605" s="5" t="str">
        <f>B2605&amp;"-"&amp;COUNTIF($B$2:B2605,B2605)</f>
        <v>PARAIBA-42</v>
      </c>
      <c r="B2605" s="5" t="s">
        <v>1789</v>
      </c>
      <c r="C2605" s="5" t="s">
        <v>1818</v>
      </c>
      <c r="D2605" s="6">
        <v>-371566</v>
      </c>
      <c r="E2605" s="6">
        <v>-71288</v>
      </c>
      <c r="F2605" s="7">
        <v>5.95</v>
      </c>
      <c r="G2605" s="7">
        <v>6.2560000000000002</v>
      </c>
      <c r="H2605" s="7">
        <v>6.2709999999999999</v>
      </c>
      <c r="I2605" s="7">
        <v>6.2569999999999997</v>
      </c>
      <c r="J2605" s="7">
        <v>5.8940000000000001</v>
      </c>
      <c r="K2605" s="7">
        <v>5.1710000000000003</v>
      </c>
      <c r="L2605" s="7">
        <v>4.6920000000000002</v>
      </c>
      <c r="M2605" s="7">
        <v>5.0229999999999997</v>
      </c>
      <c r="N2605" s="7">
        <v>5.806</v>
      </c>
      <c r="O2605" s="7">
        <v>6.4509999999999996</v>
      </c>
      <c r="P2605" s="7">
        <v>6.593</v>
      </c>
      <c r="Q2605" s="7">
        <v>6.657</v>
      </c>
      <c r="R2605" s="7">
        <v>6.3280000000000003</v>
      </c>
      <c r="S2605" s="7">
        <f t="shared" si="40"/>
        <v>5.9499166666666659</v>
      </c>
    </row>
    <row r="2606" spans="1:19">
      <c r="A2606" s="5" t="str">
        <f>B2606&amp;"-"&amp;COUNTIF($B$2:B2606,B2606)</f>
        <v>PARAIBA-43</v>
      </c>
      <c r="B2606" s="5" t="s">
        <v>1789</v>
      </c>
      <c r="C2606" s="5" t="s">
        <v>1819</v>
      </c>
      <c r="D2606" s="6">
        <v>-357935</v>
      </c>
      <c r="E2606" s="6">
        <v>-66399</v>
      </c>
      <c r="F2606" s="7">
        <v>5.3259999999999996</v>
      </c>
      <c r="G2606" s="7">
        <v>5.6820000000000004</v>
      </c>
      <c r="H2606" s="7">
        <v>5.7160000000000002</v>
      </c>
      <c r="I2606" s="7">
        <v>5.8129999999999997</v>
      </c>
      <c r="J2606" s="7">
        <v>5.2770000000000001</v>
      </c>
      <c r="K2606" s="7">
        <v>4.7370000000000001</v>
      </c>
      <c r="L2606" s="7">
        <v>4.2009999999999996</v>
      </c>
      <c r="M2606" s="7">
        <v>4.3559999999999999</v>
      </c>
      <c r="N2606" s="7">
        <v>5.069</v>
      </c>
      <c r="O2606" s="7">
        <v>5.55</v>
      </c>
      <c r="P2606" s="7">
        <v>5.798</v>
      </c>
      <c r="Q2606" s="7">
        <v>5.98</v>
      </c>
      <c r="R2606" s="7">
        <v>5.7329999999999997</v>
      </c>
      <c r="S2606" s="7">
        <f t="shared" si="40"/>
        <v>5.3259999999999996</v>
      </c>
    </row>
    <row r="2607" spans="1:19">
      <c r="A2607" s="5" t="str">
        <f>B2607&amp;"-"&amp;COUNTIF($B$2:B2607,B2607)</f>
        <v>PARAIBA-44</v>
      </c>
      <c r="B2607" s="5" t="s">
        <v>1789</v>
      </c>
      <c r="C2607" s="5" t="s">
        <v>1820</v>
      </c>
      <c r="D2607" s="6">
        <v>-370574</v>
      </c>
      <c r="E2607" s="6">
        <v>-72116</v>
      </c>
      <c r="F2607" s="7">
        <v>5.81</v>
      </c>
      <c r="G2607" s="7">
        <v>6.06</v>
      </c>
      <c r="H2607" s="7">
        <v>6.0110000000000001</v>
      </c>
      <c r="I2607" s="7">
        <v>6.0389999999999997</v>
      </c>
      <c r="J2607" s="7">
        <v>5.681</v>
      </c>
      <c r="K2607" s="7">
        <v>5.048</v>
      </c>
      <c r="L2607" s="7">
        <v>4.59</v>
      </c>
      <c r="M2607" s="7">
        <v>4.9000000000000004</v>
      </c>
      <c r="N2607" s="7">
        <v>5.7110000000000003</v>
      </c>
      <c r="O2607" s="7">
        <v>6.3360000000000003</v>
      </c>
      <c r="P2607" s="7">
        <v>6.5149999999999997</v>
      </c>
      <c r="Q2607" s="7">
        <v>6.5949999999999998</v>
      </c>
      <c r="R2607" s="7">
        <v>6.234</v>
      </c>
      <c r="S2607" s="7">
        <f t="shared" si="40"/>
        <v>5.81</v>
      </c>
    </row>
    <row r="2608" spans="1:19">
      <c r="A2608" s="5" t="str">
        <f>B2608&amp;"-"&amp;COUNTIF($B$2:B2608,B2608)</f>
        <v>PARAIBA-45</v>
      </c>
      <c r="B2608" s="5" t="s">
        <v>1789</v>
      </c>
      <c r="C2608" s="5" t="s">
        <v>4700</v>
      </c>
      <c r="D2608" s="6">
        <v>-354584</v>
      </c>
      <c r="E2608" s="6">
        <v>-66216</v>
      </c>
      <c r="F2608" s="7">
        <v>5.4560000000000004</v>
      </c>
      <c r="G2608" s="7">
        <v>5.7519999999999998</v>
      </c>
      <c r="H2608" s="7">
        <v>5.7830000000000004</v>
      </c>
      <c r="I2608" s="7">
        <v>5.8789999999999996</v>
      </c>
      <c r="J2608" s="7">
        <v>5.351</v>
      </c>
      <c r="K2608" s="7">
        <v>4.851</v>
      </c>
      <c r="L2608" s="7">
        <v>4.4130000000000003</v>
      </c>
      <c r="M2608" s="7">
        <v>4.5810000000000004</v>
      </c>
      <c r="N2608" s="7">
        <v>5.2690000000000001</v>
      </c>
      <c r="O2608" s="7">
        <v>5.7149999999999999</v>
      </c>
      <c r="P2608" s="7">
        <v>5.9290000000000003</v>
      </c>
      <c r="Q2608" s="7">
        <v>6.125</v>
      </c>
      <c r="R2608" s="7">
        <v>5.8220000000000001</v>
      </c>
      <c r="S2608" s="7">
        <f t="shared" si="40"/>
        <v>5.4558333333333335</v>
      </c>
    </row>
    <row r="2609" spans="1:19">
      <c r="A2609" s="5" t="str">
        <f>B2609&amp;"-"&amp;COUNTIF($B$2:B2609,B2609)</f>
        <v>PARAIBA-46</v>
      </c>
      <c r="B2609" s="5" t="s">
        <v>1789</v>
      </c>
      <c r="C2609" s="5" t="s">
        <v>1821</v>
      </c>
      <c r="D2609" s="6">
        <v>-38558</v>
      </c>
      <c r="E2609" s="6">
        <v>-68805</v>
      </c>
      <c r="F2609" s="7">
        <v>6.0220000000000002</v>
      </c>
      <c r="G2609" s="7">
        <v>6.173</v>
      </c>
      <c r="H2609" s="7">
        <v>6.14</v>
      </c>
      <c r="I2609" s="7">
        <v>6.0869999999999997</v>
      </c>
      <c r="J2609" s="7">
        <v>5.8239999999999998</v>
      </c>
      <c r="K2609" s="7">
        <v>5.3040000000000003</v>
      </c>
      <c r="L2609" s="7">
        <v>5.0469999999999997</v>
      </c>
      <c r="M2609" s="7">
        <v>5.3</v>
      </c>
      <c r="N2609" s="7">
        <v>6.0549999999999997</v>
      </c>
      <c r="O2609" s="7">
        <v>6.5119999999999996</v>
      </c>
      <c r="P2609" s="7">
        <v>6.6180000000000003</v>
      </c>
      <c r="Q2609" s="7">
        <v>6.7779999999999996</v>
      </c>
      <c r="R2609" s="7">
        <v>6.4210000000000003</v>
      </c>
      <c r="S2609" s="7">
        <f t="shared" si="40"/>
        <v>6.0215833333333331</v>
      </c>
    </row>
    <row r="2610" spans="1:19">
      <c r="A2610" s="5" t="str">
        <f>B2610&amp;"-"&amp;COUNTIF($B$2:B2610,B2610)</f>
        <v>PARAIBA-47</v>
      </c>
      <c r="B2610" s="5" t="s">
        <v>1789</v>
      </c>
      <c r="C2610" s="5" t="s">
        <v>1822</v>
      </c>
      <c r="D2610" s="6">
        <v>-378012</v>
      </c>
      <c r="E2610" s="6">
        <v>-69606</v>
      </c>
      <c r="F2610" s="7">
        <v>5.9790000000000001</v>
      </c>
      <c r="G2610" s="7">
        <v>6.1950000000000003</v>
      </c>
      <c r="H2610" s="7">
        <v>6.1879999999999997</v>
      </c>
      <c r="I2610" s="7">
        <v>6.181</v>
      </c>
      <c r="J2610" s="7">
        <v>5.8929999999999998</v>
      </c>
      <c r="K2610" s="7">
        <v>5.242</v>
      </c>
      <c r="L2610" s="7">
        <v>4.8620000000000001</v>
      </c>
      <c r="M2610" s="7">
        <v>5.1050000000000004</v>
      </c>
      <c r="N2610" s="7">
        <v>5.9020000000000001</v>
      </c>
      <c r="O2610" s="7">
        <v>6.4710000000000001</v>
      </c>
      <c r="P2610" s="7">
        <v>6.61</v>
      </c>
      <c r="Q2610" s="7">
        <v>6.7649999999999997</v>
      </c>
      <c r="R2610" s="7">
        <v>6.3390000000000004</v>
      </c>
      <c r="S2610" s="7">
        <f t="shared" si="40"/>
        <v>5.9794166666666664</v>
      </c>
    </row>
    <row r="2611" spans="1:19">
      <c r="A2611" s="5" t="str">
        <f>B2611&amp;"-"&amp;COUNTIF($B$2:B2611,B2611)</f>
        <v>PARAIBA-48</v>
      </c>
      <c r="B2611" s="5" t="s">
        <v>1789</v>
      </c>
      <c r="C2611" s="5" t="s">
        <v>4059</v>
      </c>
      <c r="D2611" s="6">
        <v>-35325</v>
      </c>
      <c r="E2611" s="6">
        <v>-71033</v>
      </c>
      <c r="F2611" s="7">
        <v>5.3780000000000001</v>
      </c>
      <c r="G2611" s="7">
        <v>5.7009999999999996</v>
      </c>
      <c r="H2611" s="7">
        <v>5.7539999999999996</v>
      </c>
      <c r="I2611" s="7">
        <v>5.8810000000000002</v>
      </c>
      <c r="J2611" s="7">
        <v>5.3209999999999997</v>
      </c>
      <c r="K2611" s="7">
        <v>4.6630000000000003</v>
      </c>
      <c r="L2611" s="7">
        <v>4.2709999999999999</v>
      </c>
      <c r="M2611" s="7">
        <v>4.3579999999999997</v>
      </c>
      <c r="N2611" s="7">
        <v>5.1550000000000002</v>
      </c>
      <c r="O2611" s="7">
        <v>5.556</v>
      </c>
      <c r="P2611" s="7">
        <v>5.8289999999999997</v>
      </c>
      <c r="Q2611" s="7">
        <v>6.0990000000000002</v>
      </c>
      <c r="R2611" s="7">
        <v>5.9429999999999996</v>
      </c>
      <c r="S2611" s="7">
        <f t="shared" si="40"/>
        <v>5.3775833333333329</v>
      </c>
    </row>
    <row r="2612" spans="1:19">
      <c r="A2612" s="5" t="str">
        <f>B2612&amp;"-"&amp;COUNTIF($B$2:B2612,B2612)</f>
        <v>PARAIBA-49</v>
      </c>
      <c r="B2612" s="5" t="s">
        <v>1789</v>
      </c>
      <c r="C2612" s="5" t="s">
        <v>4853</v>
      </c>
      <c r="D2612" s="6">
        <v>-368245</v>
      </c>
      <c r="E2612" s="6">
        <v>-78855</v>
      </c>
      <c r="F2612" s="7">
        <v>5.7279999999999998</v>
      </c>
      <c r="G2612" s="7">
        <v>6.2</v>
      </c>
      <c r="H2612" s="7">
        <v>6.1040000000000001</v>
      </c>
      <c r="I2612" s="7">
        <v>6.0970000000000004</v>
      </c>
      <c r="J2612" s="7">
        <v>5.673</v>
      </c>
      <c r="K2612" s="7">
        <v>4.8490000000000002</v>
      </c>
      <c r="L2612" s="7">
        <v>4.3949999999999996</v>
      </c>
      <c r="M2612" s="7">
        <v>4.4989999999999997</v>
      </c>
      <c r="N2612" s="7">
        <v>5.2729999999999997</v>
      </c>
      <c r="O2612" s="7">
        <v>6.1680000000000001</v>
      </c>
      <c r="P2612" s="7">
        <v>6.43</v>
      </c>
      <c r="Q2612" s="7">
        <v>6.6529999999999996</v>
      </c>
      <c r="R2612" s="7">
        <v>6.39</v>
      </c>
      <c r="S2612" s="7">
        <f t="shared" si="40"/>
        <v>5.7275833333333326</v>
      </c>
    </row>
    <row r="2613" spans="1:19">
      <c r="A2613" s="5" t="str">
        <f>B2613&amp;"-"&amp;COUNTIF($B$2:B2613,B2613)</f>
        <v>PARAIBA-50</v>
      </c>
      <c r="B2613" s="5" t="s">
        <v>1789</v>
      </c>
      <c r="C2613" s="5" t="s">
        <v>1823</v>
      </c>
      <c r="D2613" s="6">
        <v>-358734</v>
      </c>
      <c r="E2613" s="6">
        <v>-72224</v>
      </c>
      <c r="F2613" s="7">
        <v>5.2469999999999999</v>
      </c>
      <c r="G2613" s="7">
        <v>5.5460000000000003</v>
      </c>
      <c r="H2613" s="7">
        <v>5.6689999999999996</v>
      </c>
      <c r="I2613" s="7">
        <v>5.7670000000000003</v>
      </c>
      <c r="J2613" s="7">
        <v>5.2309999999999999</v>
      </c>
      <c r="K2613" s="7">
        <v>4.6260000000000003</v>
      </c>
      <c r="L2613" s="7">
        <v>4.0629999999999997</v>
      </c>
      <c r="M2613" s="7">
        <v>4.1639999999999997</v>
      </c>
      <c r="N2613" s="7">
        <v>4.8979999999999997</v>
      </c>
      <c r="O2613" s="7">
        <v>5.4909999999999997</v>
      </c>
      <c r="P2613" s="7">
        <v>5.7510000000000003</v>
      </c>
      <c r="Q2613" s="7">
        <v>5.9939999999999998</v>
      </c>
      <c r="R2613" s="7">
        <v>5.7640000000000002</v>
      </c>
      <c r="S2613" s="7">
        <f t="shared" si="40"/>
        <v>5.2469999999999999</v>
      </c>
    </row>
    <row r="2614" spans="1:19">
      <c r="A2614" s="5" t="str">
        <f>B2614&amp;"-"&amp;COUNTIF($B$2:B2614,B2614)</f>
        <v>PARAIBA-51</v>
      </c>
      <c r="B2614" s="5" t="s">
        <v>1789</v>
      </c>
      <c r="C2614" s="5" t="s">
        <v>1824</v>
      </c>
      <c r="D2614" s="6">
        <v>-351669</v>
      </c>
      <c r="E2614" s="6">
        <v>-69202</v>
      </c>
      <c r="F2614" s="7">
        <v>5.4160000000000004</v>
      </c>
      <c r="G2614" s="7">
        <v>5.78</v>
      </c>
      <c r="H2614" s="7">
        <v>5.8019999999999996</v>
      </c>
      <c r="I2614" s="7">
        <v>5.9169999999999998</v>
      </c>
      <c r="J2614" s="7">
        <v>5.3029999999999999</v>
      </c>
      <c r="K2614" s="7">
        <v>4.6879999999999997</v>
      </c>
      <c r="L2614" s="7">
        <v>4.2960000000000003</v>
      </c>
      <c r="M2614" s="7">
        <v>4.3620000000000001</v>
      </c>
      <c r="N2614" s="7">
        <v>5.1360000000000001</v>
      </c>
      <c r="O2614" s="7">
        <v>5.5739999999999998</v>
      </c>
      <c r="P2614" s="7">
        <v>5.86</v>
      </c>
      <c r="Q2614" s="7">
        <v>6.2160000000000002</v>
      </c>
      <c r="R2614" s="7">
        <v>6.0579999999999998</v>
      </c>
      <c r="S2614" s="7">
        <f t="shared" si="40"/>
        <v>5.4160000000000004</v>
      </c>
    </row>
    <row r="2615" spans="1:19">
      <c r="A2615" s="5" t="str">
        <f>B2615&amp;"-"&amp;COUNTIF($B$2:B2615,B2615)</f>
        <v>PARAIBA-52</v>
      </c>
      <c r="B2615" s="5" t="s">
        <v>1789</v>
      </c>
      <c r="C2615" s="5" t="s">
        <v>4854</v>
      </c>
      <c r="D2615" s="6">
        <v>-364935</v>
      </c>
      <c r="E2615" s="6">
        <v>-77283</v>
      </c>
      <c r="F2615" s="7">
        <v>5.5330000000000004</v>
      </c>
      <c r="G2615" s="7">
        <v>5.9690000000000003</v>
      </c>
      <c r="H2615" s="7">
        <v>5.8869999999999996</v>
      </c>
      <c r="I2615" s="7">
        <v>5.9489999999999998</v>
      </c>
      <c r="J2615" s="7">
        <v>5.4740000000000002</v>
      </c>
      <c r="K2615" s="7">
        <v>4.7590000000000003</v>
      </c>
      <c r="L2615" s="7">
        <v>4.2489999999999997</v>
      </c>
      <c r="M2615" s="7">
        <v>4.4329999999999998</v>
      </c>
      <c r="N2615" s="7">
        <v>5.1609999999999996</v>
      </c>
      <c r="O2615" s="7">
        <v>5.867</v>
      </c>
      <c r="P2615" s="7">
        <v>6.1660000000000004</v>
      </c>
      <c r="Q2615" s="7">
        <v>6.3710000000000004</v>
      </c>
      <c r="R2615" s="7">
        <v>6.1189999999999998</v>
      </c>
      <c r="S2615" s="7">
        <f t="shared" si="40"/>
        <v>5.5336666666666661</v>
      </c>
    </row>
    <row r="2616" spans="1:19">
      <c r="A2616" s="5" t="str">
        <f>B2616&amp;"-"&amp;COUNTIF($B$2:B2616,B2616)</f>
        <v>PARAIBA-53</v>
      </c>
      <c r="B2616" s="5" t="s">
        <v>1789</v>
      </c>
      <c r="C2616" s="5" t="s">
        <v>1825</v>
      </c>
      <c r="D2616" s="6">
        <v>-38346</v>
      </c>
      <c r="E2616" s="6">
        <v>-70381</v>
      </c>
      <c r="F2616" s="7">
        <v>6.0389999999999997</v>
      </c>
      <c r="G2616" s="7">
        <v>6.1470000000000002</v>
      </c>
      <c r="H2616" s="7">
        <v>6.1760000000000002</v>
      </c>
      <c r="I2616" s="7">
        <v>6.1050000000000004</v>
      </c>
      <c r="J2616" s="7">
        <v>5.8410000000000002</v>
      </c>
      <c r="K2616" s="7">
        <v>5.3159999999999998</v>
      </c>
      <c r="L2616" s="7">
        <v>5.0279999999999996</v>
      </c>
      <c r="M2616" s="7">
        <v>5.3380000000000001</v>
      </c>
      <c r="N2616" s="7">
        <v>6.0579999999999998</v>
      </c>
      <c r="O2616" s="7">
        <v>6.5780000000000003</v>
      </c>
      <c r="P2616" s="7">
        <v>6.6550000000000002</v>
      </c>
      <c r="Q2616" s="7">
        <v>6.8319999999999999</v>
      </c>
      <c r="R2616" s="7">
        <v>6.3890000000000002</v>
      </c>
      <c r="S2616" s="7">
        <f t="shared" si="40"/>
        <v>6.0385833333333325</v>
      </c>
    </row>
    <row r="2617" spans="1:19">
      <c r="A2617" s="5" t="str">
        <f>B2617&amp;"-"&amp;COUNTIF($B$2:B2617,B2617)</f>
        <v>PARAIBA-54</v>
      </c>
      <c r="B2617" s="5" t="s">
        <v>1789</v>
      </c>
      <c r="C2617" s="5" t="s">
        <v>1826</v>
      </c>
      <c r="D2617" s="6">
        <v>-358182</v>
      </c>
      <c r="E2617" s="5" t="s">
        <v>1827</v>
      </c>
      <c r="F2617" s="7">
        <v>5.4390000000000001</v>
      </c>
      <c r="G2617" s="7">
        <v>5.7830000000000004</v>
      </c>
      <c r="H2617" s="7">
        <v>5.7830000000000004</v>
      </c>
      <c r="I2617" s="7">
        <v>5.8689999999999998</v>
      </c>
      <c r="J2617" s="7">
        <v>5.3440000000000003</v>
      </c>
      <c r="K2617" s="7">
        <v>4.7720000000000002</v>
      </c>
      <c r="L2617" s="7">
        <v>4.3150000000000004</v>
      </c>
      <c r="M2617" s="7">
        <v>4.476</v>
      </c>
      <c r="N2617" s="7">
        <v>5.2220000000000004</v>
      </c>
      <c r="O2617" s="7">
        <v>5.681</v>
      </c>
      <c r="P2617" s="7">
        <v>5.94</v>
      </c>
      <c r="Q2617" s="7">
        <v>6.1639999999999997</v>
      </c>
      <c r="R2617" s="7">
        <v>5.9139999999999997</v>
      </c>
      <c r="S2617" s="7">
        <f t="shared" si="40"/>
        <v>5.4385833333333338</v>
      </c>
    </row>
    <row r="2618" spans="1:19">
      <c r="A2618" s="5" t="str">
        <f>B2618&amp;"-"&amp;COUNTIF($B$2:B2618,B2618)</f>
        <v>PARAIBA-55</v>
      </c>
      <c r="B2618" s="5" t="s">
        <v>1789</v>
      </c>
      <c r="C2618" s="5" t="s">
        <v>1828</v>
      </c>
      <c r="D2618" s="6">
        <v>-376065</v>
      </c>
      <c r="E2618" s="6">
        <v>-71256</v>
      </c>
      <c r="F2618" s="7">
        <v>5.9829999999999997</v>
      </c>
      <c r="G2618" s="7">
        <v>6.2169999999999996</v>
      </c>
      <c r="H2618" s="7">
        <v>6.1849999999999996</v>
      </c>
      <c r="I2618" s="7">
        <v>6.3380000000000001</v>
      </c>
      <c r="J2618" s="7">
        <v>5.8810000000000002</v>
      </c>
      <c r="K2618" s="7">
        <v>5.19</v>
      </c>
      <c r="L2618" s="7">
        <v>4.7960000000000003</v>
      </c>
      <c r="M2618" s="7">
        <v>5.0369999999999999</v>
      </c>
      <c r="N2618" s="7">
        <v>5.8090000000000002</v>
      </c>
      <c r="O2618" s="7">
        <v>6.4870000000000001</v>
      </c>
      <c r="P2618" s="7">
        <v>6.6340000000000003</v>
      </c>
      <c r="Q2618" s="7">
        <v>6.734</v>
      </c>
      <c r="R2618" s="7">
        <v>6.484</v>
      </c>
      <c r="S2618" s="7">
        <f t="shared" si="40"/>
        <v>5.9826666666666659</v>
      </c>
    </row>
    <row r="2619" spans="1:19">
      <c r="A2619" s="5" t="str">
        <f>B2619&amp;"-"&amp;COUNTIF($B$2:B2619,B2619)</f>
        <v>PARAIBA-56</v>
      </c>
      <c r="B2619" s="5" t="s">
        <v>1789</v>
      </c>
      <c r="C2619" s="5" t="s">
        <v>4387</v>
      </c>
      <c r="D2619" s="6">
        <v>-377473</v>
      </c>
      <c r="E2619" s="6">
        <v>-6341</v>
      </c>
      <c r="F2619" s="7">
        <v>5.95</v>
      </c>
      <c r="G2619" s="7">
        <v>6.0430000000000001</v>
      </c>
      <c r="H2619" s="7">
        <v>6.0890000000000004</v>
      </c>
      <c r="I2619" s="7">
        <v>6.0659999999999998</v>
      </c>
      <c r="J2619" s="7">
        <v>5.7350000000000003</v>
      </c>
      <c r="K2619" s="7">
        <v>5.2990000000000004</v>
      </c>
      <c r="L2619" s="7">
        <v>4.931</v>
      </c>
      <c r="M2619" s="7">
        <v>5.2939999999999996</v>
      </c>
      <c r="N2619" s="7">
        <v>6.0289999999999999</v>
      </c>
      <c r="O2619" s="7">
        <v>6.5410000000000004</v>
      </c>
      <c r="P2619" s="7">
        <v>6.5960000000000001</v>
      </c>
      <c r="Q2619" s="7">
        <v>6.5730000000000004</v>
      </c>
      <c r="R2619" s="7">
        <v>6.1980000000000004</v>
      </c>
      <c r="S2619" s="7">
        <f t="shared" si="40"/>
        <v>5.9495000000000005</v>
      </c>
    </row>
    <row r="2620" spans="1:19">
      <c r="A2620" s="5" t="str">
        <f>B2620&amp;"-"&amp;COUNTIF($B$2:B2620,B2620)</f>
        <v>PARAIBA-57</v>
      </c>
      <c r="B2620" s="5" t="s">
        <v>1789</v>
      </c>
      <c r="C2620" s="5" t="s">
        <v>4388</v>
      </c>
      <c r="D2620" s="6">
        <v>-360209</v>
      </c>
      <c r="E2620" s="5" t="s">
        <v>1829</v>
      </c>
      <c r="F2620" s="7">
        <v>5.4169999999999998</v>
      </c>
      <c r="G2620" s="7">
        <v>5.859</v>
      </c>
      <c r="H2620" s="7">
        <v>5.8120000000000003</v>
      </c>
      <c r="I2620" s="7">
        <v>5.85</v>
      </c>
      <c r="J2620" s="7">
        <v>5.3390000000000004</v>
      </c>
      <c r="K2620" s="7">
        <v>4.6900000000000004</v>
      </c>
      <c r="L2620" s="7">
        <v>4.165</v>
      </c>
      <c r="M2620" s="7">
        <v>4.3739999999999997</v>
      </c>
      <c r="N2620" s="7">
        <v>5.0359999999999996</v>
      </c>
      <c r="O2620" s="7">
        <v>5.681</v>
      </c>
      <c r="P2620" s="7">
        <v>5.9729999999999999</v>
      </c>
      <c r="Q2620" s="7">
        <v>6.2169999999999996</v>
      </c>
      <c r="R2620" s="7">
        <v>6.0030000000000001</v>
      </c>
      <c r="S2620" s="7">
        <f t="shared" si="40"/>
        <v>5.4165833333333326</v>
      </c>
    </row>
    <row r="2621" spans="1:19">
      <c r="A2621" s="5" t="str">
        <f>B2621&amp;"-"&amp;COUNTIF($B$2:B2621,B2621)</f>
        <v>PARAIBA-58</v>
      </c>
      <c r="B2621" s="5" t="s">
        <v>1789</v>
      </c>
      <c r="C2621" s="5" t="s">
        <v>4701</v>
      </c>
      <c r="D2621" s="6">
        <v>-385101</v>
      </c>
      <c r="E2621" s="6">
        <v>-75563</v>
      </c>
      <c r="F2621" s="7">
        <v>5.8970000000000002</v>
      </c>
      <c r="G2621" s="7">
        <v>6.2119999999999997</v>
      </c>
      <c r="H2621" s="7">
        <v>6.0629999999999997</v>
      </c>
      <c r="I2621" s="7">
        <v>6.0170000000000003</v>
      </c>
      <c r="J2621" s="7">
        <v>5.6879999999999997</v>
      </c>
      <c r="K2621" s="7">
        <v>5.069</v>
      </c>
      <c r="L2621" s="7">
        <v>4.7030000000000003</v>
      </c>
      <c r="M2621" s="7">
        <v>4.9379999999999997</v>
      </c>
      <c r="N2621" s="7">
        <v>5.7759999999999998</v>
      </c>
      <c r="O2621" s="7">
        <v>6.53</v>
      </c>
      <c r="P2621" s="7">
        <v>6.556</v>
      </c>
      <c r="Q2621" s="7">
        <v>6.78</v>
      </c>
      <c r="R2621" s="7">
        <v>6.4370000000000003</v>
      </c>
      <c r="S2621" s="7">
        <f t="shared" si="40"/>
        <v>5.8974166666666656</v>
      </c>
    </row>
    <row r="2622" spans="1:19">
      <c r="A2622" s="5" t="str">
        <f>B2622&amp;"-"&amp;COUNTIF($B$2:B2622,B2622)</f>
        <v>PARAIBA-59</v>
      </c>
      <c r="B2622" s="5" t="s">
        <v>1789</v>
      </c>
      <c r="C2622" s="5" t="s">
        <v>1830</v>
      </c>
      <c r="D2622" s="6">
        <v>-376063</v>
      </c>
      <c r="E2622" s="6">
        <v>-68987</v>
      </c>
      <c r="F2622" s="7">
        <v>6.0170000000000003</v>
      </c>
      <c r="G2622" s="7">
        <v>6.2110000000000003</v>
      </c>
      <c r="H2622" s="7">
        <v>6.2789999999999999</v>
      </c>
      <c r="I2622" s="7">
        <v>6.3369999999999997</v>
      </c>
      <c r="J2622" s="7">
        <v>5.92</v>
      </c>
      <c r="K2622" s="7">
        <v>5.2709999999999999</v>
      </c>
      <c r="L2622" s="7">
        <v>4.875</v>
      </c>
      <c r="M2622" s="7">
        <v>5.0549999999999997</v>
      </c>
      <c r="N2622" s="7">
        <v>5.8920000000000003</v>
      </c>
      <c r="O2622" s="7">
        <v>6.5060000000000002</v>
      </c>
      <c r="P2622" s="7">
        <v>6.6710000000000003</v>
      </c>
      <c r="Q2622" s="7">
        <v>6.734</v>
      </c>
      <c r="R2622" s="7">
        <v>6.46</v>
      </c>
      <c r="S2622" s="7">
        <f t="shared" si="40"/>
        <v>6.0175833333333335</v>
      </c>
    </row>
    <row r="2623" spans="1:19">
      <c r="A2623" s="5" t="str">
        <f>B2623&amp;"-"&amp;COUNTIF($B$2:B2623,B2623)</f>
        <v>PARAIBA-60</v>
      </c>
      <c r="B2623" s="5" t="s">
        <v>1789</v>
      </c>
      <c r="C2623" s="5" t="s">
        <v>370</v>
      </c>
      <c r="D2623" s="6">
        <v>-349002</v>
      </c>
      <c r="E2623" s="6">
        <v>-72579</v>
      </c>
      <c r="F2623" s="7">
        <v>5.4489999999999998</v>
      </c>
      <c r="G2623" s="7">
        <v>5.8120000000000003</v>
      </c>
      <c r="H2623" s="7">
        <v>5.992</v>
      </c>
      <c r="I2623" s="7">
        <v>6.0190000000000001</v>
      </c>
      <c r="J2623" s="7">
        <v>5.3129999999999997</v>
      </c>
      <c r="K2623" s="7">
        <v>4.734</v>
      </c>
      <c r="L2623" s="7">
        <v>4.32</v>
      </c>
      <c r="M2623" s="7">
        <v>4.3849999999999998</v>
      </c>
      <c r="N2623" s="7">
        <v>5.19</v>
      </c>
      <c r="O2623" s="7">
        <v>5.5940000000000003</v>
      </c>
      <c r="P2623" s="7">
        <v>5.92</v>
      </c>
      <c r="Q2623" s="7">
        <v>6.0590000000000002</v>
      </c>
      <c r="R2623" s="7">
        <v>6.048</v>
      </c>
      <c r="S2623" s="7">
        <f t="shared" si="40"/>
        <v>5.448833333333333</v>
      </c>
    </row>
    <row r="2624" spans="1:19">
      <c r="A2624" s="5" t="str">
        <f>B2624&amp;"-"&amp;COUNTIF($B$2:B2624,B2624)</f>
        <v>PARAIBA-61</v>
      </c>
      <c r="B2624" s="5" t="s">
        <v>1789</v>
      </c>
      <c r="C2624" s="5" t="s">
        <v>1831</v>
      </c>
      <c r="D2624" s="6">
        <v>-366584</v>
      </c>
      <c r="E2624" s="6">
        <v>-77912</v>
      </c>
      <c r="F2624" s="7">
        <v>5.657</v>
      </c>
      <c r="G2624" s="7">
        <v>6.1369999999999996</v>
      </c>
      <c r="H2624" s="7">
        <v>6.0119999999999996</v>
      </c>
      <c r="I2624" s="7">
        <v>6.0529999999999999</v>
      </c>
      <c r="J2624" s="7">
        <v>5.6310000000000002</v>
      </c>
      <c r="K2624" s="7">
        <v>4.8380000000000001</v>
      </c>
      <c r="L2624" s="7">
        <v>4.359</v>
      </c>
      <c r="M2624" s="7">
        <v>4.4790000000000001</v>
      </c>
      <c r="N2624" s="7">
        <v>5.2119999999999997</v>
      </c>
      <c r="O2624" s="7">
        <v>6.0279999999999996</v>
      </c>
      <c r="P2624" s="7">
        <v>6.3250000000000002</v>
      </c>
      <c r="Q2624" s="7">
        <v>6.5350000000000001</v>
      </c>
      <c r="R2624" s="7">
        <v>6.274</v>
      </c>
      <c r="S2624" s="7">
        <f t="shared" si="40"/>
        <v>5.6569166666666675</v>
      </c>
    </row>
    <row r="2625" spans="1:19">
      <c r="A2625" s="5" t="str">
        <f>B2625&amp;"-"&amp;COUNTIF($B$2:B2625,B2625)</f>
        <v>PARAIBA-62</v>
      </c>
      <c r="B2625" s="5" t="s">
        <v>1789</v>
      </c>
      <c r="C2625" s="5" t="s">
        <v>1832</v>
      </c>
      <c r="D2625" s="6">
        <v>-379349</v>
      </c>
      <c r="E2625" s="6">
        <v>-70075</v>
      </c>
      <c r="F2625" s="7">
        <v>6.0129999999999999</v>
      </c>
      <c r="G2625" s="7">
        <v>6.2409999999999997</v>
      </c>
      <c r="H2625" s="7">
        <v>6.23</v>
      </c>
      <c r="I2625" s="7">
        <v>6.2270000000000003</v>
      </c>
      <c r="J2625" s="7">
        <v>5.9160000000000004</v>
      </c>
      <c r="K2625" s="7">
        <v>5.3280000000000003</v>
      </c>
      <c r="L2625" s="7">
        <v>4.9089999999999998</v>
      </c>
      <c r="M2625" s="7">
        <v>5.1769999999999996</v>
      </c>
      <c r="N2625" s="7">
        <v>5.9859999999999998</v>
      </c>
      <c r="O2625" s="7">
        <v>6.4420000000000002</v>
      </c>
      <c r="P2625" s="7">
        <v>6.5780000000000003</v>
      </c>
      <c r="Q2625" s="7">
        <v>6.734</v>
      </c>
      <c r="R2625" s="7">
        <v>6.3849999999999998</v>
      </c>
      <c r="S2625" s="7">
        <f t="shared" si="40"/>
        <v>6.0127500000000005</v>
      </c>
    </row>
    <row r="2626" spans="1:19">
      <c r="A2626" s="5" t="str">
        <f>B2626&amp;"-"&amp;COUNTIF($B$2:B2626,B2626)</f>
        <v>PARAIBA-63</v>
      </c>
      <c r="B2626" s="5" t="s">
        <v>1789</v>
      </c>
      <c r="C2626" s="5" t="s">
        <v>1833</v>
      </c>
      <c r="D2626" s="6">
        <v>-366058</v>
      </c>
      <c r="E2626" s="6">
        <v>-76275</v>
      </c>
      <c r="F2626" s="7">
        <v>5.5990000000000002</v>
      </c>
      <c r="G2626" s="7">
        <v>5.9539999999999997</v>
      </c>
      <c r="H2626" s="7">
        <v>5.9109999999999996</v>
      </c>
      <c r="I2626" s="7">
        <v>5.9889999999999999</v>
      </c>
      <c r="J2626" s="7">
        <v>5.5490000000000004</v>
      </c>
      <c r="K2626" s="7">
        <v>4.88</v>
      </c>
      <c r="L2626" s="7">
        <v>4.3579999999999997</v>
      </c>
      <c r="M2626" s="7">
        <v>4.5229999999999997</v>
      </c>
      <c r="N2626" s="7">
        <v>5.2309999999999999</v>
      </c>
      <c r="O2626" s="7">
        <v>6.0060000000000002</v>
      </c>
      <c r="P2626" s="7">
        <v>6.2560000000000002</v>
      </c>
      <c r="Q2626" s="7">
        <v>6.3959999999999999</v>
      </c>
      <c r="R2626" s="7">
        <v>6.1349999999999998</v>
      </c>
      <c r="S2626" s="7">
        <f t="shared" si="40"/>
        <v>5.5990000000000002</v>
      </c>
    </row>
    <row r="2627" spans="1:19">
      <c r="A2627" s="5" t="str">
        <f>B2627&amp;"-"&amp;COUNTIF($B$2:B2627,B2627)</f>
        <v>PARAIBA-64</v>
      </c>
      <c r="B2627" s="5" t="s">
        <v>1789</v>
      </c>
      <c r="C2627" s="5" t="s">
        <v>1834</v>
      </c>
      <c r="D2627" s="6">
        <v>-35086</v>
      </c>
      <c r="E2627" s="6">
        <v>-71394</v>
      </c>
      <c r="F2627" s="7">
        <v>5.3949999999999996</v>
      </c>
      <c r="G2627" s="7">
        <v>5.7489999999999997</v>
      </c>
      <c r="H2627" s="7">
        <v>5.9029999999999996</v>
      </c>
      <c r="I2627" s="7">
        <v>5.968</v>
      </c>
      <c r="J2627" s="7">
        <v>5.3019999999999996</v>
      </c>
      <c r="K2627" s="7">
        <v>4.6859999999999999</v>
      </c>
      <c r="L2627" s="7">
        <v>4.2080000000000002</v>
      </c>
      <c r="M2627" s="7">
        <v>4.3049999999999997</v>
      </c>
      <c r="N2627" s="7">
        <v>5.1459999999999999</v>
      </c>
      <c r="O2627" s="7">
        <v>5.5640000000000001</v>
      </c>
      <c r="P2627" s="7">
        <v>5.8179999999999996</v>
      </c>
      <c r="Q2627" s="7">
        <v>6.093</v>
      </c>
      <c r="R2627" s="7">
        <v>5.9969999999999999</v>
      </c>
      <c r="S2627" s="7">
        <f t="shared" ref="S2627:S2690" si="41">(G2627+H2627+I2627+J2627+K2627+L2627+M2627+N2627+O2627+P2627+Q2627+R2627)/12</f>
        <v>5.3949166666666661</v>
      </c>
    </row>
    <row r="2628" spans="1:19">
      <c r="A2628" s="5" t="str">
        <f>B2628&amp;"-"&amp;COUNTIF($B$2:B2628,B2628)</f>
        <v>PARAIBA-65</v>
      </c>
      <c r="B2628" s="5" t="s">
        <v>1789</v>
      </c>
      <c r="C2628" s="5" t="s">
        <v>1835</v>
      </c>
      <c r="D2628" s="6">
        <v>-363522</v>
      </c>
      <c r="E2628" s="6">
        <v>-68649</v>
      </c>
      <c r="F2628" s="7">
        <v>5.5960000000000001</v>
      </c>
      <c r="G2628" s="7">
        <v>5.8550000000000004</v>
      </c>
      <c r="H2628" s="7">
        <v>5.8849999999999998</v>
      </c>
      <c r="I2628" s="7">
        <v>5.9359999999999999</v>
      </c>
      <c r="J2628" s="7">
        <v>5.4480000000000004</v>
      </c>
      <c r="K2628" s="7">
        <v>4.8949999999999996</v>
      </c>
      <c r="L2628" s="7">
        <v>4.4359999999999999</v>
      </c>
      <c r="M2628" s="7">
        <v>4.694</v>
      </c>
      <c r="N2628" s="7">
        <v>5.3869999999999996</v>
      </c>
      <c r="O2628" s="7">
        <v>5.9379999999999997</v>
      </c>
      <c r="P2628" s="7">
        <v>6.2519999999999998</v>
      </c>
      <c r="Q2628" s="7">
        <v>6.3970000000000002</v>
      </c>
      <c r="R2628" s="7">
        <v>6.0279999999999996</v>
      </c>
      <c r="S2628" s="7">
        <f t="shared" si="41"/>
        <v>5.5959166666666675</v>
      </c>
    </row>
    <row r="2629" spans="1:19">
      <c r="A2629" s="5" t="str">
        <f>B2629&amp;"-"&amp;COUNTIF($B$2:B2629,B2629)</f>
        <v>PARAIBA-66</v>
      </c>
      <c r="B2629" s="5" t="s">
        <v>1789</v>
      </c>
      <c r="C2629" s="5" t="s">
        <v>4389</v>
      </c>
      <c r="D2629" s="6">
        <v>-361549</v>
      </c>
      <c r="E2629" s="6">
        <v>-64857</v>
      </c>
      <c r="F2629" s="7">
        <v>5.4279999999999999</v>
      </c>
      <c r="G2629" s="7">
        <v>5.6950000000000003</v>
      </c>
      <c r="H2629" s="7">
        <v>5.7190000000000003</v>
      </c>
      <c r="I2629" s="7">
        <v>5.6859999999999999</v>
      </c>
      <c r="J2629" s="7">
        <v>5.3550000000000004</v>
      </c>
      <c r="K2629" s="7">
        <v>4.76</v>
      </c>
      <c r="L2629" s="7">
        <v>4.3220000000000001</v>
      </c>
      <c r="M2629" s="7">
        <v>4.5209999999999999</v>
      </c>
      <c r="N2629" s="7">
        <v>5.2640000000000002</v>
      </c>
      <c r="O2629" s="7">
        <v>5.7789999999999999</v>
      </c>
      <c r="P2629" s="7">
        <v>6.0510000000000002</v>
      </c>
      <c r="Q2629" s="7">
        <v>6.1790000000000003</v>
      </c>
      <c r="R2629" s="7">
        <v>5.8</v>
      </c>
      <c r="S2629" s="7">
        <f t="shared" si="41"/>
        <v>5.4275833333333336</v>
      </c>
    </row>
    <row r="2630" spans="1:19">
      <c r="A2630" s="5" t="str">
        <f>B2630&amp;"-"&amp;COUNTIF($B$2:B2630,B2630)</f>
        <v>PARAIBA-67</v>
      </c>
      <c r="B2630" s="5" t="s">
        <v>1789</v>
      </c>
      <c r="C2630" s="5" t="s">
        <v>4390</v>
      </c>
      <c r="D2630" s="6">
        <v>-352505</v>
      </c>
      <c r="E2630" s="6">
        <v>-69133</v>
      </c>
      <c r="F2630" s="7">
        <v>5.375</v>
      </c>
      <c r="G2630" s="7">
        <v>5.7119999999999997</v>
      </c>
      <c r="H2630" s="7">
        <v>5.7329999999999997</v>
      </c>
      <c r="I2630" s="7">
        <v>5.851</v>
      </c>
      <c r="J2630" s="7">
        <v>5.2960000000000003</v>
      </c>
      <c r="K2630" s="7">
        <v>4.68</v>
      </c>
      <c r="L2630" s="7">
        <v>4.2709999999999999</v>
      </c>
      <c r="M2630" s="7">
        <v>4.3659999999999997</v>
      </c>
      <c r="N2630" s="7">
        <v>5.1379999999999999</v>
      </c>
      <c r="O2630" s="7">
        <v>5.5469999999999997</v>
      </c>
      <c r="P2630" s="7">
        <v>5.8070000000000004</v>
      </c>
      <c r="Q2630" s="7">
        <v>6.1349999999999998</v>
      </c>
      <c r="R2630" s="7">
        <v>5.968</v>
      </c>
      <c r="S2630" s="7">
        <f t="shared" si="41"/>
        <v>5.3753333333333329</v>
      </c>
    </row>
    <row r="2631" spans="1:19">
      <c r="A2631" s="5" t="str">
        <f>B2631&amp;"-"&amp;COUNTIF($B$2:B2631,B2631)</f>
        <v>PARAIBA-68</v>
      </c>
      <c r="B2631" s="5" t="s">
        <v>1789</v>
      </c>
      <c r="C2631" s="5" t="s">
        <v>1836</v>
      </c>
      <c r="D2631" s="6">
        <v>-355218</v>
      </c>
      <c r="E2631" s="6">
        <v>-68914</v>
      </c>
      <c r="F2631" s="7">
        <v>5.1840000000000002</v>
      </c>
      <c r="G2631" s="7">
        <v>5.484</v>
      </c>
      <c r="H2631" s="7">
        <v>5.6040000000000001</v>
      </c>
      <c r="I2631" s="7">
        <v>5.6310000000000002</v>
      </c>
      <c r="J2631" s="7">
        <v>5.1680000000000001</v>
      </c>
      <c r="K2631" s="7">
        <v>4.5629999999999997</v>
      </c>
      <c r="L2631" s="7">
        <v>4.117</v>
      </c>
      <c r="M2631" s="7">
        <v>4.2009999999999996</v>
      </c>
      <c r="N2631" s="7">
        <v>4.9560000000000004</v>
      </c>
      <c r="O2631" s="7">
        <v>5.375</v>
      </c>
      <c r="P2631" s="7">
        <v>5.6029999999999998</v>
      </c>
      <c r="Q2631" s="7">
        <v>5.8559999999999999</v>
      </c>
      <c r="R2631" s="7">
        <v>5.6479999999999997</v>
      </c>
      <c r="S2631" s="7">
        <f t="shared" si="41"/>
        <v>5.1838333333333333</v>
      </c>
    </row>
    <row r="2632" spans="1:19">
      <c r="A2632" s="5" t="str">
        <f>B2632&amp;"-"&amp;COUNTIF($B$2:B2632,B2632)</f>
        <v>PARAIBA-69</v>
      </c>
      <c r="B2632" s="5" t="s">
        <v>1789</v>
      </c>
      <c r="C2632" s="5" t="s">
        <v>1837</v>
      </c>
      <c r="D2632" s="6">
        <v>-352671</v>
      </c>
      <c r="E2632" s="6">
        <v>-67167</v>
      </c>
      <c r="F2632" s="7">
        <v>5.4329999999999998</v>
      </c>
      <c r="G2632" s="7">
        <v>5.8449999999999998</v>
      </c>
      <c r="H2632" s="7">
        <v>5.8840000000000003</v>
      </c>
      <c r="I2632" s="7">
        <v>5.931</v>
      </c>
      <c r="J2632" s="7">
        <v>5.3310000000000004</v>
      </c>
      <c r="K2632" s="7">
        <v>4.718</v>
      </c>
      <c r="L2632" s="7">
        <v>4.2430000000000003</v>
      </c>
      <c r="M2632" s="7">
        <v>4.3689999999999998</v>
      </c>
      <c r="N2632" s="7">
        <v>5.1289999999999996</v>
      </c>
      <c r="O2632" s="7">
        <v>5.6180000000000003</v>
      </c>
      <c r="P2632" s="7">
        <v>5.92</v>
      </c>
      <c r="Q2632" s="7">
        <v>6.202</v>
      </c>
      <c r="R2632" s="7">
        <v>6.0069999999999997</v>
      </c>
      <c r="S2632" s="7">
        <f t="shared" si="41"/>
        <v>5.4330833333333333</v>
      </c>
    </row>
    <row r="2633" spans="1:19">
      <c r="A2633" s="5" t="str">
        <f>B2633&amp;"-"&amp;COUNTIF($B$2:B2633,B2633)</f>
        <v>PARAIBA-70</v>
      </c>
      <c r="B2633" s="5" t="s">
        <v>1789</v>
      </c>
      <c r="C2633" s="5" t="s">
        <v>1838</v>
      </c>
      <c r="D2633" s="6">
        <v>-38199</v>
      </c>
      <c r="E2633" s="6">
        <v>-75394</v>
      </c>
      <c r="F2633" s="7">
        <v>5.9740000000000002</v>
      </c>
      <c r="G2633" s="7">
        <v>6.2229999999999999</v>
      </c>
      <c r="H2633" s="7">
        <v>6.133</v>
      </c>
      <c r="I2633" s="7">
        <v>6.2229999999999999</v>
      </c>
      <c r="J2633" s="7">
        <v>5.8639999999999999</v>
      </c>
      <c r="K2633" s="7">
        <v>5.1989999999999998</v>
      </c>
      <c r="L2633" s="7">
        <v>4.766</v>
      </c>
      <c r="M2633" s="7">
        <v>5.0049999999999999</v>
      </c>
      <c r="N2633" s="7">
        <v>5.87</v>
      </c>
      <c r="O2633" s="7">
        <v>6.5540000000000003</v>
      </c>
      <c r="P2633" s="7">
        <v>6.6390000000000002</v>
      </c>
      <c r="Q2633" s="7">
        <v>6.798</v>
      </c>
      <c r="R2633" s="7">
        <v>6.423</v>
      </c>
      <c r="S2633" s="7">
        <f t="shared" si="41"/>
        <v>5.9747500000000002</v>
      </c>
    </row>
    <row r="2634" spans="1:19">
      <c r="A2634" s="5" t="str">
        <f>B2634&amp;"-"&amp;COUNTIF($B$2:B2634,B2634)</f>
        <v>PARAIBA-71</v>
      </c>
      <c r="B2634" s="5" t="s">
        <v>1789</v>
      </c>
      <c r="C2634" s="5" t="s">
        <v>4060</v>
      </c>
      <c r="D2634" s="6">
        <v>-359104</v>
      </c>
      <c r="E2634" s="6">
        <v>-6632</v>
      </c>
      <c r="F2634" s="7">
        <v>5.4459999999999997</v>
      </c>
      <c r="G2634" s="7">
        <v>5.7530000000000001</v>
      </c>
      <c r="H2634" s="7">
        <v>5.726</v>
      </c>
      <c r="I2634" s="7">
        <v>5.85</v>
      </c>
      <c r="J2634" s="7">
        <v>5.3810000000000002</v>
      </c>
      <c r="K2634" s="7">
        <v>4.7779999999999996</v>
      </c>
      <c r="L2634" s="7">
        <v>4.3819999999999997</v>
      </c>
      <c r="M2634" s="7">
        <v>4.55</v>
      </c>
      <c r="N2634" s="7">
        <v>5.28</v>
      </c>
      <c r="O2634" s="7">
        <v>5.7089999999999996</v>
      </c>
      <c r="P2634" s="7">
        <v>5.9740000000000002</v>
      </c>
      <c r="Q2634" s="7">
        <v>6.1319999999999997</v>
      </c>
      <c r="R2634" s="7">
        <v>5.8419999999999996</v>
      </c>
      <c r="S2634" s="7">
        <f t="shared" si="41"/>
        <v>5.4464166666666669</v>
      </c>
    </row>
    <row r="2635" spans="1:19">
      <c r="A2635" s="5" t="str">
        <f>B2635&amp;"-"&amp;COUNTIF($B$2:B2635,B2635)</f>
        <v>PARAIBA-72</v>
      </c>
      <c r="B2635" s="5" t="s">
        <v>1789</v>
      </c>
      <c r="C2635" s="5" t="s">
        <v>1839</v>
      </c>
      <c r="D2635" s="6">
        <v>-370928</v>
      </c>
      <c r="E2635" s="6">
        <v>-72874</v>
      </c>
      <c r="F2635" s="7">
        <v>5.7530000000000001</v>
      </c>
      <c r="G2635" s="7">
        <v>6.0679999999999996</v>
      </c>
      <c r="H2635" s="7">
        <v>5.9950000000000001</v>
      </c>
      <c r="I2635" s="7">
        <v>6.0890000000000004</v>
      </c>
      <c r="J2635" s="7">
        <v>5.6859999999999999</v>
      </c>
      <c r="K2635" s="7">
        <v>4.9720000000000004</v>
      </c>
      <c r="L2635" s="7">
        <v>4.5049999999999999</v>
      </c>
      <c r="M2635" s="7">
        <v>4.7690000000000001</v>
      </c>
      <c r="N2635" s="7">
        <v>5.4790000000000001</v>
      </c>
      <c r="O2635" s="7">
        <v>6.2670000000000003</v>
      </c>
      <c r="P2635" s="7">
        <v>6.4420000000000002</v>
      </c>
      <c r="Q2635" s="7">
        <v>6.5350000000000001</v>
      </c>
      <c r="R2635" s="7">
        <v>6.226</v>
      </c>
      <c r="S2635" s="7">
        <f t="shared" si="41"/>
        <v>5.7527499999999998</v>
      </c>
    </row>
    <row r="2636" spans="1:19">
      <c r="A2636" s="5" t="str">
        <f>B2636&amp;"-"&amp;COUNTIF($B$2:B2636,B2636)</f>
        <v>PARAIBA-73</v>
      </c>
      <c r="B2636" s="5" t="s">
        <v>1789</v>
      </c>
      <c r="C2636" s="5" t="s">
        <v>1840</v>
      </c>
      <c r="D2636" s="6">
        <v>-382659</v>
      </c>
      <c r="E2636" s="6">
        <v>-74279</v>
      </c>
      <c r="F2636" s="7">
        <v>5.9870000000000001</v>
      </c>
      <c r="G2636" s="7">
        <v>6.2069999999999999</v>
      </c>
      <c r="H2636" s="7">
        <v>6.1820000000000004</v>
      </c>
      <c r="I2636" s="7">
        <v>6.2149999999999999</v>
      </c>
      <c r="J2636" s="7">
        <v>5.8849999999999998</v>
      </c>
      <c r="K2636" s="7">
        <v>5.2069999999999999</v>
      </c>
      <c r="L2636" s="7">
        <v>4.7919999999999998</v>
      </c>
      <c r="M2636" s="7">
        <v>5.0570000000000004</v>
      </c>
      <c r="N2636" s="7">
        <v>5.8620000000000001</v>
      </c>
      <c r="O2636" s="7">
        <v>6.5410000000000004</v>
      </c>
      <c r="P2636" s="7">
        <v>6.6</v>
      </c>
      <c r="Q2636" s="7">
        <v>6.8019999999999996</v>
      </c>
      <c r="R2636" s="7">
        <v>6.492</v>
      </c>
      <c r="S2636" s="7">
        <f t="shared" si="41"/>
        <v>5.9868333333333341</v>
      </c>
    </row>
    <row r="2637" spans="1:19">
      <c r="A2637" s="5" t="str">
        <f>B2637&amp;"-"&amp;COUNTIF($B$2:B2637,B2637)</f>
        <v>PARAIBA-74</v>
      </c>
      <c r="B2637" s="5" t="s">
        <v>1789</v>
      </c>
      <c r="C2637" s="5" t="s">
        <v>5297</v>
      </c>
      <c r="D2637" s="6">
        <v>-356274</v>
      </c>
      <c r="E2637" s="6">
        <v>-66032</v>
      </c>
      <c r="F2637" s="7">
        <v>5.3639999999999999</v>
      </c>
      <c r="G2637" s="7">
        <v>5.6180000000000003</v>
      </c>
      <c r="H2637" s="7">
        <v>5.7569999999999997</v>
      </c>
      <c r="I2637" s="7">
        <v>5.8280000000000003</v>
      </c>
      <c r="J2637" s="7">
        <v>5.3520000000000003</v>
      </c>
      <c r="K2637" s="7">
        <v>4.8209999999999997</v>
      </c>
      <c r="L2637" s="7">
        <v>4.2690000000000001</v>
      </c>
      <c r="M2637" s="7">
        <v>4.4539999999999997</v>
      </c>
      <c r="N2637" s="7">
        <v>5.1970000000000001</v>
      </c>
      <c r="O2637" s="7">
        <v>5.5789999999999997</v>
      </c>
      <c r="P2637" s="7">
        <v>5.7839999999999998</v>
      </c>
      <c r="Q2637" s="7">
        <v>5.984</v>
      </c>
      <c r="R2637" s="7">
        <v>5.7309999999999999</v>
      </c>
      <c r="S2637" s="7">
        <f t="shared" si="41"/>
        <v>5.3644999999999996</v>
      </c>
    </row>
    <row r="2638" spans="1:19">
      <c r="A2638" s="5" t="str">
        <f>B2638&amp;"-"&amp;COUNTIF($B$2:B2638,B2638)</f>
        <v>PARAIBA-75</v>
      </c>
      <c r="B2638" s="5" t="s">
        <v>1789</v>
      </c>
      <c r="C2638" s="5" t="s">
        <v>1841</v>
      </c>
      <c r="D2638" s="6">
        <v>-354184</v>
      </c>
      <c r="E2638" s="6">
        <v>-66888</v>
      </c>
      <c r="F2638" s="7">
        <v>5.3460000000000001</v>
      </c>
      <c r="G2638" s="7">
        <v>5.6779999999999999</v>
      </c>
      <c r="H2638" s="7">
        <v>5.6849999999999996</v>
      </c>
      <c r="I2638" s="7">
        <v>5.7389999999999999</v>
      </c>
      <c r="J2638" s="7">
        <v>5.2649999999999997</v>
      </c>
      <c r="K2638" s="7">
        <v>4.74</v>
      </c>
      <c r="L2638" s="7">
        <v>4.2830000000000004</v>
      </c>
      <c r="M2638" s="7">
        <v>4.3579999999999997</v>
      </c>
      <c r="N2638" s="7">
        <v>5.1390000000000002</v>
      </c>
      <c r="O2638" s="7">
        <v>5.5990000000000002</v>
      </c>
      <c r="P2638" s="7">
        <v>5.867</v>
      </c>
      <c r="Q2638" s="7">
        <v>6.0229999999999997</v>
      </c>
      <c r="R2638" s="7">
        <v>5.7839999999999998</v>
      </c>
      <c r="S2638" s="7">
        <f t="shared" si="41"/>
        <v>5.3466666666666676</v>
      </c>
    </row>
    <row r="2639" spans="1:19">
      <c r="A2639" s="5" t="str">
        <f>B2639&amp;"-"&amp;COUNTIF($B$2:B2639,B2639)</f>
        <v>PARAIBA-76</v>
      </c>
      <c r="B2639" s="5" t="s">
        <v>1789</v>
      </c>
      <c r="C2639" s="5" t="s">
        <v>1842</v>
      </c>
      <c r="D2639" s="6">
        <v>-377166</v>
      </c>
      <c r="E2639" s="6">
        <v>-71001</v>
      </c>
      <c r="F2639" s="7">
        <v>5.9729999999999999</v>
      </c>
      <c r="G2639" s="7">
        <v>6.2409999999999997</v>
      </c>
      <c r="H2639" s="7">
        <v>6.1180000000000003</v>
      </c>
      <c r="I2639" s="7">
        <v>6.2839999999999998</v>
      </c>
      <c r="J2639" s="7">
        <v>5.8440000000000003</v>
      </c>
      <c r="K2639" s="7">
        <v>5.1959999999999997</v>
      </c>
      <c r="L2639" s="7">
        <v>4.7729999999999997</v>
      </c>
      <c r="M2639" s="7">
        <v>5.0199999999999996</v>
      </c>
      <c r="N2639" s="7">
        <v>5.8440000000000003</v>
      </c>
      <c r="O2639" s="7">
        <v>6.48</v>
      </c>
      <c r="P2639" s="7">
        <v>6.6619999999999999</v>
      </c>
      <c r="Q2639" s="7">
        <v>6.7919999999999998</v>
      </c>
      <c r="R2639" s="7">
        <v>6.42</v>
      </c>
      <c r="S2639" s="7">
        <f t="shared" si="41"/>
        <v>5.972833333333333</v>
      </c>
    </row>
    <row r="2640" spans="1:19">
      <c r="A2640" s="5" t="str">
        <f>B2640&amp;"-"&amp;COUNTIF($B$2:B2640,B2640)</f>
        <v>PARAIBA-77</v>
      </c>
      <c r="B2640" s="5" t="s">
        <v>1789</v>
      </c>
      <c r="C2640" s="5" t="s">
        <v>4702</v>
      </c>
      <c r="D2640" s="6">
        <v>-358595</v>
      </c>
      <c r="E2640" s="6">
        <v>-70187</v>
      </c>
      <c r="F2640" s="7">
        <v>5.4420000000000002</v>
      </c>
      <c r="G2640" s="7">
        <v>5.7830000000000004</v>
      </c>
      <c r="H2640" s="7">
        <v>5.8849999999999998</v>
      </c>
      <c r="I2640" s="7">
        <v>5.8719999999999999</v>
      </c>
      <c r="J2640" s="7">
        <v>5.4020000000000001</v>
      </c>
      <c r="K2640" s="7">
        <v>4.7759999999999998</v>
      </c>
      <c r="L2640" s="7">
        <v>4.2380000000000004</v>
      </c>
      <c r="M2640" s="7">
        <v>4.4130000000000003</v>
      </c>
      <c r="N2640" s="7">
        <v>5.1390000000000002</v>
      </c>
      <c r="O2640" s="7">
        <v>5.6630000000000003</v>
      </c>
      <c r="P2640" s="7">
        <v>5.944</v>
      </c>
      <c r="Q2640" s="7">
        <v>6.1989999999999998</v>
      </c>
      <c r="R2640" s="7">
        <v>5.9889999999999999</v>
      </c>
      <c r="S2640" s="7">
        <f t="shared" si="41"/>
        <v>5.4419166666666676</v>
      </c>
    </row>
    <row r="2641" spans="1:19">
      <c r="A2641" s="5" t="str">
        <f>B2641&amp;"-"&amp;COUNTIF($B$2:B2641,B2641)</f>
        <v>PARAIBA-78</v>
      </c>
      <c r="B2641" s="5" t="s">
        <v>1789</v>
      </c>
      <c r="C2641" s="5" t="s">
        <v>1843</v>
      </c>
      <c r="D2641" s="6">
        <v>-357852</v>
      </c>
      <c r="E2641" s="6">
        <v>-73582</v>
      </c>
      <c r="F2641" s="7">
        <v>5.27</v>
      </c>
      <c r="G2641" s="7">
        <v>5.7030000000000003</v>
      </c>
      <c r="H2641" s="7">
        <v>5.7460000000000004</v>
      </c>
      <c r="I2641" s="7">
        <v>5.8070000000000004</v>
      </c>
      <c r="J2641" s="7">
        <v>5.2489999999999997</v>
      </c>
      <c r="K2641" s="7">
        <v>4.5490000000000004</v>
      </c>
      <c r="L2641" s="7">
        <v>4.0679999999999996</v>
      </c>
      <c r="M2641" s="7">
        <v>4.1840000000000002</v>
      </c>
      <c r="N2641" s="7">
        <v>4.8879999999999999</v>
      </c>
      <c r="O2641" s="7">
        <v>5.4219999999999997</v>
      </c>
      <c r="P2641" s="7">
        <v>5.7309999999999999</v>
      </c>
      <c r="Q2641" s="7">
        <v>5.9939999999999998</v>
      </c>
      <c r="R2641" s="7">
        <v>5.9009999999999998</v>
      </c>
      <c r="S2641" s="7">
        <f t="shared" si="41"/>
        <v>5.2701666666666656</v>
      </c>
    </row>
    <row r="2642" spans="1:19">
      <c r="A2642" s="5" t="str">
        <f>B2642&amp;"-"&amp;COUNTIF($B$2:B2642,B2642)</f>
        <v>PARAIBA-79</v>
      </c>
      <c r="B2642" s="5" t="s">
        <v>1789</v>
      </c>
      <c r="C2642" s="5" t="s">
        <v>1844</v>
      </c>
      <c r="D2642" s="6">
        <v>-364529</v>
      </c>
      <c r="E2642" s="6">
        <v>-6398</v>
      </c>
      <c r="F2642" s="7">
        <v>5.6779999999999999</v>
      </c>
      <c r="G2642" s="7">
        <v>5.95</v>
      </c>
      <c r="H2642" s="7">
        <v>5.8890000000000002</v>
      </c>
      <c r="I2642" s="7">
        <v>5.8970000000000002</v>
      </c>
      <c r="J2642" s="7">
        <v>5.57</v>
      </c>
      <c r="K2642" s="7">
        <v>4.984</v>
      </c>
      <c r="L2642" s="7">
        <v>4.556</v>
      </c>
      <c r="M2642" s="7">
        <v>4.8049999999999997</v>
      </c>
      <c r="N2642" s="7">
        <v>5.62</v>
      </c>
      <c r="O2642" s="7">
        <v>6.1420000000000003</v>
      </c>
      <c r="P2642" s="7">
        <v>6.3170000000000002</v>
      </c>
      <c r="Q2642" s="7">
        <v>6.423</v>
      </c>
      <c r="R2642" s="7">
        <v>5.9790000000000001</v>
      </c>
      <c r="S2642" s="7">
        <f t="shared" si="41"/>
        <v>5.6776666666666671</v>
      </c>
    </row>
    <row r="2643" spans="1:19">
      <c r="A2643" s="5" t="str">
        <f>B2643&amp;"-"&amp;COUNTIF($B$2:B2643,B2643)</f>
        <v>PARAIBA-80</v>
      </c>
      <c r="B2643" s="5" t="s">
        <v>1789</v>
      </c>
      <c r="C2643" s="5" t="s">
        <v>1845</v>
      </c>
      <c r="D2643" s="6">
        <v>-357902</v>
      </c>
      <c r="E2643" s="6">
        <v>-75832</v>
      </c>
      <c r="F2643" s="7">
        <v>5.2779999999999996</v>
      </c>
      <c r="G2643" s="7">
        <v>5.665</v>
      </c>
      <c r="H2643" s="7">
        <v>5.7350000000000003</v>
      </c>
      <c r="I2643" s="7">
        <v>5.7530000000000001</v>
      </c>
      <c r="J2643" s="7">
        <v>5.2060000000000004</v>
      </c>
      <c r="K2643" s="7">
        <v>4.5599999999999996</v>
      </c>
      <c r="L2643" s="7">
        <v>4.0679999999999996</v>
      </c>
      <c r="M2643" s="7">
        <v>4.2969999999999997</v>
      </c>
      <c r="N2643" s="7">
        <v>4.9160000000000004</v>
      </c>
      <c r="O2643" s="7">
        <v>5.524</v>
      </c>
      <c r="P2643" s="7">
        <v>5.7880000000000003</v>
      </c>
      <c r="Q2643" s="7">
        <v>6.0330000000000004</v>
      </c>
      <c r="R2643" s="7">
        <v>5.7880000000000003</v>
      </c>
      <c r="S2643" s="7">
        <f t="shared" si="41"/>
        <v>5.2777499999999984</v>
      </c>
    </row>
    <row r="2644" spans="1:19">
      <c r="A2644" s="5" t="str">
        <f>B2644&amp;"-"&amp;COUNTIF($B$2:B2644,B2644)</f>
        <v>PARAIBA-81</v>
      </c>
      <c r="B2644" s="5" t="s">
        <v>1789</v>
      </c>
      <c r="C2644" s="5" t="s">
        <v>1846</v>
      </c>
      <c r="D2644" s="6">
        <v>-354853</v>
      </c>
      <c r="E2644" s="6">
        <v>-68511</v>
      </c>
      <c r="F2644" s="7">
        <v>5.2409999999999997</v>
      </c>
      <c r="G2644" s="7">
        <v>5.5090000000000003</v>
      </c>
      <c r="H2644" s="7">
        <v>5.641</v>
      </c>
      <c r="I2644" s="7">
        <v>5.6980000000000004</v>
      </c>
      <c r="J2644" s="7">
        <v>5.2210000000000001</v>
      </c>
      <c r="K2644" s="7">
        <v>4.5919999999999996</v>
      </c>
      <c r="L2644" s="7">
        <v>4.1849999999999996</v>
      </c>
      <c r="M2644" s="7">
        <v>4.258</v>
      </c>
      <c r="N2644" s="7">
        <v>5.0149999999999997</v>
      </c>
      <c r="O2644" s="7">
        <v>5.4240000000000004</v>
      </c>
      <c r="P2644" s="7">
        <v>5.7009999999999996</v>
      </c>
      <c r="Q2644" s="7">
        <v>5.9059999999999997</v>
      </c>
      <c r="R2644" s="7">
        <v>5.7450000000000001</v>
      </c>
      <c r="S2644" s="7">
        <f t="shared" si="41"/>
        <v>5.24125</v>
      </c>
    </row>
    <row r="2645" spans="1:19">
      <c r="A2645" s="5" t="str">
        <f>B2645&amp;"-"&amp;COUNTIF($B$2:B2645,B2645)</f>
        <v>PARAIBA-82</v>
      </c>
      <c r="B2645" s="5" t="s">
        <v>1789</v>
      </c>
      <c r="C2645" s="5" t="s">
        <v>4391</v>
      </c>
      <c r="D2645" s="6">
        <v>-354251</v>
      </c>
      <c r="E2645" s="6">
        <v>-7122</v>
      </c>
      <c r="F2645" s="7">
        <v>5.32</v>
      </c>
      <c r="G2645" s="7">
        <v>5.5720000000000001</v>
      </c>
      <c r="H2645" s="7">
        <v>5.766</v>
      </c>
      <c r="I2645" s="7">
        <v>5.8079999999999998</v>
      </c>
      <c r="J2645" s="7">
        <v>5.2690000000000001</v>
      </c>
      <c r="K2645" s="7">
        <v>4.6719999999999997</v>
      </c>
      <c r="L2645" s="7">
        <v>4.1920000000000002</v>
      </c>
      <c r="M2645" s="7">
        <v>4.3739999999999997</v>
      </c>
      <c r="N2645" s="7">
        <v>5.0890000000000004</v>
      </c>
      <c r="O2645" s="7">
        <v>5.5030000000000001</v>
      </c>
      <c r="P2645" s="7">
        <v>5.7389999999999999</v>
      </c>
      <c r="Q2645" s="7">
        <v>6.0049999999999999</v>
      </c>
      <c r="R2645" s="7">
        <v>5.8460000000000001</v>
      </c>
      <c r="S2645" s="7">
        <f t="shared" si="41"/>
        <v>5.3195833333333331</v>
      </c>
    </row>
    <row r="2646" spans="1:19">
      <c r="A2646" s="5" t="str">
        <f>B2646&amp;"-"&amp;COUNTIF($B$2:B2646,B2646)</f>
        <v>PARAIBA-83</v>
      </c>
      <c r="B2646" s="5" t="s">
        <v>1789</v>
      </c>
      <c r="C2646" s="5" t="s">
        <v>4061</v>
      </c>
      <c r="D2646" s="6">
        <v>-36488</v>
      </c>
      <c r="E2646" s="6">
        <v>-72464</v>
      </c>
      <c r="F2646" s="7">
        <v>5.5430000000000001</v>
      </c>
      <c r="G2646" s="7">
        <v>5.8769999999999998</v>
      </c>
      <c r="H2646" s="7">
        <v>5.9180000000000001</v>
      </c>
      <c r="I2646" s="7">
        <v>5.9050000000000002</v>
      </c>
      <c r="J2646" s="7">
        <v>5.4669999999999996</v>
      </c>
      <c r="K2646" s="7">
        <v>4.83</v>
      </c>
      <c r="L2646" s="7">
        <v>4.3029999999999999</v>
      </c>
      <c r="M2646" s="7">
        <v>4.5</v>
      </c>
      <c r="N2646" s="7">
        <v>5.218</v>
      </c>
      <c r="O2646" s="7">
        <v>5.8920000000000003</v>
      </c>
      <c r="P2646" s="7">
        <v>6.17</v>
      </c>
      <c r="Q2646" s="7">
        <v>6.3479999999999999</v>
      </c>
      <c r="R2646" s="7">
        <v>6.0910000000000002</v>
      </c>
      <c r="S2646" s="7">
        <f t="shared" si="41"/>
        <v>5.5432500000000005</v>
      </c>
    </row>
    <row r="2647" spans="1:19">
      <c r="A2647" s="5" t="str">
        <f>B2647&amp;"-"&amp;COUNTIF($B$2:B2647,B2647)</f>
        <v>PARAIBA-84</v>
      </c>
      <c r="B2647" s="5" t="s">
        <v>1789</v>
      </c>
      <c r="C2647" s="5" t="s">
        <v>1847</v>
      </c>
      <c r="D2647" s="6">
        <v>-384062</v>
      </c>
      <c r="E2647" s="5" t="s">
        <v>1848</v>
      </c>
      <c r="F2647" s="7">
        <v>5.9409999999999998</v>
      </c>
      <c r="G2647" s="7">
        <v>6.2469999999999999</v>
      </c>
      <c r="H2647" s="7">
        <v>6.1429999999999998</v>
      </c>
      <c r="I2647" s="7">
        <v>6.0430000000000001</v>
      </c>
      <c r="J2647" s="7">
        <v>5.7560000000000002</v>
      </c>
      <c r="K2647" s="7">
        <v>5.1340000000000003</v>
      </c>
      <c r="L2647" s="7">
        <v>4.7380000000000004</v>
      </c>
      <c r="M2647" s="7">
        <v>5.0010000000000003</v>
      </c>
      <c r="N2647" s="7">
        <v>5.8239999999999998</v>
      </c>
      <c r="O2647" s="7">
        <v>6.548</v>
      </c>
      <c r="P2647" s="7">
        <v>6.5880000000000001</v>
      </c>
      <c r="Q2647" s="7">
        <v>6.798</v>
      </c>
      <c r="R2647" s="7">
        <v>6.476</v>
      </c>
      <c r="S2647" s="7">
        <f t="shared" si="41"/>
        <v>5.9413333333333327</v>
      </c>
    </row>
    <row r="2648" spans="1:19">
      <c r="A2648" s="5" t="str">
        <f>B2648&amp;"-"&amp;COUNTIF($B$2:B2648,B2648)</f>
        <v>PARAIBA-85</v>
      </c>
      <c r="B2648" s="5" t="s">
        <v>1789</v>
      </c>
      <c r="C2648" s="5" t="s">
        <v>1849</v>
      </c>
      <c r="D2648" s="6">
        <v>-381508</v>
      </c>
      <c r="E2648" s="6">
        <v>-71813</v>
      </c>
      <c r="F2648" s="7">
        <v>5.9989999999999997</v>
      </c>
      <c r="G2648" s="7">
        <v>6.1470000000000002</v>
      </c>
      <c r="H2648" s="7">
        <v>6.1289999999999996</v>
      </c>
      <c r="I2648" s="7">
        <v>6.2249999999999996</v>
      </c>
      <c r="J2648" s="7">
        <v>5.8730000000000002</v>
      </c>
      <c r="K2648" s="7">
        <v>5.2309999999999999</v>
      </c>
      <c r="L2648" s="7">
        <v>4.8620000000000001</v>
      </c>
      <c r="M2648" s="7">
        <v>5.1449999999999996</v>
      </c>
      <c r="N2648" s="7">
        <v>5.9459999999999997</v>
      </c>
      <c r="O2648" s="7">
        <v>6.548</v>
      </c>
      <c r="P2648" s="7">
        <v>6.6319999999999997</v>
      </c>
      <c r="Q2648" s="7">
        <v>6.7889999999999997</v>
      </c>
      <c r="R2648" s="7">
        <v>6.4580000000000002</v>
      </c>
      <c r="S2648" s="7">
        <f t="shared" si="41"/>
        <v>5.9987499999999985</v>
      </c>
    </row>
    <row r="2649" spans="1:19">
      <c r="A2649" s="5" t="str">
        <f>B2649&amp;"-"&amp;COUNTIF($B$2:B2649,B2649)</f>
        <v>PARAIBA-86</v>
      </c>
      <c r="B2649" s="5" t="s">
        <v>1789</v>
      </c>
      <c r="C2649" s="5" t="s">
        <v>1850</v>
      </c>
      <c r="D2649" s="6">
        <v>-375082</v>
      </c>
      <c r="E2649" s="6">
        <v>-73893</v>
      </c>
      <c r="F2649" s="7">
        <v>5.8849999999999998</v>
      </c>
      <c r="G2649" s="7">
        <v>6.0970000000000004</v>
      </c>
      <c r="H2649" s="7">
        <v>5.992</v>
      </c>
      <c r="I2649" s="7">
        <v>6.0330000000000004</v>
      </c>
      <c r="J2649" s="7">
        <v>5.7640000000000002</v>
      </c>
      <c r="K2649" s="7">
        <v>5.0970000000000004</v>
      </c>
      <c r="L2649" s="7">
        <v>4.7270000000000003</v>
      </c>
      <c r="M2649" s="7">
        <v>5.0540000000000003</v>
      </c>
      <c r="N2649" s="7">
        <v>5.8140000000000001</v>
      </c>
      <c r="O2649" s="7">
        <v>6.5090000000000003</v>
      </c>
      <c r="P2649" s="7">
        <v>6.57</v>
      </c>
      <c r="Q2649" s="7">
        <v>6.67</v>
      </c>
      <c r="R2649" s="7">
        <v>6.2960000000000003</v>
      </c>
      <c r="S2649" s="7">
        <f t="shared" si="41"/>
        <v>5.8852500000000001</v>
      </c>
    </row>
    <row r="2650" spans="1:19">
      <c r="A2650" s="5" t="str">
        <f>B2650&amp;"-"&amp;COUNTIF($B$2:B2650,B2650)</f>
        <v>PARAIBA-87</v>
      </c>
      <c r="B2650" s="5" t="s">
        <v>1789</v>
      </c>
      <c r="C2650" s="5" t="s">
        <v>5648</v>
      </c>
      <c r="D2650" s="6">
        <v>-356108</v>
      </c>
      <c r="E2650" s="6">
        <v>-72912</v>
      </c>
      <c r="F2650" s="7">
        <v>5.2670000000000003</v>
      </c>
      <c r="G2650" s="7">
        <v>5.5990000000000002</v>
      </c>
      <c r="H2650" s="7">
        <v>5.68</v>
      </c>
      <c r="I2650" s="7">
        <v>5.7569999999999997</v>
      </c>
      <c r="J2650" s="7">
        <v>5.2439999999999998</v>
      </c>
      <c r="K2650" s="7">
        <v>4.6429999999999998</v>
      </c>
      <c r="L2650" s="7">
        <v>4.1360000000000001</v>
      </c>
      <c r="M2650" s="7">
        <v>4.2279999999999998</v>
      </c>
      <c r="N2650" s="7">
        <v>4.8879999999999999</v>
      </c>
      <c r="O2650" s="7">
        <v>5.4370000000000003</v>
      </c>
      <c r="P2650" s="7">
        <v>5.72</v>
      </c>
      <c r="Q2650" s="7">
        <v>6.0529999999999999</v>
      </c>
      <c r="R2650" s="7">
        <v>5.8239999999999998</v>
      </c>
      <c r="S2650" s="7">
        <f t="shared" si="41"/>
        <v>5.2674166666666657</v>
      </c>
    </row>
    <row r="2651" spans="1:19">
      <c r="A2651" s="5" t="str">
        <f>B2651&amp;"-"&amp;COUNTIF($B$2:B2651,B2651)</f>
        <v>PARAIBA-88</v>
      </c>
      <c r="B2651" s="5" t="s">
        <v>1789</v>
      </c>
      <c r="C2651" s="5" t="s">
        <v>1851</v>
      </c>
      <c r="D2651" s="6">
        <v>-353371</v>
      </c>
      <c r="E2651" s="6">
        <v>-73361</v>
      </c>
      <c r="F2651" s="7">
        <v>5.359</v>
      </c>
      <c r="G2651" s="7">
        <v>5.6550000000000002</v>
      </c>
      <c r="H2651" s="7">
        <v>5.8739999999999997</v>
      </c>
      <c r="I2651" s="7">
        <v>5.8479999999999999</v>
      </c>
      <c r="J2651" s="7">
        <v>5.351</v>
      </c>
      <c r="K2651" s="7">
        <v>4.6769999999999996</v>
      </c>
      <c r="L2651" s="7">
        <v>4.2229999999999999</v>
      </c>
      <c r="M2651" s="7">
        <v>4.3570000000000002</v>
      </c>
      <c r="N2651" s="7">
        <v>5.1120000000000001</v>
      </c>
      <c r="O2651" s="7">
        <v>5.5190000000000001</v>
      </c>
      <c r="P2651" s="7">
        <v>5.7610000000000001</v>
      </c>
      <c r="Q2651" s="7">
        <v>5.9909999999999997</v>
      </c>
      <c r="R2651" s="7">
        <v>5.9349999999999996</v>
      </c>
      <c r="S2651" s="7">
        <f t="shared" si="41"/>
        <v>5.3585833333333328</v>
      </c>
    </row>
    <row r="2652" spans="1:19">
      <c r="A2652" s="5" t="str">
        <f>B2652&amp;"-"&amp;COUNTIF($B$2:B2652,B2652)</f>
        <v>PARAIBA-89</v>
      </c>
      <c r="B2652" s="5" t="s">
        <v>1789</v>
      </c>
      <c r="C2652" s="5" t="s">
        <v>1852</v>
      </c>
      <c r="D2652" s="6">
        <v>-381508</v>
      </c>
      <c r="E2652" s="6">
        <v>-73024</v>
      </c>
      <c r="F2652" s="7">
        <v>5.9969999999999999</v>
      </c>
      <c r="G2652" s="7">
        <v>6.2190000000000003</v>
      </c>
      <c r="H2652" s="7">
        <v>6.1790000000000003</v>
      </c>
      <c r="I2652" s="7">
        <v>6.2549999999999999</v>
      </c>
      <c r="J2652" s="7">
        <v>5.8730000000000002</v>
      </c>
      <c r="K2652" s="7">
        <v>5.2050000000000001</v>
      </c>
      <c r="L2652" s="7">
        <v>4.8380000000000001</v>
      </c>
      <c r="M2652" s="7">
        <v>5.0810000000000004</v>
      </c>
      <c r="N2652" s="7">
        <v>5.9130000000000003</v>
      </c>
      <c r="O2652" s="7">
        <v>6.5439999999999996</v>
      </c>
      <c r="P2652" s="7">
        <v>6.609</v>
      </c>
      <c r="Q2652" s="7">
        <v>6.7859999999999996</v>
      </c>
      <c r="R2652" s="7">
        <v>6.46</v>
      </c>
      <c r="S2652" s="7">
        <f t="shared" si="41"/>
        <v>5.9968333333333321</v>
      </c>
    </row>
    <row r="2653" spans="1:19">
      <c r="A2653" s="5" t="str">
        <f>B2653&amp;"-"&amp;COUNTIF($B$2:B2653,B2653)</f>
        <v>PARAIBA-90</v>
      </c>
      <c r="B2653" s="5" t="s">
        <v>1789</v>
      </c>
      <c r="C2653" s="5" t="s">
        <v>1853</v>
      </c>
      <c r="D2653" s="6">
        <v>-352463</v>
      </c>
      <c r="E2653" s="6">
        <v>-68289</v>
      </c>
      <c r="F2653" s="7">
        <v>5.4180000000000001</v>
      </c>
      <c r="G2653" s="7">
        <v>5.7779999999999996</v>
      </c>
      <c r="H2653" s="7">
        <v>5.8159999999999998</v>
      </c>
      <c r="I2653" s="7">
        <v>5.9489999999999998</v>
      </c>
      <c r="J2653" s="7">
        <v>5.3319999999999999</v>
      </c>
      <c r="K2653" s="7">
        <v>4.6870000000000003</v>
      </c>
      <c r="L2653" s="7">
        <v>4.25</v>
      </c>
      <c r="M2653" s="7">
        <v>4.3360000000000003</v>
      </c>
      <c r="N2653" s="7">
        <v>5.1070000000000002</v>
      </c>
      <c r="O2653" s="7">
        <v>5.5709999999999997</v>
      </c>
      <c r="P2653" s="7">
        <v>5.9020000000000001</v>
      </c>
      <c r="Q2653" s="7">
        <v>6.2190000000000003</v>
      </c>
      <c r="R2653" s="7">
        <v>6.07</v>
      </c>
      <c r="S2653" s="7">
        <f t="shared" si="41"/>
        <v>5.4180833333333327</v>
      </c>
    </row>
    <row r="2654" spans="1:19">
      <c r="A2654" s="5" t="str">
        <f>B2654&amp;"-"&amp;COUNTIF($B$2:B2654,B2654)</f>
        <v>PARAIBA-91</v>
      </c>
      <c r="B2654" s="5" t="s">
        <v>1789</v>
      </c>
      <c r="C2654" s="5" t="s">
        <v>1854</v>
      </c>
      <c r="D2654" s="6">
        <v>-356277</v>
      </c>
      <c r="E2654" s="6">
        <v>-73784</v>
      </c>
      <c r="F2654" s="7">
        <v>5.2770000000000001</v>
      </c>
      <c r="G2654" s="7">
        <v>5.6139999999999999</v>
      </c>
      <c r="H2654" s="7">
        <v>5.75</v>
      </c>
      <c r="I2654" s="7">
        <v>5.81</v>
      </c>
      <c r="J2654" s="7">
        <v>5.2480000000000002</v>
      </c>
      <c r="K2654" s="7">
        <v>4.5759999999999996</v>
      </c>
      <c r="L2654" s="7">
        <v>4.0990000000000002</v>
      </c>
      <c r="M2654" s="7">
        <v>4.2190000000000003</v>
      </c>
      <c r="N2654" s="7">
        <v>4.9080000000000004</v>
      </c>
      <c r="O2654" s="7">
        <v>5.4370000000000003</v>
      </c>
      <c r="P2654" s="7">
        <v>5.7320000000000002</v>
      </c>
      <c r="Q2654" s="7">
        <v>6.0609999999999999</v>
      </c>
      <c r="R2654" s="7">
        <v>5.8659999999999997</v>
      </c>
      <c r="S2654" s="7">
        <f t="shared" si="41"/>
        <v>5.2766666666666664</v>
      </c>
    </row>
    <row r="2655" spans="1:19">
      <c r="A2655" s="5" t="str">
        <f>B2655&amp;"-"&amp;COUNTIF($B$2:B2655,B2655)</f>
        <v>PARAIBA-92</v>
      </c>
      <c r="B2655" s="5" t="s">
        <v>1789</v>
      </c>
      <c r="C2655" s="5" t="s">
        <v>4855</v>
      </c>
      <c r="D2655" s="6">
        <v>-352893</v>
      </c>
      <c r="E2655" s="6">
        <v>-66149</v>
      </c>
      <c r="F2655" s="7">
        <v>5.516</v>
      </c>
      <c r="G2655" s="7">
        <v>5.9210000000000003</v>
      </c>
      <c r="H2655" s="7">
        <v>5.976</v>
      </c>
      <c r="I2655" s="7">
        <v>5.9829999999999997</v>
      </c>
      <c r="J2655" s="7">
        <v>5.4009999999999998</v>
      </c>
      <c r="K2655" s="7">
        <v>4.835</v>
      </c>
      <c r="L2655" s="7">
        <v>4.3810000000000002</v>
      </c>
      <c r="M2655" s="7">
        <v>4.4859999999999998</v>
      </c>
      <c r="N2655" s="7">
        <v>5.2380000000000004</v>
      </c>
      <c r="O2655" s="7">
        <v>5.7119999999999997</v>
      </c>
      <c r="P2655" s="7">
        <v>5.9539999999999997</v>
      </c>
      <c r="Q2655" s="7">
        <v>6.258</v>
      </c>
      <c r="R2655" s="7">
        <v>6.048</v>
      </c>
      <c r="S2655" s="7">
        <f t="shared" si="41"/>
        <v>5.5160833333333334</v>
      </c>
    </row>
    <row r="2656" spans="1:19">
      <c r="A2656" s="5" t="str">
        <f>B2656&amp;"-"&amp;COUNTIF($B$2:B2656,B2656)</f>
        <v>PARAIBA-93</v>
      </c>
      <c r="B2656" s="5" t="s">
        <v>1789</v>
      </c>
      <c r="C2656" s="5" t="s">
        <v>5155</v>
      </c>
      <c r="D2656" s="6">
        <v>-37806</v>
      </c>
      <c r="E2656" s="6">
        <v>-65535</v>
      </c>
      <c r="F2656" s="7">
        <v>5.9790000000000001</v>
      </c>
      <c r="G2656" s="7">
        <v>6.0869999999999997</v>
      </c>
      <c r="H2656" s="7">
        <v>6.0940000000000003</v>
      </c>
      <c r="I2656" s="7">
        <v>6.133</v>
      </c>
      <c r="J2656" s="7">
        <v>5.8239999999999998</v>
      </c>
      <c r="K2656" s="7">
        <v>5.3090000000000002</v>
      </c>
      <c r="L2656" s="7">
        <v>4.9470000000000001</v>
      </c>
      <c r="M2656" s="7">
        <v>5.2359999999999998</v>
      </c>
      <c r="N2656" s="7">
        <v>5.9880000000000004</v>
      </c>
      <c r="O2656" s="7">
        <v>6.5279999999999996</v>
      </c>
      <c r="P2656" s="7">
        <v>6.6529999999999996</v>
      </c>
      <c r="Q2656" s="7">
        <v>6.6890000000000001</v>
      </c>
      <c r="R2656" s="7">
        <v>6.266</v>
      </c>
      <c r="S2656" s="7">
        <f t="shared" si="41"/>
        <v>5.9795000000000007</v>
      </c>
    </row>
    <row r="2657" spans="1:19">
      <c r="A2657" s="5" t="str">
        <f>B2657&amp;"-"&amp;COUNTIF($B$2:B2657,B2657)</f>
        <v>PARAIBA-94</v>
      </c>
      <c r="B2657" s="5" t="s">
        <v>1789</v>
      </c>
      <c r="C2657" s="5" t="s">
        <v>4062</v>
      </c>
      <c r="D2657" s="6">
        <v>-348647</v>
      </c>
      <c r="E2657" s="6">
        <v>-71159</v>
      </c>
      <c r="F2657" s="7">
        <v>5.53</v>
      </c>
      <c r="G2657" s="7">
        <v>5.8620000000000001</v>
      </c>
      <c r="H2657" s="7">
        <v>6.0019999999999998</v>
      </c>
      <c r="I2657" s="7">
        <v>6.0090000000000003</v>
      </c>
      <c r="J2657" s="7">
        <v>5.3650000000000002</v>
      </c>
      <c r="K2657" s="7">
        <v>4.8230000000000004</v>
      </c>
      <c r="L2657" s="7">
        <v>4.3600000000000003</v>
      </c>
      <c r="M2657" s="7">
        <v>4.4749999999999996</v>
      </c>
      <c r="N2657" s="7">
        <v>5.2610000000000001</v>
      </c>
      <c r="O2657" s="7">
        <v>5.758</v>
      </c>
      <c r="P2657" s="7">
        <v>6.0540000000000003</v>
      </c>
      <c r="Q2657" s="7">
        <v>6.24</v>
      </c>
      <c r="R2657" s="7">
        <v>6.1509999999999998</v>
      </c>
      <c r="S2657" s="7">
        <f t="shared" si="41"/>
        <v>5.5300000000000011</v>
      </c>
    </row>
    <row r="2658" spans="1:19">
      <c r="A2658" s="5" t="str">
        <f>B2658&amp;"-"&amp;COUNTIF($B$2:B2658,B2658)</f>
        <v>PARAIBA-95</v>
      </c>
      <c r="B2658" s="5" t="s">
        <v>1789</v>
      </c>
      <c r="C2658" s="5" t="s">
        <v>1855</v>
      </c>
      <c r="D2658" s="6">
        <v>-384767</v>
      </c>
      <c r="E2658" s="6">
        <v>-6484</v>
      </c>
      <c r="F2658" s="7">
        <v>5.8849999999999998</v>
      </c>
      <c r="G2658" s="7">
        <v>5.992</v>
      </c>
      <c r="H2658" s="7">
        <v>5.9390000000000001</v>
      </c>
      <c r="I2658" s="7">
        <v>5.9260000000000002</v>
      </c>
      <c r="J2658" s="7">
        <v>5.5659999999999998</v>
      </c>
      <c r="K2658" s="7">
        <v>5.1310000000000002</v>
      </c>
      <c r="L2658" s="7">
        <v>4.9320000000000004</v>
      </c>
      <c r="M2658" s="7">
        <v>5.258</v>
      </c>
      <c r="N2658" s="7">
        <v>6.02</v>
      </c>
      <c r="O2658" s="7">
        <v>6.4640000000000004</v>
      </c>
      <c r="P2658" s="7">
        <v>6.5609999999999999</v>
      </c>
      <c r="Q2658" s="7">
        <v>6.6740000000000004</v>
      </c>
      <c r="R2658" s="7">
        <v>6.16</v>
      </c>
      <c r="S2658" s="7">
        <f t="shared" si="41"/>
        <v>5.8852499999999992</v>
      </c>
    </row>
    <row r="2659" spans="1:19">
      <c r="A2659" s="5" t="str">
        <f>B2659&amp;"-"&amp;COUNTIF($B$2:B2659,B2659)</f>
        <v>PARAIBA-96</v>
      </c>
      <c r="B2659" s="5" t="s">
        <v>1789</v>
      </c>
      <c r="C2659" s="5" t="s">
        <v>5649</v>
      </c>
      <c r="D2659" s="6">
        <v>-355741</v>
      </c>
      <c r="E2659" s="6">
        <v>-71746</v>
      </c>
      <c r="F2659" s="7">
        <v>5.2530000000000001</v>
      </c>
      <c r="G2659" s="7">
        <v>5.6230000000000002</v>
      </c>
      <c r="H2659" s="7">
        <v>5.718</v>
      </c>
      <c r="I2659" s="7">
        <v>5.7119999999999997</v>
      </c>
      <c r="J2659" s="7">
        <v>5.1950000000000003</v>
      </c>
      <c r="K2659" s="7">
        <v>4.6150000000000002</v>
      </c>
      <c r="L2659" s="7">
        <v>4.0860000000000003</v>
      </c>
      <c r="M2659" s="7">
        <v>4.2759999999999998</v>
      </c>
      <c r="N2659" s="7">
        <v>4.9820000000000002</v>
      </c>
      <c r="O2659" s="7">
        <v>5.476</v>
      </c>
      <c r="P2659" s="7">
        <v>5.6390000000000002</v>
      </c>
      <c r="Q2659" s="7">
        <v>5.8959999999999999</v>
      </c>
      <c r="R2659" s="7">
        <v>5.8239999999999998</v>
      </c>
      <c r="S2659" s="7">
        <f t="shared" si="41"/>
        <v>5.2534999999999998</v>
      </c>
    </row>
    <row r="2660" spans="1:19">
      <c r="A2660" s="5" t="str">
        <f>B2660&amp;"-"&amp;COUNTIF($B$2:B2660,B2660)</f>
        <v>PARAIBA-97</v>
      </c>
      <c r="B2660" s="5" t="s">
        <v>1789</v>
      </c>
      <c r="C2660" s="5" t="s">
        <v>1856</v>
      </c>
      <c r="D2660" s="6">
        <v>-365792</v>
      </c>
      <c r="E2660" s="6">
        <v>-70684</v>
      </c>
      <c r="F2660" s="7">
        <v>5.5609999999999999</v>
      </c>
      <c r="G2660" s="7">
        <v>5.8049999999999997</v>
      </c>
      <c r="H2660" s="7">
        <v>5.8440000000000003</v>
      </c>
      <c r="I2660" s="7">
        <v>5.9080000000000004</v>
      </c>
      <c r="J2660" s="7">
        <v>5.5049999999999999</v>
      </c>
      <c r="K2660" s="7">
        <v>4.8259999999999996</v>
      </c>
      <c r="L2660" s="7">
        <v>4.3540000000000001</v>
      </c>
      <c r="M2660" s="7">
        <v>4.5970000000000004</v>
      </c>
      <c r="N2660" s="7">
        <v>5.3159999999999998</v>
      </c>
      <c r="O2660" s="7">
        <v>5.9660000000000002</v>
      </c>
      <c r="P2660" s="7">
        <v>6.1829999999999998</v>
      </c>
      <c r="Q2660" s="7">
        <v>6.37</v>
      </c>
      <c r="R2660" s="7">
        <v>6.0570000000000004</v>
      </c>
      <c r="S2660" s="7">
        <f t="shared" si="41"/>
        <v>5.5609166666666674</v>
      </c>
    </row>
    <row r="2661" spans="1:19">
      <c r="A2661" s="5" t="str">
        <f>B2661&amp;"-"&amp;COUNTIF($B$2:B2661,B2661)</f>
        <v>PARAIBA-98</v>
      </c>
      <c r="B2661" s="5" t="s">
        <v>1789</v>
      </c>
      <c r="C2661" s="5" t="s">
        <v>5156</v>
      </c>
      <c r="D2661" s="6">
        <v>-367169</v>
      </c>
      <c r="E2661" s="6">
        <v>-69931</v>
      </c>
      <c r="F2661" s="7">
        <v>5.7350000000000003</v>
      </c>
      <c r="G2661" s="7">
        <v>6.0220000000000002</v>
      </c>
      <c r="H2661" s="7">
        <v>5.976</v>
      </c>
      <c r="I2661" s="7">
        <v>5.9539999999999997</v>
      </c>
      <c r="J2661" s="7">
        <v>5.5679999999999996</v>
      </c>
      <c r="K2661" s="7">
        <v>4.9930000000000003</v>
      </c>
      <c r="L2661" s="7">
        <v>4.5599999999999996</v>
      </c>
      <c r="M2661" s="7">
        <v>4.8470000000000004</v>
      </c>
      <c r="N2661" s="7">
        <v>5.625</v>
      </c>
      <c r="O2661" s="7">
        <v>6.2249999999999996</v>
      </c>
      <c r="P2661" s="7">
        <v>6.4130000000000003</v>
      </c>
      <c r="Q2661" s="7">
        <v>6.4950000000000001</v>
      </c>
      <c r="R2661" s="7">
        <v>6.1470000000000002</v>
      </c>
      <c r="S2661" s="7">
        <f t="shared" si="41"/>
        <v>5.7354166666666666</v>
      </c>
    </row>
    <row r="2662" spans="1:19">
      <c r="A2662" s="5" t="str">
        <f>B2662&amp;"-"&amp;COUNTIF($B$2:B2662,B2662)</f>
        <v>PARAIBA-99</v>
      </c>
      <c r="B2662" s="5" t="s">
        <v>1789</v>
      </c>
      <c r="C2662" s="5" t="s">
        <v>1857</v>
      </c>
      <c r="D2662" s="6">
        <v>-352387</v>
      </c>
      <c r="E2662" s="6">
        <v>-73587</v>
      </c>
      <c r="F2662" s="7">
        <v>5.3849999999999998</v>
      </c>
      <c r="G2662" s="7">
        <v>5.6970000000000001</v>
      </c>
      <c r="H2662" s="7">
        <v>5.8819999999999997</v>
      </c>
      <c r="I2662" s="7">
        <v>5.8719999999999999</v>
      </c>
      <c r="J2662" s="7">
        <v>5.327</v>
      </c>
      <c r="K2662" s="7">
        <v>4.6349999999999998</v>
      </c>
      <c r="L2662" s="7">
        <v>4.2439999999999998</v>
      </c>
      <c r="M2662" s="7">
        <v>4.3739999999999997</v>
      </c>
      <c r="N2662" s="7">
        <v>5.0910000000000002</v>
      </c>
      <c r="O2662" s="7">
        <v>5.6020000000000003</v>
      </c>
      <c r="P2662" s="7">
        <v>5.8179999999999996</v>
      </c>
      <c r="Q2662" s="7">
        <v>6.1020000000000003</v>
      </c>
      <c r="R2662" s="7">
        <v>5.9729999999999999</v>
      </c>
      <c r="S2662" s="7">
        <f t="shared" si="41"/>
        <v>5.3847500000000004</v>
      </c>
    </row>
    <row r="2663" spans="1:19">
      <c r="A2663" s="5" t="str">
        <f>B2663&amp;"-"&amp;COUNTIF($B$2:B2663,B2663)</f>
        <v>PARAIBA-100</v>
      </c>
      <c r="B2663" s="5" t="s">
        <v>1789</v>
      </c>
      <c r="C2663" s="5" t="s">
        <v>1858</v>
      </c>
      <c r="D2663" s="6">
        <v>-378202</v>
      </c>
      <c r="E2663" s="6">
        <v>-75383</v>
      </c>
      <c r="F2663" s="7">
        <v>5.899</v>
      </c>
      <c r="G2663" s="7">
        <v>6.0679999999999996</v>
      </c>
      <c r="H2663" s="7">
        <v>6.0730000000000004</v>
      </c>
      <c r="I2663" s="7">
        <v>6.0359999999999996</v>
      </c>
      <c r="J2663" s="7">
        <v>5.78</v>
      </c>
      <c r="K2663" s="7">
        <v>5.1239999999999997</v>
      </c>
      <c r="L2663" s="7">
        <v>4.7809999999999997</v>
      </c>
      <c r="M2663" s="7">
        <v>5.0220000000000002</v>
      </c>
      <c r="N2663" s="7">
        <v>5.8239999999999998</v>
      </c>
      <c r="O2663" s="7">
        <v>6.5350000000000001</v>
      </c>
      <c r="P2663" s="7">
        <v>6.577</v>
      </c>
      <c r="Q2663" s="7">
        <v>6.694</v>
      </c>
      <c r="R2663" s="7">
        <v>6.27</v>
      </c>
      <c r="S2663" s="7">
        <f t="shared" si="41"/>
        <v>5.8986666666666663</v>
      </c>
    </row>
    <row r="2664" spans="1:19">
      <c r="A2664" s="5" t="str">
        <f>B2664&amp;"-"&amp;COUNTIF($B$2:B2664,B2664)</f>
        <v>PARAIBA-101</v>
      </c>
      <c r="B2664" s="5" t="s">
        <v>1789</v>
      </c>
      <c r="C2664" s="5" t="s">
        <v>1859</v>
      </c>
      <c r="D2664" s="6">
        <v>-379156</v>
      </c>
      <c r="E2664" s="6">
        <v>-65921</v>
      </c>
      <c r="F2664" s="7">
        <v>5.9989999999999997</v>
      </c>
      <c r="G2664" s="7">
        <v>6.0960000000000001</v>
      </c>
      <c r="H2664" s="7">
        <v>6.0819999999999999</v>
      </c>
      <c r="I2664" s="7">
        <v>6.1280000000000001</v>
      </c>
      <c r="J2664" s="7">
        <v>5.8120000000000003</v>
      </c>
      <c r="K2664" s="7">
        <v>5.3079999999999998</v>
      </c>
      <c r="L2664" s="7">
        <v>4.99</v>
      </c>
      <c r="M2664" s="7">
        <v>5.2649999999999997</v>
      </c>
      <c r="N2664" s="7">
        <v>6.0270000000000001</v>
      </c>
      <c r="O2664" s="7">
        <v>6.5730000000000004</v>
      </c>
      <c r="P2664" s="7">
        <v>6.6820000000000004</v>
      </c>
      <c r="Q2664" s="7">
        <v>6.7480000000000002</v>
      </c>
      <c r="R2664" s="7">
        <v>6.282</v>
      </c>
      <c r="S2664" s="7">
        <f t="shared" si="41"/>
        <v>5.9994166666666677</v>
      </c>
    </row>
    <row r="2665" spans="1:19">
      <c r="A2665" s="5" t="str">
        <f>B2665&amp;"-"&amp;COUNTIF($B$2:B2665,B2665)</f>
        <v>PARAIBA-102</v>
      </c>
      <c r="B2665" s="5" t="s">
        <v>1789</v>
      </c>
      <c r="C2665" s="5" t="s">
        <v>1860</v>
      </c>
      <c r="D2665" s="6">
        <v>-353709</v>
      </c>
      <c r="E2665" s="6">
        <v>-66725</v>
      </c>
      <c r="F2665" s="7">
        <v>5.3940000000000001</v>
      </c>
      <c r="G2665" s="7">
        <v>5.7619999999999996</v>
      </c>
      <c r="H2665" s="7">
        <v>5.7789999999999999</v>
      </c>
      <c r="I2665" s="7">
        <v>5.8179999999999996</v>
      </c>
      <c r="J2665" s="7">
        <v>5.3159999999999998</v>
      </c>
      <c r="K2665" s="7">
        <v>4.7240000000000002</v>
      </c>
      <c r="L2665" s="7">
        <v>4.2560000000000002</v>
      </c>
      <c r="M2665" s="7">
        <v>4.42</v>
      </c>
      <c r="N2665" s="7">
        <v>5.1390000000000002</v>
      </c>
      <c r="O2665" s="7">
        <v>5.5869999999999997</v>
      </c>
      <c r="P2665" s="7">
        <v>5.8630000000000004</v>
      </c>
      <c r="Q2665" s="7">
        <v>6.1420000000000003</v>
      </c>
      <c r="R2665" s="7">
        <v>5.9169999999999998</v>
      </c>
      <c r="S2665" s="7">
        <f t="shared" si="41"/>
        <v>5.393583333333333</v>
      </c>
    </row>
    <row r="2666" spans="1:19">
      <c r="A2666" s="5" t="str">
        <f>B2666&amp;"-"&amp;COUNTIF($B$2:B2666,B2666)</f>
        <v>PARAIBA-103</v>
      </c>
      <c r="B2666" s="5" t="s">
        <v>1789</v>
      </c>
      <c r="C2666" s="5" t="s">
        <v>1861</v>
      </c>
      <c r="D2666" s="6">
        <v>-358545</v>
      </c>
      <c r="E2666" s="6">
        <v>-71558</v>
      </c>
      <c r="F2666" s="7">
        <v>5.2469999999999999</v>
      </c>
      <c r="G2666" s="7">
        <v>5.5460000000000003</v>
      </c>
      <c r="H2666" s="7">
        <v>5.6689999999999996</v>
      </c>
      <c r="I2666" s="7">
        <v>5.7670000000000003</v>
      </c>
      <c r="J2666" s="7">
        <v>5.2309999999999999</v>
      </c>
      <c r="K2666" s="7">
        <v>4.6260000000000003</v>
      </c>
      <c r="L2666" s="7">
        <v>4.0629999999999997</v>
      </c>
      <c r="M2666" s="7">
        <v>4.1639999999999997</v>
      </c>
      <c r="N2666" s="7">
        <v>4.8979999999999997</v>
      </c>
      <c r="O2666" s="7">
        <v>5.4909999999999997</v>
      </c>
      <c r="P2666" s="7">
        <v>5.7510000000000003</v>
      </c>
      <c r="Q2666" s="7">
        <v>5.9939999999999998</v>
      </c>
      <c r="R2666" s="7">
        <v>5.7640000000000002</v>
      </c>
      <c r="S2666" s="7">
        <f t="shared" si="41"/>
        <v>5.2469999999999999</v>
      </c>
    </row>
    <row r="2667" spans="1:19">
      <c r="A2667" s="5" t="str">
        <f>B2667&amp;"-"&amp;COUNTIF($B$2:B2667,B2667)</f>
        <v>PARAIBA-104</v>
      </c>
      <c r="B2667" s="5" t="s">
        <v>1789</v>
      </c>
      <c r="C2667" s="5" t="s">
        <v>1862</v>
      </c>
      <c r="D2667" s="6">
        <v>-381745</v>
      </c>
      <c r="E2667" s="6">
        <v>-65064</v>
      </c>
      <c r="F2667" s="7">
        <v>5.9429999999999996</v>
      </c>
      <c r="G2667" s="7">
        <v>6.0220000000000002</v>
      </c>
      <c r="H2667" s="7">
        <v>5.97</v>
      </c>
      <c r="I2667" s="7">
        <v>6.0519999999999996</v>
      </c>
      <c r="J2667" s="7">
        <v>5.7149999999999999</v>
      </c>
      <c r="K2667" s="7">
        <v>5.26</v>
      </c>
      <c r="L2667" s="7">
        <v>4.9820000000000002</v>
      </c>
      <c r="M2667" s="7">
        <v>5.2690000000000001</v>
      </c>
      <c r="N2667" s="7">
        <v>6.0309999999999997</v>
      </c>
      <c r="O2667" s="7">
        <v>6.4640000000000004</v>
      </c>
      <c r="P2667" s="7">
        <v>6.5970000000000004</v>
      </c>
      <c r="Q2667" s="7">
        <v>6.75</v>
      </c>
      <c r="R2667" s="7">
        <v>6.2030000000000003</v>
      </c>
      <c r="S2667" s="7">
        <f t="shared" si="41"/>
        <v>5.9429166666666662</v>
      </c>
    </row>
    <row r="2668" spans="1:19">
      <c r="A2668" s="5" t="str">
        <f>B2668&amp;"-"&amp;COUNTIF($B$2:B2668,B2668)</f>
        <v>PARAIBA-105</v>
      </c>
      <c r="B2668" s="5" t="s">
        <v>1789</v>
      </c>
      <c r="C2668" s="5" t="s">
        <v>1863</v>
      </c>
      <c r="D2668" s="6">
        <v>-369463</v>
      </c>
      <c r="E2668" s="6">
        <v>-73758</v>
      </c>
      <c r="F2668" s="7">
        <v>5.7110000000000003</v>
      </c>
      <c r="G2668" s="7">
        <v>6.048</v>
      </c>
      <c r="H2668" s="7">
        <v>6.0190000000000001</v>
      </c>
      <c r="I2668" s="7">
        <v>6.0410000000000004</v>
      </c>
      <c r="J2668" s="7">
        <v>5.625</v>
      </c>
      <c r="K2668" s="7">
        <v>4.9119999999999999</v>
      </c>
      <c r="L2668" s="7">
        <v>4.4779999999999998</v>
      </c>
      <c r="M2668" s="7">
        <v>4.6989999999999998</v>
      </c>
      <c r="N2668" s="7">
        <v>5.4180000000000001</v>
      </c>
      <c r="O2668" s="7">
        <v>6.181</v>
      </c>
      <c r="P2668" s="7">
        <v>6.3929999999999998</v>
      </c>
      <c r="Q2668" s="7">
        <v>6.5069999999999997</v>
      </c>
      <c r="R2668" s="7">
        <v>6.2119999999999997</v>
      </c>
      <c r="S2668" s="7">
        <f t="shared" si="41"/>
        <v>5.711083333333332</v>
      </c>
    </row>
    <row r="2669" spans="1:19">
      <c r="A2669" s="5" t="str">
        <f>B2669&amp;"-"&amp;COUNTIF($B$2:B2669,B2669)</f>
        <v>PARAIBA-106</v>
      </c>
      <c r="B2669" s="5" t="s">
        <v>1789</v>
      </c>
      <c r="C2669" s="5" t="s">
        <v>1864</v>
      </c>
      <c r="D2669" s="6">
        <v>-354407</v>
      </c>
      <c r="E2669" s="6">
        <v>-66165</v>
      </c>
      <c r="F2669" s="7">
        <v>5.4560000000000004</v>
      </c>
      <c r="G2669" s="7">
        <v>5.7519999999999998</v>
      </c>
      <c r="H2669" s="7">
        <v>5.7830000000000004</v>
      </c>
      <c r="I2669" s="7">
        <v>5.8789999999999996</v>
      </c>
      <c r="J2669" s="7">
        <v>5.351</v>
      </c>
      <c r="K2669" s="7">
        <v>4.851</v>
      </c>
      <c r="L2669" s="7">
        <v>4.4130000000000003</v>
      </c>
      <c r="M2669" s="7">
        <v>4.5810000000000004</v>
      </c>
      <c r="N2669" s="7">
        <v>5.2690000000000001</v>
      </c>
      <c r="O2669" s="7">
        <v>5.7149999999999999</v>
      </c>
      <c r="P2669" s="7">
        <v>5.9290000000000003</v>
      </c>
      <c r="Q2669" s="7">
        <v>6.125</v>
      </c>
      <c r="R2669" s="7">
        <v>5.8220000000000001</v>
      </c>
      <c r="S2669" s="7">
        <f t="shared" si="41"/>
        <v>5.4558333333333335</v>
      </c>
    </row>
    <row r="2670" spans="1:19">
      <c r="A2670" s="5" t="str">
        <f>B2670&amp;"-"&amp;COUNTIF($B$2:B2670,B2670)</f>
        <v>PARAIBA-107</v>
      </c>
      <c r="B2670" s="5" t="s">
        <v>1789</v>
      </c>
      <c r="C2670" s="5" t="s">
        <v>1865</v>
      </c>
      <c r="D2670" s="6">
        <v>-348764</v>
      </c>
      <c r="E2670" s="6">
        <v>-69002</v>
      </c>
      <c r="F2670" s="7">
        <v>5.73</v>
      </c>
      <c r="G2670" s="7">
        <v>6.0339999999999998</v>
      </c>
      <c r="H2670" s="7">
        <v>6.181</v>
      </c>
      <c r="I2670" s="7">
        <v>6.19</v>
      </c>
      <c r="J2670" s="7">
        <v>5.5620000000000003</v>
      </c>
      <c r="K2670" s="7">
        <v>5.0069999999999997</v>
      </c>
      <c r="L2670" s="7">
        <v>4.5279999999999996</v>
      </c>
      <c r="M2670" s="7">
        <v>4.6500000000000004</v>
      </c>
      <c r="N2670" s="7">
        <v>5.5339999999999998</v>
      </c>
      <c r="O2670" s="7">
        <v>5.9889999999999999</v>
      </c>
      <c r="P2670" s="7">
        <v>6.2910000000000004</v>
      </c>
      <c r="Q2670" s="7">
        <v>6.4669999999999996</v>
      </c>
      <c r="R2670" s="7">
        <v>6.3310000000000004</v>
      </c>
      <c r="S2670" s="7">
        <f t="shared" si="41"/>
        <v>5.7303333333333333</v>
      </c>
    </row>
    <row r="2671" spans="1:19">
      <c r="A2671" s="5" t="str">
        <f>B2671&amp;"-"&amp;COUNTIF($B$2:B2671,B2671)</f>
        <v>PARAIBA-108</v>
      </c>
      <c r="B2671" s="5" t="s">
        <v>1789</v>
      </c>
      <c r="C2671" s="5" t="s">
        <v>5383</v>
      </c>
      <c r="D2671" s="6">
        <v>-374277</v>
      </c>
      <c r="E2671" s="6">
        <v>-72579</v>
      </c>
      <c r="F2671" s="7">
        <v>5.8970000000000002</v>
      </c>
      <c r="G2671" s="7">
        <v>6.0350000000000001</v>
      </c>
      <c r="H2671" s="7">
        <v>6.0439999999999996</v>
      </c>
      <c r="I2671" s="7">
        <v>6.0529999999999999</v>
      </c>
      <c r="J2671" s="7">
        <v>5.7919999999999998</v>
      </c>
      <c r="K2671" s="7">
        <v>5.1059999999999999</v>
      </c>
      <c r="L2671" s="7">
        <v>4.7069999999999999</v>
      </c>
      <c r="M2671" s="7">
        <v>5.0709999999999997</v>
      </c>
      <c r="N2671" s="7">
        <v>5.8529999999999998</v>
      </c>
      <c r="O2671" s="7">
        <v>6.4729999999999999</v>
      </c>
      <c r="P2671" s="7">
        <v>6.5860000000000003</v>
      </c>
      <c r="Q2671" s="7">
        <v>6.681</v>
      </c>
      <c r="R2671" s="7">
        <v>6.3620000000000001</v>
      </c>
      <c r="S2671" s="7">
        <f t="shared" si="41"/>
        <v>5.8969166666666659</v>
      </c>
    </row>
    <row r="2672" spans="1:19">
      <c r="A2672" s="5" t="str">
        <f>B2672&amp;"-"&amp;COUNTIF($B$2:B2672,B2672)</f>
        <v>PARAIBA-109</v>
      </c>
      <c r="B2672" s="5" t="s">
        <v>1789</v>
      </c>
      <c r="C2672" s="5" t="s">
        <v>1866</v>
      </c>
      <c r="D2672" s="6">
        <v>-375215</v>
      </c>
      <c r="E2672" s="6">
        <v>-69047</v>
      </c>
      <c r="F2672" s="7">
        <v>6.0129999999999999</v>
      </c>
      <c r="G2672" s="7">
        <v>6.2320000000000002</v>
      </c>
      <c r="H2672" s="7">
        <v>6.2679999999999998</v>
      </c>
      <c r="I2672" s="7">
        <v>6.3390000000000004</v>
      </c>
      <c r="J2672" s="7">
        <v>5.9240000000000004</v>
      </c>
      <c r="K2672" s="7">
        <v>5.27</v>
      </c>
      <c r="L2672" s="7">
        <v>4.8449999999999998</v>
      </c>
      <c r="M2672" s="7">
        <v>5.0919999999999996</v>
      </c>
      <c r="N2672" s="7">
        <v>5.9119999999999999</v>
      </c>
      <c r="O2672" s="7">
        <v>6.51</v>
      </c>
      <c r="P2672" s="7">
        <v>6.6479999999999997</v>
      </c>
      <c r="Q2672" s="7">
        <v>6.6680000000000001</v>
      </c>
      <c r="R2672" s="7">
        <v>6.4480000000000004</v>
      </c>
      <c r="S2672" s="7">
        <f t="shared" si="41"/>
        <v>6.0130000000000008</v>
      </c>
    </row>
    <row r="2673" spans="1:19">
      <c r="A2673" s="5" t="str">
        <f>B2673&amp;"-"&amp;COUNTIF($B$2:B2673,B2673)</f>
        <v>PARAIBA-110</v>
      </c>
      <c r="B2673" s="5" t="s">
        <v>1789</v>
      </c>
      <c r="C2673" s="5" t="s">
        <v>1867</v>
      </c>
      <c r="D2673" s="6">
        <v>-351216</v>
      </c>
      <c r="E2673" s="6">
        <v>-68341</v>
      </c>
      <c r="F2673" s="7">
        <v>5.4320000000000004</v>
      </c>
      <c r="G2673" s="7">
        <v>5.8220000000000001</v>
      </c>
      <c r="H2673" s="7">
        <v>5.8540000000000001</v>
      </c>
      <c r="I2673" s="7">
        <v>5.9909999999999997</v>
      </c>
      <c r="J2673" s="7">
        <v>5.3410000000000002</v>
      </c>
      <c r="K2673" s="7">
        <v>4.6879999999999997</v>
      </c>
      <c r="L2673" s="7">
        <v>4.2439999999999998</v>
      </c>
      <c r="M2673" s="7">
        <v>4.3209999999999997</v>
      </c>
      <c r="N2673" s="7">
        <v>5.1150000000000002</v>
      </c>
      <c r="O2673" s="7">
        <v>5.5860000000000003</v>
      </c>
      <c r="P2673" s="7">
        <v>5.9059999999999997</v>
      </c>
      <c r="Q2673" s="7">
        <v>6.2229999999999999</v>
      </c>
      <c r="R2673" s="7">
        <v>6.0890000000000004</v>
      </c>
      <c r="S2673" s="7">
        <f t="shared" si="41"/>
        <v>5.4316666666666675</v>
      </c>
    </row>
    <row r="2674" spans="1:19">
      <c r="A2674" s="5" t="str">
        <f>B2674&amp;"-"&amp;COUNTIF($B$2:B2674,B2674)</f>
        <v>PARAIBA-111</v>
      </c>
      <c r="B2674" s="5" t="s">
        <v>1789</v>
      </c>
      <c r="C2674" s="5" t="s">
        <v>1868</v>
      </c>
      <c r="D2674" s="6">
        <v>-381526</v>
      </c>
      <c r="E2674" s="6">
        <v>-77037</v>
      </c>
      <c r="F2674" s="7">
        <v>5.89</v>
      </c>
      <c r="G2674" s="7">
        <v>6.157</v>
      </c>
      <c r="H2674" s="7">
        <v>6.109</v>
      </c>
      <c r="I2674" s="7">
        <v>6.1390000000000002</v>
      </c>
      <c r="J2674" s="7">
        <v>5.72</v>
      </c>
      <c r="K2674" s="7">
        <v>5.048</v>
      </c>
      <c r="L2674" s="7">
        <v>4.6900000000000004</v>
      </c>
      <c r="M2674" s="7">
        <v>4.9400000000000004</v>
      </c>
      <c r="N2674" s="7">
        <v>5.7789999999999999</v>
      </c>
      <c r="O2674" s="7">
        <v>6.4720000000000004</v>
      </c>
      <c r="P2674" s="7">
        <v>6.5640000000000001</v>
      </c>
      <c r="Q2674" s="7">
        <v>6.7380000000000004</v>
      </c>
      <c r="R2674" s="7">
        <v>6.3230000000000004</v>
      </c>
      <c r="S2674" s="7">
        <f t="shared" si="41"/>
        <v>5.8899166666666671</v>
      </c>
    </row>
    <row r="2675" spans="1:19">
      <c r="A2675" s="5" t="str">
        <f>B2675&amp;"-"&amp;COUNTIF($B$2:B2675,B2675)</f>
        <v>PARAIBA-112</v>
      </c>
      <c r="B2675" s="5" t="s">
        <v>1789</v>
      </c>
      <c r="C2675" s="5" t="s">
        <v>4703</v>
      </c>
      <c r="D2675" s="6">
        <v>-350089</v>
      </c>
      <c r="E2675" s="6">
        <v>-67658</v>
      </c>
      <c r="F2675" s="7">
        <v>5.4720000000000004</v>
      </c>
      <c r="G2675" s="7">
        <v>5.86</v>
      </c>
      <c r="H2675" s="7">
        <v>5.9649999999999999</v>
      </c>
      <c r="I2675" s="7">
        <v>6.069</v>
      </c>
      <c r="J2675" s="7">
        <v>5.3680000000000003</v>
      </c>
      <c r="K2675" s="7">
        <v>4.758</v>
      </c>
      <c r="L2675" s="7">
        <v>4.2910000000000004</v>
      </c>
      <c r="M2675" s="7">
        <v>4.3410000000000002</v>
      </c>
      <c r="N2675" s="7">
        <v>5.1849999999999996</v>
      </c>
      <c r="O2675" s="7">
        <v>5.6120000000000001</v>
      </c>
      <c r="P2675" s="7">
        <v>5.9370000000000003</v>
      </c>
      <c r="Q2675" s="7">
        <v>6.2050000000000001</v>
      </c>
      <c r="R2675" s="7">
        <v>6.0780000000000003</v>
      </c>
      <c r="S2675" s="7">
        <f t="shared" si="41"/>
        <v>5.4724166666666667</v>
      </c>
    </row>
    <row r="2676" spans="1:19">
      <c r="A2676" s="5" t="str">
        <f>B2676&amp;"-"&amp;COUNTIF($B$2:B2676,B2676)</f>
        <v>PARAIBA-113</v>
      </c>
      <c r="B2676" s="5" t="s">
        <v>1789</v>
      </c>
      <c r="C2676" s="5" t="s">
        <v>1869</v>
      </c>
      <c r="D2676" s="6">
        <v>-353183</v>
      </c>
      <c r="E2676" s="6">
        <v>-70598</v>
      </c>
      <c r="F2676" s="7">
        <v>5.3780000000000001</v>
      </c>
      <c r="G2676" s="7">
        <v>5.7009999999999996</v>
      </c>
      <c r="H2676" s="7">
        <v>5.7539999999999996</v>
      </c>
      <c r="I2676" s="7">
        <v>5.8810000000000002</v>
      </c>
      <c r="J2676" s="7">
        <v>5.3209999999999997</v>
      </c>
      <c r="K2676" s="7">
        <v>4.6630000000000003</v>
      </c>
      <c r="L2676" s="7">
        <v>4.2709999999999999</v>
      </c>
      <c r="M2676" s="7">
        <v>4.3579999999999997</v>
      </c>
      <c r="N2676" s="7">
        <v>5.1550000000000002</v>
      </c>
      <c r="O2676" s="7">
        <v>5.556</v>
      </c>
      <c r="P2676" s="7">
        <v>5.8289999999999997</v>
      </c>
      <c r="Q2676" s="7">
        <v>6.0990000000000002</v>
      </c>
      <c r="R2676" s="7">
        <v>5.9429999999999996</v>
      </c>
      <c r="S2676" s="7">
        <f t="shared" si="41"/>
        <v>5.3775833333333329</v>
      </c>
    </row>
    <row r="2677" spans="1:19">
      <c r="A2677" s="5" t="str">
        <f>B2677&amp;"-"&amp;COUNTIF($B$2:B2677,B2677)</f>
        <v>PARAIBA-114</v>
      </c>
      <c r="B2677" s="5" t="s">
        <v>1789</v>
      </c>
      <c r="C2677" s="5" t="s">
        <v>5157</v>
      </c>
      <c r="D2677" s="6">
        <v>-383486</v>
      </c>
      <c r="E2677" s="6">
        <v>-68458</v>
      </c>
      <c r="F2677" s="7">
        <v>6.0460000000000003</v>
      </c>
      <c r="G2677" s="7">
        <v>6.19</v>
      </c>
      <c r="H2677" s="7">
        <v>6.149</v>
      </c>
      <c r="I2677" s="7">
        <v>6.19</v>
      </c>
      <c r="J2677" s="7">
        <v>5.8280000000000003</v>
      </c>
      <c r="K2677" s="7">
        <v>5.3019999999999996</v>
      </c>
      <c r="L2677" s="7">
        <v>5.0469999999999997</v>
      </c>
      <c r="M2677" s="7">
        <v>5.3079999999999998</v>
      </c>
      <c r="N2677" s="7">
        <v>6.0510000000000002</v>
      </c>
      <c r="O2677" s="7">
        <v>6.5119999999999996</v>
      </c>
      <c r="P2677" s="7">
        <v>6.6760000000000002</v>
      </c>
      <c r="Q2677" s="7">
        <v>6.819</v>
      </c>
      <c r="R2677" s="7">
        <v>6.4720000000000004</v>
      </c>
      <c r="S2677" s="7">
        <f t="shared" si="41"/>
        <v>6.0453333333333328</v>
      </c>
    </row>
    <row r="2678" spans="1:19">
      <c r="A2678" s="5" t="str">
        <f>B2678&amp;"-"&amp;COUNTIF($B$2:B2678,B2678)</f>
        <v>PARAIBA-115</v>
      </c>
      <c r="B2678" s="5" t="s">
        <v>1789</v>
      </c>
      <c r="C2678" s="5" t="s">
        <v>1870</v>
      </c>
      <c r="D2678" s="6">
        <v>-357851</v>
      </c>
      <c r="E2678" s="6">
        <v>-71904</v>
      </c>
      <c r="F2678" s="7">
        <v>5.2149999999999999</v>
      </c>
      <c r="G2678" s="7">
        <v>5.4240000000000004</v>
      </c>
      <c r="H2678" s="7">
        <v>5.601</v>
      </c>
      <c r="I2678" s="7">
        <v>5.7119999999999997</v>
      </c>
      <c r="J2678" s="7">
        <v>5.2130000000000001</v>
      </c>
      <c r="K2678" s="7">
        <v>4.6440000000000001</v>
      </c>
      <c r="L2678" s="7">
        <v>4.085</v>
      </c>
      <c r="M2678" s="7">
        <v>4.1929999999999996</v>
      </c>
      <c r="N2678" s="7">
        <v>4.91</v>
      </c>
      <c r="O2678" s="7">
        <v>5.4429999999999996</v>
      </c>
      <c r="P2678" s="7">
        <v>5.6760000000000002</v>
      </c>
      <c r="Q2678" s="7">
        <v>5.923</v>
      </c>
      <c r="R2678" s="7">
        <v>5.7510000000000003</v>
      </c>
      <c r="S2678" s="7">
        <f t="shared" si="41"/>
        <v>5.2145833333333327</v>
      </c>
    </row>
    <row r="2679" spans="1:19">
      <c r="A2679" s="5" t="str">
        <f>B2679&amp;"-"&amp;COUNTIF($B$2:B2679,B2679)</f>
        <v>PARAIBA-116</v>
      </c>
      <c r="B2679" s="5" t="s">
        <v>1789</v>
      </c>
      <c r="C2679" s="5" t="s">
        <v>1871</v>
      </c>
      <c r="D2679" s="6">
        <v>-350534</v>
      </c>
      <c r="E2679" s="6">
        <v>-65971</v>
      </c>
      <c r="F2679" s="7">
        <v>5.5960000000000001</v>
      </c>
      <c r="G2679" s="7">
        <v>6.0110000000000001</v>
      </c>
      <c r="H2679" s="7">
        <v>6.0270000000000001</v>
      </c>
      <c r="I2679" s="7">
        <v>6.1050000000000004</v>
      </c>
      <c r="J2679" s="7">
        <v>5.5</v>
      </c>
      <c r="K2679" s="7">
        <v>4.92</v>
      </c>
      <c r="L2679" s="7">
        <v>4.4569999999999999</v>
      </c>
      <c r="M2679" s="7">
        <v>4.5880000000000001</v>
      </c>
      <c r="N2679" s="7">
        <v>5.3860000000000001</v>
      </c>
      <c r="O2679" s="7">
        <v>5.8150000000000004</v>
      </c>
      <c r="P2679" s="7">
        <v>6.0469999999999997</v>
      </c>
      <c r="Q2679" s="7">
        <v>6.2560000000000002</v>
      </c>
      <c r="R2679" s="7">
        <v>6.0430000000000001</v>
      </c>
      <c r="S2679" s="7">
        <f t="shared" si="41"/>
        <v>5.5962500000000004</v>
      </c>
    </row>
    <row r="2680" spans="1:19">
      <c r="A2680" s="5" t="str">
        <f>B2680&amp;"-"&amp;COUNTIF($B$2:B2680,B2680)</f>
        <v>PARAIBA-117</v>
      </c>
      <c r="B2680" s="5" t="s">
        <v>1789</v>
      </c>
      <c r="C2680" s="5" t="s">
        <v>1872</v>
      </c>
      <c r="D2680" s="6">
        <v>-357701</v>
      </c>
      <c r="E2680" s="6">
        <v>-71221</v>
      </c>
      <c r="F2680" s="7">
        <v>5.2610000000000001</v>
      </c>
      <c r="G2680" s="7">
        <v>5.5990000000000002</v>
      </c>
      <c r="H2680" s="7">
        <v>5.726</v>
      </c>
      <c r="I2680" s="7">
        <v>5.7160000000000002</v>
      </c>
      <c r="J2680" s="7">
        <v>5.282</v>
      </c>
      <c r="K2680" s="7">
        <v>4.617</v>
      </c>
      <c r="L2680" s="7">
        <v>4.0979999999999999</v>
      </c>
      <c r="M2680" s="7">
        <v>4.1710000000000003</v>
      </c>
      <c r="N2680" s="7">
        <v>4.9470000000000001</v>
      </c>
      <c r="O2680" s="7">
        <v>5.4359999999999999</v>
      </c>
      <c r="P2680" s="7">
        <v>5.7309999999999999</v>
      </c>
      <c r="Q2680" s="7">
        <v>6</v>
      </c>
      <c r="R2680" s="7">
        <v>5.81</v>
      </c>
      <c r="S2680" s="7">
        <f t="shared" si="41"/>
        <v>5.2610833333333344</v>
      </c>
    </row>
    <row r="2681" spans="1:19">
      <c r="A2681" s="5" t="str">
        <f>B2681&amp;"-"&amp;COUNTIF($B$2:B2681,B2681)</f>
        <v>PARAIBA-118</v>
      </c>
      <c r="B2681" s="5" t="s">
        <v>1789</v>
      </c>
      <c r="C2681" s="5" t="s">
        <v>1873</v>
      </c>
      <c r="D2681" s="6">
        <v>-377149</v>
      </c>
      <c r="E2681" s="6">
        <v>-65414</v>
      </c>
      <c r="F2681" s="7">
        <v>6.0129999999999999</v>
      </c>
      <c r="G2681" s="7">
        <v>6.1680000000000001</v>
      </c>
      <c r="H2681" s="7">
        <v>6.1859999999999999</v>
      </c>
      <c r="I2681" s="7">
        <v>6.21</v>
      </c>
      <c r="J2681" s="7">
        <v>5.8719999999999999</v>
      </c>
      <c r="K2681" s="7">
        <v>5.3410000000000002</v>
      </c>
      <c r="L2681" s="7">
        <v>4.9359999999999999</v>
      </c>
      <c r="M2681" s="7">
        <v>5.2510000000000003</v>
      </c>
      <c r="N2681" s="7">
        <v>5.9939999999999998</v>
      </c>
      <c r="O2681" s="7">
        <v>6.5229999999999997</v>
      </c>
      <c r="P2681" s="7">
        <v>6.6509999999999998</v>
      </c>
      <c r="Q2681" s="7">
        <v>6.7030000000000003</v>
      </c>
      <c r="R2681" s="7">
        <v>6.3230000000000004</v>
      </c>
      <c r="S2681" s="7">
        <f t="shared" si="41"/>
        <v>6.0131666666666659</v>
      </c>
    </row>
    <row r="2682" spans="1:19">
      <c r="A2682" s="5" t="str">
        <f>B2682&amp;"-"&amp;COUNTIF($B$2:B2682,B2682)</f>
        <v>PARAIBA-119</v>
      </c>
      <c r="B2682" s="5" t="s">
        <v>1789</v>
      </c>
      <c r="C2682" s="5" t="s">
        <v>4392</v>
      </c>
      <c r="D2682" s="6">
        <v>-373513</v>
      </c>
      <c r="E2682" s="6">
        <v>-72623</v>
      </c>
      <c r="F2682" s="7">
        <v>5.8659999999999997</v>
      </c>
      <c r="G2682" s="7">
        <v>6.0739999999999998</v>
      </c>
      <c r="H2682" s="7">
        <v>6.0110000000000001</v>
      </c>
      <c r="I2682" s="7">
        <v>6.04</v>
      </c>
      <c r="J2682" s="7">
        <v>5.71</v>
      </c>
      <c r="K2682" s="7">
        <v>5.0570000000000004</v>
      </c>
      <c r="L2682" s="7">
        <v>4.6929999999999996</v>
      </c>
      <c r="M2682" s="7">
        <v>5.0570000000000004</v>
      </c>
      <c r="N2682" s="7">
        <v>5.8</v>
      </c>
      <c r="O2682" s="7">
        <v>6.4589999999999996</v>
      </c>
      <c r="P2682" s="7">
        <v>6.556</v>
      </c>
      <c r="Q2682" s="7">
        <v>6.6959999999999997</v>
      </c>
      <c r="R2682" s="7">
        <v>6.2430000000000003</v>
      </c>
      <c r="S2682" s="7">
        <f t="shared" si="41"/>
        <v>5.8663333333333325</v>
      </c>
    </row>
    <row r="2683" spans="1:19">
      <c r="A2683" s="5" t="str">
        <f>B2683&amp;"-"&amp;COUNTIF($B$2:B2683,B2683)</f>
        <v>PARAIBA-120</v>
      </c>
      <c r="B2683" s="5" t="s">
        <v>1789</v>
      </c>
      <c r="C2683" s="5" t="s">
        <v>1874</v>
      </c>
      <c r="D2683" s="6">
        <v>-354802</v>
      </c>
      <c r="E2683" s="6">
        <v>-72955</v>
      </c>
      <c r="F2683" s="7">
        <v>5.2729999999999997</v>
      </c>
      <c r="G2683" s="7">
        <v>5.548</v>
      </c>
      <c r="H2683" s="7">
        <v>5.7859999999999996</v>
      </c>
      <c r="I2683" s="7">
        <v>5.806</v>
      </c>
      <c r="J2683" s="7">
        <v>5.2789999999999999</v>
      </c>
      <c r="K2683" s="7">
        <v>4.5839999999999996</v>
      </c>
      <c r="L2683" s="7">
        <v>4.1509999999999998</v>
      </c>
      <c r="M2683" s="7">
        <v>4.2510000000000003</v>
      </c>
      <c r="N2683" s="7">
        <v>4.9969999999999999</v>
      </c>
      <c r="O2683" s="7">
        <v>5.4260000000000002</v>
      </c>
      <c r="P2683" s="7">
        <v>5.633</v>
      </c>
      <c r="Q2683" s="7">
        <v>5.976</v>
      </c>
      <c r="R2683" s="7">
        <v>5.8369999999999997</v>
      </c>
      <c r="S2683" s="7">
        <f t="shared" si="41"/>
        <v>5.2728333333333337</v>
      </c>
    </row>
    <row r="2684" spans="1:19">
      <c r="A2684" s="5" t="str">
        <f>B2684&amp;"-"&amp;COUNTIF($B$2:B2684,B2684)</f>
        <v>PARAIBA-121</v>
      </c>
      <c r="B2684" s="5" t="s">
        <v>1789</v>
      </c>
      <c r="C2684" s="5" t="s">
        <v>1875</v>
      </c>
      <c r="D2684" s="6">
        <v>-359595</v>
      </c>
      <c r="E2684" s="6">
        <v>-70889</v>
      </c>
      <c r="F2684" s="7">
        <v>5.4370000000000003</v>
      </c>
      <c r="G2684" s="7">
        <v>5.8129999999999997</v>
      </c>
      <c r="H2684" s="7">
        <v>5.9279999999999999</v>
      </c>
      <c r="I2684" s="7">
        <v>5.8769999999999998</v>
      </c>
      <c r="J2684" s="7">
        <v>5.3739999999999997</v>
      </c>
      <c r="K2684" s="7">
        <v>4.7809999999999997</v>
      </c>
      <c r="L2684" s="7">
        <v>4.2240000000000002</v>
      </c>
      <c r="M2684" s="7">
        <v>4.383</v>
      </c>
      <c r="N2684" s="7">
        <v>5.1360000000000001</v>
      </c>
      <c r="O2684" s="7">
        <v>5.6829999999999998</v>
      </c>
      <c r="P2684" s="7">
        <v>5.952</v>
      </c>
      <c r="Q2684" s="7">
        <v>6.133</v>
      </c>
      <c r="R2684" s="7">
        <v>5.9580000000000002</v>
      </c>
      <c r="S2684" s="7">
        <f t="shared" si="41"/>
        <v>5.4368333333333334</v>
      </c>
    </row>
    <row r="2685" spans="1:19">
      <c r="A2685" s="5" t="str">
        <f>B2685&amp;"-"&amp;COUNTIF($B$2:B2685,B2685)</f>
        <v>PARAIBA-122</v>
      </c>
      <c r="B2685" s="5" t="s">
        <v>1789</v>
      </c>
      <c r="C2685" s="5" t="s">
        <v>1876</v>
      </c>
      <c r="D2685" s="6">
        <v>-38586</v>
      </c>
      <c r="E2685" s="6">
        <v>-72156</v>
      </c>
      <c r="F2685" s="7">
        <v>5.9480000000000004</v>
      </c>
      <c r="G2685" s="7">
        <v>6.01</v>
      </c>
      <c r="H2685" s="7">
        <v>6.0049999999999999</v>
      </c>
      <c r="I2685" s="7">
        <v>5.968</v>
      </c>
      <c r="J2685" s="7">
        <v>5.6310000000000002</v>
      </c>
      <c r="K2685" s="7">
        <v>5.1589999999999998</v>
      </c>
      <c r="L2685" s="7">
        <v>4.9630000000000001</v>
      </c>
      <c r="M2685" s="7">
        <v>5.2220000000000004</v>
      </c>
      <c r="N2685" s="7">
        <v>5.99</v>
      </c>
      <c r="O2685" s="7">
        <v>6.6020000000000003</v>
      </c>
      <c r="P2685" s="7">
        <v>6.6390000000000002</v>
      </c>
      <c r="Q2685" s="7">
        <v>6.766</v>
      </c>
      <c r="R2685" s="7">
        <v>6.415</v>
      </c>
      <c r="S2685" s="7">
        <f t="shared" si="41"/>
        <v>5.9475000000000007</v>
      </c>
    </row>
    <row r="2686" spans="1:19">
      <c r="A2686" s="5" t="str">
        <f>B2686&amp;"-"&amp;COUNTIF($B$2:B2686,B2686)</f>
        <v>PARAIBA-123</v>
      </c>
      <c r="B2686" s="5" t="s">
        <v>1789</v>
      </c>
      <c r="C2686" s="5" t="s">
        <v>1877</v>
      </c>
      <c r="D2686" s="6">
        <v>-371221</v>
      </c>
      <c r="E2686" s="6">
        <v>-78947</v>
      </c>
      <c r="F2686" s="7">
        <v>5.7880000000000003</v>
      </c>
      <c r="G2686" s="7">
        <v>6.3</v>
      </c>
      <c r="H2686" s="7">
        <v>6.1310000000000002</v>
      </c>
      <c r="I2686" s="7">
        <v>6.1520000000000001</v>
      </c>
      <c r="J2686" s="7">
        <v>5.702</v>
      </c>
      <c r="K2686" s="7">
        <v>4.9020000000000001</v>
      </c>
      <c r="L2686" s="7">
        <v>4.399</v>
      </c>
      <c r="M2686" s="7">
        <v>4.556</v>
      </c>
      <c r="N2686" s="7">
        <v>5.3140000000000001</v>
      </c>
      <c r="O2686" s="7">
        <v>6.2839999999999998</v>
      </c>
      <c r="P2686" s="7">
        <v>6.508</v>
      </c>
      <c r="Q2686" s="7">
        <v>6.7750000000000004</v>
      </c>
      <c r="R2686" s="7">
        <v>6.4260000000000002</v>
      </c>
      <c r="S2686" s="7">
        <f t="shared" si="41"/>
        <v>5.7874166666666662</v>
      </c>
    </row>
    <row r="2687" spans="1:19">
      <c r="A2687" s="5" t="str">
        <f>B2687&amp;"-"&amp;COUNTIF($B$2:B2687,B2687)</f>
        <v>PARAIBA-124</v>
      </c>
      <c r="B2687" s="5" t="s">
        <v>1789</v>
      </c>
      <c r="C2687" s="5" t="s">
        <v>645</v>
      </c>
      <c r="D2687" s="6">
        <v>-354603</v>
      </c>
      <c r="E2687" s="6">
        <v>-70257</v>
      </c>
      <c r="F2687" s="7">
        <v>5.2949999999999999</v>
      </c>
      <c r="G2687" s="7">
        <v>5.5869999999999997</v>
      </c>
      <c r="H2687" s="7">
        <v>5.7240000000000002</v>
      </c>
      <c r="I2687" s="7">
        <v>5.742</v>
      </c>
      <c r="J2687" s="7">
        <v>5.2370000000000001</v>
      </c>
      <c r="K2687" s="7">
        <v>4.6210000000000004</v>
      </c>
      <c r="L2687" s="7">
        <v>4.2110000000000003</v>
      </c>
      <c r="M2687" s="7">
        <v>4.3179999999999996</v>
      </c>
      <c r="N2687" s="7">
        <v>5.077</v>
      </c>
      <c r="O2687" s="7">
        <v>5.5270000000000001</v>
      </c>
      <c r="P2687" s="7">
        <v>5.7329999999999997</v>
      </c>
      <c r="Q2687" s="7">
        <v>5.976</v>
      </c>
      <c r="R2687" s="7">
        <v>5.7859999999999996</v>
      </c>
      <c r="S2687" s="7">
        <f t="shared" si="41"/>
        <v>5.2949166666666665</v>
      </c>
    </row>
    <row r="2688" spans="1:19">
      <c r="A2688" s="5" t="str">
        <f>B2688&amp;"-"&amp;COUNTIF($B$2:B2688,B2688)</f>
        <v>PARAIBA-125</v>
      </c>
      <c r="B2688" s="5" t="s">
        <v>1789</v>
      </c>
      <c r="C2688" s="5" t="s">
        <v>1878</v>
      </c>
      <c r="D2688" s="6">
        <v>-355531</v>
      </c>
      <c r="E2688" s="6">
        <v>-76435</v>
      </c>
      <c r="F2688" s="7">
        <v>5.3760000000000003</v>
      </c>
      <c r="G2688" s="7">
        <v>5.7089999999999996</v>
      </c>
      <c r="H2688" s="7">
        <v>5.9249999999999998</v>
      </c>
      <c r="I2688" s="7">
        <v>5.9</v>
      </c>
      <c r="J2688" s="7">
        <v>5.3</v>
      </c>
      <c r="K2688" s="7">
        <v>4.5430000000000001</v>
      </c>
      <c r="L2688" s="7">
        <v>4.0789999999999997</v>
      </c>
      <c r="M2688" s="7">
        <v>4.234</v>
      </c>
      <c r="N2688" s="7">
        <v>5.0090000000000003</v>
      </c>
      <c r="O2688" s="7">
        <v>5.6180000000000003</v>
      </c>
      <c r="P2688" s="7">
        <v>5.9169999999999998</v>
      </c>
      <c r="Q2688" s="7">
        <v>6.2190000000000003</v>
      </c>
      <c r="R2688" s="7">
        <v>6.0620000000000003</v>
      </c>
      <c r="S2688" s="7">
        <f t="shared" si="41"/>
        <v>5.3762499999999998</v>
      </c>
    </row>
    <row r="2689" spans="1:19">
      <c r="A2689" s="5" t="str">
        <f>B2689&amp;"-"&amp;COUNTIF($B$2:B2689,B2689)</f>
        <v>PARAIBA-126</v>
      </c>
      <c r="B2689" s="5" t="s">
        <v>1789</v>
      </c>
      <c r="C2689" s="5" t="s">
        <v>1879</v>
      </c>
      <c r="D2689" s="6">
        <v>-383223</v>
      </c>
      <c r="E2689" s="6">
        <v>-69118</v>
      </c>
      <c r="F2689" s="7">
        <v>6.0590000000000002</v>
      </c>
      <c r="G2689" s="7">
        <v>6.1920000000000002</v>
      </c>
      <c r="H2689" s="7">
        <v>6.1890000000000001</v>
      </c>
      <c r="I2689" s="7">
        <v>6.2080000000000002</v>
      </c>
      <c r="J2689" s="7">
        <v>5.86</v>
      </c>
      <c r="K2689" s="7">
        <v>5.3159999999999998</v>
      </c>
      <c r="L2689" s="7">
        <v>5.0579999999999998</v>
      </c>
      <c r="M2689" s="7">
        <v>5.3209999999999997</v>
      </c>
      <c r="N2689" s="7">
        <v>6.0359999999999996</v>
      </c>
      <c r="O2689" s="7">
        <v>6.5449999999999999</v>
      </c>
      <c r="P2689" s="7">
        <v>6.6870000000000003</v>
      </c>
      <c r="Q2689" s="7">
        <v>6.8150000000000004</v>
      </c>
      <c r="R2689" s="7">
        <v>6.4820000000000002</v>
      </c>
      <c r="S2689" s="7">
        <f t="shared" si="41"/>
        <v>6.0590833333333327</v>
      </c>
    </row>
    <row r="2690" spans="1:19">
      <c r="A2690" s="5" t="str">
        <f>B2690&amp;"-"&amp;COUNTIF($B$2:B2690,B2690)</f>
        <v>PARAIBA-127</v>
      </c>
      <c r="B2690" s="5" t="s">
        <v>1789</v>
      </c>
      <c r="C2690" s="5" t="s">
        <v>1880</v>
      </c>
      <c r="D2690" s="6">
        <v>-362049</v>
      </c>
      <c r="E2690" s="6">
        <v>-64567</v>
      </c>
      <c r="F2690" s="7">
        <v>5.5990000000000002</v>
      </c>
      <c r="G2690" s="7">
        <v>5.875</v>
      </c>
      <c r="H2690" s="7">
        <v>5.8440000000000003</v>
      </c>
      <c r="I2690" s="7">
        <v>5.8710000000000004</v>
      </c>
      <c r="J2690" s="7">
        <v>5.4969999999999999</v>
      </c>
      <c r="K2690" s="7">
        <v>4.9160000000000004</v>
      </c>
      <c r="L2690" s="7">
        <v>4.5049999999999999</v>
      </c>
      <c r="M2690" s="7">
        <v>4.7220000000000004</v>
      </c>
      <c r="N2690" s="7">
        <v>5.4710000000000001</v>
      </c>
      <c r="O2690" s="7">
        <v>6.0039999999999996</v>
      </c>
      <c r="P2690" s="7">
        <v>6.2480000000000002</v>
      </c>
      <c r="Q2690" s="7">
        <v>6.3040000000000003</v>
      </c>
      <c r="R2690" s="7">
        <v>5.931</v>
      </c>
      <c r="S2690" s="7">
        <f t="shared" si="41"/>
        <v>5.5990000000000002</v>
      </c>
    </row>
    <row r="2691" spans="1:19">
      <c r="A2691" s="5" t="str">
        <f>B2691&amp;"-"&amp;COUNTIF($B$2:B2691,B2691)</f>
        <v>PARAIBA-128</v>
      </c>
      <c r="B2691" s="5" t="s">
        <v>1789</v>
      </c>
      <c r="C2691" s="5" t="s">
        <v>646</v>
      </c>
      <c r="D2691" s="6">
        <v>-380399</v>
      </c>
      <c r="E2691" s="6">
        <v>-74784</v>
      </c>
      <c r="F2691" s="7">
        <v>5.9770000000000003</v>
      </c>
      <c r="G2691" s="7">
        <v>6.2519999999999998</v>
      </c>
      <c r="H2691" s="7">
        <v>6.1790000000000003</v>
      </c>
      <c r="I2691" s="7">
        <v>6.2510000000000003</v>
      </c>
      <c r="J2691" s="7">
        <v>5.8879999999999999</v>
      </c>
      <c r="K2691" s="7">
        <v>5.1790000000000003</v>
      </c>
      <c r="L2691" s="7">
        <v>4.7569999999999997</v>
      </c>
      <c r="M2691" s="7">
        <v>5.0010000000000003</v>
      </c>
      <c r="N2691" s="7">
        <v>5.8620000000000001</v>
      </c>
      <c r="O2691" s="7">
        <v>6.5339999999999998</v>
      </c>
      <c r="P2691" s="7">
        <v>6.6079999999999997</v>
      </c>
      <c r="Q2691" s="7">
        <v>6.782</v>
      </c>
      <c r="R2691" s="7">
        <v>6.4279999999999999</v>
      </c>
      <c r="S2691" s="7">
        <f t="shared" ref="S2691:S2754" si="42">(G2691+H2691+I2691+J2691+K2691+L2691+M2691+N2691+O2691+P2691+Q2691+R2691)/12</f>
        <v>5.9767499999999991</v>
      </c>
    </row>
    <row r="2692" spans="1:19">
      <c r="A2692" s="5" t="str">
        <f>B2692&amp;"-"&amp;COUNTIF($B$2:B2692,B2692)</f>
        <v>PARAIBA-129</v>
      </c>
      <c r="B2692" s="5" t="s">
        <v>1789</v>
      </c>
      <c r="C2692" s="5" t="s">
        <v>1881</v>
      </c>
      <c r="D2692" s="6">
        <v>-364198</v>
      </c>
      <c r="E2692" s="6">
        <v>-66789</v>
      </c>
      <c r="F2692" s="7">
        <v>5.68</v>
      </c>
      <c r="G2692" s="7">
        <v>5.9859999999999998</v>
      </c>
      <c r="H2692" s="7">
        <v>5.9109999999999996</v>
      </c>
      <c r="I2692" s="7">
        <v>5.8959999999999999</v>
      </c>
      <c r="J2692" s="7">
        <v>5.5330000000000004</v>
      </c>
      <c r="K2692" s="7">
        <v>4.9409999999999998</v>
      </c>
      <c r="L2692" s="7">
        <v>4.492</v>
      </c>
      <c r="M2692" s="7">
        <v>4.7750000000000004</v>
      </c>
      <c r="N2692" s="7">
        <v>5.5110000000000001</v>
      </c>
      <c r="O2692" s="7">
        <v>6.0670000000000002</v>
      </c>
      <c r="P2692" s="7">
        <v>6.4279999999999999</v>
      </c>
      <c r="Q2692" s="7">
        <v>6.4960000000000004</v>
      </c>
      <c r="R2692" s="7">
        <v>6.1280000000000001</v>
      </c>
      <c r="S2692" s="7">
        <f t="shared" si="42"/>
        <v>5.6803333333333335</v>
      </c>
    </row>
    <row r="2693" spans="1:19">
      <c r="A2693" s="5" t="str">
        <f>B2693&amp;"-"&amp;COUNTIF($B$2:B2693,B2693)</f>
        <v>PARAIBA-130</v>
      </c>
      <c r="B2693" s="5" t="s">
        <v>1789</v>
      </c>
      <c r="C2693" s="5" t="s">
        <v>1882</v>
      </c>
      <c r="D2693" s="6">
        <v>-377466</v>
      </c>
      <c r="E2693" s="6">
        <v>-72286</v>
      </c>
      <c r="F2693" s="7">
        <v>5.99</v>
      </c>
      <c r="G2693" s="7">
        <v>6.2569999999999997</v>
      </c>
      <c r="H2693" s="7">
        <v>6.1680000000000001</v>
      </c>
      <c r="I2693" s="7">
        <v>6.2720000000000002</v>
      </c>
      <c r="J2693" s="7">
        <v>5.9260000000000002</v>
      </c>
      <c r="K2693" s="7">
        <v>5.1840000000000002</v>
      </c>
      <c r="L2693" s="7">
        <v>4.8140000000000001</v>
      </c>
      <c r="M2693" s="7">
        <v>5.0469999999999997</v>
      </c>
      <c r="N2693" s="7">
        <v>5.8460000000000001</v>
      </c>
      <c r="O2693" s="7">
        <v>6.4950000000000001</v>
      </c>
      <c r="P2693" s="7">
        <v>6.6379999999999999</v>
      </c>
      <c r="Q2693" s="7">
        <v>6.7770000000000001</v>
      </c>
      <c r="R2693" s="7">
        <v>6.4560000000000004</v>
      </c>
      <c r="S2693" s="7">
        <f t="shared" si="42"/>
        <v>5.9900000000000011</v>
      </c>
    </row>
    <row r="2694" spans="1:19">
      <c r="A2694" s="5" t="str">
        <f>B2694&amp;"-"&amp;COUNTIF($B$2:B2694,B2694)</f>
        <v>PARAIBA-131</v>
      </c>
      <c r="B2694" s="5" t="s">
        <v>1789</v>
      </c>
      <c r="C2694" s="5" t="s">
        <v>1883</v>
      </c>
      <c r="D2694" s="6">
        <v>-36244</v>
      </c>
      <c r="E2694" s="6">
        <v>-69917</v>
      </c>
      <c r="F2694" s="7">
        <v>5.4509999999999996</v>
      </c>
      <c r="G2694" s="7">
        <v>5.7990000000000004</v>
      </c>
      <c r="H2694" s="7">
        <v>5.7880000000000003</v>
      </c>
      <c r="I2694" s="7">
        <v>5.8029999999999999</v>
      </c>
      <c r="J2694" s="7">
        <v>5.3170000000000002</v>
      </c>
      <c r="K2694" s="7">
        <v>4.7779999999999996</v>
      </c>
      <c r="L2694" s="7">
        <v>4.1959999999999997</v>
      </c>
      <c r="M2694" s="7">
        <v>4.4580000000000002</v>
      </c>
      <c r="N2694" s="7">
        <v>5.157</v>
      </c>
      <c r="O2694" s="7">
        <v>5.782</v>
      </c>
      <c r="P2694" s="7">
        <v>6.0919999999999996</v>
      </c>
      <c r="Q2694" s="7">
        <v>6.2759999999999998</v>
      </c>
      <c r="R2694" s="7">
        <v>5.968</v>
      </c>
      <c r="S2694" s="7">
        <f t="shared" si="42"/>
        <v>5.4511666666666656</v>
      </c>
    </row>
    <row r="2695" spans="1:19">
      <c r="A2695" s="5" t="str">
        <f>B2695&amp;"-"&amp;COUNTIF($B$2:B2695,B2695)</f>
        <v>PARAIBA-132</v>
      </c>
      <c r="B2695" s="5" t="s">
        <v>1789</v>
      </c>
      <c r="C2695" s="5" t="s">
        <v>1884</v>
      </c>
      <c r="D2695" s="6">
        <v>-371522</v>
      </c>
      <c r="E2695" s="6">
        <v>-76165</v>
      </c>
      <c r="F2695" s="7">
        <v>5.8029999999999999</v>
      </c>
      <c r="G2695" s="7">
        <v>6.1360000000000001</v>
      </c>
      <c r="H2695" s="7">
        <v>6.1219999999999999</v>
      </c>
      <c r="I2695" s="7">
        <v>6.1</v>
      </c>
      <c r="J2695" s="7">
        <v>5.7469999999999999</v>
      </c>
      <c r="K2695" s="7">
        <v>4.9820000000000002</v>
      </c>
      <c r="L2695" s="7">
        <v>4.5270000000000001</v>
      </c>
      <c r="M2695" s="7">
        <v>4.72</v>
      </c>
      <c r="N2695" s="7">
        <v>5.4649999999999999</v>
      </c>
      <c r="O2695" s="7">
        <v>6.31</v>
      </c>
      <c r="P2695" s="7">
        <v>6.5250000000000004</v>
      </c>
      <c r="Q2695" s="7">
        <v>6.6680000000000001</v>
      </c>
      <c r="R2695" s="7">
        <v>6.335</v>
      </c>
      <c r="S2695" s="7">
        <f t="shared" si="42"/>
        <v>5.8030833333333325</v>
      </c>
    </row>
    <row r="2696" spans="1:19">
      <c r="A2696" s="5" t="str">
        <f>B2696&amp;"-"&amp;COUNTIF($B$2:B2696,B2696)</f>
        <v>PARAIBA-133</v>
      </c>
      <c r="B2696" s="5" t="s">
        <v>1789</v>
      </c>
      <c r="C2696" s="5" t="s">
        <v>1885</v>
      </c>
      <c r="D2696" s="6">
        <v>-366562</v>
      </c>
      <c r="E2696" s="6">
        <v>-73182</v>
      </c>
      <c r="F2696" s="7">
        <v>5.6269999999999998</v>
      </c>
      <c r="G2696" s="7">
        <v>5.9210000000000003</v>
      </c>
      <c r="H2696" s="7">
        <v>5.9390000000000001</v>
      </c>
      <c r="I2696" s="7">
        <v>6.0229999999999997</v>
      </c>
      <c r="J2696" s="7">
        <v>5.5529999999999999</v>
      </c>
      <c r="K2696" s="7">
        <v>4.9160000000000004</v>
      </c>
      <c r="L2696" s="7">
        <v>4.3890000000000002</v>
      </c>
      <c r="M2696" s="7">
        <v>4.6040000000000001</v>
      </c>
      <c r="N2696" s="7">
        <v>5.3529999999999998</v>
      </c>
      <c r="O2696" s="7">
        <v>6.0389999999999997</v>
      </c>
      <c r="P2696" s="7">
        <v>6.2370000000000001</v>
      </c>
      <c r="Q2696" s="7">
        <v>6.4160000000000004</v>
      </c>
      <c r="R2696" s="7">
        <v>6.13</v>
      </c>
      <c r="S2696" s="7">
        <f t="shared" si="42"/>
        <v>5.626666666666666</v>
      </c>
    </row>
    <row r="2697" spans="1:19">
      <c r="A2697" s="5" t="str">
        <f>B2697&amp;"-"&amp;COUNTIF($B$2:B2697,B2697)</f>
        <v>PARAIBA-134</v>
      </c>
      <c r="B2697" s="5" t="s">
        <v>1789</v>
      </c>
      <c r="C2697" s="5" t="s">
        <v>1886</v>
      </c>
      <c r="D2697" s="6">
        <v>-370494</v>
      </c>
      <c r="E2697" s="6">
        <v>-71369</v>
      </c>
      <c r="F2697" s="7">
        <v>5.8819999999999997</v>
      </c>
      <c r="G2697" s="7">
        <v>6.1070000000000002</v>
      </c>
      <c r="H2697" s="7">
        <v>6.1829999999999998</v>
      </c>
      <c r="I2697" s="7">
        <v>6.165</v>
      </c>
      <c r="J2697" s="7">
        <v>5.8079999999999998</v>
      </c>
      <c r="K2697" s="7">
        <v>5.1470000000000002</v>
      </c>
      <c r="L2697" s="7">
        <v>4.6260000000000003</v>
      </c>
      <c r="M2697" s="7">
        <v>4.9950000000000001</v>
      </c>
      <c r="N2697" s="7">
        <v>5.7850000000000001</v>
      </c>
      <c r="O2697" s="7">
        <v>6.4080000000000004</v>
      </c>
      <c r="P2697" s="7">
        <v>6.5019999999999998</v>
      </c>
      <c r="Q2697" s="7">
        <v>6.5919999999999996</v>
      </c>
      <c r="R2697" s="7">
        <v>6.27</v>
      </c>
      <c r="S2697" s="7">
        <f t="shared" si="42"/>
        <v>5.8823333333333325</v>
      </c>
    </row>
    <row r="2698" spans="1:19">
      <c r="A2698" s="5" t="str">
        <f>B2698&amp;"-"&amp;COUNTIF($B$2:B2698,B2698)</f>
        <v>PARAIBA-135</v>
      </c>
      <c r="B2698" s="5" t="s">
        <v>1789</v>
      </c>
      <c r="C2698" s="5" t="s">
        <v>1887</v>
      </c>
      <c r="D2698" s="6">
        <v>-37275</v>
      </c>
      <c r="E2698" s="6">
        <v>-70178</v>
      </c>
      <c r="F2698" s="7">
        <v>5.9390000000000001</v>
      </c>
      <c r="G2698" s="7">
        <v>6.2350000000000003</v>
      </c>
      <c r="H2698" s="7">
        <v>6.1989999999999998</v>
      </c>
      <c r="I2698" s="7">
        <v>6.2850000000000001</v>
      </c>
      <c r="J2698" s="7">
        <v>5.891</v>
      </c>
      <c r="K2698" s="7">
        <v>5.1619999999999999</v>
      </c>
      <c r="L2698" s="7">
        <v>4.7350000000000003</v>
      </c>
      <c r="M2698" s="7">
        <v>5.0540000000000003</v>
      </c>
      <c r="N2698" s="7">
        <v>5.8360000000000003</v>
      </c>
      <c r="O2698" s="7">
        <v>6.3890000000000002</v>
      </c>
      <c r="P2698" s="7">
        <v>6.548</v>
      </c>
      <c r="Q2698" s="7">
        <v>6.5860000000000003</v>
      </c>
      <c r="R2698" s="7">
        <v>6.351</v>
      </c>
      <c r="S2698" s="7">
        <f t="shared" si="42"/>
        <v>5.9392500000000004</v>
      </c>
    </row>
    <row r="2699" spans="1:19">
      <c r="A2699" s="5" t="str">
        <f>B2699&amp;"-"&amp;COUNTIF($B$2:B2699,B2699)</f>
        <v>PARAIBA-136</v>
      </c>
      <c r="B2699" s="5" t="s">
        <v>1789</v>
      </c>
      <c r="C2699" s="5" t="s">
        <v>1888</v>
      </c>
      <c r="D2699" s="6">
        <v>-376189</v>
      </c>
      <c r="E2699" s="6">
        <v>-65918</v>
      </c>
      <c r="F2699" s="7">
        <v>6.0069999999999997</v>
      </c>
      <c r="G2699" s="7">
        <v>6.2519999999999998</v>
      </c>
      <c r="H2699" s="7">
        <v>6.2240000000000002</v>
      </c>
      <c r="I2699" s="7">
        <v>6.242</v>
      </c>
      <c r="J2699" s="7">
        <v>5.8570000000000002</v>
      </c>
      <c r="K2699" s="7">
        <v>5.3239999999999998</v>
      </c>
      <c r="L2699" s="7">
        <v>4.9020000000000001</v>
      </c>
      <c r="M2699" s="7">
        <v>5.1669999999999998</v>
      </c>
      <c r="N2699" s="7">
        <v>5.9530000000000003</v>
      </c>
      <c r="O2699" s="7">
        <v>6.4939999999999998</v>
      </c>
      <c r="P2699" s="7">
        <v>6.6509999999999998</v>
      </c>
      <c r="Q2699" s="7">
        <v>6.67</v>
      </c>
      <c r="R2699" s="7">
        <v>6.3479999999999999</v>
      </c>
      <c r="S2699" s="7">
        <f t="shared" si="42"/>
        <v>6.0070000000000006</v>
      </c>
    </row>
    <row r="2700" spans="1:19">
      <c r="A2700" s="5" t="str">
        <f>B2700&amp;"-"&amp;COUNTIF($B$2:B2700,B2700)</f>
        <v>PARAIBA-137</v>
      </c>
      <c r="B2700" s="5" t="s">
        <v>1789</v>
      </c>
      <c r="C2700" s="5" t="s">
        <v>658</v>
      </c>
      <c r="D2700" s="6">
        <v>-380711</v>
      </c>
      <c r="E2700" s="6">
        <v>-74288</v>
      </c>
      <c r="F2700" s="7">
        <v>5.9909999999999997</v>
      </c>
      <c r="G2700" s="7">
        <v>6.2489999999999997</v>
      </c>
      <c r="H2700" s="7">
        <v>6.2190000000000003</v>
      </c>
      <c r="I2700" s="7">
        <v>6.2770000000000001</v>
      </c>
      <c r="J2700" s="7">
        <v>5.9180000000000001</v>
      </c>
      <c r="K2700" s="7">
        <v>5.2130000000000001</v>
      </c>
      <c r="L2700" s="7">
        <v>4.8079999999999998</v>
      </c>
      <c r="M2700" s="7">
        <v>5.0279999999999996</v>
      </c>
      <c r="N2700" s="7">
        <v>5.89</v>
      </c>
      <c r="O2700" s="7">
        <v>6.4880000000000004</v>
      </c>
      <c r="P2700" s="7">
        <v>6.5810000000000004</v>
      </c>
      <c r="Q2700" s="7">
        <v>6.7750000000000004</v>
      </c>
      <c r="R2700" s="7">
        <v>6.4480000000000004</v>
      </c>
      <c r="S2700" s="7">
        <f t="shared" si="42"/>
        <v>5.9911666666666674</v>
      </c>
    </row>
    <row r="2701" spans="1:19">
      <c r="A2701" s="5" t="str">
        <f>B2701&amp;"-"&amp;COUNTIF($B$2:B2701,B2701)</f>
        <v>PARAIBA-138</v>
      </c>
      <c r="B2701" s="5" t="s">
        <v>1789</v>
      </c>
      <c r="C2701" s="5" t="s">
        <v>1889</v>
      </c>
      <c r="D2701" s="6">
        <v>-364683</v>
      </c>
      <c r="E2701" s="6">
        <v>-6756</v>
      </c>
      <c r="F2701" s="7">
        <v>5.6550000000000002</v>
      </c>
      <c r="G2701" s="7">
        <v>5.91</v>
      </c>
      <c r="H2701" s="7">
        <v>5.8840000000000003</v>
      </c>
      <c r="I2701" s="7">
        <v>5.931</v>
      </c>
      <c r="J2701" s="7">
        <v>5.5220000000000002</v>
      </c>
      <c r="K2701" s="7">
        <v>4.92</v>
      </c>
      <c r="L2701" s="7">
        <v>4.4909999999999997</v>
      </c>
      <c r="M2701" s="7">
        <v>4.7619999999999996</v>
      </c>
      <c r="N2701" s="7">
        <v>5.4720000000000004</v>
      </c>
      <c r="O2701" s="7">
        <v>6.0449999999999999</v>
      </c>
      <c r="P2701" s="7">
        <v>6.359</v>
      </c>
      <c r="Q2701" s="7">
        <v>6.4770000000000003</v>
      </c>
      <c r="R2701" s="7">
        <v>6.0910000000000002</v>
      </c>
      <c r="S2701" s="7">
        <f t="shared" si="42"/>
        <v>5.655333333333334</v>
      </c>
    </row>
    <row r="2702" spans="1:19">
      <c r="A2702" s="5" t="str">
        <f>B2702&amp;"-"&amp;COUNTIF($B$2:B2702,B2702)</f>
        <v>PARAIBA-139</v>
      </c>
      <c r="B2702" s="5" t="s">
        <v>1789</v>
      </c>
      <c r="C2702" s="5" t="s">
        <v>1890</v>
      </c>
      <c r="D2702" s="6">
        <v>-351125</v>
      </c>
      <c r="E2702" s="6">
        <v>-74025</v>
      </c>
      <c r="F2702" s="7">
        <v>5.4029999999999996</v>
      </c>
      <c r="G2702" s="7">
        <v>5.74</v>
      </c>
      <c r="H2702" s="7">
        <v>5.94</v>
      </c>
      <c r="I2702" s="7">
        <v>5.9249999999999998</v>
      </c>
      <c r="J2702" s="7">
        <v>5.335</v>
      </c>
      <c r="K2702" s="7">
        <v>4.6280000000000001</v>
      </c>
      <c r="L2702" s="7">
        <v>4.2430000000000003</v>
      </c>
      <c r="M2702" s="7">
        <v>4.3559999999999999</v>
      </c>
      <c r="N2702" s="7">
        <v>5.0579999999999998</v>
      </c>
      <c r="O2702" s="7">
        <v>5.5919999999999996</v>
      </c>
      <c r="P2702" s="7">
        <v>5.8490000000000002</v>
      </c>
      <c r="Q2702" s="7">
        <v>6.1319999999999997</v>
      </c>
      <c r="R2702" s="7">
        <v>6.0350000000000001</v>
      </c>
      <c r="S2702" s="7">
        <f t="shared" si="42"/>
        <v>5.4027500000000002</v>
      </c>
    </row>
    <row r="2703" spans="1:19">
      <c r="A2703" s="5" t="str">
        <f>B2703&amp;"-"&amp;COUNTIF($B$2:B2703,B2703)</f>
        <v>PARAIBA-140</v>
      </c>
      <c r="B2703" s="5" t="s">
        <v>1789</v>
      </c>
      <c r="C2703" s="5" t="s">
        <v>4393</v>
      </c>
      <c r="D2703" s="6">
        <v>-352734</v>
      </c>
      <c r="E2703" s="6">
        <v>-66404</v>
      </c>
      <c r="F2703" s="7">
        <v>5.516</v>
      </c>
      <c r="G2703" s="7">
        <v>5.9210000000000003</v>
      </c>
      <c r="H2703" s="7">
        <v>5.976</v>
      </c>
      <c r="I2703" s="7">
        <v>5.9829999999999997</v>
      </c>
      <c r="J2703" s="7">
        <v>5.4009999999999998</v>
      </c>
      <c r="K2703" s="7">
        <v>4.835</v>
      </c>
      <c r="L2703" s="7">
        <v>4.3810000000000002</v>
      </c>
      <c r="M2703" s="7">
        <v>4.4859999999999998</v>
      </c>
      <c r="N2703" s="7">
        <v>5.2380000000000004</v>
      </c>
      <c r="O2703" s="7">
        <v>5.7119999999999997</v>
      </c>
      <c r="P2703" s="7">
        <v>5.9539999999999997</v>
      </c>
      <c r="Q2703" s="7">
        <v>6.258</v>
      </c>
      <c r="R2703" s="7">
        <v>6.048</v>
      </c>
      <c r="S2703" s="7">
        <f t="shared" si="42"/>
        <v>5.5160833333333334</v>
      </c>
    </row>
    <row r="2704" spans="1:19">
      <c r="A2704" s="5" t="str">
        <f>B2704&amp;"-"&amp;COUNTIF($B$2:B2704,B2704)</f>
        <v>PARAIBA-141</v>
      </c>
      <c r="B2704" s="5" t="s">
        <v>1789</v>
      </c>
      <c r="C2704" s="5" t="s">
        <v>5158</v>
      </c>
      <c r="D2704" s="6">
        <v>-379292</v>
      </c>
      <c r="E2704" s="6">
        <v>-71932</v>
      </c>
      <c r="F2704" s="7">
        <v>6.0010000000000003</v>
      </c>
      <c r="G2704" s="7">
        <v>6.2050000000000001</v>
      </c>
      <c r="H2704" s="7">
        <v>6.2069999999999999</v>
      </c>
      <c r="I2704" s="7">
        <v>6.319</v>
      </c>
      <c r="J2704" s="7">
        <v>5.9050000000000002</v>
      </c>
      <c r="K2704" s="7">
        <v>5.2220000000000004</v>
      </c>
      <c r="L2704" s="7">
        <v>4.83</v>
      </c>
      <c r="M2704" s="7">
        <v>5.0629999999999997</v>
      </c>
      <c r="N2704" s="7">
        <v>5.8570000000000002</v>
      </c>
      <c r="O2704" s="7">
        <v>6.4969999999999999</v>
      </c>
      <c r="P2704" s="7">
        <v>6.657</v>
      </c>
      <c r="Q2704" s="7">
        <v>6.7569999999999997</v>
      </c>
      <c r="R2704" s="7">
        <v>6.492</v>
      </c>
      <c r="S2704" s="7">
        <f t="shared" si="42"/>
        <v>6.0009166666666678</v>
      </c>
    </row>
    <row r="2705" spans="1:19">
      <c r="A2705" s="5" t="str">
        <f>B2705&amp;"-"&amp;COUNTIF($B$2:B2705,B2705)</f>
        <v>PARAIBA-142</v>
      </c>
      <c r="B2705" s="5" t="s">
        <v>1789</v>
      </c>
      <c r="C2705" s="5" t="s">
        <v>1891</v>
      </c>
      <c r="D2705" s="5" t="s">
        <v>1892</v>
      </c>
      <c r="E2705" s="6">
        <v>-65089</v>
      </c>
      <c r="F2705" s="7">
        <v>5.6710000000000003</v>
      </c>
      <c r="G2705" s="7">
        <v>5.9640000000000004</v>
      </c>
      <c r="H2705" s="7">
        <v>5.9050000000000002</v>
      </c>
      <c r="I2705" s="7">
        <v>5.9020000000000001</v>
      </c>
      <c r="J2705" s="7">
        <v>5.5330000000000004</v>
      </c>
      <c r="K2705" s="7">
        <v>4.9619999999999997</v>
      </c>
      <c r="L2705" s="7">
        <v>4.5880000000000001</v>
      </c>
      <c r="M2705" s="7">
        <v>4.8369999999999997</v>
      </c>
      <c r="N2705" s="7">
        <v>5.56</v>
      </c>
      <c r="O2705" s="7">
        <v>6.093</v>
      </c>
      <c r="P2705" s="7">
        <v>6.33</v>
      </c>
      <c r="Q2705" s="7">
        <v>6.3879999999999999</v>
      </c>
      <c r="R2705" s="7">
        <v>5.9870000000000001</v>
      </c>
      <c r="S2705" s="7">
        <f t="shared" si="42"/>
        <v>5.6707500000000008</v>
      </c>
    </row>
    <row r="2706" spans="1:19">
      <c r="A2706" s="5" t="str">
        <f>B2706&amp;"-"&amp;COUNTIF($B$2:B2706,B2706)</f>
        <v>PARAIBA-143</v>
      </c>
      <c r="B2706" s="5" t="s">
        <v>1789</v>
      </c>
      <c r="C2706" s="5" t="s">
        <v>5438</v>
      </c>
      <c r="D2706" s="6">
        <v>-356133</v>
      </c>
      <c r="E2706" s="6">
        <v>-68687</v>
      </c>
      <c r="F2706" s="7">
        <v>5.2919999999999998</v>
      </c>
      <c r="G2706" s="7">
        <v>5.6260000000000003</v>
      </c>
      <c r="H2706" s="7">
        <v>5.7469999999999999</v>
      </c>
      <c r="I2706" s="7">
        <v>5.7270000000000003</v>
      </c>
      <c r="J2706" s="7">
        <v>5.234</v>
      </c>
      <c r="K2706" s="7">
        <v>4.6390000000000002</v>
      </c>
      <c r="L2706" s="7">
        <v>4.1379999999999999</v>
      </c>
      <c r="M2706" s="7">
        <v>4.26</v>
      </c>
      <c r="N2706" s="7">
        <v>5.0469999999999997</v>
      </c>
      <c r="O2706" s="7">
        <v>5.5149999999999997</v>
      </c>
      <c r="P2706" s="7">
        <v>5.7960000000000003</v>
      </c>
      <c r="Q2706" s="7">
        <v>5.9729999999999999</v>
      </c>
      <c r="R2706" s="7">
        <v>5.798</v>
      </c>
      <c r="S2706" s="7">
        <f t="shared" si="42"/>
        <v>5.291666666666667</v>
      </c>
    </row>
    <row r="2707" spans="1:19">
      <c r="A2707" s="5" t="str">
        <f>B2707&amp;"-"&amp;COUNTIF($B$2:B2707,B2707)</f>
        <v>PARAIBA-144</v>
      </c>
      <c r="B2707" s="5" t="s">
        <v>1789</v>
      </c>
      <c r="C2707" s="5" t="s">
        <v>5439</v>
      </c>
      <c r="D2707" s="6">
        <v>-355292</v>
      </c>
      <c r="E2707" s="6">
        <v>-68425</v>
      </c>
      <c r="F2707" s="7">
        <v>5.21</v>
      </c>
      <c r="G2707" s="7">
        <v>5.5049999999999999</v>
      </c>
      <c r="H2707" s="7">
        <v>5.593</v>
      </c>
      <c r="I2707" s="7">
        <v>5.65</v>
      </c>
      <c r="J2707" s="7">
        <v>5.1710000000000003</v>
      </c>
      <c r="K2707" s="7">
        <v>4.609</v>
      </c>
      <c r="L2707" s="7">
        <v>4.1500000000000004</v>
      </c>
      <c r="M2707" s="7">
        <v>4.2309999999999999</v>
      </c>
      <c r="N2707" s="7">
        <v>4.9939999999999998</v>
      </c>
      <c r="O2707" s="7">
        <v>5.44</v>
      </c>
      <c r="P2707" s="7">
        <v>5.6689999999999996</v>
      </c>
      <c r="Q2707" s="7">
        <v>5.8719999999999999</v>
      </c>
      <c r="R2707" s="7">
        <v>5.6319999999999997</v>
      </c>
      <c r="S2707" s="7">
        <f t="shared" si="42"/>
        <v>5.2096666666666662</v>
      </c>
    </row>
    <row r="2708" spans="1:19">
      <c r="A2708" s="5" t="str">
        <f>B2708&amp;"-"&amp;COUNTIF($B$2:B2708,B2708)</f>
        <v>PARAIBA-145</v>
      </c>
      <c r="B2708" s="5" t="s">
        <v>1789</v>
      </c>
      <c r="C2708" s="5" t="s">
        <v>174</v>
      </c>
      <c r="D2708" s="6">
        <v>-35257</v>
      </c>
      <c r="E2708" s="6">
        <v>-72665</v>
      </c>
      <c r="F2708" s="7">
        <v>5.3869999999999996</v>
      </c>
      <c r="G2708" s="7">
        <v>5.7009999999999996</v>
      </c>
      <c r="H2708" s="7">
        <v>5.8769999999999998</v>
      </c>
      <c r="I2708" s="7">
        <v>5.8470000000000004</v>
      </c>
      <c r="J2708" s="7">
        <v>5.343</v>
      </c>
      <c r="K2708" s="7">
        <v>4.665</v>
      </c>
      <c r="L2708" s="7">
        <v>4.2670000000000003</v>
      </c>
      <c r="M2708" s="7">
        <v>4.3929999999999998</v>
      </c>
      <c r="N2708" s="7">
        <v>5.1509999999999998</v>
      </c>
      <c r="O2708" s="7">
        <v>5.5860000000000003</v>
      </c>
      <c r="P2708" s="7">
        <v>5.8019999999999996</v>
      </c>
      <c r="Q2708" s="7">
        <v>6.0629999999999997</v>
      </c>
      <c r="R2708" s="7">
        <v>5.9509999999999996</v>
      </c>
      <c r="S2708" s="7">
        <f t="shared" si="42"/>
        <v>5.3871666666666664</v>
      </c>
    </row>
    <row r="2709" spans="1:19">
      <c r="A2709" s="5" t="str">
        <f>B2709&amp;"-"&amp;COUNTIF($B$2:B2709,B2709)</f>
        <v>PARAIBA-146</v>
      </c>
      <c r="B2709" s="5" t="s">
        <v>1789</v>
      </c>
      <c r="C2709" s="5" t="s">
        <v>1893</v>
      </c>
      <c r="D2709" s="6">
        <v>-354911</v>
      </c>
      <c r="E2709" s="5" t="s">
        <v>1827</v>
      </c>
      <c r="F2709" s="7">
        <v>5.2629999999999999</v>
      </c>
      <c r="G2709" s="7">
        <v>5.5430000000000001</v>
      </c>
      <c r="H2709" s="7">
        <v>5.5960000000000001</v>
      </c>
      <c r="I2709" s="7">
        <v>5.6879999999999997</v>
      </c>
      <c r="J2709" s="7">
        <v>5.2160000000000002</v>
      </c>
      <c r="K2709" s="7">
        <v>4.6360000000000001</v>
      </c>
      <c r="L2709" s="7">
        <v>4.1920000000000002</v>
      </c>
      <c r="M2709" s="7">
        <v>4.2789999999999999</v>
      </c>
      <c r="N2709" s="7">
        <v>5.0270000000000001</v>
      </c>
      <c r="O2709" s="7">
        <v>5.484</v>
      </c>
      <c r="P2709" s="7">
        <v>5.758</v>
      </c>
      <c r="Q2709" s="7">
        <v>6</v>
      </c>
      <c r="R2709" s="7">
        <v>5.7430000000000003</v>
      </c>
      <c r="S2709" s="7">
        <f t="shared" si="42"/>
        <v>5.2635000000000005</v>
      </c>
    </row>
    <row r="2710" spans="1:19">
      <c r="A2710" s="5" t="str">
        <f>B2710&amp;"-"&amp;COUNTIF($B$2:B2710,B2710)</f>
        <v>PARAIBA-147</v>
      </c>
      <c r="B2710" s="5" t="s">
        <v>1789</v>
      </c>
      <c r="C2710" s="5" t="s">
        <v>1894</v>
      </c>
      <c r="D2710" s="6">
        <v>-348154</v>
      </c>
      <c r="E2710" s="6">
        <v>-74668</v>
      </c>
      <c r="F2710" s="7">
        <v>5.5039999999999996</v>
      </c>
      <c r="G2710" s="7">
        <v>5.81</v>
      </c>
      <c r="H2710" s="7">
        <v>6.0810000000000004</v>
      </c>
      <c r="I2710" s="7">
        <v>6.0540000000000003</v>
      </c>
      <c r="J2710" s="7">
        <v>5.3520000000000003</v>
      </c>
      <c r="K2710" s="7">
        <v>4.782</v>
      </c>
      <c r="L2710" s="7">
        <v>4.3659999999999997</v>
      </c>
      <c r="M2710" s="7">
        <v>4.423</v>
      </c>
      <c r="N2710" s="7">
        <v>5.242</v>
      </c>
      <c r="O2710" s="7">
        <v>5.6680000000000001</v>
      </c>
      <c r="P2710" s="7">
        <v>6.0369999999999999</v>
      </c>
      <c r="Q2710" s="7">
        <v>6.0730000000000004</v>
      </c>
      <c r="R2710" s="7">
        <v>6.1639999999999997</v>
      </c>
      <c r="S2710" s="7">
        <f t="shared" si="42"/>
        <v>5.5043333333333324</v>
      </c>
    </row>
    <row r="2711" spans="1:19">
      <c r="A2711" s="5" t="str">
        <f>B2711&amp;"-"&amp;COUNTIF($B$2:B2711,B2711)</f>
        <v>PARAIBA-148</v>
      </c>
      <c r="B2711" s="5" t="s">
        <v>1789</v>
      </c>
      <c r="C2711" s="5" t="s">
        <v>4704</v>
      </c>
      <c r="D2711" s="6">
        <v>-384912</v>
      </c>
      <c r="E2711" s="6">
        <v>-63992</v>
      </c>
      <c r="F2711" s="7">
        <v>5.867</v>
      </c>
      <c r="G2711" s="7">
        <v>5.92</v>
      </c>
      <c r="H2711" s="7">
        <v>5.8380000000000001</v>
      </c>
      <c r="I2711" s="7">
        <v>5.8639999999999999</v>
      </c>
      <c r="J2711" s="7">
        <v>5.5069999999999997</v>
      </c>
      <c r="K2711" s="7">
        <v>5.13</v>
      </c>
      <c r="L2711" s="7">
        <v>4.9370000000000003</v>
      </c>
      <c r="M2711" s="7">
        <v>5.3029999999999999</v>
      </c>
      <c r="N2711" s="7">
        <v>6.0720000000000001</v>
      </c>
      <c r="O2711" s="7">
        <v>6.48</v>
      </c>
      <c r="P2711" s="7">
        <v>6.57</v>
      </c>
      <c r="Q2711" s="7">
        <v>6.66</v>
      </c>
      <c r="R2711" s="7">
        <v>6.1180000000000003</v>
      </c>
      <c r="S2711" s="7">
        <f t="shared" si="42"/>
        <v>5.8665833333333337</v>
      </c>
    </row>
    <row r="2712" spans="1:19">
      <c r="A2712" s="5" t="str">
        <f>B2712&amp;"-"&amp;COUNTIF($B$2:B2712,B2712)</f>
        <v>PARAIBA-149</v>
      </c>
      <c r="B2712" s="5" t="s">
        <v>1789</v>
      </c>
      <c r="C2712" s="5" t="s">
        <v>4705</v>
      </c>
      <c r="D2712" s="6">
        <v>-385114</v>
      </c>
      <c r="E2712" s="6">
        <v>-65644</v>
      </c>
      <c r="F2712" s="7">
        <v>5.9340000000000002</v>
      </c>
      <c r="G2712" s="7">
        <v>6.0789999999999997</v>
      </c>
      <c r="H2712" s="7">
        <v>6.0430000000000001</v>
      </c>
      <c r="I2712" s="7">
        <v>5.9180000000000001</v>
      </c>
      <c r="J2712" s="7">
        <v>5.6749999999999998</v>
      </c>
      <c r="K2712" s="7">
        <v>5.1790000000000003</v>
      </c>
      <c r="L2712" s="7">
        <v>4.9660000000000002</v>
      </c>
      <c r="M2712" s="7">
        <v>5.2709999999999999</v>
      </c>
      <c r="N2712" s="7">
        <v>6.0359999999999996</v>
      </c>
      <c r="O2712" s="7">
        <v>6.4630000000000001</v>
      </c>
      <c r="P2712" s="7">
        <v>6.58</v>
      </c>
      <c r="Q2712" s="7">
        <v>6.74</v>
      </c>
      <c r="R2712" s="7">
        <v>6.2560000000000002</v>
      </c>
      <c r="S2712" s="7">
        <f t="shared" si="42"/>
        <v>5.9338333333333333</v>
      </c>
    </row>
    <row r="2713" spans="1:19">
      <c r="A2713" s="5" t="str">
        <f>B2713&amp;"-"&amp;COUNTIF($B$2:B2713,B2713)</f>
        <v>PARAIBA-150</v>
      </c>
      <c r="B2713" s="5" t="s">
        <v>1789</v>
      </c>
      <c r="C2713" s="5" t="s">
        <v>1895</v>
      </c>
      <c r="D2713" s="6">
        <v>-360608</v>
      </c>
      <c r="E2713" s="6">
        <v>-70738</v>
      </c>
      <c r="F2713" s="7">
        <v>5.4169999999999998</v>
      </c>
      <c r="G2713" s="7">
        <v>5.7619999999999996</v>
      </c>
      <c r="H2713" s="7">
        <v>5.8120000000000003</v>
      </c>
      <c r="I2713" s="7">
        <v>5.8739999999999997</v>
      </c>
      <c r="J2713" s="7">
        <v>5.3150000000000004</v>
      </c>
      <c r="K2713" s="7">
        <v>4.7119999999999997</v>
      </c>
      <c r="L2713" s="7">
        <v>4.18</v>
      </c>
      <c r="M2713" s="7">
        <v>4.4109999999999996</v>
      </c>
      <c r="N2713" s="7">
        <v>5.0750000000000002</v>
      </c>
      <c r="O2713" s="7">
        <v>5.7</v>
      </c>
      <c r="P2713" s="7">
        <v>6.0129999999999999</v>
      </c>
      <c r="Q2713" s="7">
        <v>6.165</v>
      </c>
      <c r="R2713" s="7">
        <v>5.9850000000000003</v>
      </c>
      <c r="S2713" s="7">
        <f t="shared" si="42"/>
        <v>5.4170000000000007</v>
      </c>
    </row>
    <row r="2714" spans="1:19">
      <c r="A2714" s="5" t="str">
        <f>B2714&amp;"-"&amp;COUNTIF($B$2:B2714,B2714)</f>
        <v>PARAIBA-151</v>
      </c>
      <c r="B2714" s="5" t="s">
        <v>1789</v>
      </c>
      <c r="C2714" s="5" t="s">
        <v>1896</v>
      </c>
      <c r="D2714" s="6">
        <v>-378006</v>
      </c>
      <c r="E2714" s="6">
        <v>-67665</v>
      </c>
      <c r="F2714" s="7">
        <v>6.0090000000000003</v>
      </c>
      <c r="G2714" s="7">
        <v>6.1680000000000001</v>
      </c>
      <c r="H2714" s="7">
        <v>6.1609999999999996</v>
      </c>
      <c r="I2714" s="7">
        <v>6.2469999999999999</v>
      </c>
      <c r="J2714" s="7">
        <v>5.8559999999999999</v>
      </c>
      <c r="K2714" s="7">
        <v>5.2960000000000003</v>
      </c>
      <c r="L2714" s="7">
        <v>4.9080000000000004</v>
      </c>
      <c r="M2714" s="7">
        <v>5.1520000000000001</v>
      </c>
      <c r="N2714" s="7">
        <v>5.9240000000000004</v>
      </c>
      <c r="O2714" s="7">
        <v>6.5289999999999999</v>
      </c>
      <c r="P2714" s="7">
        <v>6.6989999999999998</v>
      </c>
      <c r="Q2714" s="7">
        <v>6.7960000000000003</v>
      </c>
      <c r="R2714" s="7">
        <v>6.3680000000000003</v>
      </c>
      <c r="S2714" s="7">
        <f t="shared" si="42"/>
        <v>6.0086666666666666</v>
      </c>
    </row>
    <row r="2715" spans="1:19">
      <c r="A2715" s="5" t="str">
        <f>B2715&amp;"-"&amp;COUNTIF($B$2:B2715,B2715)</f>
        <v>PARAIBA-152</v>
      </c>
      <c r="B2715" s="5" t="s">
        <v>1789</v>
      </c>
      <c r="C2715" s="5" t="s">
        <v>1572</v>
      </c>
      <c r="D2715" s="6">
        <v>-370836</v>
      </c>
      <c r="E2715" s="6">
        <v>-7695</v>
      </c>
      <c r="F2715" s="7">
        <v>5.766</v>
      </c>
      <c r="G2715" s="7">
        <v>6.1829999999999998</v>
      </c>
      <c r="H2715" s="7">
        <v>6.1</v>
      </c>
      <c r="I2715" s="7">
        <v>6.0629999999999997</v>
      </c>
      <c r="J2715" s="7">
        <v>5.734</v>
      </c>
      <c r="K2715" s="7">
        <v>4.9480000000000004</v>
      </c>
      <c r="L2715" s="7">
        <v>4.4539999999999997</v>
      </c>
      <c r="M2715" s="7">
        <v>4.6109999999999998</v>
      </c>
      <c r="N2715" s="7">
        <v>5.383</v>
      </c>
      <c r="O2715" s="7">
        <v>6.2320000000000002</v>
      </c>
      <c r="P2715" s="7">
        <v>6.4749999999999996</v>
      </c>
      <c r="Q2715" s="7">
        <v>6.657</v>
      </c>
      <c r="R2715" s="7">
        <v>6.3529999999999998</v>
      </c>
      <c r="S2715" s="7">
        <f t="shared" si="42"/>
        <v>5.7660833333333334</v>
      </c>
    </row>
    <row r="2716" spans="1:19">
      <c r="A2716" s="5" t="str">
        <f>B2716&amp;"-"&amp;COUNTIF($B$2:B2716,B2716)</f>
        <v>PARAIBA-153</v>
      </c>
      <c r="B2716" s="5" t="s">
        <v>1789</v>
      </c>
      <c r="C2716" s="5" t="s">
        <v>1897</v>
      </c>
      <c r="D2716" s="6">
        <v>-37994</v>
      </c>
      <c r="E2716" s="6">
        <v>-77366</v>
      </c>
      <c r="F2716" s="7">
        <v>5.8789999999999996</v>
      </c>
      <c r="G2716" s="7">
        <v>6.1820000000000004</v>
      </c>
      <c r="H2716" s="7">
        <v>6.1369999999999996</v>
      </c>
      <c r="I2716" s="7">
        <v>6.1260000000000003</v>
      </c>
      <c r="J2716" s="7">
        <v>5.7679999999999998</v>
      </c>
      <c r="K2716" s="7">
        <v>5.0540000000000003</v>
      </c>
      <c r="L2716" s="7">
        <v>4.6260000000000003</v>
      </c>
      <c r="M2716" s="7">
        <v>4.8899999999999997</v>
      </c>
      <c r="N2716" s="7">
        <v>5.7270000000000003</v>
      </c>
      <c r="O2716" s="7">
        <v>6.4450000000000003</v>
      </c>
      <c r="P2716" s="7">
        <v>6.5540000000000003</v>
      </c>
      <c r="Q2716" s="7">
        <v>6.6870000000000003</v>
      </c>
      <c r="R2716" s="7">
        <v>6.35</v>
      </c>
      <c r="S2716" s="7">
        <f t="shared" si="42"/>
        <v>5.8788333333333336</v>
      </c>
    </row>
    <row r="2717" spans="1:19">
      <c r="A2717" s="5" t="str">
        <f>B2717&amp;"-"&amp;COUNTIF($B$2:B2717,B2717)</f>
        <v>PARAIBA-154</v>
      </c>
      <c r="B2717" s="5" t="s">
        <v>1789</v>
      </c>
      <c r="C2717" s="5" t="s">
        <v>5384</v>
      </c>
      <c r="D2717" s="6">
        <v>-359686</v>
      </c>
      <c r="E2717" s="6">
        <v>-71457</v>
      </c>
      <c r="F2717" s="7">
        <v>5.4370000000000003</v>
      </c>
      <c r="G2717" s="7">
        <v>5.8129999999999997</v>
      </c>
      <c r="H2717" s="7">
        <v>5.9279999999999999</v>
      </c>
      <c r="I2717" s="7">
        <v>5.8769999999999998</v>
      </c>
      <c r="J2717" s="7">
        <v>5.3739999999999997</v>
      </c>
      <c r="K2717" s="7">
        <v>4.7809999999999997</v>
      </c>
      <c r="L2717" s="7">
        <v>4.2240000000000002</v>
      </c>
      <c r="M2717" s="7">
        <v>4.383</v>
      </c>
      <c r="N2717" s="7">
        <v>5.1360000000000001</v>
      </c>
      <c r="O2717" s="7">
        <v>5.6829999999999998</v>
      </c>
      <c r="P2717" s="7">
        <v>5.952</v>
      </c>
      <c r="Q2717" s="7">
        <v>6.133</v>
      </c>
      <c r="R2717" s="7">
        <v>5.9580000000000002</v>
      </c>
      <c r="S2717" s="7">
        <f t="shared" si="42"/>
        <v>5.4368333333333334</v>
      </c>
    </row>
    <row r="2718" spans="1:19">
      <c r="A2718" s="5" t="str">
        <f>B2718&amp;"-"&amp;COUNTIF($B$2:B2718,B2718)</f>
        <v>PARAIBA-155</v>
      </c>
      <c r="B2718" s="5" t="s">
        <v>1789</v>
      </c>
      <c r="C2718" s="5" t="s">
        <v>505</v>
      </c>
      <c r="D2718" s="6">
        <v>-359036</v>
      </c>
      <c r="E2718" s="6">
        <v>-7367</v>
      </c>
      <c r="F2718" s="7">
        <v>5.3819999999999997</v>
      </c>
      <c r="G2718" s="7">
        <v>5.827</v>
      </c>
      <c r="H2718" s="7">
        <v>5.8150000000000004</v>
      </c>
      <c r="I2718" s="7">
        <v>5.8460000000000001</v>
      </c>
      <c r="J2718" s="7">
        <v>5.3319999999999999</v>
      </c>
      <c r="K2718" s="7">
        <v>4.665</v>
      </c>
      <c r="L2718" s="7">
        <v>4.0949999999999998</v>
      </c>
      <c r="M2718" s="7">
        <v>4.3079999999999998</v>
      </c>
      <c r="N2718" s="7">
        <v>4.9939999999999998</v>
      </c>
      <c r="O2718" s="7">
        <v>5.6029999999999998</v>
      </c>
      <c r="P2718" s="7">
        <v>5.9169999999999998</v>
      </c>
      <c r="Q2718" s="7">
        <v>6.2030000000000003</v>
      </c>
      <c r="R2718" s="7">
        <v>5.9779999999999998</v>
      </c>
      <c r="S2718" s="7">
        <f t="shared" si="42"/>
        <v>5.3819166666666662</v>
      </c>
    </row>
    <row r="2719" spans="1:19">
      <c r="A2719" s="5" t="str">
        <f>B2719&amp;"-"&amp;COUNTIF($B$2:B2719,B2719)</f>
        <v>PARAIBA-156</v>
      </c>
      <c r="B2719" s="5" t="s">
        <v>1789</v>
      </c>
      <c r="C2719" s="5" t="s">
        <v>1898</v>
      </c>
      <c r="D2719" s="6">
        <v>-371484</v>
      </c>
      <c r="E2719" s="6">
        <v>-70309</v>
      </c>
      <c r="F2719" s="7">
        <v>5.9130000000000003</v>
      </c>
      <c r="G2719" s="7">
        <v>6.2229999999999999</v>
      </c>
      <c r="H2719" s="7">
        <v>6.2050000000000001</v>
      </c>
      <c r="I2719" s="7">
        <v>6.2329999999999997</v>
      </c>
      <c r="J2719" s="7">
        <v>5.8570000000000002</v>
      </c>
      <c r="K2719" s="7">
        <v>5.1479999999999997</v>
      </c>
      <c r="L2719" s="7">
        <v>4.6980000000000004</v>
      </c>
      <c r="M2719" s="7">
        <v>5.0270000000000001</v>
      </c>
      <c r="N2719" s="7">
        <v>5.7720000000000002</v>
      </c>
      <c r="O2719" s="7">
        <v>6.3890000000000002</v>
      </c>
      <c r="P2719" s="7">
        <v>6.5449999999999999</v>
      </c>
      <c r="Q2719" s="7">
        <v>6.5709999999999997</v>
      </c>
      <c r="R2719" s="7">
        <v>6.29</v>
      </c>
      <c r="S2719" s="7">
        <f t="shared" si="42"/>
        <v>5.913166666666668</v>
      </c>
    </row>
    <row r="2720" spans="1:19">
      <c r="A2720" s="5" t="str">
        <f>B2720&amp;"-"&amp;COUNTIF($B$2:B2720,B2720)</f>
        <v>PARAIBA-157</v>
      </c>
      <c r="B2720" s="5" t="s">
        <v>1789</v>
      </c>
      <c r="C2720" s="5" t="s">
        <v>1899</v>
      </c>
      <c r="D2720" s="6">
        <v>-357989</v>
      </c>
      <c r="E2720" s="6">
        <v>-69554</v>
      </c>
      <c r="F2720" s="7">
        <v>5.3710000000000004</v>
      </c>
      <c r="G2720" s="7">
        <v>5.7210000000000001</v>
      </c>
      <c r="H2720" s="7">
        <v>5.8540000000000001</v>
      </c>
      <c r="I2720" s="7">
        <v>5.7969999999999997</v>
      </c>
      <c r="J2720" s="7">
        <v>5.3390000000000004</v>
      </c>
      <c r="K2720" s="7">
        <v>4.702</v>
      </c>
      <c r="L2720" s="7">
        <v>4.1520000000000001</v>
      </c>
      <c r="M2720" s="7">
        <v>4.2969999999999997</v>
      </c>
      <c r="N2720" s="7">
        <v>5.0270000000000001</v>
      </c>
      <c r="O2720" s="7">
        <v>5.5910000000000002</v>
      </c>
      <c r="P2720" s="7">
        <v>5.8650000000000002</v>
      </c>
      <c r="Q2720" s="7">
        <v>6.1529999999999996</v>
      </c>
      <c r="R2720" s="7">
        <v>5.9560000000000004</v>
      </c>
      <c r="S2720" s="7">
        <f t="shared" si="42"/>
        <v>5.3711666666666664</v>
      </c>
    </row>
    <row r="2721" spans="1:19">
      <c r="A2721" s="5" t="str">
        <f>B2721&amp;"-"&amp;COUNTIF($B$2:B2721,B2721)</f>
        <v>PARAIBA-158</v>
      </c>
      <c r="B2721" s="5" t="s">
        <v>1789</v>
      </c>
      <c r="C2721" s="5" t="s">
        <v>3958</v>
      </c>
      <c r="D2721" s="6">
        <v>-356613</v>
      </c>
      <c r="E2721" s="6">
        <v>-65431</v>
      </c>
      <c r="F2721" s="7">
        <v>5.3730000000000002</v>
      </c>
      <c r="G2721" s="7">
        <v>5.6070000000000002</v>
      </c>
      <c r="H2721" s="7">
        <v>5.7290000000000001</v>
      </c>
      <c r="I2721" s="7">
        <v>5.7889999999999997</v>
      </c>
      <c r="J2721" s="7">
        <v>5.3680000000000003</v>
      </c>
      <c r="K2721" s="7">
        <v>4.8380000000000001</v>
      </c>
      <c r="L2721" s="7">
        <v>4.3780000000000001</v>
      </c>
      <c r="M2721" s="7">
        <v>4.5369999999999999</v>
      </c>
      <c r="N2721" s="7">
        <v>5.2240000000000002</v>
      </c>
      <c r="O2721" s="7">
        <v>5.5919999999999996</v>
      </c>
      <c r="P2721" s="7">
        <v>5.75</v>
      </c>
      <c r="Q2721" s="7">
        <v>5.9779999999999998</v>
      </c>
      <c r="R2721" s="7">
        <v>5.681</v>
      </c>
      <c r="S2721" s="7">
        <f t="shared" si="42"/>
        <v>5.3725833333333339</v>
      </c>
    </row>
    <row r="2722" spans="1:19">
      <c r="A2722" s="5" t="str">
        <f>B2722&amp;"-"&amp;COUNTIF($B$2:B2722,B2722)</f>
        <v>PARAIBA-159</v>
      </c>
      <c r="B2722" s="5" t="s">
        <v>1789</v>
      </c>
      <c r="C2722" s="5" t="s">
        <v>4063</v>
      </c>
      <c r="D2722" s="6">
        <v>-356652</v>
      </c>
      <c r="E2722" s="6">
        <v>-72508</v>
      </c>
      <c r="F2722" s="7">
        <v>5.2670000000000003</v>
      </c>
      <c r="G2722" s="7">
        <v>5.5990000000000002</v>
      </c>
      <c r="H2722" s="7">
        <v>5.68</v>
      </c>
      <c r="I2722" s="7">
        <v>5.7569999999999997</v>
      </c>
      <c r="J2722" s="7">
        <v>5.2439999999999998</v>
      </c>
      <c r="K2722" s="7">
        <v>4.6429999999999998</v>
      </c>
      <c r="L2722" s="7">
        <v>4.1360000000000001</v>
      </c>
      <c r="M2722" s="7">
        <v>4.2279999999999998</v>
      </c>
      <c r="N2722" s="7">
        <v>4.8879999999999999</v>
      </c>
      <c r="O2722" s="7">
        <v>5.4370000000000003</v>
      </c>
      <c r="P2722" s="7">
        <v>5.72</v>
      </c>
      <c r="Q2722" s="7">
        <v>6.0529999999999999</v>
      </c>
      <c r="R2722" s="7">
        <v>5.8239999999999998</v>
      </c>
      <c r="S2722" s="7">
        <f t="shared" si="42"/>
        <v>5.2674166666666657</v>
      </c>
    </row>
    <row r="2723" spans="1:19">
      <c r="A2723" s="5" t="str">
        <f>B2723&amp;"-"&amp;COUNTIF($B$2:B2723,B2723)</f>
        <v>PARAIBA-160</v>
      </c>
      <c r="B2723" s="5" t="s">
        <v>1789</v>
      </c>
      <c r="C2723" s="5" t="s">
        <v>4706</v>
      </c>
      <c r="D2723" s="6">
        <v>-352792</v>
      </c>
      <c r="E2723" s="6">
        <v>-71787</v>
      </c>
      <c r="F2723" s="7">
        <v>5.3440000000000003</v>
      </c>
      <c r="G2723" s="7">
        <v>5.6520000000000001</v>
      </c>
      <c r="H2723" s="7">
        <v>5.782</v>
      </c>
      <c r="I2723" s="7">
        <v>5.891</v>
      </c>
      <c r="J2723" s="7">
        <v>5.3049999999999997</v>
      </c>
      <c r="K2723" s="7">
        <v>4.6319999999999997</v>
      </c>
      <c r="L2723" s="7">
        <v>4.2450000000000001</v>
      </c>
      <c r="M2723" s="7">
        <v>4.3390000000000004</v>
      </c>
      <c r="N2723" s="7">
        <v>5.1159999999999997</v>
      </c>
      <c r="O2723" s="7">
        <v>5.5419999999999998</v>
      </c>
      <c r="P2723" s="7">
        <v>5.7629999999999999</v>
      </c>
      <c r="Q2723" s="7">
        <v>5.9850000000000003</v>
      </c>
      <c r="R2723" s="7">
        <v>5.8810000000000002</v>
      </c>
      <c r="S2723" s="7">
        <f t="shared" si="42"/>
        <v>5.3444166666666675</v>
      </c>
    </row>
    <row r="2724" spans="1:19">
      <c r="A2724" s="5" t="str">
        <f>B2724&amp;"-"&amp;COUNTIF($B$2:B2724,B2724)</f>
        <v>PARAIBA-161</v>
      </c>
      <c r="B2724" s="5" t="s">
        <v>1789</v>
      </c>
      <c r="C2724" s="5" t="s">
        <v>4562</v>
      </c>
      <c r="D2724" s="6">
        <v>-361577</v>
      </c>
      <c r="E2724" s="6">
        <v>-7681</v>
      </c>
      <c r="F2724" s="7">
        <v>5.4349999999999996</v>
      </c>
      <c r="G2724" s="7">
        <v>5.8860000000000001</v>
      </c>
      <c r="H2724" s="7">
        <v>5.8579999999999997</v>
      </c>
      <c r="I2724" s="7">
        <v>5.8559999999999999</v>
      </c>
      <c r="J2724" s="7">
        <v>5.351</v>
      </c>
      <c r="K2724" s="7">
        <v>4.7030000000000003</v>
      </c>
      <c r="L2724" s="7">
        <v>4.1760000000000002</v>
      </c>
      <c r="M2724" s="7">
        <v>4.3810000000000002</v>
      </c>
      <c r="N2724" s="7">
        <v>5.048</v>
      </c>
      <c r="O2724" s="7">
        <v>5.71</v>
      </c>
      <c r="P2724" s="7">
        <v>6.0039999999999996</v>
      </c>
      <c r="Q2724" s="7">
        <v>6.26</v>
      </c>
      <c r="R2724" s="7">
        <v>5.9859999999999998</v>
      </c>
      <c r="S2724" s="7">
        <f t="shared" si="42"/>
        <v>5.4349166666666662</v>
      </c>
    </row>
    <row r="2725" spans="1:19">
      <c r="A2725" s="5" t="str">
        <f>B2725&amp;"-"&amp;COUNTIF($B$2:B2725,B2725)</f>
        <v>PARAIBA-162</v>
      </c>
      <c r="B2725" s="5" t="s">
        <v>1789</v>
      </c>
      <c r="C2725" s="5" t="s">
        <v>1900</v>
      </c>
      <c r="D2725" s="6">
        <v>-376486</v>
      </c>
      <c r="E2725" s="6">
        <v>-64411</v>
      </c>
      <c r="F2725" s="7">
        <v>5.9850000000000003</v>
      </c>
      <c r="G2725" s="7">
        <v>6.13</v>
      </c>
      <c r="H2725" s="7">
        <v>6.1849999999999996</v>
      </c>
      <c r="I2725" s="7">
        <v>6.173</v>
      </c>
      <c r="J2725" s="7">
        <v>5.8780000000000001</v>
      </c>
      <c r="K2725" s="7">
        <v>5.3259999999999996</v>
      </c>
      <c r="L2725" s="7">
        <v>4.9039999999999999</v>
      </c>
      <c r="M2725" s="7">
        <v>5.26</v>
      </c>
      <c r="N2725" s="7">
        <v>5.9610000000000003</v>
      </c>
      <c r="O2725" s="7">
        <v>6.5039999999999996</v>
      </c>
      <c r="P2725" s="7">
        <v>6.6130000000000004</v>
      </c>
      <c r="Q2725" s="7">
        <v>6.6219999999999999</v>
      </c>
      <c r="R2725" s="7">
        <v>6.266</v>
      </c>
      <c r="S2725" s="7">
        <f t="shared" si="42"/>
        <v>5.9851666666666672</v>
      </c>
    </row>
    <row r="2726" spans="1:19">
      <c r="A2726" s="5" t="str">
        <f>B2726&amp;"-"&amp;COUNTIF($B$2:B2726,B2726)</f>
        <v>PARAIBA-163</v>
      </c>
      <c r="B2726" s="5" t="s">
        <v>1789</v>
      </c>
      <c r="C2726" s="5" t="s">
        <v>1901</v>
      </c>
      <c r="D2726" s="6">
        <v>-350779</v>
      </c>
      <c r="E2726" s="6">
        <v>-68042</v>
      </c>
      <c r="F2726" s="7">
        <v>5.4720000000000004</v>
      </c>
      <c r="G2726" s="7">
        <v>5.86</v>
      </c>
      <c r="H2726" s="7">
        <v>5.9649999999999999</v>
      </c>
      <c r="I2726" s="7">
        <v>6.069</v>
      </c>
      <c r="J2726" s="7">
        <v>5.3680000000000003</v>
      </c>
      <c r="K2726" s="7">
        <v>4.758</v>
      </c>
      <c r="L2726" s="7">
        <v>4.2910000000000004</v>
      </c>
      <c r="M2726" s="7">
        <v>4.3410000000000002</v>
      </c>
      <c r="N2726" s="7">
        <v>5.1849999999999996</v>
      </c>
      <c r="O2726" s="7">
        <v>5.6120000000000001</v>
      </c>
      <c r="P2726" s="7">
        <v>5.9370000000000003</v>
      </c>
      <c r="Q2726" s="7">
        <v>6.2050000000000001</v>
      </c>
      <c r="R2726" s="7">
        <v>6.0780000000000003</v>
      </c>
      <c r="S2726" s="7">
        <f t="shared" si="42"/>
        <v>5.4724166666666667</v>
      </c>
    </row>
    <row r="2727" spans="1:19">
      <c r="A2727" s="5" t="str">
        <f>B2727&amp;"-"&amp;COUNTIF($B$2:B2727,B2727)</f>
        <v>PARAIBA-164</v>
      </c>
      <c r="B2727" s="5" t="s">
        <v>1789</v>
      </c>
      <c r="C2727" s="5" t="s">
        <v>4064</v>
      </c>
      <c r="D2727" s="6">
        <v>-377271</v>
      </c>
      <c r="E2727" s="6">
        <v>-68904</v>
      </c>
      <c r="F2727" s="7">
        <v>6.0060000000000002</v>
      </c>
      <c r="G2727" s="7">
        <v>6.1929999999999996</v>
      </c>
      <c r="H2727" s="7">
        <v>6.2140000000000004</v>
      </c>
      <c r="I2727" s="7">
        <v>6.2880000000000003</v>
      </c>
      <c r="J2727" s="7">
        <v>5.8769999999999998</v>
      </c>
      <c r="K2727" s="7">
        <v>5.2770000000000001</v>
      </c>
      <c r="L2727" s="7">
        <v>4.8789999999999996</v>
      </c>
      <c r="M2727" s="7">
        <v>5.0679999999999996</v>
      </c>
      <c r="N2727" s="7">
        <v>5.9</v>
      </c>
      <c r="O2727" s="7">
        <v>6.5140000000000002</v>
      </c>
      <c r="P2727" s="7">
        <v>6.6890000000000001</v>
      </c>
      <c r="Q2727" s="7">
        <v>6.7839999999999998</v>
      </c>
      <c r="R2727" s="7">
        <v>6.3940000000000001</v>
      </c>
      <c r="S2727" s="7">
        <f t="shared" si="42"/>
        <v>6.0064166666666674</v>
      </c>
    </row>
    <row r="2728" spans="1:19">
      <c r="A2728" s="5" t="str">
        <f>B2728&amp;"-"&amp;COUNTIF($B$2:B2728,B2728)</f>
        <v>PARAIBA-165</v>
      </c>
      <c r="B2728" s="5" t="s">
        <v>1789</v>
      </c>
      <c r="C2728" s="5" t="s">
        <v>3960</v>
      </c>
      <c r="D2728" s="6">
        <v>-374491</v>
      </c>
      <c r="E2728" s="6">
        <v>-64857</v>
      </c>
      <c r="F2728" s="7">
        <v>5.9790000000000001</v>
      </c>
      <c r="G2728" s="7">
        <v>6.2190000000000003</v>
      </c>
      <c r="H2728" s="7">
        <v>6.2329999999999997</v>
      </c>
      <c r="I2728" s="7">
        <v>6.2370000000000001</v>
      </c>
      <c r="J2728" s="7">
        <v>5.9050000000000002</v>
      </c>
      <c r="K2728" s="7">
        <v>5.3010000000000002</v>
      </c>
      <c r="L2728" s="7">
        <v>4.8540000000000001</v>
      </c>
      <c r="M2728" s="7">
        <v>5.1310000000000002</v>
      </c>
      <c r="N2728" s="7">
        <v>5.8769999999999998</v>
      </c>
      <c r="O2728" s="7">
        <v>6.4390000000000001</v>
      </c>
      <c r="P2728" s="7">
        <v>6.6239999999999997</v>
      </c>
      <c r="Q2728" s="7">
        <v>6.6120000000000001</v>
      </c>
      <c r="R2728" s="7">
        <v>6.3129999999999997</v>
      </c>
      <c r="S2728" s="7">
        <f t="shared" si="42"/>
        <v>5.9787500000000007</v>
      </c>
    </row>
    <row r="2729" spans="1:19">
      <c r="A2729" s="5" t="str">
        <f>B2729&amp;"-"&amp;COUNTIF($B$2:B2729,B2729)</f>
        <v>PARAIBA-166</v>
      </c>
      <c r="B2729" s="5" t="s">
        <v>1789</v>
      </c>
      <c r="C2729" s="5" t="s">
        <v>3917</v>
      </c>
      <c r="D2729" s="6">
        <v>-379426</v>
      </c>
      <c r="E2729" s="6">
        <v>-68161</v>
      </c>
      <c r="F2729" s="7">
        <v>6.0010000000000003</v>
      </c>
      <c r="G2729" s="7">
        <v>6.1310000000000002</v>
      </c>
      <c r="H2729" s="7">
        <v>6.1040000000000001</v>
      </c>
      <c r="I2729" s="7">
        <v>6.1859999999999999</v>
      </c>
      <c r="J2729" s="7">
        <v>5.8330000000000002</v>
      </c>
      <c r="K2729" s="7">
        <v>5.3040000000000003</v>
      </c>
      <c r="L2729" s="7">
        <v>4.92</v>
      </c>
      <c r="M2729" s="7">
        <v>5.1920000000000002</v>
      </c>
      <c r="N2729" s="7">
        <v>5.931</v>
      </c>
      <c r="O2729" s="7">
        <v>6.508</v>
      </c>
      <c r="P2729" s="7">
        <v>6.6890000000000001</v>
      </c>
      <c r="Q2729" s="7">
        <v>6.843</v>
      </c>
      <c r="R2729" s="7">
        <v>6.3719999999999999</v>
      </c>
      <c r="S2729" s="7">
        <f t="shared" si="42"/>
        <v>6.0010833333333338</v>
      </c>
    </row>
    <row r="2730" spans="1:19">
      <c r="A2730" s="5" t="str">
        <f>B2730&amp;"-"&amp;COUNTIF($B$2:B2730,B2730)</f>
        <v>PARAIBA-167</v>
      </c>
      <c r="B2730" s="5" t="s">
        <v>1789</v>
      </c>
      <c r="C2730" s="5" t="s">
        <v>4065</v>
      </c>
      <c r="D2730" s="6">
        <v>-364377</v>
      </c>
      <c r="E2730" s="6">
        <v>-76332</v>
      </c>
      <c r="F2730" s="7">
        <v>5.4969999999999999</v>
      </c>
      <c r="G2730" s="7">
        <v>5.8840000000000003</v>
      </c>
      <c r="H2730" s="7">
        <v>5.7770000000000001</v>
      </c>
      <c r="I2730" s="7">
        <v>5.9160000000000004</v>
      </c>
      <c r="J2730" s="7">
        <v>5.3940000000000001</v>
      </c>
      <c r="K2730" s="7">
        <v>4.7729999999999997</v>
      </c>
      <c r="L2730" s="7">
        <v>4.2069999999999999</v>
      </c>
      <c r="M2730" s="7">
        <v>4.4370000000000003</v>
      </c>
      <c r="N2730" s="7">
        <v>5.09</v>
      </c>
      <c r="O2730" s="7">
        <v>5.8609999999999998</v>
      </c>
      <c r="P2730" s="7">
        <v>6.1550000000000002</v>
      </c>
      <c r="Q2730" s="7">
        <v>6.3380000000000001</v>
      </c>
      <c r="R2730" s="7">
        <v>6.1269999999999998</v>
      </c>
      <c r="S2730" s="7">
        <f t="shared" si="42"/>
        <v>5.4965833333333336</v>
      </c>
    </row>
    <row r="2731" spans="1:19">
      <c r="A2731" s="5" t="str">
        <f>B2731&amp;"-"&amp;COUNTIF($B$2:B2731,B2731)</f>
        <v>PARAIBA-168</v>
      </c>
      <c r="B2731" s="5" t="s">
        <v>1789</v>
      </c>
      <c r="C2731" s="5" t="s">
        <v>4011</v>
      </c>
      <c r="D2731" s="6">
        <v>-380958</v>
      </c>
      <c r="E2731" s="6">
        <v>-66188</v>
      </c>
      <c r="F2731" s="7">
        <v>5.976</v>
      </c>
      <c r="G2731" s="7">
        <v>6.0270000000000001</v>
      </c>
      <c r="H2731" s="7">
        <v>6.0030000000000001</v>
      </c>
      <c r="I2731" s="7">
        <v>6.1059999999999999</v>
      </c>
      <c r="J2731" s="7">
        <v>5.7919999999999998</v>
      </c>
      <c r="K2731" s="7">
        <v>5.2889999999999997</v>
      </c>
      <c r="L2731" s="7">
        <v>4.9809999999999999</v>
      </c>
      <c r="M2731" s="7">
        <v>5.2510000000000003</v>
      </c>
      <c r="N2731" s="7">
        <v>5.9969999999999999</v>
      </c>
      <c r="O2731" s="7">
        <v>6.5529999999999999</v>
      </c>
      <c r="P2731" s="7">
        <v>6.65</v>
      </c>
      <c r="Q2731" s="7">
        <v>6.7910000000000004</v>
      </c>
      <c r="R2731" s="7">
        <v>6.2670000000000003</v>
      </c>
      <c r="S2731" s="7">
        <f t="shared" si="42"/>
        <v>5.9755833333333328</v>
      </c>
    </row>
    <row r="2732" spans="1:19">
      <c r="A2732" s="5" t="str">
        <f>B2732&amp;"-"&amp;COUNTIF($B$2:B2732,B2732)</f>
        <v>PARAIBA-169</v>
      </c>
      <c r="B2732" s="5" t="s">
        <v>1789</v>
      </c>
      <c r="C2732" s="5" t="s">
        <v>4066</v>
      </c>
      <c r="D2732" s="6">
        <v>-365321</v>
      </c>
      <c r="E2732" s="6">
        <v>-73861</v>
      </c>
      <c r="F2732" s="7">
        <v>5.6040000000000001</v>
      </c>
      <c r="G2732" s="7">
        <v>5.9729999999999999</v>
      </c>
      <c r="H2732" s="7">
        <v>5.9260000000000002</v>
      </c>
      <c r="I2732" s="7">
        <v>6.0170000000000003</v>
      </c>
      <c r="J2732" s="7">
        <v>5.4889999999999999</v>
      </c>
      <c r="K2732" s="7">
        <v>4.8680000000000003</v>
      </c>
      <c r="L2732" s="7">
        <v>4.3250000000000002</v>
      </c>
      <c r="M2732" s="7">
        <v>4.5750000000000002</v>
      </c>
      <c r="N2732" s="7">
        <v>5.25</v>
      </c>
      <c r="O2732" s="7">
        <v>5.9850000000000003</v>
      </c>
      <c r="P2732" s="7">
        <v>6.2329999999999997</v>
      </c>
      <c r="Q2732" s="7">
        <v>6.4240000000000004</v>
      </c>
      <c r="R2732" s="7">
        <v>6.1829999999999998</v>
      </c>
      <c r="S2732" s="7">
        <f t="shared" si="42"/>
        <v>5.6040000000000001</v>
      </c>
    </row>
    <row r="2733" spans="1:19">
      <c r="A2733" s="5" t="str">
        <f>B2733&amp;"-"&amp;COUNTIF($B$2:B2733,B2733)</f>
        <v>PARAIBA-170</v>
      </c>
      <c r="B2733" s="5" t="s">
        <v>1789</v>
      </c>
      <c r="C2733" s="5" t="s">
        <v>4067</v>
      </c>
      <c r="D2733" s="6">
        <v>-384555</v>
      </c>
      <c r="E2733" s="6">
        <v>-67216</v>
      </c>
      <c r="F2733" s="7">
        <v>5.9930000000000003</v>
      </c>
      <c r="G2733" s="7">
        <v>6.1820000000000004</v>
      </c>
      <c r="H2733" s="7">
        <v>6.0869999999999997</v>
      </c>
      <c r="I2733" s="7">
        <v>6.069</v>
      </c>
      <c r="J2733" s="7">
        <v>5.7949999999999999</v>
      </c>
      <c r="K2733" s="7">
        <v>5.2329999999999997</v>
      </c>
      <c r="L2733" s="7">
        <v>5.0090000000000003</v>
      </c>
      <c r="M2733" s="7">
        <v>5.3150000000000004</v>
      </c>
      <c r="N2733" s="7">
        <v>6.0449999999999999</v>
      </c>
      <c r="O2733" s="7">
        <v>6.43</v>
      </c>
      <c r="P2733" s="7">
        <v>6.6310000000000002</v>
      </c>
      <c r="Q2733" s="7">
        <v>6.7560000000000002</v>
      </c>
      <c r="R2733" s="7">
        <v>6.3620000000000001</v>
      </c>
      <c r="S2733" s="7">
        <f t="shared" si="42"/>
        <v>5.9928333333333326</v>
      </c>
    </row>
    <row r="2734" spans="1:19">
      <c r="A2734" s="5" t="str">
        <f>B2734&amp;"-"&amp;COUNTIF($B$2:B2734,B2734)</f>
        <v>PARAIBA-171</v>
      </c>
      <c r="B2734" s="5" t="s">
        <v>1789</v>
      </c>
      <c r="C2734" s="5" t="s">
        <v>4068</v>
      </c>
      <c r="D2734" s="6">
        <v>-368554</v>
      </c>
      <c r="E2734" s="6">
        <v>-80778</v>
      </c>
      <c r="F2734" s="7">
        <v>5.6619999999999999</v>
      </c>
      <c r="G2734" s="7">
        <v>6.1340000000000003</v>
      </c>
      <c r="H2734" s="7">
        <v>5.9729999999999999</v>
      </c>
      <c r="I2734" s="7">
        <v>5.9909999999999997</v>
      </c>
      <c r="J2734" s="7">
        <v>5.585</v>
      </c>
      <c r="K2734" s="7">
        <v>4.7130000000000001</v>
      </c>
      <c r="L2734" s="7">
        <v>4.2539999999999996</v>
      </c>
      <c r="M2734" s="7">
        <v>4.4370000000000003</v>
      </c>
      <c r="N2734" s="7">
        <v>5.2850000000000001</v>
      </c>
      <c r="O2734" s="7">
        <v>6.1289999999999996</v>
      </c>
      <c r="P2734" s="7">
        <v>6.3380000000000001</v>
      </c>
      <c r="Q2734" s="7">
        <v>6.6749999999999998</v>
      </c>
      <c r="R2734" s="7">
        <v>6.4260000000000002</v>
      </c>
      <c r="S2734" s="7">
        <f t="shared" si="42"/>
        <v>5.6616666666666662</v>
      </c>
    </row>
    <row r="2735" spans="1:19">
      <c r="A2735" s="5" t="str">
        <f>B2735&amp;"-"&amp;COUNTIF($B$2:B2735,B2735)</f>
        <v>PARAIBA-172</v>
      </c>
      <c r="B2735" s="5" t="s">
        <v>1789</v>
      </c>
      <c r="C2735" s="5" t="s">
        <v>4394</v>
      </c>
      <c r="D2735" s="6">
        <v>-381625</v>
      </c>
      <c r="E2735" s="6">
        <v>-69369</v>
      </c>
      <c r="F2735" s="7">
        <v>6.0419999999999998</v>
      </c>
      <c r="G2735" s="7">
        <v>6.1210000000000004</v>
      </c>
      <c r="H2735" s="7">
        <v>6.1449999999999996</v>
      </c>
      <c r="I2735" s="7">
        <v>6.1890000000000001</v>
      </c>
      <c r="J2735" s="7">
        <v>5.8879999999999999</v>
      </c>
      <c r="K2735" s="7">
        <v>5.3470000000000004</v>
      </c>
      <c r="L2735" s="7">
        <v>5.05</v>
      </c>
      <c r="M2735" s="7">
        <v>5.2789999999999999</v>
      </c>
      <c r="N2735" s="7">
        <v>6.0609999999999999</v>
      </c>
      <c r="O2735" s="7">
        <v>6.5490000000000004</v>
      </c>
      <c r="P2735" s="7">
        <v>6.6749999999999998</v>
      </c>
      <c r="Q2735" s="7">
        <v>6.7910000000000004</v>
      </c>
      <c r="R2735" s="7">
        <v>6.41</v>
      </c>
      <c r="S2735" s="7">
        <f t="shared" si="42"/>
        <v>6.0420833333333315</v>
      </c>
    </row>
    <row r="2736" spans="1:19">
      <c r="A2736" s="5" t="str">
        <f>B2736&amp;"-"&amp;COUNTIF($B$2:B2736,B2736)</f>
        <v>PARAIBA-173</v>
      </c>
      <c r="B2736" s="5" t="s">
        <v>1789</v>
      </c>
      <c r="C2736" s="5" t="s">
        <v>4395</v>
      </c>
      <c r="D2736" s="6">
        <v>-383002</v>
      </c>
      <c r="E2736" s="6">
        <v>-72519</v>
      </c>
      <c r="F2736" s="7">
        <v>5.9980000000000002</v>
      </c>
      <c r="G2736" s="7">
        <v>6.1440000000000001</v>
      </c>
      <c r="H2736" s="7">
        <v>6.0709999999999997</v>
      </c>
      <c r="I2736" s="7">
        <v>6.0949999999999998</v>
      </c>
      <c r="J2736" s="7">
        <v>5.8109999999999999</v>
      </c>
      <c r="K2736" s="7">
        <v>5.2460000000000004</v>
      </c>
      <c r="L2736" s="7">
        <v>4.9320000000000004</v>
      </c>
      <c r="M2736" s="7">
        <v>5.1669999999999998</v>
      </c>
      <c r="N2736" s="7">
        <v>5.976</v>
      </c>
      <c r="O2736" s="7">
        <v>6.5919999999999996</v>
      </c>
      <c r="P2736" s="7">
        <v>6.6429999999999998</v>
      </c>
      <c r="Q2736" s="7">
        <v>6.8380000000000001</v>
      </c>
      <c r="R2736" s="7">
        <v>6.4610000000000003</v>
      </c>
      <c r="S2736" s="7">
        <f t="shared" si="42"/>
        <v>5.9980000000000002</v>
      </c>
    </row>
    <row r="2737" spans="1:19">
      <c r="A2737" s="5" t="str">
        <f>B2737&amp;"-"&amp;COUNTIF($B$2:B2737,B2737)</f>
        <v>PARAIBA-174</v>
      </c>
      <c r="B2737" s="5" t="s">
        <v>1789</v>
      </c>
      <c r="C2737" s="5" t="s">
        <v>4396</v>
      </c>
      <c r="D2737" s="6">
        <v>-373217</v>
      </c>
      <c r="E2737" s="6">
        <v>-68402</v>
      </c>
      <c r="F2737" s="7">
        <v>5.944</v>
      </c>
      <c r="G2737" s="7">
        <v>6.1020000000000003</v>
      </c>
      <c r="H2737" s="7">
        <v>6.2030000000000003</v>
      </c>
      <c r="I2737" s="7">
        <v>6.23</v>
      </c>
      <c r="J2737" s="7">
        <v>5.8849999999999998</v>
      </c>
      <c r="K2737" s="7">
        <v>5.2320000000000002</v>
      </c>
      <c r="L2737" s="7">
        <v>4.7789999999999999</v>
      </c>
      <c r="M2737" s="7">
        <v>5.085</v>
      </c>
      <c r="N2737" s="7">
        <v>5.86</v>
      </c>
      <c r="O2737" s="7">
        <v>6.3959999999999999</v>
      </c>
      <c r="P2737" s="7">
        <v>6.5819999999999999</v>
      </c>
      <c r="Q2737" s="7">
        <v>6.6360000000000001</v>
      </c>
      <c r="R2737" s="7">
        <v>6.3440000000000003</v>
      </c>
      <c r="S2737" s="7">
        <f t="shared" si="42"/>
        <v>5.9444999999999988</v>
      </c>
    </row>
    <row r="2738" spans="1:19">
      <c r="A2738" s="5" t="str">
        <f>B2738&amp;"-"&amp;COUNTIF($B$2:B2738,B2738)</f>
        <v>PARAIBA-175</v>
      </c>
      <c r="B2738" s="5" t="s">
        <v>1789</v>
      </c>
      <c r="C2738" s="5" t="s">
        <v>4397</v>
      </c>
      <c r="D2738" s="6">
        <v>-385023</v>
      </c>
      <c r="E2738" s="6">
        <v>-71191</v>
      </c>
      <c r="F2738" s="7">
        <v>6.0229999999999997</v>
      </c>
      <c r="G2738" s="7">
        <v>6.194</v>
      </c>
      <c r="H2738" s="7">
        <v>6.1559999999999997</v>
      </c>
      <c r="I2738" s="7">
        <v>6.1159999999999997</v>
      </c>
      <c r="J2738" s="7">
        <v>5.8239999999999998</v>
      </c>
      <c r="K2738" s="7">
        <v>5.2560000000000002</v>
      </c>
      <c r="L2738" s="7">
        <v>4.9729999999999999</v>
      </c>
      <c r="M2738" s="7">
        <v>5.2270000000000003</v>
      </c>
      <c r="N2738" s="7">
        <v>6.0170000000000003</v>
      </c>
      <c r="O2738" s="7">
        <v>6.601</v>
      </c>
      <c r="P2738" s="7">
        <v>6.6710000000000003</v>
      </c>
      <c r="Q2738" s="7">
        <v>6.766</v>
      </c>
      <c r="R2738" s="7">
        <v>6.4790000000000001</v>
      </c>
      <c r="S2738" s="7">
        <f t="shared" si="42"/>
        <v>6.0233333333333334</v>
      </c>
    </row>
    <row r="2739" spans="1:19">
      <c r="A2739" s="5" t="str">
        <f>B2739&amp;"-"&amp;COUNTIF($B$2:B2739,B2739)</f>
        <v>PARAIBA-176</v>
      </c>
      <c r="B2739" s="5" t="s">
        <v>1789</v>
      </c>
      <c r="C2739" s="5" t="s">
        <v>4398</v>
      </c>
      <c r="D2739" s="6">
        <v>-381003</v>
      </c>
      <c r="E2739" s="6">
        <v>-77431</v>
      </c>
      <c r="F2739" s="7">
        <v>5.89</v>
      </c>
      <c r="G2739" s="7">
        <v>6.157</v>
      </c>
      <c r="H2739" s="7">
        <v>6.109</v>
      </c>
      <c r="I2739" s="7">
        <v>6.1390000000000002</v>
      </c>
      <c r="J2739" s="7">
        <v>5.72</v>
      </c>
      <c r="K2739" s="7">
        <v>5.048</v>
      </c>
      <c r="L2739" s="7">
        <v>4.6900000000000004</v>
      </c>
      <c r="M2739" s="7">
        <v>4.9400000000000004</v>
      </c>
      <c r="N2739" s="7">
        <v>5.7789999999999999</v>
      </c>
      <c r="O2739" s="7">
        <v>6.4720000000000004</v>
      </c>
      <c r="P2739" s="7">
        <v>6.5640000000000001</v>
      </c>
      <c r="Q2739" s="7">
        <v>6.7380000000000004</v>
      </c>
      <c r="R2739" s="7">
        <v>6.3230000000000004</v>
      </c>
      <c r="S2739" s="7">
        <f t="shared" si="42"/>
        <v>5.8899166666666671</v>
      </c>
    </row>
    <row r="2740" spans="1:19">
      <c r="A2740" s="5" t="str">
        <f>B2740&amp;"-"&amp;COUNTIF($B$2:B2740,B2740)</f>
        <v>PARAIBA-177</v>
      </c>
      <c r="B2740" s="5" t="s">
        <v>1789</v>
      </c>
      <c r="C2740" s="5" t="s">
        <v>4399</v>
      </c>
      <c r="D2740" s="6">
        <v>-373072</v>
      </c>
      <c r="E2740" s="6">
        <v>-71604</v>
      </c>
      <c r="F2740" s="7">
        <v>5.9509999999999996</v>
      </c>
      <c r="G2740" s="7">
        <v>6.2320000000000002</v>
      </c>
      <c r="H2740" s="7">
        <v>6.2039999999999997</v>
      </c>
      <c r="I2740" s="7">
        <v>6.2519999999999998</v>
      </c>
      <c r="J2740" s="7">
        <v>5.84</v>
      </c>
      <c r="K2740" s="7">
        <v>5.1449999999999996</v>
      </c>
      <c r="L2740" s="7">
        <v>4.6749999999999998</v>
      </c>
      <c r="M2740" s="7">
        <v>5.01</v>
      </c>
      <c r="N2740" s="7">
        <v>5.88</v>
      </c>
      <c r="O2740" s="7">
        <v>6.4790000000000001</v>
      </c>
      <c r="P2740" s="7">
        <v>6.6180000000000003</v>
      </c>
      <c r="Q2740" s="7">
        <v>6.7430000000000003</v>
      </c>
      <c r="R2740" s="7">
        <v>6.3380000000000001</v>
      </c>
      <c r="S2740" s="7">
        <f t="shared" si="42"/>
        <v>5.9513333333333334</v>
      </c>
    </row>
    <row r="2741" spans="1:19">
      <c r="A2741" s="5" t="str">
        <f>B2741&amp;"-"&amp;COUNTIF($B$2:B2741,B2741)</f>
        <v>PARAIBA-178</v>
      </c>
      <c r="B2741" s="5" t="s">
        <v>1789</v>
      </c>
      <c r="C2741" s="5" t="s">
        <v>4400</v>
      </c>
      <c r="D2741" s="6">
        <v>-373549</v>
      </c>
      <c r="E2741" s="6">
        <v>-62122</v>
      </c>
      <c r="F2741" s="7">
        <v>5.9450000000000003</v>
      </c>
      <c r="G2741" s="7">
        <v>6.1</v>
      </c>
      <c r="H2741" s="7">
        <v>6.1260000000000003</v>
      </c>
      <c r="I2741" s="7">
        <v>6.0279999999999996</v>
      </c>
      <c r="J2741" s="7">
        <v>5.8520000000000003</v>
      </c>
      <c r="K2741" s="7">
        <v>5.3070000000000004</v>
      </c>
      <c r="L2741" s="7">
        <v>4.8869999999999996</v>
      </c>
      <c r="M2741" s="7">
        <v>5.218</v>
      </c>
      <c r="N2741" s="7">
        <v>5.9509999999999996</v>
      </c>
      <c r="O2741" s="7">
        <v>6.484</v>
      </c>
      <c r="P2741" s="7">
        <v>6.593</v>
      </c>
      <c r="Q2741" s="7">
        <v>6.601</v>
      </c>
      <c r="R2741" s="7">
        <v>6.1929999999999996</v>
      </c>
      <c r="S2741" s="7">
        <f t="shared" si="42"/>
        <v>5.9450000000000003</v>
      </c>
    </row>
    <row r="2742" spans="1:19">
      <c r="A2742" s="5" t="str">
        <f>B2742&amp;"-"&amp;COUNTIF($B$2:B2742,B2742)</f>
        <v>PARAIBA-179</v>
      </c>
      <c r="B2742" s="5" t="s">
        <v>1789</v>
      </c>
      <c r="C2742" s="5" t="s">
        <v>4401</v>
      </c>
      <c r="D2742" s="6">
        <v>-367983</v>
      </c>
      <c r="E2742" s="6">
        <v>-67741</v>
      </c>
      <c r="F2742" s="7">
        <v>5.8049999999999997</v>
      </c>
      <c r="G2742" s="7">
        <v>6.0369999999999999</v>
      </c>
      <c r="H2742" s="7">
        <v>6.0519999999999996</v>
      </c>
      <c r="I2742" s="7">
        <v>6.109</v>
      </c>
      <c r="J2742" s="7">
        <v>5.6829999999999998</v>
      </c>
      <c r="K2742" s="7">
        <v>5.0679999999999996</v>
      </c>
      <c r="L2742" s="7">
        <v>4.6429999999999998</v>
      </c>
      <c r="M2742" s="7">
        <v>4.9390000000000001</v>
      </c>
      <c r="N2742" s="7">
        <v>5.7279999999999998</v>
      </c>
      <c r="O2742" s="7">
        <v>6.2670000000000003</v>
      </c>
      <c r="P2742" s="7">
        <v>6.4489999999999998</v>
      </c>
      <c r="Q2742" s="7">
        <v>6.4820000000000002</v>
      </c>
      <c r="R2742" s="7">
        <v>6.2060000000000004</v>
      </c>
      <c r="S2742" s="7">
        <f t="shared" si="42"/>
        <v>5.80525</v>
      </c>
    </row>
    <row r="2743" spans="1:19">
      <c r="A2743" s="5" t="str">
        <f>B2743&amp;"-"&amp;COUNTIF($B$2:B2743,B2743)</f>
        <v>PARAIBA-180</v>
      </c>
      <c r="B2743" s="5" t="s">
        <v>1789</v>
      </c>
      <c r="C2743" s="5" t="s">
        <v>4402</v>
      </c>
      <c r="D2743" s="6">
        <v>-368078</v>
      </c>
      <c r="E2743" s="6">
        <v>-73914</v>
      </c>
      <c r="F2743" s="7">
        <v>5.68</v>
      </c>
      <c r="G2743" s="7">
        <v>6.0190000000000001</v>
      </c>
      <c r="H2743" s="7">
        <v>6.0439999999999996</v>
      </c>
      <c r="I2743" s="7">
        <v>6.01</v>
      </c>
      <c r="J2743" s="7">
        <v>5.5979999999999999</v>
      </c>
      <c r="K2743" s="7">
        <v>4.8949999999999996</v>
      </c>
      <c r="L2743" s="7">
        <v>4.46</v>
      </c>
      <c r="M2743" s="7">
        <v>4.673</v>
      </c>
      <c r="N2743" s="7">
        <v>5.3879999999999999</v>
      </c>
      <c r="O2743" s="7">
        <v>6.109</v>
      </c>
      <c r="P2743" s="7">
        <v>6.3310000000000004</v>
      </c>
      <c r="Q2743" s="7">
        <v>6.4610000000000003</v>
      </c>
      <c r="R2743" s="7">
        <v>6.1749999999999998</v>
      </c>
      <c r="S2743" s="7">
        <f t="shared" si="42"/>
        <v>5.68025</v>
      </c>
    </row>
    <row r="2744" spans="1:19">
      <c r="A2744" s="5" t="str">
        <f>B2744&amp;"-"&amp;COUNTIF($B$2:B2744,B2744)</f>
        <v>PARAIBA-181</v>
      </c>
      <c r="B2744" s="5" t="s">
        <v>1789</v>
      </c>
      <c r="C2744" s="5" t="s">
        <v>4403</v>
      </c>
      <c r="D2744" s="6">
        <v>-353782</v>
      </c>
      <c r="E2744" s="6">
        <v>-72478</v>
      </c>
      <c r="F2744" s="7">
        <v>5.327</v>
      </c>
      <c r="G2744" s="7">
        <v>5.6440000000000001</v>
      </c>
      <c r="H2744" s="7">
        <v>5.7990000000000004</v>
      </c>
      <c r="I2744" s="7">
        <v>5.85</v>
      </c>
      <c r="J2744" s="7">
        <v>5.3319999999999999</v>
      </c>
      <c r="K2744" s="7">
        <v>4.6390000000000002</v>
      </c>
      <c r="L2744" s="7">
        <v>4.2190000000000003</v>
      </c>
      <c r="M2744" s="7">
        <v>4.3479999999999999</v>
      </c>
      <c r="N2744" s="7">
        <v>5.0869999999999997</v>
      </c>
      <c r="O2744" s="7">
        <v>5.5149999999999997</v>
      </c>
      <c r="P2744" s="7">
        <v>5.7130000000000001</v>
      </c>
      <c r="Q2744" s="7">
        <v>5.9630000000000001</v>
      </c>
      <c r="R2744" s="7">
        <v>5.8230000000000004</v>
      </c>
      <c r="S2744" s="7">
        <f t="shared" si="42"/>
        <v>5.3276666666666674</v>
      </c>
    </row>
    <row r="2745" spans="1:19">
      <c r="A2745" s="5" t="str">
        <f>B2745&amp;"-"&amp;COUNTIF($B$2:B2745,B2745)</f>
        <v>PARAIBA-182</v>
      </c>
      <c r="B2745" s="5" t="s">
        <v>1789</v>
      </c>
      <c r="C2745" s="5" t="s">
        <v>4069</v>
      </c>
      <c r="D2745" s="6">
        <v>-370957</v>
      </c>
      <c r="E2745" s="6">
        <v>-69243</v>
      </c>
      <c r="F2745" s="7">
        <v>5.8949999999999996</v>
      </c>
      <c r="G2745" s="7">
        <v>6.1239999999999997</v>
      </c>
      <c r="H2745" s="7">
        <v>6.1639999999999997</v>
      </c>
      <c r="I2745" s="7">
        <v>6.1890000000000001</v>
      </c>
      <c r="J2745" s="7">
        <v>5.8</v>
      </c>
      <c r="K2745" s="7">
        <v>5.17</v>
      </c>
      <c r="L2745" s="7">
        <v>4.6509999999999998</v>
      </c>
      <c r="M2745" s="7">
        <v>5.0149999999999997</v>
      </c>
      <c r="N2745" s="7">
        <v>5.7960000000000003</v>
      </c>
      <c r="O2745" s="7">
        <v>6.3630000000000004</v>
      </c>
      <c r="P2745" s="7">
        <v>6.5629999999999997</v>
      </c>
      <c r="Q2745" s="7">
        <v>6.6520000000000001</v>
      </c>
      <c r="R2745" s="7">
        <v>6.2469999999999999</v>
      </c>
      <c r="S2745" s="7">
        <f t="shared" si="42"/>
        <v>5.8944999999999999</v>
      </c>
    </row>
    <row r="2746" spans="1:19">
      <c r="A2746" s="5" t="str">
        <f>B2746&amp;"-"&amp;COUNTIF($B$2:B2746,B2746)</f>
        <v>PARAIBA-183</v>
      </c>
      <c r="B2746" s="5" t="s">
        <v>1789</v>
      </c>
      <c r="C2746" s="5" t="s">
        <v>4070</v>
      </c>
      <c r="D2746" s="6">
        <v>-352019</v>
      </c>
      <c r="E2746" s="6">
        <v>-72481</v>
      </c>
      <c r="F2746" s="7">
        <v>5.3440000000000003</v>
      </c>
      <c r="G2746" s="7">
        <v>5.6520000000000001</v>
      </c>
      <c r="H2746" s="7">
        <v>5.782</v>
      </c>
      <c r="I2746" s="7">
        <v>5.891</v>
      </c>
      <c r="J2746" s="7">
        <v>5.3049999999999997</v>
      </c>
      <c r="K2746" s="7">
        <v>4.6319999999999997</v>
      </c>
      <c r="L2746" s="7">
        <v>4.2450000000000001</v>
      </c>
      <c r="M2746" s="7">
        <v>4.3390000000000004</v>
      </c>
      <c r="N2746" s="7">
        <v>5.1159999999999997</v>
      </c>
      <c r="O2746" s="7">
        <v>5.5419999999999998</v>
      </c>
      <c r="P2746" s="7">
        <v>5.7629999999999999</v>
      </c>
      <c r="Q2746" s="7">
        <v>5.9850000000000003</v>
      </c>
      <c r="R2746" s="7">
        <v>5.8810000000000002</v>
      </c>
      <c r="S2746" s="7">
        <f t="shared" si="42"/>
        <v>5.3444166666666675</v>
      </c>
    </row>
    <row r="2747" spans="1:19">
      <c r="A2747" s="5" t="str">
        <f>B2747&amp;"-"&amp;COUNTIF($B$2:B2747,B2747)</f>
        <v>PARAIBA-184</v>
      </c>
      <c r="B2747" s="5" t="s">
        <v>1789</v>
      </c>
      <c r="C2747" s="5" t="s">
        <v>4707</v>
      </c>
      <c r="D2747" s="6">
        <v>-358686</v>
      </c>
      <c r="E2747" s="6">
        <v>-71057</v>
      </c>
      <c r="F2747" s="7">
        <v>5.3490000000000002</v>
      </c>
      <c r="G2747" s="7">
        <v>5.7009999999999996</v>
      </c>
      <c r="H2747" s="7">
        <v>5.8120000000000003</v>
      </c>
      <c r="I2747" s="7">
        <v>5.7930000000000001</v>
      </c>
      <c r="J2747" s="7">
        <v>5.3319999999999999</v>
      </c>
      <c r="K2747" s="7">
        <v>4.6840000000000002</v>
      </c>
      <c r="L2747" s="7">
        <v>4.1479999999999997</v>
      </c>
      <c r="M2747" s="7">
        <v>4.2720000000000002</v>
      </c>
      <c r="N2747" s="7">
        <v>5.0410000000000004</v>
      </c>
      <c r="O2747" s="7">
        <v>5.5609999999999999</v>
      </c>
      <c r="P2747" s="7">
        <v>5.87</v>
      </c>
      <c r="Q2747" s="7">
        <v>6.0720000000000001</v>
      </c>
      <c r="R2747" s="7">
        <v>5.9020000000000001</v>
      </c>
      <c r="S2747" s="7">
        <f t="shared" si="42"/>
        <v>5.3490000000000002</v>
      </c>
    </row>
    <row r="2748" spans="1:19">
      <c r="A2748" s="5" t="str">
        <f>B2748&amp;"-"&amp;COUNTIF($B$2:B2748,B2748)</f>
        <v>PARAIBA-185</v>
      </c>
      <c r="B2748" s="5" t="s">
        <v>1789</v>
      </c>
      <c r="C2748" s="5" t="s">
        <v>4071</v>
      </c>
      <c r="D2748" s="6">
        <v>-370093</v>
      </c>
      <c r="E2748" s="6">
        <v>-81528</v>
      </c>
      <c r="F2748" s="7">
        <v>5.6639999999999997</v>
      </c>
      <c r="G2748" s="7">
        <v>6.1950000000000003</v>
      </c>
      <c r="H2748" s="7">
        <v>5.9829999999999997</v>
      </c>
      <c r="I2748" s="7">
        <v>6.0430000000000001</v>
      </c>
      <c r="J2748" s="7">
        <v>5.5140000000000002</v>
      </c>
      <c r="K2748" s="7">
        <v>4.7409999999999997</v>
      </c>
      <c r="L2748" s="7">
        <v>4.274</v>
      </c>
      <c r="M2748" s="7">
        <v>4.3840000000000003</v>
      </c>
      <c r="N2748" s="7">
        <v>5.2169999999999996</v>
      </c>
      <c r="O2748" s="7">
        <v>6.1420000000000003</v>
      </c>
      <c r="P2748" s="7">
        <v>6.3920000000000003</v>
      </c>
      <c r="Q2748" s="7">
        <v>6.6829999999999998</v>
      </c>
      <c r="R2748" s="7">
        <v>6.3970000000000002</v>
      </c>
      <c r="S2748" s="7">
        <f t="shared" si="42"/>
        <v>5.6637500000000003</v>
      </c>
    </row>
    <row r="2749" spans="1:19">
      <c r="A2749" s="5" t="str">
        <f>B2749&amp;"-"&amp;COUNTIF($B$2:B2749,B2749)</f>
        <v>PARAIBA-186</v>
      </c>
      <c r="B2749" s="5" t="s">
        <v>1789</v>
      </c>
      <c r="C2749" s="5" t="s">
        <v>5159</v>
      </c>
      <c r="D2749" s="6">
        <v>-364046</v>
      </c>
      <c r="E2749" s="6">
        <v>-69338</v>
      </c>
      <c r="F2749" s="7">
        <v>5.6580000000000004</v>
      </c>
      <c r="G2749" s="7">
        <v>5.8970000000000002</v>
      </c>
      <c r="H2749" s="7">
        <v>5.93</v>
      </c>
      <c r="I2749" s="7">
        <v>5.97</v>
      </c>
      <c r="J2749" s="7">
        <v>5.5309999999999997</v>
      </c>
      <c r="K2749" s="7">
        <v>4.9329999999999998</v>
      </c>
      <c r="L2749" s="7">
        <v>4.5030000000000001</v>
      </c>
      <c r="M2749" s="7">
        <v>4.774</v>
      </c>
      <c r="N2749" s="7">
        <v>5.4749999999999996</v>
      </c>
      <c r="O2749" s="7">
        <v>6.0519999999999996</v>
      </c>
      <c r="P2749" s="7">
        <v>6.3280000000000003</v>
      </c>
      <c r="Q2749" s="7">
        <v>6.4489999999999998</v>
      </c>
      <c r="R2749" s="7">
        <v>6.06</v>
      </c>
      <c r="S2749" s="7">
        <f t="shared" si="42"/>
        <v>5.6585000000000001</v>
      </c>
    </row>
    <row r="2750" spans="1:19">
      <c r="A2750" s="5" t="str">
        <f>B2750&amp;"-"&amp;COUNTIF($B$2:B2750,B2750)</f>
        <v>PARAIBA-187</v>
      </c>
      <c r="B2750" s="5" t="s">
        <v>1789</v>
      </c>
      <c r="C2750" s="5" t="s">
        <v>1902</v>
      </c>
      <c r="D2750" s="6">
        <v>-36845</v>
      </c>
      <c r="E2750" s="6">
        <v>-71027</v>
      </c>
      <c r="F2750" s="7">
        <v>5.7469999999999999</v>
      </c>
      <c r="G2750" s="7">
        <v>6.0410000000000004</v>
      </c>
      <c r="H2750" s="7">
        <v>6.0350000000000001</v>
      </c>
      <c r="I2750" s="7">
        <v>5.9870000000000001</v>
      </c>
      <c r="J2750" s="7">
        <v>5.6520000000000001</v>
      </c>
      <c r="K2750" s="7">
        <v>4.992</v>
      </c>
      <c r="L2750" s="7">
        <v>4.5</v>
      </c>
      <c r="M2750" s="7">
        <v>4.7859999999999996</v>
      </c>
      <c r="N2750" s="7">
        <v>5.5720000000000001</v>
      </c>
      <c r="O2750" s="7">
        <v>6.2190000000000003</v>
      </c>
      <c r="P2750" s="7">
        <v>6.4279999999999999</v>
      </c>
      <c r="Q2750" s="7">
        <v>6.5419999999999998</v>
      </c>
      <c r="R2750" s="7">
        <v>6.2080000000000002</v>
      </c>
      <c r="S2750" s="7">
        <f t="shared" si="42"/>
        <v>5.7468333333333348</v>
      </c>
    </row>
    <row r="2751" spans="1:19">
      <c r="A2751" s="5" t="str">
        <f>B2751&amp;"-"&amp;COUNTIF($B$2:B2751,B2751)</f>
        <v>PARAIBA-188</v>
      </c>
      <c r="B2751" s="5" t="s">
        <v>1789</v>
      </c>
      <c r="C2751" s="5" t="s">
        <v>4404</v>
      </c>
      <c r="D2751" s="6">
        <v>-354363</v>
      </c>
      <c r="E2751" s="6">
        <v>-73576</v>
      </c>
      <c r="F2751" s="7">
        <v>5.3620000000000001</v>
      </c>
      <c r="G2751" s="7">
        <v>5.6950000000000003</v>
      </c>
      <c r="H2751" s="7">
        <v>5.8739999999999997</v>
      </c>
      <c r="I2751" s="7">
        <v>5.8959999999999999</v>
      </c>
      <c r="J2751" s="7">
        <v>5.282</v>
      </c>
      <c r="K2751" s="7">
        <v>4.5979999999999999</v>
      </c>
      <c r="L2751" s="7">
        <v>4.1639999999999997</v>
      </c>
      <c r="M2751" s="7">
        <v>4.2779999999999996</v>
      </c>
      <c r="N2751" s="7">
        <v>5.101</v>
      </c>
      <c r="O2751" s="7">
        <v>5.5880000000000001</v>
      </c>
      <c r="P2751" s="7">
        <v>5.8109999999999999</v>
      </c>
      <c r="Q2751" s="7">
        <v>6.117</v>
      </c>
      <c r="R2751" s="7">
        <v>5.9409999999999998</v>
      </c>
      <c r="S2751" s="7">
        <f t="shared" si="42"/>
        <v>5.3620833333333335</v>
      </c>
    </row>
    <row r="2752" spans="1:19">
      <c r="A2752" s="5" t="str">
        <f>B2752&amp;"-"&amp;COUNTIF($B$2:B2752,B2752)</f>
        <v>PARAIBA-189</v>
      </c>
      <c r="B2752" s="5" t="s">
        <v>1789</v>
      </c>
      <c r="C2752" s="5" t="s">
        <v>1903</v>
      </c>
      <c r="D2752" s="6">
        <v>-358794</v>
      </c>
      <c r="E2752" s="6">
        <v>-7743</v>
      </c>
      <c r="F2752" s="7">
        <v>5.3390000000000004</v>
      </c>
      <c r="G2752" s="7">
        <v>5.7249999999999996</v>
      </c>
      <c r="H2752" s="7">
        <v>5.7629999999999999</v>
      </c>
      <c r="I2752" s="7">
        <v>5.7770000000000001</v>
      </c>
      <c r="J2752" s="7">
        <v>5.234</v>
      </c>
      <c r="K2752" s="7">
        <v>4.5970000000000004</v>
      </c>
      <c r="L2752" s="7">
        <v>4.149</v>
      </c>
      <c r="M2752" s="7">
        <v>4.3319999999999999</v>
      </c>
      <c r="N2752" s="7">
        <v>5.0010000000000003</v>
      </c>
      <c r="O2752" s="7">
        <v>5.6159999999999997</v>
      </c>
      <c r="P2752" s="7">
        <v>5.8710000000000004</v>
      </c>
      <c r="Q2752" s="7">
        <v>6.1</v>
      </c>
      <c r="R2752" s="7">
        <v>5.9059999999999997</v>
      </c>
      <c r="S2752" s="7">
        <f t="shared" si="42"/>
        <v>5.3392500000000007</v>
      </c>
    </row>
    <row r="2753" spans="1:19">
      <c r="A2753" s="5" t="str">
        <f>B2753&amp;"-"&amp;COUNTIF($B$2:B2753,B2753)</f>
        <v>PARAIBA-190</v>
      </c>
      <c r="B2753" s="5" t="s">
        <v>1789</v>
      </c>
      <c r="C2753" s="5" t="s">
        <v>1904</v>
      </c>
      <c r="D2753" s="6">
        <v>-380582</v>
      </c>
      <c r="E2753" s="6">
        <v>-65329</v>
      </c>
      <c r="F2753" s="7">
        <v>5.984</v>
      </c>
      <c r="G2753" s="7">
        <v>6.08</v>
      </c>
      <c r="H2753" s="7">
        <v>6.0490000000000004</v>
      </c>
      <c r="I2753" s="7">
        <v>6.133</v>
      </c>
      <c r="J2753" s="7">
        <v>5.7690000000000001</v>
      </c>
      <c r="K2753" s="7">
        <v>5.2939999999999996</v>
      </c>
      <c r="L2753" s="7">
        <v>4.992</v>
      </c>
      <c r="M2753" s="7">
        <v>5.27</v>
      </c>
      <c r="N2753" s="7">
        <v>6</v>
      </c>
      <c r="O2753" s="7">
        <v>6.5069999999999997</v>
      </c>
      <c r="P2753" s="7">
        <v>6.6660000000000004</v>
      </c>
      <c r="Q2753" s="7">
        <v>6.7629999999999999</v>
      </c>
      <c r="R2753" s="7">
        <v>6.2859999999999996</v>
      </c>
      <c r="S2753" s="7">
        <f t="shared" si="42"/>
        <v>5.9840833333333343</v>
      </c>
    </row>
    <row r="2754" spans="1:19">
      <c r="A2754" s="5" t="str">
        <f>B2754&amp;"-"&amp;COUNTIF($B$2:B2754,B2754)</f>
        <v>PARAIBA-191</v>
      </c>
      <c r="B2754" s="5" t="s">
        <v>1789</v>
      </c>
      <c r="C2754" s="5" t="s">
        <v>974</v>
      </c>
      <c r="D2754" s="6">
        <v>-38643</v>
      </c>
      <c r="E2754" s="6">
        <v>-6718</v>
      </c>
      <c r="F2754" s="7">
        <v>5.99</v>
      </c>
      <c r="G2754" s="7">
        <v>6.1109999999999998</v>
      </c>
      <c r="H2754" s="7">
        <v>6.077</v>
      </c>
      <c r="I2754" s="7">
        <v>6.08</v>
      </c>
      <c r="J2754" s="7">
        <v>5.7439999999999998</v>
      </c>
      <c r="K2754" s="7">
        <v>5.2480000000000002</v>
      </c>
      <c r="L2754" s="7">
        <v>5.0519999999999996</v>
      </c>
      <c r="M2754" s="7">
        <v>5.38</v>
      </c>
      <c r="N2754" s="7">
        <v>6.05</v>
      </c>
      <c r="O2754" s="7">
        <v>6.4509999999999996</v>
      </c>
      <c r="P2754" s="7">
        <v>6.6020000000000003</v>
      </c>
      <c r="Q2754" s="7">
        <v>6.7469999999999999</v>
      </c>
      <c r="R2754" s="7">
        <v>6.3369999999999997</v>
      </c>
      <c r="S2754" s="7">
        <f t="shared" si="42"/>
        <v>5.9899166666666668</v>
      </c>
    </row>
    <row r="2755" spans="1:19">
      <c r="A2755" s="5" t="str">
        <f>B2755&amp;"-"&amp;COUNTIF($B$2:B2755,B2755)</f>
        <v>PARAIBA-192</v>
      </c>
      <c r="B2755" s="5" t="s">
        <v>1789</v>
      </c>
      <c r="C2755" s="5" t="s">
        <v>5281</v>
      </c>
      <c r="D2755" s="6">
        <v>-385593</v>
      </c>
      <c r="E2755" s="6">
        <v>-76268</v>
      </c>
      <c r="F2755" s="7">
        <v>5.8970000000000002</v>
      </c>
      <c r="G2755" s="7">
        <v>6.2119999999999997</v>
      </c>
      <c r="H2755" s="7">
        <v>6.0629999999999997</v>
      </c>
      <c r="I2755" s="7">
        <v>6.0170000000000003</v>
      </c>
      <c r="J2755" s="7">
        <v>5.6879999999999997</v>
      </c>
      <c r="K2755" s="7">
        <v>5.069</v>
      </c>
      <c r="L2755" s="7">
        <v>4.7030000000000003</v>
      </c>
      <c r="M2755" s="7">
        <v>4.9379999999999997</v>
      </c>
      <c r="N2755" s="7">
        <v>5.7759999999999998</v>
      </c>
      <c r="O2755" s="7">
        <v>6.53</v>
      </c>
      <c r="P2755" s="7">
        <v>6.556</v>
      </c>
      <c r="Q2755" s="7">
        <v>6.78</v>
      </c>
      <c r="R2755" s="7">
        <v>6.4370000000000003</v>
      </c>
      <c r="S2755" s="7">
        <f t="shared" ref="S2755:S2818" si="43">(G2755+H2755+I2755+J2755+K2755+L2755+M2755+N2755+O2755+P2755+Q2755+R2755)/12</f>
        <v>5.8974166666666656</v>
      </c>
    </row>
    <row r="2756" spans="1:19">
      <c r="A2756" s="5" t="str">
        <f>B2756&amp;"-"&amp;COUNTIF($B$2:B2756,B2756)</f>
        <v>PARAIBA-193</v>
      </c>
      <c r="B2756" s="5" t="s">
        <v>1789</v>
      </c>
      <c r="C2756" s="5" t="s">
        <v>521</v>
      </c>
      <c r="D2756" s="6">
        <v>-369188</v>
      </c>
      <c r="E2756" s="6">
        <v>-68697</v>
      </c>
      <c r="F2756" s="7">
        <v>5.86</v>
      </c>
      <c r="G2756" s="7">
        <v>6.0830000000000002</v>
      </c>
      <c r="H2756" s="7">
        <v>6.1390000000000002</v>
      </c>
      <c r="I2756" s="7">
        <v>6.1470000000000002</v>
      </c>
      <c r="J2756" s="7">
        <v>5.7569999999999997</v>
      </c>
      <c r="K2756" s="7">
        <v>5.1079999999999997</v>
      </c>
      <c r="L2756" s="7">
        <v>4.6420000000000003</v>
      </c>
      <c r="M2756" s="7">
        <v>4.9880000000000004</v>
      </c>
      <c r="N2756" s="7">
        <v>5.7610000000000001</v>
      </c>
      <c r="O2756" s="7">
        <v>6.3150000000000004</v>
      </c>
      <c r="P2756" s="7">
        <v>6.5369999999999999</v>
      </c>
      <c r="Q2756" s="7">
        <v>6.61</v>
      </c>
      <c r="R2756" s="7">
        <v>6.23</v>
      </c>
      <c r="S2756" s="7">
        <f t="shared" si="43"/>
        <v>5.8597500000000009</v>
      </c>
    </row>
    <row r="2757" spans="1:19">
      <c r="A2757" s="5" t="str">
        <f>B2757&amp;"-"&amp;COUNTIF($B$2:B2757,B2757)</f>
        <v>PARAIBA-194</v>
      </c>
      <c r="B2757" s="5" t="s">
        <v>1789</v>
      </c>
      <c r="C2757" s="5" t="s">
        <v>975</v>
      </c>
      <c r="D2757" s="6">
        <v>-349707</v>
      </c>
      <c r="E2757" s="6">
        <v>-71512</v>
      </c>
      <c r="F2757" s="7">
        <v>5.4619999999999997</v>
      </c>
      <c r="G2757" s="7">
        <v>5.843</v>
      </c>
      <c r="H2757" s="7">
        <v>5.9589999999999996</v>
      </c>
      <c r="I2757" s="7">
        <v>5.9930000000000003</v>
      </c>
      <c r="J2757" s="7">
        <v>5.3310000000000004</v>
      </c>
      <c r="K2757" s="7">
        <v>4.7750000000000004</v>
      </c>
      <c r="L2757" s="7">
        <v>4.3330000000000002</v>
      </c>
      <c r="M2757" s="7">
        <v>4.4429999999999996</v>
      </c>
      <c r="N2757" s="7">
        <v>5.2160000000000002</v>
      </c>
      <c r="O2757" s="7">
        <v>5.609</v>
      </c>
      <c r="P2757" s="7">
        <v>5.9009999999999998</v>
      </c>
      <c r="Q2757" s="7">
        <v>6.1230000000000002</v>
      </c>
      <c r="R2757" s="7">
        <v>6.0229999999999997</v>
      </c>
      <c r="S2757" s="7">
        <f t="shared" si="43"/>
        <v>5.4624166666666669</v>
      </c>
    </row>
    <row r="2758" spans="1:19">
      <c r="A2758" s="5" t="str">
        <f>B2758&amp;"-"&amp;COUNTIF($B$2:B2758,B2758)</f>
        <v>PARAIBA-195</v>
      </c>
      <c r="B2758" s="5" t="s">
        <v>1789</v>
      </c>
      <c r="C2758" s="5" t="s">
        <v>522</v>
      </c>
      <c r="D2758" s="6">
        <v>-37444</v>
      </c>
      <c r="E2758" s="6">
        <v>-70842</v>
      </c>
      <c r="F2758" s="7">
        <v>6.032</v>
      </c>
      <c r="G2758" s="7">
        <v>6.26</v>
      </c>
      <c r="H2758" s="7">
        <v>6.3369999999999997</v>
      </c>
      <c r="I2758" s="7">
        <v>6.4240000000000004</v>
      </c>
      <c r="J2758" s="7">
        <v>5.9580000000000002</v>
      </c>
      <c r="K2758" s="7">
        <v>5.234</v>
      </c>
      <c r="L2758" s="7">
        <v>4.7839999999999998</v>
      </c>
      <c r="M2758" s="7">
        <v>5.0129999999999999</v>
      </c>
      <c r="N2758" s="7">
        <v>5.859</v>
      </c>
      <c r="O2758" s="7">
        <v>6.4980000000000002</v>
      </c>
      <c r="P2758" s="7">
        <v>6.6760000000000002</v>
      </c>
      <c r="Q2758" s="7">
        <v>6.798</v>
      </c>
      <c r="R2758" s="7">
        <v>6.5359999999999996</v>
      </c>
      <c r="S2758" s="7">
        <f t="shared" si="43"/>
        <v>6.031416666666666</v>
      </c>
    </row>
    <row r="2759" spans="1:19">
      <c r="A2759" s="5" t="str">
        <f>B2759&amp;"-"&amp;COUNTIF($B$2:B2759,B2759)</f>
        <v>PARAIBA-196</v>
      </c>
      <c r="B2759" s="5" t="s">
        <v>1789</v>
      </c>
      <c r="C2759" s="5" t="s">
        <v>1905</v>
      </c>
      <c r="D2759" s="6">
        <v>-383365</v>
      </c>
      <c r="E2759" s="6">
        <v>-7552</v>
      </c>
      <c r="F2759" s="7">
        <v>5.92</v>
      </c>
      <c r="G2759" s="7">
        <v>6.1669999999999998</v>
      </c>
      <c r="H2759" s="7">
        <v>6.1070000000000002</v>
      </c>
      <c r="I2759" s="7">
        <v>6.0830000000000002</v>
      </c>
      <c r="J2759" s="7">
        <v>5.7830000000000004</v>
      </c>
      <c r="K2759" s="7">
        <v>5.1079999999999997</v>
      </c>
      <c r="L2759" s="7">
        <v>4.7439999999999998</v>
      </c>
      <c r="M2759" s="7">
        <v>5.0179999999999998</v>
      </c>
      <c r="N2759" s="7">
        <v>5.7839999999999998</v>
      </c>
      <c r="O2759" s="7">
        <v>6.4950000000000001</v>
      </c>
      <c r="P2759" s="7">
        <v>6.5839999999999996</v>
      </c>
      <c r="Q2759" s="7">
        <v>6.7770000000000001</v>
      </c>
      <c r="R2759" s="7">
        <v>6.3879999999999999</v>
      </c>
      <c r="S2759" s="7">
        <f t="shared" si="43"/>
        <v>5.9198333333333339</v>
      </c>
    </row>
    <row r="2760" spans="1:19">
      <c r="A2760" s="5" t="str">
        <f>B2760&amp;"-"&amp;COUNTIF($B$2:B2760,B2760)</f>
        <v>PARAIBA-197</v>
      </c>
      <c r="B2760" s="5" t="s">
        <v>1789</v>
      </c>
      <c r="C2760" s="5" t="s">
        <v>1906</v>
      </c>
      <c r="D2760" s="6">
        <v>-379895</v>
      </c>
      <c r="E2760" s="6">
        <v>-73856</v>
      </c>
      <c r="F2760" s="7">
        <v>5.944</v>
      </c>
      <c r="G2760" s="7">
        <v>6.1189999999999998</v>
      </c>
      <c r="H2760" s="7">
        <v>6.173</v>
      </c>
      <c r="I2760" s="7">
        <v>6.1639999999999997</v>
      </c>
      <c r="J2760" s="7">
        <v>5.8529999999999998</v>
      </c>
      <c r="K2760" s="7">
        <v>5.17</v>
      </c>
      <c r="L2760" s="7">
        <v>4.7670000000000003</v>
      </c>
      <c r="M2760" s="7">
        <v>5.0629999999999997</v>
      </c>
      <c r="N2760" s="7">
        <v>5.8579999999999997</v>
      </c>
      <c r="O2760" s="7">
        <v>6.4829999999999997</v>
      </c>
      <c r="P2760" s="7">
        <v>6.5570000000000004</v>
      </c>
      <c r="Q2760" s="7">
        <v>6.7359999999999998</v>
      </c>
      <c r="R2760" s="7">
        <v>6.3920000000000003</v>
      </c>
      <c r="S2760" s="7">
        <f t="shared" si="43"/>
        <v>5.9445833333333331</v>
      </c>
    </row>
    <row r="2761" spans="1:19">
      <c r="A2761" s="5" t="str">
        <f>B2761&amp;"-"&amp;COUNTIF($B$2:B2761,B2761)</f>
        <v>PARAIBA-198</v>
      </c>
      <c r="B2761" s="5" t="s">
        <v>1789</v>
      </c>
      <c r="C2761" s="5" t="s">
        <v>4405</v>
      </c>
      <c r="D2761" s="6">
        <v>-366316</v>
      </c>
      <c r="E2761" s="6">
        <v>-72202</v>
      </c>
      <c r="F2761" s="7">
        <v>5.6219999999999999</v>
      </c>
      <c r="G2761" s="7">
        <v>5.9580000000000002</v>
      </c>
      <c r="H2761" s="7">
        <v>5.9509999999999996</v>
      </c>
      <c r="I2761" s="7">
        <v>5.9569999999999999</v>
      </c>
      <c r="J2761" s="7">
        <v>5.5449999999999999</v>
      </c>
      <c r="K2761" s="7">
        <v>4.9050000000000002</v>
      </c>
      <c r="L2761" s="7">
        <v>4.3559999999999999</v>
      </c>
      <c r="M2761" s="7">
        <v>4.6500000000000004</v>
      </c>
      <c r="N2761" s="7">
        <v>5.3449999999999998</v>
      </c>
      <c r="O2761" s="7">
        <v>5.9829999999999997</v>
      </c>
      <c r="P2761" s="7">
        <v>6.2789999999999999</v>
      </c>
      <c r="Q2761" s="7">
        <v>6.407</v>
      </c>
      <c r="R2761" s="7">
        <v>6.133</v>
      </c>
      <c r="S2761" s="7">
        <f t="shared" si="43"/>
        <v>5.6224166666666662</v>
      </c>
    </row>
    <row r="2762" spans="1:19">
      <c r="A2762" s="5" t="str">
        <f>B2762&amp;"-"&amp;COUNTIF($B$2:B2762,B2762)</f>
        <v>PARAIBA-199</v>
      </c>
      <c r="B2762" s="5" t="s">
        <v>1789</v>
      </c>
      <c r="C2762" s="5" t="s">
        <v>4406</v>
      </c>
      <c r="D2762" s="6">
        <v>-352305</v>
      </c>
      <c r="E2762" s="6">
        <v>-70908</v>
      </c>
      <c r="F2762" s="7">
        <v>5.38</v>
      </c>
      <c r="G2762" s="7">
        <v>5.7</v>
      </c>
      <c r="H2762" s="7">
        <v>5.85</v>
      </c>
      <c r="I2762" s="7">
        <v>5.9290000000000003</v>
      </c>
      <c r="J2762" s="7">
        <v>5.3049999999999997</v>
      </c>
      <c r="K2762" s="7">
        <v>4.6740000000000004</v>
      </c>
      <c r="L2762" s="7">
        <v>4.234</v>
      </c>
      <c r="M2762" s="7">
        <v>4.3259999999999996</v>
      </c>
      <c r="N2762" s="7">
        <v>5.1020000000000003</v>
      </c>
      <c r="O2762" s="7">
        <v>5.548</v>
      </c>
      <c r="P2762" s="7">
        <v>5.8319999999999999</v>
      </c>
      <c r="Q2762" s="7">
        <v>6.1020000000000003</v>
      </c>
      <c r="R2762" s="7">
        <v>5.9550000000000001</v>
      </c>
      <c r="S2762" s="7">
        <f t="shared" si="43"/>
        <v>5.3797500000000005</v>
      </c>
    </row>
    <row r="2763" spans="1:19">
      <c r="A2763" s="5" t="str">
        <f>B2763&amp;"-"&amp;COUNTIF($B$2:B2763,B2763)</f>
        <v>PARAIBA-200</v>
      </c>
      <c r="B2763" s="5" t="s">
        <v>1789</v>
      </c>
      <c r="C2763" s="5" t="s">
        <v>1907</v>
      </c>
      <c r="D2763" s="6">
        <v>-366663</v>
      </c>
      <c r="E2763" s="6">
        <v>-74808</v>
      </c>
      <c r="F2763" s="7">
        <v>5.6059999999999999</v>
      </c>
      <c r="G2763" s="7">
        <v>5.9580000000000002</v>
      </c>
      <c r="H2763" s="7">
        <v>5.9379999999999997</v>
      </c>
      <c r="I2763" s="7">
        <v>5.9820000000000002</v>
      </c>
      <c r="J2763" s="7">
        <v>5.532</v>
      </c>
      <c r="K2763" s="7">
        <v>4.8719999999999999</v>
      </c>
      <c r="L2763" s="7">
        <v>4.3440000000000003</v>
      </c>
      <c r="M2763" s="7">
        <v>4.5999999999999996</v>
      </c>
      <c r="N2763" s="7">
        <v>5.2679999999999998</v>
      </c>
      <c r="O2763" s="7">
        <v>6.0090000000000003</v>
      </c>
      <c r="P2763" s="7">
        <v>6.2389999999999999</v>
      </c>
      <c r="Q2763" s="7">
        <v>6.3979999999999997</v>
      </c>
      <c r="R2763" s="7">
        <v>6.1340000000000003</v>
      </c>
      <c r="S2763" s="7">
        <f t="shared" si="43"/>
        <v>5.6061666666666667</v>
      </c>
    </row>
    <row r="2764" spans="1:19">
      <c r="A2764" s="5" t="str">
        <f>B2764&amp;"-"&amp;COUNTIF($B$2:B2764,B2764)</f>
        <v>PARAIBA-201</v>
      </c>
      <c r="B2764" s="5" t="s">
        <v>1789</v>
      </c>
      <c r="C2764" s="5" t="s">
        <v>1908</v>
      </c>
      <c r="D2764" s="6">
        <v>-354382</v>
      </c>
      <c r="E2764" s="6">
        <v>-66857</v>
      </c>
      <c r="F2764" s="7">
        <v>5.3460000000000001</v>
      </c>
      <c r="G2764" s="7">
        <v>5.6779999999999999</v>
      </c>
      <c r="H2764" s="7">
        <v>5.6849999999999996</v>
      </c>
      <c r="I2764" s="7">
        <v>5.7389999999999999</v>
      </c>
      <c r="J2764" s="7">
        <v>5.2649999999999997</v>
      </c>
      <c r="K2764" s="7">
        <v>4.74</v>
      </c>
      <c r="L2764" s="7">
        <v>4.2830000000000004</v>
      </c>
      <c r="M2764" s="7">
        <v>4.3579999999999997</v>
      </c>
      <c r="N2764" s="7">
        <v>5.1390000000000002</v>
      </c>
      <c r="O2764" s="7">
        <v>5.5990000000000002</v>
      </c>
      <c r="P2764" s="7">
        <v>5.867</v>
      </c>
      <c r="Q2764" s="7">
        <v>6.0229999999999997</v>
      </c>
      <c r="R2764" s="7">
        <v>5.7839999999999998</v>
      </c>
      <c r="S2764" s="7">
        <f t="shared" si="43"/>
        <v>5.3466666666666676</v>
      </c>
    </row>
    <row r="2765" spans="1:19">
      <c r="A2765" s="5" t="str">
        <f>B2765&amp;"-"&amp;COUNTIF($B$2:B2765,B2765)</f>
        <v>PARAIBA-202</v>
      </c>
      <c r="B2765" s="5" t="s">
        <v>1789</v>
      </c>
      <c r="C2765" s="5" t="s">
        <v>1909</v>
      </c>
      <c r="D2765" s="6">
        <v>-383721</v>
      </c>
      <c r="E2765" s="6">
        <v>-72147</v>
      </c>
      <c r="F2765" s="7">
        <v>6.0019999999999998</v>
      </c>
      <c r="G2765" s="7">
        <v>6.1580000000000004</v>
      </c>
      <c r="H2765" s="7">
        <v>6.1059999999999999</v>
      </c>
      <c r="I2765" s="7">
        <v>6.0609999999999999</v>
      </c>
      <c r="J2765" s="7">
        <v>5.7880000000000003</v>
      </c>
      <c r="K2765" s="7">
        <v>5.2320000000000002</v>
      </c>
      <c r="L2765" s="7">
        <v>4.9669999999999996</v>
      </c>
      <c r="M2765" s="7">
        <v>5.2009999999999996</v>
      </c>
      <c r="N2765" s="7">
        <v>6.0289999999999999</v>
      </c>
      <c r="O2765" s="7">
        <v>6.59</v>
      </c>
      <c r="P2765" s="7">
        <v>6.64</v>
      </c>
      <c r="Q2765" s="7">
        <v>6.8140000000000001</v>
      </c>
      <c r="R2765" s="7">
        <v>6.4409999999999998</v>
      </c>
      <c r="S2765" s="7">
        <f t="shared" si="43"/>
        <v>6.002250000000001</v>
      </c>
    </row>
    <row r="2766" spans="1:19">
      <c r="A2766" s="5" t="str">
        <f>B2766&amp;"-"&amp;COUNTIF($B$2:B2766,B2766)</f>
        <v>PARAIBA-203</v>
      </c>
      <c r="B2766" s="5" t="s">
        <v>1789</v>
      </c>
      <c r="C2766" s="5" t="s">
        <v>1910</v>
      </c>
      <c r="D2766" s="6">
        <v>-356799</v>
      </c>
      <c r="E2766" s="6">
        <v>-71867</v>
      </c>
      <c r="F2766" s="7">
        <v>5.1849999999999996</v>
      </c>
      <c r="G2766" s="7">
        <v>5.51</v>
      </c>
      <c r="H2766" s="7">
        <v>5.6260000000000003</v>
      </c>
      <c r="I2766" s="7">
        <v>5.6319999999999997</v>
      </c>
      <c r="J2766" s="7">
        <v>5.149</v>
      </c>
      <c r="K2766" s="7">
        <v>4.585</v>
      </c>
      <c r="L2766" s="7">
        <v>4.1100000000000003</v>
      </c>
      <c r="M2766" s="7">
        <v>4.2389999999999999</v>
      </c>
      <c r="N2766" s="7">
        <v>4.8810000000000002</v>
      </c>
      <c r="O2766" s="7">
        <v>5.4020000000000001</v>
      </c>
      <c r="P2766" s="7">
        <v>5.5750000000000002</v>
      </c>
      <c r="Q2766" s="7">
        <v>5.819</v>
      </c>
      <c r="R2766" s="7">
        <v>5.6929999999999996</v>
      </c>
      <c r="S2766" s="7">
        <f t="shared" si="43"/>
        <v>5.1850833333333339</v>
      </c>
    </row>
    <row r="2767" spans="1:19">
      <c r="A2767" s="5" t="str">
        <f>B2767&amp;"-"&amp;COUNTIF($B$2:B2767,B2767)</f>
        <v>PARAIBA-204</v>
      </c>
      <c r="B2767" s="5" t="s">
        <v>1789</v>
      </c>
      <c r="C2767" s="5" t="s">
        <v>1911</v>
      </c>
      <c r="D2767" s="6">
        <v>-356281</v>
      </c>
      <c r="E2767" s="6">
        <v>-68156</v>
      </c>
      <c r="F2767" s="7">
        <v>5.3520000000000003</v>
      </c>
      <c r="G2767" s="7">
        <v>5.6689999999999996</v>
      </c>
      <c r="H2767" s="7">
        <v>5.79</v>
      </c>
      <c r="I2767" s="7">
        <v>5.8019999999999996</v>
      </c>
      <c r="J2767" s="7">
        <v>5.29</v>
      </c>
      <c r="K2767" s="7">
        <v>4.6980000000000004</v>
      </c>
      <c r="L2767" s="7">
        <v>4.194</v>
      </c>
      <c r="M2767" s="7">
        <v>4.3250000000000002</v>
      </c>
      <c r="N2767" s="7">
        <v>5.1180000000000003</v>
      </c>
      <c r="O2767" s="7">
        <v>5.5979999999999999</v>
      </c>
      <c r="P2767" s="7">
        <v>5.8380000000000001</v>
      </c>
      <c r="Q2767" s="7">
        <v>6.0430000000000001</v>
      </c>
      <c r="R2767" s="7">
        <v>5.8550000000000004</v>
      </c>
      <c r="S2767" s="7">
        <f t="shared" si="43"/>
        <v>5.3516666666666666</v>
      </c>
    </row>
    <row r="2768" spans="1:19">
      <c r="A2768" s="5" t="str">
        <f>B2768&amp;"-"&amp;COUNTIF($B$2:B2768,B2768)</f>
        <v>PARAIBA-205</v>
      </c>
      <c r="B2768" s="5" t="s">
        <v>1789</v>
      </c>
      <c r="C2768" s="5" t="s">
        <v>4072</v>
      </c>
      <c r="D2768" s="6">
        <v>-354375</v>
      </c>
      <c r="E2768" s="6">
        <v>-67517</v>
      </c>
      <c r="F2768" s="7">
        <v>5.2629999999999999</v>
      </c>
      <c r="G2768" s="7">
        <v>5.5430000000000001</v>
      </c>
      <c r="H2768" s="7">
        <v>5.5960000000000001</v>
      </c>
      <c r="I2768" s="7">
        <v>5.6879999999999997</v>
      </c>
      <c r="J2768" s="7">
        <v>5.2160000000000002</v>
      </c>
      <c r="K2768" s="7">
        <v>4.6360000000000001</v>
      </c>
      <c r="L2768" s="7">
        <v>4.1920000000000002</v>
      </c>
      <c r="M2768" s="7">
        <v>4.2789999999999999</v>
      </c>
      <c r="N2768" s="7">
        <v>5.0270000000000001</v>
      </c>
      <c r="O2768" s="7">
        <v>5.484</v>
      </c>
      <c r="P2768" s="7">
        <v>5.758</v>
      </c>
      <c r="Q2768" s="7">
        <v>6</v>
      </c>
      <c r="R2768" s="7">
        <v>5.7430000000000003</v>
      </c>
      <c r="S2768" s="7">
        <f t="shared" si="43"/>
        <v>5.2635000000000005</v>
      </c>
    </row>
    <row r="2769" spans="1:19">
      <c r="A2769" s="5" t="str">
        <f>B2769&amp;"-"&amp;COUNTIF($B$2:B2769,B2769)</f>
        <v>PARAIBA-206</v>
      </c>
      <c r="B2769" s="5" t="s">
        <v>1789</v>
      </c>
      <c r="C2769" s="5" t="s">
        <v>1912</v>
      </c>
      <c r="D2769" s="6">
        <v>-35236</v>
      </c>
      <c r="E2769" s="6">
        <v>-71447</v>
      </c>
      <c r="F2769" s="7">
        <v>5.38</v>
      </c>
      <c r="G2769" s="7">
        <v>5.7</v>
      </c>
      <c r="H2769" s="7">
        <v>5.85</v>
      </c>
      <c r="I2769" s="7">
        <v>5.9290000000000003</v>
      </c>
      <c r="J2769" s="7">
        <v>5.3049999999999997</v>
      </c>
      <c r="K2769" s="7">
        <v>4.6740000000000004</v>
      </c>
      <c r="L2769" s="7">
        <v>4.234</v>
      </c>
      <c r="M2769" s="7">
        <v>4.3259999999999996</v>
      </c>
      <c r="N2769" s="7">
        <v>5.1020000000000003</v>
      </c>
      <c r="O2769" s="7">
        <v>5.548</v>
      </c>
      <c r="P2769" s="7">
        <v>5.8319999999999999</v>
      </c>
      <c r="Q2769" s="7">
        <v>6.1020000000000003</v>
      </c>
      <c r="R2769" s="7">
        <v>5.9550000000000001</v>
      </c>
      <c r="S2769" s="7">
        <f t="shared" si="43"/>
        <v>5.3797500000000005</v>
      </c>
    </row>
    <row r="2770" spans="1:19">
      <c r="A2770" s="5" t="str">
        <f>B2770&amp;"-"&amp;COUNTIF($B$2:B2770,B2770)</f>
        <v>PARAIBA-207</v>
      </c>
      <c r="B2770" s="5" t="s">
        <v>1789</v>
      </c>
      <c r="C2770" s="5" t="s">
        <v>4988</v>
      </c>
      <c r="D2770" s="6">
        <v>-356587</v>
      </c>
      <c r="E2770" s="6">
        <v>-67605</v>
      </c>
      <c r="F2770" s="7">
        <v>5.3520000000000003</v>
      </c>
      <c r="G2770" s="7">
        <v>5.6689999999999996</v>
      </c>
      <c r="H2770" s="7">
        <v>5.79</v>
      </c>
      <c r="I2770" s="7">
        <v>5.8019999999999996</v>
      </c>
      <c r="J2770" s="7">
        <v>5.29</v>
      </c>
      <c r="K2770" s="7">
        <v>4.6980000000000004</v>
      </c>
      <c r="L2770" s="7">
        <v>4.194</v>
      </c>
      <c r="M2770" s="7">
        <v>4.3250000000000002</v>
      </c>
      <c r="N2770" s="7">
        <v>5.1180000000000003</v>
      </c>
      <c r="O2770" s="7">
        <v>5.5979999999999999</v>
      </c>
      <c r="P2770" s="7">
        <v>5.8380000000000001</v>
      </c>
      <c r="Q2770" s="7">
        <v>6.0430000000000001</v>
      </c>
      <c r="R2770" s="7">
        <v>5.8550000000000004</v>
      </c>
      <c r="S2770" s="7">
        <f t="shared" si="43"/>
        <v>5.3516666666666666</v>
      </c>
    </row>
    <row r="2771" spans="1:19">
      <c r="A2771" s="5" t="str">
        <f>B2771&amp;"-"&amp;COUNTIF($B$2:B2771,B2771)</f>
        <v>PARAIBA-208</v>
      </c>
      <c r="B2771" s="5" t="s">
        <v>1789</v>
      </c>
      <c r="C2771" s="5" t="s">
        <v>1913</v>
      </c>
      <c r="D2771" s="6">
        <v>-363629</v>
      </c>
      <c r="E2771" s="6">
        <v>-70591</v>
      </c>
      <c r="F2771" s="7">
        <v>5.4779999999999998</v>
      </c>
      <c r="G2771" s="7">
        <v>5.7709999999999999</v>
      </c>
      <c r="H2771" s="7">
        <v>5.8250000000000002</v>
      </c>
      <c r="I2771" s="7">
        <v>5.8659999999999997</v>
      </c>
      <c r="J2771" s="7">
        <v>5.3929999999999998</v>
      </c>
      <c r="K2771" s="7">
        <v>4.76</v>
      </c>
      <c r="L2771" s="7">
        <v>4.258</v>
      </c>
      <c r="M2771" s="7">
        <v>4.4390000000000001</v>
      </c>
      <c r="N2771" s="7">
        <v>5.15</v>
      </c>
      <c r="O2771" s="7">
        <v>5.8250000000000002</v>
      </c>
      <c r="P2771" s="7">
        <v>6.1059999999999999</v>
      </c>
      <c r="Q2771" s="7">
        <v>6.31</v>
      </c>
      <c r="R2771" s="7">
        <v>6.0359999999999996</v>
      </c>
      <c r="S2771" s="7">
        <f t="shared" si="43"/>
        <v>5.4782500000000001</v>
      </c>
    </row>
    <row r="2772" spans="1:19">
      <c r="A2772" s="5" t="str">
        <f>B2772&amp;"-"&amp;COUNTIF($B$2:B2772,B2772)</f>
        <v>PARAIBA-209</v>
      </c>
      <c r="B2772" s="5" t="s">
        <v>1789</v>
      </c>
      <c r="C2772" s="5" t="s">
        <v>5298</v>
      </c>
      <c r="D2772" s="6">
        <v>-362474</v>
      </c>
      <c r="E2772" s="6">
        <v>-67663</v>
      </c>
      <c r="F2772" s="7">
        <v>5.4960000000000004</v>
      </c>
      <c r="G2772" s="7">
        <v>5.8380000000000001</v>
      </c>
      <c r="H2772" s="7">
        <v>5.7510000000000003</v>
      </c>
      <c r="I2772" s="7">
        <v>5.7949999999999999</v>
      </c>
      <c r="J2772" s="7">
        <v>5.3689999999999998</v>
      </c>
      <c r="K2772" s="7">
        <v>4.8</v>
      </c>
      <c r="L2772" s="7">
        <v>4.335</v>
      </c>
      <c r="M2772" s="7">
        <v>4.5469999999999997</v>
      </c>
      <c r="N2772" s="7">
        <v>5.2679999999999998</v>
      </c>
      <c r="O2772" s="7">
        <v>5.82</v>
      </c>
      <c r="P2772" s="7">
        <v>6.1459999999999999</v>
      </c>
      <c r="Q2772" s="7">
        <v>6.2949999999999999</v>
      </c>
      <c r="R2772" s="7">
        <v>5.9820000000000002</v>
      </c>
      <c r="S2772" s="7">
        <f t="shared" si="43"/>
        <v>5.4955000000000007</v>
      </c>
    </row>
    <row r="2773" spans="1:19">
      <c r="A2773" s="5" t="str">
        <f>B2773&amp;"-"&amp;COUNTIF($B$2:B2773,B2773)</f>
        <v>PARAIBA-210</v>
      </c>
      <c r="B2773" s="5" t="s">
        <v>1789</v>
      </c>
      <c r="C2773" s="5" t="s">
        <v>1914</v>
      </c>
      <c r="D2773" s="6">
        <v>-38228</v>
      </c>
      <c r="E2773" s="6">
        <v>-67593</v>
      </c>
      <c r="F2773" s="7">
        <v>6.0519999999999996</v>
      </c>
      <c r="G2773" s="7">
        <v>6.1950000000000003</v>
      </c>
      <c r="H2773" s="7">
        <v>6.1879999999999997</v>
      </c>
      <c r="I2773" s="7">
        <v>6.2009999999999996</v>
      </c>
      <c r="J2773" s="7">
        <v>5.8739999999999997</v>
      </c>
      <c r="K2773" s="7">
        <v>5.3310000000000004</v>
      </c>
      <c r="L2773" s="7">
        <v>5.0449999999999999</v>
      </c>
      <c r="M2773" s="7">
        <v>5.2919999999999998</v>
      </c>
      <c r="N2773" s="7">
        <v>6.0359999999999996</v>
      </c>
      <c r="O2773" s="7">
        <v>6.4960000000000004</v>
      </c>
      <c r="P2773" s="7">
        <v>6.6909999999999998</v>
      </c>
      <c r="Q2773" s="7">
        <v>6.8339999999999996</v>
      </c>
      <c r="R2773" s="7">
        <v>6.4340000000000002</v>
      </c>
      <c r="S2773" s="7">
        <f t="shared" si="43"/>
        <v>6.0514166666666673</v>
      </c>
    </row>
    <row r="2774" spans="1:19">
      <c r="A2774" s="5" t="str">
        <f>B2774&amp;"-"&amp;COUNTIF($B$2:B2774,B2774)</f>
        <v>PARAIBA-211</v>
      </c>
      <c r="B2774" s="5" t="s">
        <v>1789</v>
      </c>
      <c r="C2774" s="5" t="s">
        <v>4407</v>
      </c>
      <c r="D2774" s="6">
        <v>-368828</v>
      </c>
      <c r="E2774" s="6">
        <v>-76725</v>
      </c>
      <c r="F2774" s="7">
        <v>5.6950000000000003</v>
      </c>
      <c r="G2774" s="7">
        <v>6.1180000000000003</v>
      </c>
      <c r="H2774" s="7">
        <v>6.0529999999999999</v>
      </c>
      <c r="I2774" s="7">
        <v>6.032</v>
      </c>
      <c r="J2774" s="7">
        <v>5.6360000000000001</v>
      </c>
      <c r="K2774" s="7">
        <v>4.8849999999999998</v>
      </c>
      <c r="L2774" s="7">
        <v>4.4009999999999998</v>
      </c>
      <c r="M2774" s="7">
        <v>4.5730000000000004</v>
      </c>
      <c r="N2774" s="7">
        <v>5.282</v>
      </c>
      <c r="O2774" s="7">
        <v>6.1379999999999999</v>
      </c>
      <c r="P2774" s="7">
        <v>6.3780000000000001</v>
      </c>
      <c r="Q2774" s="7">
        <v>6.5739999999999998</v>
      </c>
      <c r="R2774" s="7">
        <v>6.2770000000000001</v>
      </c>
      <c r="S2774" s="7">
        <f t="shared" si="43"/>
        <v>5.6955833333333326</v>
      </c>
    </row>
    <row r="2775" spans="1:19">
      <c r="A2775" s="5" t="str">
        <f>B2775&amp;"-"&amp;COUNTIF($B$2:B2775,B2775)</f>
        <v>PARAIBA-212</v>
      </c>
      <c r="B2775" s="5" t="s">
        <v>1789</v>
      </c>
      <c r="C2775" s="5" t="s">
        <v>1915</v>
      </c>
      <c r="D2775" s="6">
        <v>-35637</v>
      </c>
      <c r="E2775" s="6">
        <v>-6488</v>
      </c>
      <c r="F2775" s="7">
        <v>5.3730000000000002</v>
      </c>
      <c r="G2775" s="7">
        <v>5.6070000000000002</v>
      </c>
      <c r="H2775" s="7">
        <v>5.7290000000000001</v>
      </c>
      <c r="I2775" s="7">
        <v>5.7889999999999997</v>
      </c>
      <c r="J2775" s="7">
        <v>5.3680000000000003</v>
      </c>
      <c r="K2775" s="7">
        <v>4.8380000000000001</v>
      </c>
      <c r="L2775" s="7">
        <v>4.3780000000000001</v>
      </c>
      <c r="M2775" s="7">
        <v>4.5369999999999999</v>
      </c>
      <c r="N2775" s="7">
        <v>5.2240000000000002</v>
      </c>
      <c r="O2775" s="7">
        <v>5.5919999999999996</v>
      </c>
      <c r="P2775" s="7">
        <v>5.75</v>
      </c>
      <c r="Q2775" s="7">
        <v>5.9779999999999998</v>
      </c>
      <c r="R2775" s="7">
        <v>5.681</v>
      </c>
      <c r="S2775" s="7">
        <f t="shared" si="43"/>
        <v>5.3725833333333339</v>
      </c>
    </row>
    <row r="2776" spans="1:19">
      <c r="A2776" s="5" t="str">
        <f>B2776&amp;"-"&amp;COUNTIF($B$2:B2776,B2776)</f>
        <v>PARAIBA-213</v>
      </c>
      <c r="B2776" s="5" t="s">
        <v>1789</v>
      </c>
      <c r="C2776" s="5" t="s">
        <v>5481</v>
      </c>
      <c r="D2776" s="6">
        <v>-368248</v>
      </c>
      <c r="E2776" s="6">
        <v>-72067</v>
      </c>
      <c r="F2776" s="7">
        <v>5.7030000000000003</v>
      </c>
      <c r="G2776" s="7">
        <v>5.9660000000000002</v>
      </c>
      <c r="H2776" s="7">
        <v>5.976</v>
      </c>
      <c r="I2776" s="7">
        <v>5.9450000000000003</v>
      </c>
      <c r="J2776" s="7">
        <v>5.65</v>
      </c>
      <c r="K2776" s="7">
        <v>4.9509999999999996</v>
      </c>
      <c r="L2776" s="7">
        <v>4.4390000000000001</v>
      </c>
      <c r="M2776" s="7">
        <v>4.7690000000000001</v>
      </c>
      <c r="N2776" s="7">
        <v>5.516</v>
      </c>
      <c r="O2776" s="7">
        <v>6.1580000000000004</v>
      </c>
      <c r="P2776" s="7">
        <v>6.3810000000000002</v>
      </c>
      <c r="Q2776" s="7">
        <v>6.5010000000000003</v>
      </c>
      <c r="R2776" s="7">
        <v>6.1870000000000003</v>
      </c>
      <c r="S2776" s="7">
        <f t="shared" si="43"/>
        <v>5.7032499999999997</v>
      </c>
    </row>
    <row r="2777" spans="1:19">
      <c r="A2777" s="5" t="str">
        <f>B2777&amp;"-"&amp;COUNTIF($B$2:B2777,B2777)</f>
        <v>PARAIBA-214</v>
      </c>
      <c r="B2777" s="5" t="s">
        <v>1789</v>
      </c>
      <c r="C2777" s="5" t="s">
        <v>1916</v>
      </c>
      <c r="D2777" s="6">
        <v>-378715</v>
      </c>
      <c r="E2777" s="6">
        <v>-76274</v>
      </c>
      <c r="F2777" s="7">
        <v>5.8819999999999997</v>
      </c>
      <c r="G2777" s="7">
        <v>6.1289999999999996</v>
      </c>
      <c r="H2777" s="7">
        <v>6.1420000000000003</v>
      </c>
      <c r="I2777" s="7">
        <v>6.12</v>
      </c>
      <c r="J2777" s="7">
        <v>5.7779999999999996</v>
      </c>
      <c r="K2777" s="7">
        <v>5.0629999999999997</v>
      </c>
      <c r="L2777" s="7">
        <v>4.7309999999999999</v>
      </c>
      <c r="M2777" s="7">
        <v>4.992</v>
      </c>
      <c r="N2777" s="7">
        <v>5.7649999999999997</v>
      </c>
      <c r="O2777" s="7">
        <v>6.4269999999999996</v>
      </c>
      <c r="P2777" s="7">
        <v>6.5060000000000002</v>
      </c>
      <c r="Q2777" s="7">
        <v>6.6459999999999999</v>
      </c>
      <c r="R2777" s="7">
        <v>6.2779999999999996</v>
      </c>
      <c r="S2777" s="7">
        <f t="shared" si="43"/>
        <v>5.8814166666666665</v>
      </c>
    </row>
    <row r="2778" spans="1:19">
      <c r="A2778" s="5" t="str">
        <f>B2778&amp;"-"&amp;COUNTIF($B$2:B2778,B2778)</f>
        <v>PARAIBA-215</v>
      </c>
      <c r="B2778" s="5" t="s">
        <v>1789</v>
      </c>
      <c r="C2778" s="5" t="s">
        <v>1917</v>
      </c>
      <c r="D2778" s="6">
        <v>-372528</v>
      </c>
      <c r="E2778" s="6">
        <v>-72215</v>
      </c>
      <c r="F2778" s="7">
        <v>5.9139999999999997</v>
      </c>
      <c r="G2778" s="7">
        <v>6.1680000000000001</v>
      </c>
      <c r="H2778" s="7">
        <v>6.165</v>
      </c>
      <c r="I2778" s="7">
        <v>6.2240000000000002</v>
      </c>
      <c r="J2778" s="7">
        <v>5.8220000000000001</v>
      </c>
      <c r="K2778" s="7">
        <v>5.0970000000000004</v>
      </c>
      <c r="L2778" s="7">
        <v>4.6660000000000004</v>
      </c>
      <c r="M2778" s="7">
        <v>4.9980000000000002</v>
      </c>
      <c r="N2778" s="7">
        <v>5.8490000000000002</v>
      </c>
      <c r="O2778" s="7">
        <v>6.444</v>
      </c>
      <c r="P2778" s="7">
        <v>6.5679999999999996</v>
      </c>
      <c r="Q2778" s="7">
        <v>6.6719999999999997</v>
      </c>
      <c r="R2778" s="7">
        <v>6.2910000000000004</v>
      </c>
      <c r="S2778" s="7">
        <f t="shared" si="43"/>
        <v>5.9136666666666668</v>
      </c>
    </row>
    <row r="2779" spans="1:19">
      <c r="A2779" s="5" t="str">
        <f>B2779&amp;"-"&amp;COUNTIF($B$2:B2779,B2779)</f>
        <v>PARAIBA-216</v>
      </c>
      <c r="B2779" s="5" t="s">
        <v>1789</v>
      </c>
      <c r="C2779" s="5" t="s">
        <v>5160</v>
      </c>
      <c r="D2779" s="6">
        <v>-366276</v>
      </c>
      <c r="E2779" s="6">
        <v>-6939</v>
      </c>
      <c r="F2779" s="7">
        <v>5.6879999999999997</v>
      </c>
      <c r="G2779" s="7">
        <v>5.9409999999999998</v>
      </c>
      <c r="H2779" s="7">
        <v>5.915</v>
      </c>
      <c r="I2779" s="7">
        <v>5.95</v>
      </c>
      <c r="J2779" s="7">
        <v>5.5330000000000004</v>
      </c>
      <c r="K2779" s="7">
        <v>4.9370000000000003</v>
      </c>
      <c r="L2779" s="7">
        <v>4.5380000000000003</v>
      </c>
      <c r="M2779" s="7">
        <v>4.8209999999999997</v>
      </c>
      <c r="N2779" s="7">
        <v>5.5609999999999999</v>
      </c>
      <c r="O2779" s="7">
        <v>6.1230000000000002</v>
      </c>
      <c r="P2779" s="7">
        <v>6.3920000000000003</v>
      </c>
      <c r="Q2779" s="7">
        <v>6.423</v>
      </c>
      <c r="R2779" s="7">
        <v>6.1210000000000004</v>
      </c>
      <c r="S2779" s="7">
        <f t="shared" si="43"/>
        <v>5.6879166666666672</v>
      </c>
    </row>
    <row r="2780" spans="1:19">
      <c r="A2780" s="5" t="str">
        <f>B2780&amp;"-"&amp;COUNTIF($B$2:B2780,B2780)</f>
        <v>PARAIBA-217</v>
      </c>
      <c r="B2780" s="5" t="s">
        <v>1789</v>
      </c>
      <c r="C2780" s="5" t="s">
        <v>1918</v>
      </c>
      <c r="D2780" s="6">
        <v>-385989</v>
      </c>
      <c r="E2780" s="6">
        <v>-65717</v>
      </c>
      <c r="F2780" s="7">
        <v>5.9340000000000002</v>
      </c>
      <c r="G2780" s="7">
        <v>6.0789999999999997</v>
      </c>
      <c r="H2780" s="7">
        <v>6.0430000000000001</v>
      </c>
      <c r="I2780" s="7">
        <v>5.9180000000000001</v>
      </c>
      <c r="J2780" s="7">
        <v>5.6749999999999998</v>
      </c>
      <c r="K2780" s="7">
        <v>5.1790000000000003</v>
      </c>
      <c r="L2780" s="7">
        <v>4.9660000000000002</v>
      </c>
      <c r="M2780" s="7">
        <v>5.2709999999999999</v>
      </c>
      <c r="N2780" s="7">
        <v>6.0359999999999996</v>
      </c>
      <c r="O2780" s="7">
        <v>6.4630000000000001</v>
      </c>
      <c r="P2780" s="7">
        <v>6.58</v>
      </c>
      <c r="Q2780" s="7">
        <v>6.74</v>
      </c>
      <c r="R2780" s="7">
        <v>6.2560000000000002</v>
      </c>
      <c r="S2780" s="7">
        <f t="shared" si="43"/>
        <v>5.9338333333333333</v>
      </c>
    </row>
    <row r="2781" spans="1:19">
      <c r="A2781" s="5" t="str">
        <f>B2781&amp;"-"&amp;COUNTIF($B$2:B2781,B2781)</f>
        <v>PARAIBA-218</v>
      </c>
      <c r="B2781" s="5" t="s">
        <v>1789</v>
      </c>
      <c r="C2781" s="5" t="s">
        <v>4856</v>
      </c>
      <c r="D2781" s="6">
        <v>-384116</v>
      </c>
      <c r="E2781" s="6">
        <v>-65207</v>
      </c>
      <c r="F2781" s="7">
        <v>5.8849999999999998</v>
      </c>
      <c r="G2781" s="7">
        <v>5.992</v>
      </c>
      <c r="H2781" s="7">
        <v>5.9390000000000001</v>
      </c>
      <c r="I2781" s="7">
        <v>5.9260000000000002</v>
      </c>
      <c r="J2781" s="7">
        <v>5.5659999999999998</v>
      </c>
      <c r="K2781" s="7">
        <v>5.1310000000000002</v>
      </c>
      <c r="L2781" s="7">
        <v>4.9320000000000004</v>
      </c>
      <c r="M2781" s="7">
        <v>5.258</v>
      </c>
      <c r="N2781" s="7">
        <v>6.02</v>
      </c>
      <c r="O2781" s="7">
        <v>6.4640000000000004</v>
      </c>
      <c r="P2781" s="7">
        <v>6.5609999999999999</v>
      </c>
      <c r="Q2781" s="7">
        <v>6.6740000000000004</v>
      </c>
      <c r="R2781" s="7">
        <v>6.16</v>
      </c>
      <c r="S2781" s="7">
        <f t="shared" si="43"/>
        <v>5.8852499999999992</v>
      </c>
    </row>
    <row r="2782" spans="1:19">
      <c r="A2782" s="5" t="str">
        <f>B2782&amp;"-"&amp;COUNTIF($B$2:B2782,B2782)</f>
        <v>PARAIBA-219</v>
      </c>
      <c r="B2782" s="5" t="s">
        <v>1789</v>
      </c>
      <c r="C2782" s="5" t="s">
        <v>1919</v>
      </c>
      <c r="D2782" s="6">
        <v>-356639</v>
      </c>
      <c r="E2782" s="6">
        <v>-76955</v>
      </c>
      <c r="F2782" s="7">
        <v>5.31</v>
      </c>
      <c r="G2782" s="7">
        <v>5.6639999999999997</v>
      </c>
      <c r="H2782" s="7">
        <v>5.7690000000000001</v>
      </c>
      <c r="I2782" s="7">
        <v>5.8319999999999999</v>
      </c>
      <c r="J2782" s="7">
        <v>5.2030000000000003</v>
      </c>
      <c r="K2782" s="7">
        <v>4.51</v>
      </c>
      <c r="L2782" s="7">
        <v>4.0369999999999999</v>
      </c>
      <c r="M2782" s="7">
        <v>4.2460000000000004</v>
      </c>
      <c r="N2782" s="7">
        <v>4.96</v>
      </c>
      <c r="O2782" s="7">
        <v>5.5709999999999997</v>
      </c>
      <c r="P2782" s="7">
        <v>5.8220000000000001</v>
      </c>
      <c r="Q2782" s="7">
        <v>6.1310000000000002</v>
      </c>
      <c r="R2782" s="7">
        <v>5.9790000000000001</v>
      </c>
      <c r="S2782" s="7">
        <f t="shared" si="43"/>
        <v>5.3103333333333333</v>
      </c>
    </row>
    <row r="2783" spans="1:19">
      <c r="A2783" s="5" t="str">
        <f>B2783&amp;"-"&amp;COUNTIF($B$2:B2783,B2783)</f>
        <v>PARAIBA-220</v>
      </c>
      <c r="B2783" s="5" t="s">
        <v>1789</v>
      </c>
      <c r="C2783" s="5" t="s">
        <v>5650</v>
      </c>
      <c r="D2783" s="6">
        <v>-369925</v>
      </c>
      <c r="E2783" s="6">
        <v>-67709</v>
      </c>
      <c r="F2783" s="7">
        <v>5.8810000000000002</v>
      </c>
      <c r="G2783" s="7">
        <v>6.09</v>
      </c>
      <c r="H2783" s="7">
        <v>6.1470000000000002</v>
      </c>
      <c r="I2783" s="7">
        <v>6.2380000000000004</v>
      </c>
      <c r="J2783" s="7">
        <v>5.7930000000000001</v>
      </c>
      <c r="K2783" s="7">
        <v>5.1559999999999997</v>
      </c>
      <c r="L2783" s="7">
        <v>4.6639999999999997</v>
      </c>
      <c r="M2783" s="7">
        <v>5.0069999999999997</v>
      </c>
      <c r="N2783" s="7">
        <v>5.7839999999999998</v>
      </c>
      <c r="O2783" s="7">
        <v>6.3179999999999996</v>
      </c>
      <c r="P2783" s="7">
        <v>6.5259999999999998</v>
      </c>
      <c r="Q2783" s="7">
        <v>6.601</v>
      </c>
      <c r="R2783" s="7">
        <v>6.2480000000000002</v>
      </c>
      <c r="S2783" s="7">
        <f t="shared" si="43"/>
        <v>5.8810000000000002</v>
      </c>
    </row>
    <row r="2784" spans="1:19">
      <c r="A2784" s="5" t="str">
        <f>B2784&amp;"-"&amp;COUNTIF($B$2:B2784,B2784)</f>
        <v>PARAIBA-221</v>
      </c>
      <c r="B2784" s="5" t="s">
        <v>1789</v>
      </c>
      <c r="C2784" s="5" t="s">
        <v>5161</v>
      </c>
      <c r="D2784" s="6">
        <v>-382773</v>
      </c>
      <c r="E2784" s="6">
        <v>-65453</v>
      </c>
      <c r="F2784" s="7">
        <v>5.9420000000000002</v>
      </c>
      <c r="G2784" s="7">
        <v>6.03</v>
      </c>
      <c r="H2784" s="7">
        <v>6.0149999999999997</v>
      </c>
      <c r="I2784" s="7">
        <v>6.0049999999999999</v>
      </c>
      <c r="J2784" s="7">
        <v>5.673</v>
      </c>
      <c r="K2784" s="7">
        <v>5.2389999999999999</v>
      </c>
      <c r="L2784" s="7">
        <v>5.0030000000000001</v>
      </c>
      <c r="M2784" s="7">
        <v>5.3049999999999997</v>
      </c>
      <c r="N2784" s="7">
        <v>6.0640000000000001</v>
      </c>
      <c r="O2784" s="7">
        <v>6.4509999999999996</v>
      </c>
      <c r="P2784" s="7">
        <v>6.601</v>
      </c>
      <c r="Q2784" s="7">
        <v>6.7290000000000001</v>
      </c>
      <c r="R2784" s="7">
        <v>6.1909999999999998</v>
      </c>
      <c r="S2784" s="7">
        <f t="shared" si="43"/>
        <v>5.9421666666666679</v>
      </c>
    </row>
    <row r="2785" spans="1:19">
      <c r="A2785" s="5" t="str">
        <f>B2785&amp;"-"&amp;COUNTIF($B$2:B2785,B2785)</f>
        <v>PARAIBA-222</v>
      </c>
      <c r="B2785" s="5" t="s">
        <v>1789</v>
      </c>
      <c r="C2785" s="5" t="s">
        <v>1920</v>
      </c>
      <c r="D2785" s="6">
        <v>-375687</v>
      </c>
      <c r="E2785" s="6">
        <v>-67385</v>
      </c>
      <c r="F2785" s="7">
        <v>5.9720000000000004</v>
      </c>
      <c r="G2785" s="7">
        <v>6.0750000000000002</v>
      </c>
      <c r="H2785" s="7">
        <v>6.2190000000000003</v>
      </c>
      <c r="I2785" s="7">
        <v>6.2839999999999998</v>
      </c>
      <c r="J2785" s="7">
        <v>5.8810000000000002</v>
      </c>
      <c r="K2785" s="7">
        <v>5.306</v>
      </c>
      <c r="L2785" s="7">
        <v>4.8339999999999996</v>
      </c>
      <c r="M2785" s="7">
        <v>5.1449999999999996</v>
      </c>
      <c r="N2785" s="7">
        <v>5.9029999999999996</v>
      </c>
      <c r="O2785" s="7">
        <v>6.4409999999999998</v>
      </c>
      <c r="P2785" s="7">
        <v>6.6020000000000003</v>
      </c>
      <c r="Q2785" s="7">
        <v>6.6609999999999996</v>
      </c>
      <c r="R2785" s="7">
        <v>6.3159999999999998</v>
      </c>
      <c r="S2785" s="7">
        <f t="shared" si="43"/>
        <v>5.9722499999999998</v>
      </c>
    </row>
    <row r="2786" spans="1:19">
      <c r="A2786" s="5" t="str">
        <f>B2786&amp;"-"&amp;COUNTIF($B$2:B2786,B2786)</f>
        <v>PARAIBA-223</v>
      </c>
      <c r="B2786" s="5" t="s">
        <v>1789</v>
      </c>
      <c r="C2786" s="5" t="s">
        <v>5299</v>
      </c>
      <c r="D2786" s="6">
        <v>-370993</v>
      </c>
      <c r="E2786" s="6">
        <v>-8076</v>
      </c>
      <c r="F2786" s="7">
        <v>5.6859999999999999</v>
      </c>
      <c r="G2786" s="7">
        <v>6.1870000000000003</v>
      </c>
      <c r="H2786" s="7">
        <v>6.0419999999999998</v>
      </c>
      <c r="I2786" s="7">
        <v>5.992</v>
      </c>
      <c r="J2786" s="7">
        <v>5.5129999999999999</v>
      </c>
      <c r="K2786" s="7">
        <v>4.7370000000000001</v>
      </c>
      <c r="L2786" s="7">
        <v>4.3140000000000001</v>
      </c>
      <c r="M2786" s="7">
        <v>4.4630000000000001</v>
      </c>
      <c r="N2786" s="7">
        <v>5.2190000000000003</v>
      </c>
      <c r="O2786" s="7">
        <v>6.1660000000000004</v>
      </c>
      <c r="P2786" s="7">
        <v>6.4249999999999998</v>
      </c>
      <c r="Q2786" s="7">
        <v>6.7249999999999996</v>
      </c>
      <c r="R2786" s="7">
        <v>6.4470000000000001</v>
      </c>
      <c r="S2786" s="7">
        <f t="shared" si="43"/>
        <v>5.685833333333334</v>
      </c>
    </row>
    <row r="2787" spans="1:19">
      <c r="A2787" s="5" t="str">
        <f>B2787&amp;"-"&amp;COUNTIF($B$2:B2787,B2787)</f>
        <v>PARANÁ-1</v>
      </c>
      <c r="B2787" s="5" t="s">
        <v>1921</v>
      </c>
      <c r="C2787" s="5" t="s">
        <v>1922</v>
      </c>
      <c r="D2787" s="6">
        <v>-519158</v>
      </c>
      <c r="E2787" s="6">
        <v>-231951</v>
      </c>
      <c r="F2787" s="7">
        <v>4.944</v>
      </c>
      <c r="G2787" s="7">
        <v>5.9260000000000002</v>
      </c>
      <c r="H2787" s="7">
        <v>5.843</v>
      </c>
      <c r="I2787" s="7">
        <v>5.3120000000000003</v>
      </c>
      <c r="J2787" s="7">
        <v>4.6500000000000004</v>
      </c>
      <c r="K2787" s="7">
        <v>3.6749999999999998</v>
      </c>
      <c r="L2787" s="7">
        <v>3.3820000000000001</v>
      </c>
      <c r="M2787" s="7">
        <v>3.5529999999999999</v>
      </c>
      <c r="N2787" s="7">
        <v>4.4820000000000002</v>
      </c>
      <c r="O2787" s="7">
        <v>4.6920000000000002</v>
      </c>
      <c r="P2787" s="7">
        <v>5.3869999999999996</v>
      </c>
      <c r="Q2787" s="7">
        <v>6.0460000000000003</v>
      </c>
      <c r="R2787" s="7">
        <v>6.3819999999999997</v>
      </c>
      <c r="S2787" s="7">
        <f t="shared" si="43"/>
        <v>4.9441666666666668</v>
      </c>
    </row>
    <row r="2788" spans="1:19">
      <c r="A2788" s="5" t="str">
        <f>B2788&amp;"-"&amp;COUNTIF($B$2:B2788,B2788)</f>
        <v>PARANÁ-2</v>
      </c>
      <c r="B2788" s="5" t="s">
        <v>1921</v>
      </c>
      <c r="C2788" s="5" t="s">
        <v>5651</v>
      </c>
      <c r="D2788" s="6">
        <v>-503129</v>
      </c>
      <c r="E2788" s="6">
        <v>-23304</v>
      </c>
      <c r="F2788" s="7">
        <v>4.9370000000000003</v>
      </c>
      <c r="G2788" s="7">
        <v>5.8630000000000004</v>
      </c>
      <c r="H2788" s="7">
        <v>5.8479999999999999</v>
      </c>
      <c r="I2788" s="7">
        <v>5.2229999999999999</v>
      </c>
      <c r="J2788" s="7">
        <v>4.625</v>
      </c>
      <c r="K2788" s="7">
        <v>3.7010000000000001</v>
      </c>
      <c r="L2788" s="7">
        <v>3.3820000000000001</v>
      </c>
      <c r="M2788" s="7">
        <v>3.5859999999999999</v>
      </c>
      <c r="N2788" s="7">
        <v>4.5750000000000002</v>
      </c>
      <c r="O2788" s="7">
        <v>4.7220000000000004</v>
      </c>
      <c r="P2788" s="7">
        <v>5.3689999999999998</v>
      </c>
      <c r="Q2788" s="7">
        <v>5.9809999999999999</v>
      </c>
      <c r="R2788" s="7">
        <v>6.3639999999999999</v>
      </c>
      <c r="S2788" s="7">
        <f t="shared" si="43"/>
        <v>4.936583333333334</v>
      </c>
    </row>
    <row r="2789" spans="1:19">
      <c r="A2789" s="5" t="str">
        <f>B2789&amp;"-"&amp;COUNTIF($B$2:B2789,B2789)</f>
        <v>PARANÁ-3</v>
      </c>
      <c r="B2789" s="5" t="s">
        <v>1921</v>
      </c>
      <c r="C2789" s="5" t="s">
        <v>5162</v>
      </c>
      <c r="D2789" s="6">
        <v>-489926</v>
      </c>
      <c r="E2789" s="6">
        <v>-246611</v>
      </c>
      <c r="F2789" s="7">
        <v>4.2290000000000001</v>
      </c>
      <c r="G2789" s="7">
        <v>5.4290000000000003</v>
      </c>
      <c r="H2789" s="7">
        <v>5.3380000000000001</v>
      </c>
      <c r="I2789" s="7">
        <v>4.6779999999999999</v>
      </c>
      <c r="J2789" s="7">
        <v>3.9</v>
      </c>
      <c r="K2789" s="7">
        <v>3.0939999999999999</v>
      </c>
      <c r="L2789" s="7">
        <v>2.6720000000000002</v>
      </c>
      <c r="M2789" s="7">
        <v>2.762</v>
      </c>
      <c r="N2789" s="7">
        <v>3.69</v>
      </c>
      <c r="O2789" s="7">
        <v>3.8490000000000002</v>
      </c>
      <c r="P2789" s="7">
        <v>4.415</v>
      </c>
      <c r="Q2789" s="7">
        <v>5.2329999999999997</v>
      </c>
      <c r="R2789" s="7">
        <v>5.6870000000000003</v>
      </c>
      <c r="S2789" s="7">
        <f t="shared" si="43"/>
        <v>4.2289166666666667</v>
      </c>
    </row>
    <row r="2790" spans="1:19">
      <c r="A2790" s="5" t="str">
        <f>B2790&amp;"-"&amp;COUNTIF($B$2:B2790,B2790)</f>
        <v>PARANÁ-4</v>
      </c>
      <c r="B2790" s="5" t="s">
        <v>1921</v>
      </c>
      <c r="C2790" s="5" t="s">
        <v>1923</v>
      </c>
      <c r="D2790" s="6">
        <v>-493347</v>
      </c>
      <c r="E2790" s="6">
        <v>-259904</v>
      </c>
      <c r="F2790" s="7">
        <v>4.1360000000000001</v>
      </c>
      <c r="G2790" s="7">
        <v>5.3810000000000002</v>
      </c>
      <c r="H2790" s="7">
        <v>5.0839999999999996</v>
      </c>
      <c r="I2790" s="7">
        <v>4.5019999999999998</v>
      </c>
      <c r="J2790" s="7">
        <v>3.6960000000000002</v>
      </c>
      <c r="K2790" s="7">
        <v>2.976</v>
      </c>
      <c r="L2790" s="7">
        <v>2.6240000000000001</v>
      </c>
      <c r="M2790" s="7">
        <v>2.8250000000000002</v>
      </c>
      <c r="N2790" s="7">
        <v>3.7360000000000002</v>
      </c>
      <c r="O2790" s="7">
        <v>3.7509999999999999</v>
      </c>
      <c r="P2790" s="7">
        <v>4.3369999999999997</v>
      </c>
      <c r="Q2790" s="7">
        <v>5.1769999999999996</v>
      </c>
      <c r="R2790" s="7">
        <v>5.548</v>
      </c>
      <c r="S2790" s="7">
        <f t="shared" si="43"/>
        <v>4.1364166666666664</v>
      </c>
    </row>
    <row r="2791" spans="1:19">
      <c r="A2791" s="5" t="str">
        <f>B2791&amp;"-"&amp;COUNTIF($B$2:B2791,B2791)</f>
        <v>PARANÁ-5</v>
      </c>
      <c r="B2791" s="5" t="s">
        <v>1921</v>
      </c>
      <c r="C2791" s="5" t="s">
        <v>4408</v>
      </c>
      <c r="D2791" s="6">
        <v>-493042</v>
      </c>
      <c r="E2791" s="6">
        <v>-253193</v>
      </c>
      <c r="F2791" s="7">
        <v>4.2370000000000001</v>
      </c>
      <c r="G2791" s="7">
        <v>5.3140000000000001</v>
      </c>
      <c r="H2791" s="7">
        <v>5.2130000000000001</v>
      </c>
      <c r="I2791" s="7">
        <v>4.6189999999999998</v>
      </c>
      <c r="J2791" s="7">
        <v>3.8090000000000002</v>
      </c>
      <c r="K2791" s="7">
        <v>3.0350000000000001</v>
      </c>
      <c r="L2791" s="7">
        <v>2.7410000000000001</v>
      </c>
      <c r="M2791" s="7">
        <v>2.9239999999999999</v>
      </c>
      <c r="N2791" s="7">
        <v>3.9180000000000001</v>
      </c>
      <c r="O2791" s="7">
        <v>3.9140000000000001</v>
      </c>
      <c r="P2791" s="7">
        <v>4.4379999999999997</v>
      </c>
      <c r="Q2791" s="7">
        <v>5.2910000000000004</v>
      </c>
      <c r="R2791" s="7">
        <v>5.625</v>
      </c>
      <c r="S2791" s="7">
        <f t="shared" si="43"/>
        <v>4.2367500000000007</v>
      </c>
    </row>
    <row r="2792" spans="1:19">
      <c r="A2792" s="5" t="str">
        <f>B2792&amp;"-"&amp;COUNTIF($B$2:B2792,B2792)</f>
        <v>PARANÁ-6</v>
      </c>
      <c r="B2792" s="5" t="s">
        <v>1921</v>
      </c>
      <c r="C2792" s="5" t="s">
        <v>4563</v>
      </c>
      <c r="D2792" s="6">
        <v>-538963</v>
      </c>
      <c r="E2792" s="6">
        <v>-238764</v>
      </c>
      <c r="F2792" s="7">
        <v>4.8739999999999997</v>
      </c>
      <c r="G2792" s="7">
        <v>6.2069999999999999</v>
      </c>
      <c r="H2792" s="7">
        <v>5.8659999999999997</v>
      </c>
      <c r="I2792" s="7">
        <v>5.3310000000000004</v>
      </c>
      <c r="J2792" s="7">
        <v>4.423</v>
      </c>
      <c r="K2792" s="7">
        <v>3.48</v>
      </c>
      <c r="L2792" s="7">
        <v>3.089</v>
      </c>
      <c r="M2792" s="7">
        <v>3.2770000000000001</v>
      </c>
      <c r="N2792" s="7">
        <v>4.3</v>
      </c>
      <c r="O2792" s="7">
        <v>4.5469999999999997</v>
      </c>
      <c r="P2792" s="7">
        <v>5.3680000000000003</v>
      </c>
      <c r="Q2792" s="7">
        <v>6.12</v>
      </c>
      <c r="R2792" s="7">
        <v>6.4820000000000002</v>
      </c>
      <c r="S2792" s="7">
        <f t="shared" si="43"/>
        <v>4.8741666666666665</v>
      </c>
    </row>
    <row r="2793" spans="1:19">
      <c r="A2793" s="5" t="str">
        <f>B2793&amp;"-"&amp;COUNTIF($B$2:B2793,B2793)</f>
        <v>PARANÁ-7</v>
      </c>
      <c r="B2793" s="5" t="s">
        <v>1921</v>
      </c>
      <c r="C2793" s="5" t="s">
        <v>5652</v>
      </c>
      <c r="D2793" s="6">
        <v>-527133</v>
      </c>
      <c r="E2793" s="6">
        <v>-247988</v>
      </c>
      <c r="F2793" s="7">
        <v>4.8140000000000001</v>
      </c>
      <c r="G2793" s="7">
        <v>6.2590000000000003</v>
      </c>
      <c r="H2793" s="7">
        <v>5.5759999999999996</v>
      </c>
      <c r="I2793" s="7">
        <v>5.2990000000000004</v>
      </c>
      <c r="J2793" s="7">
        <v>4.423</v>
      </c>
      <c r="K2793" s="7">
        <v>3.4369999999999998</v>
      </c>
      <c r="L2793" s="7">
        <v>3.036</v>
      </c>
      <c r="M2793" s="7">
        <v>3.2330000000000001</v>
      </c>
      <c r="N2793" s="7">
        <v>4.258</v>
      </c>
      <c r="O2793" s="7">
        <v>4.452</v>
      </c>
      <c r="P2793" s="7">
        <v>5.2949999999999999</v>
      </c>
      <c r="Q2793" s="7">
        <v>6.1070000000000002</v>
      </c>
      <c r="R2793" s="7">
        <v>6.399</v>
      </c>
      <c r="S2793" s="7">
        <f t="shared" si="43"/>
        <v>4.8145000000000007</v>
      </c>
    </row>
    <row r="2794" spans="1:19">
      <c r="A2794" s="5" t="str">
        <f>B2794&amp;"-"&amp;COUNTIF($B$2:B2794,B2794)</f>
        <v>PARANÁ-8</v>
      </c>
      <c r="B2794" s="5" t="s">
        <v>1921</v>
      </c>
      <c r="C2794" s="5" t="s">
        <v>1924</v>
      </c>
      <c r="D2794" s="6">
        <v>-53729</v>
      </c>
      <c r="E2794" s="6">
        <v>-235086</v>
      </c>
      <c r="F2794" s="7">
        <v>4.9329999999999998</v>
      </c>
      <c r="G2794" s="7">
        <v>6.1829999999999998</v>
      </c>
      <c r="H2794" s="7">
        <v>5.95</v>
      </c>
      <c r="I2794" s="7">
        <v>5.4180000000000001</v>
      </c>
      <c r="J2794" s="7">
        <v>4.4690000000000003</v>
      </c>
      <c r="K2794" s="7">
        <v>3.548</v>
      </c>
      <c r="L2794" s="7">
        <v>3.1840000000000002</v>
      </c>
      <c r="M2794" s="7">
        <v>3.3690000000000002</v>
      </c>
      <c r="N2794" s="7">
        <v>4.3179999999999996</v>
      </c>
      <c r="O2794" s="7">
        <v>4.5919999999999996</v>
      </c>
      <c r="P2794" s="7">
        <v>5.4290000000000003</v>
      </c>
      <c r="Q2794" s="7">
        <v>6.1539999999999999</v>
      </c>
      <c r="R2794" s="7">
        <v>6.5810000000000004</v>
      </c>
      <c r="S2794" s="7">
        <f t="shared" si="43"/>
        <v>4.9329166666666673</v>
      </c>
    </row>
    <row r="2795" spans="1:19">
      <c r="A2795" s="5" t="str">
        <f>B2795&amp;"-"&amp;COUNTIF($B$2:B2795,B2795)</f>
        <v>PARANÁ-9</v>
      </c>
      <c r="B2795" s="5" t="s">
        <v>1921</v>
      </c>
      <c r="C2795" s="5" t="s">
        <v>5653</v>
      </c>
      <c r="D2795" s="6">
        <v>-523193</v>
      </c>
      <c r="E2795" s="6">
        <v>-231317</v>
      </c>
      <c r="F2795" s="7">
        <v>4.9770000000000003</v>
      </c>
      <c r="G2795" s="7">
        <v>5.9870000000000001</v>
      </c>
      <c r="H2795" s="7">
        <v>5.8860000000000001</v>
      </c>
      <c r="I2795" s="7">
        <v>5.4260000000000002</v>
      </c>
      <c r="J2795" s="7">
        <v>4.6310000000000002</v>
      </c>
      <c r="K2795" s="7">
        <v>3.661</v>
      </c>
      <c r="L2795" s="7">
        <v>3.3239999999999998</v>
      </c>
      <c r="M2795" s="7">
        <v>3.5649999999999999</v>
      </c>
      <c r="N2795" s="7">
        <v>4.5140000000000002</v>
      </c>
      <c r="O2795" s="7">
        <v>4.7249999999999996</v>
      </c>
      <c r="P2795" s="7">
        <v>5.43</v>
      </c>
      <c r="Q2795" s="7">
        <v>6.1630000000000003</v>
      </c>
      <c r="R2795" s="7">
        <v>6.4160000000000004</v>
      </c>
      <c r="S2795" s="7">
        <f t="shared" si="43"/>
        <v>4.9773333333333332</v>
      </c>
    </row>
    <row r="2796" spans="1:19">
      <c r="A2796" s="5" t="str">
        <f>B2796&amp;"-"&amp;COUNTIF($B$2:B2796,B2796)</f>
        <v>PARANÁ-10</v>
      </c>
      <c r="B2796" s="5" t="s">
        <v>1921</v>
      </c>
      <c r="C2796" s="5" t="s">
        <v>1925</v>
      </c>
      <c r="D2796" s="6">
        <v>-534405</v>
      </c>
      <c r="E2796" s="6">
        <v>-240229</v>
      </c>
      <c r="F2796" s="7">
        <v>4.8860000000000001</v>
      </c>
      <c r="G2796" s="7">
        <v>6.1630000000000003</v>
      </c>
      <c r="H2796" s="7">
        <v>5.8490000000000002</v>
      </c>
      <c r="I2796" s="7">
        <v>5.3579999999999997</v>
      </c>
      <c r="J2796" s="7">
        <v>4.4589999999999996</v>
      </c>
      <c r="K2796" s="7">
        <v>3.5310000000000001</v>
      </c>
      <c r="L2796" s="7">
        <v>3.109</v>
      </c>
      <c r="M2796" s="7">
        <v>3.3090000000000002</v>
      </c>
      <c r="N2796" s="7">
        <v>4.319</v>
      </c>
      <c r="O2796" s="7">
        <v>4.5449999999999999</v>
      </c>
      <c r="P2796" s="7">
        <v>5.367</v>
      </c>
      <c r="Q2796" s="7">
        <v>6.1550000000000002</v>
      </c>
      <c r="R2796" s="7">
        <v>6.4710000000000001</v>
      </c>
      <c r="S2796" s="7">
        <f t="shared" si="43"/>
        <v>4.8862500000000004</v>
      </c>
    </row>
    <row r="2797" spans="1:19">
      <c r="A2797" s="5" t="str">
        <f>B2797&amp;"-"&amp;COUNTIF($B$2:B2797,B2797)</f>
        <v>PARANÁ-11</v>
      </c>
      <c r="B2797" s="5" t="s">
        <v>1921</v>
      </c>
      <c r="C2797" s="5" t="s">
        <v>1926</v>
      </c>
      <c r="D2797" s="6">
        <v>-512301</v>
      </c>
      <c r="E2797" s="6">
        <v>-227817</v>
      </c>
      <c r="F2797" s="7">
        <v>5.0419999999999998</v>
      </c>
      <c r="G2797" s="7">
        <v>6.0590000000000002</v>
      </c>
      <c r="H2797" s="7">
        <v>6.0060000000000002</v>
      </c>
      <c r="I2797" s="7">
        <v>5.4569999999999999</v>
      </c>
      <c r="J2797" s="7">
        <v>4.7709999999999999</v>
      </c>
      <c r="K2797" s="7">
        <v>3.7770000000000001</v>
      </c>
      <c r="L2797" s="7">
        <v>3.4049999999999998</v>
      </c>
      <c r="M2797" s="7">
        <v>3.649</v>
      </c>
      <c r="N2797" s="7">
        <v>4.569</v>
      </c>
      <c r="O2797" s="7">
        <v>4.6639999999999997</v>
      </c>
      <c r="P2797" s="7">
        <v>5.4749999999999996</v>
      </c>
      <c r="Q2797" s="7">
        <v>6.1660000000000004</v>
      </c>
      <c r="R2797" s="7">
        <v>6.508</v>
      </c>
      <c r="S2797" s="7">
        <f t="shared" si="43"/>
        <v>5.0421666666666676</v>
      </c>
    </row>
    <row r="2798" spans="1:19">
      <c r="A2798" s="5" t="str">
        <f>B2798&amp;"-"&amp;COUNTIF($B$2:B2798,B2798)</f>
        <v>PARANÁ-12</v>
      </c>
      <c r="B2798" s="5" t="s">
        <v>1921</v>
      </c>
      <c r="C2798" s="5" t="s">
        <v>5385</v>
      </c>
      <c r="D2798" s="6">
        <v>-52787</v>
      </c>
      <c r="E2798" s="6">
        <v>-230947</v>
      </c>
      <c r="F2798" s="7">
        <v>4.9480000000000004</v>
      </c>
      <c r="G2798" s="7">
        <v>5.9640000000000004</v>
      </c>
      <c r="H2798" s="7">
        <v>5.87</v>
      </c>
      <c r="I2798" s="7">
        <v>5.3849999999999998</v>
      </c>
      <c r="J2798" s="7">
        <v>4.548</v>
      </c>
      <c r="K2798" s="7">
        <v>3.6379999999999999</v>
      </c>
      <c r="L2798" s="7">
        <v>3.3149999999999999</v>
      </c>
      <c r="M2798" s="7">
        <v>3.5110000000000001</v>
      </c>
      <c r="N2798" s="7">
        <v>4.4580000000000002</v>
      </c>
      <c r="O2798" s="7">
        <v>4.6959999999999997</v>
      </c>
      <c r="P2798" s="7">
        <v>5.4340000000000002</v>
      </c>
      <c r="Q2798" s="7">
        <v>6.1390000000000002</v>
      </c>
      <c r="R2798" s="7">
        <v>6.4210000000000003</v>
      </c>
      <c r="S2798" s="7">
        <f t="shared" si="43"/>
        <v>4.9482499999999998</v>
      </c>
    </row>
    <row r="2799" spans="1:19">
      <c r="A2799" s="5" t="str">
        <f>B2799&amp;"-"&amp;COUNTIF($B$2:B2799,B2799)</f>
        <v>PARANÁ-13</v>
      </c>
      <c r="B2799" s="5" t="s">
        <v>1921</v>
      </c>
      <c r="C2799" s="5" t="s">
        <v>4409</v>
      </c>
      <c r="D2799" s="6">
        <v>-534691</v>
      </c>
      <c r="E2799" s="6">
        <v>-259173</v>
      </c>
      <c r="F2799" s="7">
        <v>4.7629999999999999</v>
      </c>
      <c r="G2799" s="7">
        <v>6.407</v>
      </c>
      <c r="H2799" s="7">
        <v>5.8220000000000001</v>
      </c>
      <c r="I2799" s="7">
        <v>5.2249999999999996</v>
      </c>
      <c r="J2799" s="7">
        <v>4.2270000000000003</v>
      </c>
      <c r="K2799" s="7">
        <v>3.2959999999999998</v>
      </c>
      <c r="L2799" s="7">
        <v>2.8610000000000002</v>
      </c>
      <c r="M2799" s="7">
        <v>3.1160000000000001</v>
      </c>
      <c r="N2799" s="7">
        <v>4.0789999999999997</v>
      </c>
      <c r="O2799" s="7">
        <v>4.266</v>
      </c>
      <c r="P2799" s="7">
        <v>5.2469999999999999</v>
      </c>
      <c r="Q2799" s="7">
        <v>6.1219999999999999</v>
      </c>
      <c r="R2799" s="7">
        <v>6.484</v>
      </c>
      <c r="S2799" s="7">
        <f t="shared" si="43"/>
        <v>4.762666666666667</v>
      </c>
    </row>
    <row r="2800" spans="1:19">
      <c r="A2800" s="5" t="str">
        <f>B2800&amp;"-"&amp;COUNTIF($B$2:B2800,B2800)</f>
        <v>PARANÁ-14</v>
      </c>
      <c r="B2800" s="5" t="s">
        <v>1921</v>
      </c>
      <c r="C2800" s="5" t="s">
        <v>1927</v>
      </c>
      <c r="D2800" s="6">
        <v>-531337</v>
      </c>
      <c r="E2800" s="6">
        <v>-246453</v>
      </c>
      <c r="F2800" s="7">
        <v>4.8339999999999996</v>
      </c>
      <c r="G2800" s="7">
        <v>6.3250000000000002</v>
      </c>
      <c r="H2800" s="7">
        <v>5.6379999999999999</v>
      </c>
      <c r="I2800" s="7">
        <v>5.3029999999999999</v>
      </c>
      <c r="J2800" s="7">
        <v>4.4080000000000004</v>
      </c>
      <c r="K2800" s="7">
        <v>3.47</v>
      </c>
      <c r="L2800" s="7">
        <v>3.056</v>
      </c>
      <c r="M2800" s="7">
        <v>3.2450000000000001</v>
      </c>
      <c r="N2800" s="7">
        <v>4.2619999999999996</v>
      </c>
      <c r="O2800" s="7">
        <v>4.4870000000000001</v>
      </c>
      <c r="P2800" s="7">
        <v>5.266</v>
      </c>
      <c r="Q2800" s="7">
        <v>6.0949999999999998</v>
      </c>
      <c r="R2800" s="7">
        <v>6.452</v>
      </c>
      <c r="S2800" s="7">
        <f t="shared" si="43"/>
        <v>4.8339166666666662</v>
      </c>
    </row>
    <row r="2801" spans="1:19">
      <c r="A2801" s="5" t="str">
        <f>B2801&amp;"-"&amp;COUNTIF($B$2:B2801,B2801)</f>
        <v>PARANÁ-15</v>
      </c>
      <c r="B2801" s="5" t="s">
        <v>1921</v>
      </c>
      <c r="C2801" s="5" t="s">
        <v>5654</v>
      </c>
      <c r="D2801" s="6">
        <v>-502308</v>
      </c>
      <c r="E2801" s="6">
        <v>-230537</v>
      </c>
      <c r="F2801" s="7">
        <v>4.9560000000000004</v>
      </c>
      <c r="G2801" s="7">
        <v>5.85</v>
      </c>
      <c r="H2801" s="7">
        <v>5.923</v>
      </c>
      <c r="I2801" s="7">
        <v>5.2329999999999997</v>
      </c>
      <c r="J2801" s="7">
        <v>4.6870000000000003</v>
      </c>
      <c r="K2801" s="7">
        <v>3.71</v>
      </c>
      <c r="L2801" s="7">
        <v>3.42</v>
      </c>
      <c r="M2801" s="7">
        <v>3.633</v>
      </c>
      <c r="N2801" s="7">
        <v>4.59</v>
      </c>
      <c r="O2801" s="7">
        <v>4.72</v>
      </c>
      <c r="P2801" s="7">
        <v>5.3920000000000003</v>
      </c>
      <c r="Q2801" s="7">
        <v>5.9029999999999996</v>
      </c>
      <c r="R2801" s="7">
        <v>6.4059999999999997</v>
      </c>
      <c r="S2801" s="7">
        <f t="shared" si="43"/>
        <v>4.9555833333333341</v>
      </c>
    </row>
    <row r="2802" spans="1:19">
      <c r="A2802" s="5" t="str">
        <f>B2802&amp;"-"&amp;COUNTIF($B$2:B2802,B2802)</f>
        <v>PARANÁ-16</v>
      </c>
      <c r="B2802" s="5" t="s">
        <v>1921</v>
      </c>
      <c r="C2802" s="5" t="s">
        <v>4564</v>
      </c>
      <c r="D2802" s="6">
        <v>-501976</v>
      </c>
      <c r="E2802" s="6">
        <v>-259809</v>
      </c>
      <c r="F2802" s="7">
        <v>4.165</v>
      </c>
      <c r="G2802" s="7">
        <v>5.4249999999999998</v>
      </c>
      <c r="H2802" s="7">
        <v>5.0709999999999997</v>
      </c>
      <c r="I2802" s="7">
        <v>4.5970000000000004</v>
      </c>
      <c r="J2802" s="7">
        <v>3.62</v>
      </c>
      <c r="K2802" s="7">
        <v>2.9049999999999998</v>
      </c>
      <c r="L2802" s="7">
        <v>2.536</v>
      </c>
      <c r="M2802" s="7">
        <v>2.7719999999999998</v>
      </c>
      <c r="N2802" s="7">
        <v>3.7530000000000001</v>
      </c>
      <c r="O2802" s="7">
        <v>3.8420000000000001</v>
      </c>
      <c r="P2802" s="7">
        <v>4.4630000000000001</v>
      </c>
      <c r="Q2802" s="7">
        <v>5.3659999999999997</v>
      </c>
      <c r="R2802" s="7">
        <v>5.633</v>
      </c>
      <c r="S2802" s="7">
        <f t="shared" si="43"/>
        <v>4.1652500000000003</v>
      </c>
    </row>
    <row r="2803" spans="1:19">
      <c r="A2803" s="5" t="str">
        <f>B2803&amp;"-"&amp;COUNTIF($B$2:B2803,B2803)</f>
        <v>PARANÁ-17</v>
      </c>
      <c r="B2803" s="5" t="s">
        <v>1921</v>
      </c>
      <c r="C2803" s="5" t="s">
        <v>1928</v>
      </c>
      <c r="D2803" s="6">
        <v>-487195</v>
      </c>
      <c r="E2803" s="6">
        <v>-254391</v>
      </c>
      <c r="F2803" s="7">
        <v>3.8250000000000002</v>
      </c>
      <c r="G2803" s="7">
        <v>5.0380000000000003</v>
      </c>
      <c r="H2803" s="7">
        <v>4.9240000000000004</v>
      </c>
      <c r="I2803" s="7">
        <v>4.2880000000000003</v>
      </c>
      <c r="J2803" s="7">
        <v>3.609</v>
      </c>
      <c r="K2803" s="7">
        <v>2.956</v>
      </c>
      <c r="L2803" s="7">
        <v>2.5710000000000002</v>
      </c>
      <c r="M2803" s="7">
        <v>2.57</v>
      </c>
      <c r="N2803" s="7">
        <v>3.3180000000000001</v>
      </c>
      <c r="O2803" s="7">
        <v>3.2090000000000001</v>
      </c>
      <c r="P2803" s="7">
        <v>3.6709999999999998</v>
      </c>
      <c r="Q2803" s="7">
        <v>4.641</v>
      </c>
      <c r="R2803" s="7">
        <v>5.1059999999999999</v>
      </c>
      <c r="S2803" s="7">
        <f t="shared" si="43"/>
        <v>3.8250833333333336</v>
      </c>
    </row>
    <row r="2804" spans="1:19">
      <c r="A2804" s="5" t="str">
        <f>B2804&amp;"-"&amp;COUNTIF($B$2:B2804,B2804)</f>
        <v>PARANÁ-18</v>
      </c>
      <c r="B2804" s="5" t="s">
        <v>1921</v>
      </c>
      <c r="C2804" s="5" t="s">
        <v>1929</v>
      </c>
      <c r="D2804" s="6">
        <v>-514639</v>
      </c>
      <c r="E2804" s="6">
        <v>-235504</v>
      </c>
      <c r="F2804" s="7">
        <v>4.8639999999999999</v>
      </c>
      <c r="G2804" s="7">
        <v>5.8490000000000002</v>
      </c>
      <c r="H2804" s="7">
        <v>5.6989999999999998</v>
      </c>
      <c r="I2804" s="7">
        <v>5.1929999999999996</v>
      </c>
      <c r="J2804" s="7">
        <v>4.5469999999999997</v>
      </c>
      <c r="K2804" s="7">
        <v>3.6240000000000001</v>
      </c>
      <c r="L2804" s="7">
        <v>3.3370000000000002</v>
      </c>
      <c r="M2804" s="7">
        <v>3.5219999999999998</v>
      </c>
      <c r="N2804" s="7">
        <v>4.4649999999999999</v>
      </c>
      <c r="O2804" s="7">
        <v>4.6669999999999998</v>
      </c>
      <c r="P2804" s="7">
        <v>5.319</v>
      </c>
      <c r="Q2804" s="7">
        <v>5.9219999999999997</v>
      </c>
      <c r="R2804" s="7">
        <v>6.2220000000000004</v>
      </c>
      <c r="S2804" s="7">
        <f t="shared" si="43"/>
        <v>4.863833333333333</v>
      </c>
    </row>
    <row r="2805" spans="1:19">
      <c r="A2805" s="5" t="str">
        <f>B2805&amp;"-"&amp;COUNTIF($B$2:B2805,B2805)</f>
        <v>PARANÁ-19</v>
      </c>
      <c r="B2805" s="5" t="s">
        <v>1921</v>
      </c>
      <c r="C2805" s="5" t="s">
        <v>1930</v>
      </c>
      <c r="D2805" s="6">
        <v>-514263</v>
      </c>
      <c r="E2805" s="6">
        <v>-234158</v>
      </c>
      <c r="F2805" s="7">
        <v>4.8840000000000003</v>
      </c>
      <c r="G2805" s="7">
        <v>5.8639999999999999</v>
      </c>
      <c r="H2805" s="7">
        <v>5.7430000000000003</v>
      </c>
      <c r="I2805" s="7">
        <v>5.202</v>
      </c>
      <c r="J2805" s="7">
        <v>4.5869999999999997</v>
      </c>
      <c r="K2805" s="7">
        <v>3.6339999999999999</v>
      </c>
      <c r="L2805" s="7">
        <v>3.371</v>
      </c>
      <c r="M2805" s="7">
        <v>3.5640000000000001</v>
      </c>
      <c r="N2805" s="7">
        <v>4.476</v>
      </c>
      <c r="O2805" s="7">
        <v>4.6769999999999996</v>
      </c>
      <c r="P2805" s="7">
        <v>5.3310000000000004</v>
      </c>
      <c r="Q2805" s="7">
        <v>5.9489999999999998</v>
      </c>
      <c r="R2805" s="7">
        <v>6.21</v>
      </c>
      <c r="S2805" s="7">
        <f t="shared" si="43"/>
        <v>4.8839999999999995</v>
      </c>
    </row>
    <row r="2806" spans="1:19">
      <c r="A2806" s="5" t="str">
        <f>B2806&amp;"-"&amp;COUNTIF($B$2:B2806,B2806)</f>
        <v>PARANÁ-20</v>
      </c>
      <c r="B2806" s="5" t="s">
        <v>1921</v>
      </c>
      <c r="C2806" s="5" t="s">
        <v>1931</v>
      </c>
      <c r="D2806" s="6">
        <v>-49824</v>
      </c>
      <c r="E2806" s="6">
        <v>-241412</v>
      </c>
      <c r="F2806" s="7">
        <v>4.7359999999999998</v>
      </c>
      <c r="G2806" s="7">
        <v>5.6369999999999996</v>
      </c>
      <c r="H2806" s="7">
        <v>5.6349999999999998</v>
      </c>
      <c r="I2806" s="7">
        <v>5.0369999999999999</v>
      </c>
      <c r="J2806" s="7">
        <v>4.4050000000000002</v>
      </c>
      <c r="K2806" s="7">
        <v>3.5289999999999999</v>
      </c>
      <c r="L2806" s="7">
        <v>3.1320000000000001</v>
      </c>
      <c r="M2806" s="7">
        <v>3.4060000000000001</v>
      </c>
      <c r="N2806" s="7">
        <v>4.3419999999999996</v>
      </c>
      <c r="O2806" s="7">
        <v>4.5620000000000003</v>
      </c>
      <c r="P2806" s="7">
        <v>5.109</v>
      </c>
      <c r="Q2806" s="7">
        <v>5.8940000000000001</v>
      </c>
      <c r="R2806" s="7">
        <v>6.1509999999999998</v>
      </c>
      <c r="S2806" s="7">
        <f t="shared" si="43"/>
        <v>4.7365833333333329</v>
      </c>
    </row>
    <row r="2807" spans="1:19">
      <c r="A2807" s="5" t="str">
        <f>B2807&amp;"-"&amp;COUNTIF($B$2:B2807,B2807)</f>
        <v>PARANÁ-21</v>
      </c>
      <c r="B2807" s="5" t="s">
        <v>1921</v>
      </c>
      <c r="C2807" s="5" t="s">
        <v>5386</v>
      </c>
      <c r="D2807" s="6">
        <v>-517861</v>
      </c>
      <c r="E2807" s="6">
        <v>-243136</v>
      </c>
      <c r="F2807" s="7">
        <v>4.8490000000000002</v>
      </c>
      <c r="G2807" s="7">
        <v>6.0510000000000002</v>
      </c>
      <c r="H2807" s="7">
        <v>5.7709999999999999</v>
      </c>
      <c r="I2807" s="7">
        <v>5.242</v>
      </c>
      <c r="J2807" s="7">
        <v>4.5270000000000001</v>
      </c>
      <c r="K2807" s="7">
        <v>3.5129999999999999</v>
      </c>
      <c r="L2807" s="7">
        <v>3.1379999999999999</v>
      </c>
      <c r="M2807" s="7">
        <v>3.367</v>
      </c>
      <c r="N2807" s="7">
        <v>4.3550000000000004</v>
      </c>
      <c r="O2807" s="7">
        <v>4.5279999999999996</v>
      </c>
      <c r="P2807" s="7">
        <v>5.2549999999999999</v>
      </c>
      <c r="Q2807" s="7">
        <v>6.0919999999999996</v>
      </c>
      <c r="R2807" s="7">
        <v>6.3479999999999999</v>
      </c>
      <c r="S2807" s="7">
        <f t="shared" si="43"/>
        <v>4.8489166666666668</v>
      </c>
    </row>
    <row r="2808" spans="1:19">
      <c r="A2808" s="5" t="str">
        <f>B2808&amp;"-"&amp;COUNTIF($B$2:B2808,B2808)</f>
        <v>PARANÁ-22</v>
      </c>
      <c r="B2808" s="5" t="s">
        <v>1921</v>
      </c>
      <c r="C2808" s="5" t="s">
        <v>1800</v>
      </c>
      <c r="D2808" s="6">
        <v>-525025</v>
      </c>
      <c r="E2808" s="6">
        <v>-23932</v>
      </c>
      <c r="F2808" s="7">
        <v>4.9009999999999998</v>
      </c>
      <c r="G2808" s="7">
        <v>6.08</v>
      </c>
      <c r="H2808" s="7">
        <v>5.7549999999999999</v>
      </c>
      <c r="I2808" s="7">
        <v>5.3550000000000004</v>
      </c>
      <c r="J2808" s="7">
        <v>4.5449999999999999</v>
      </c>
      <c r="K2808" s="7">
        <v>3.581</v>
      </c>
      <c r="L2808" s="7">
        <v>3.1890000000000001</v>
      </c>
      <c r="M2808" s="7">
        <v>3.4049999999999998</v>
      </c>
      <c r="N2808" s="7">
        <v>4.3630000000000004</v>
      </c>
      <c r="O2808" s="7">
        <v>4.6109999999999998</v>
      </c>
      <c r="P2808" s="7">
        <v>5.3490000000000002</v>
      </c>
      <c r="Q2808" s="7">
        <v>6.13</v>
      </c>
      <c r="R2808" s="7">
        <v>6.4530000000000003</v>
      </c>
      <c r="S2808" s="7">
        <f t="shared" si="43"/>
        <v>4.9013333333333344</v>
      </c>
    </row>
    <row r="2809" spans="1:19">
      <c r="A2809" s="5" t="str">
        <f>B2809&amp;"-"&amp;COUNTIF($B$2:B2809,B2809)</f>
        <v>PARANÁ-23</v>
      </c>
      <c r="B2809" s="5" t="s">
        <v>1921</v>
      </c>
      <c r="C2809" s="5" t="s">
        <v>5655</v>
      </c>
      <c r="D2809" s="6">
        <v>-494052</v>
      </c>
      <c r="E2809" s="6">
        <v>-255864</v>
      </c>
      <c r="F2809" s="7">
        <v>4.1980000000000004</v>
      </c>
      <c r="G2809" s="7">
        <v>5.4</v>
      </c>
      <c r="H2809" s="7">
        <v>5.1319999999999997</v>
      </c>
      <c r="I2809" s="7">
        <v>4.4939999999999998</v>
      </c>
      <c r="J2809" s="7">
        <v>3.7589999999999999</v>
      </c>
      <c r="K2809" s="7">
        <v>3.01</v>
      </c>
      <c r="L2809" s="7">
        <v>2.6989999999999998</v>
      </c>
      <c r="M2809" s="7">
        <v>2.87</v>
      </c>
      <c r="N2809" s="7">
        <v>3.8319999999999999</v>
      </c>
      <c r="O2809" s="7">
        <v>3.8450000000000002</v>
      </c>
      <c r="P2809" s="7">
        <v>4.4240000000000004</v>
      </c>
      <c r="Q2809" s="7">
        <v>5.2960000000000003</v>
      </c>
      <c r="R2809" s="7">
        <v>5.6120000000000001</v>
      </c>
      <c r="S2809" s="7">
        <f t="shared" si="43"/>
        <v>4.1977500000000001</v>
      </c>
    </row>
    <row r="2810" spans="1:19">
      <c r="A2810" s="5" t="str">
        <f>B2810&amp;"-"&amp;COUNTIF($B$2:B2810,B2810)</f>
        <v>PARANÁ-24</v>
      </c>
      <c r="B2810" s="5" t="s">
        <v>1921</v>
      </c>
      <c r="C2810" s="5" t="s">
        <v>1932</v>
      </c>
      <c r="D2810" s="6">
        <v>-515844</v>
      </c>
      <c r="E2810" s="6">
        <v>-243862</v>
      </c>
      <c r="F2810" s="7">
        <v>4.827</v>
      </c>
      <c r="G2810" s="7">
        <v>6.0549999999999997</v>
      </c>
      <c r="H2810" s="7">
        <v>5.71</v>
      </c>
      <c r="I2810" s="7">
        <v>5.2119999999999997</v>
      </c>
      <c r="J2810" s="7">
        <v>4.5229999999999997</v>
      </c>
      <c r="K2810" s="7">
        <v>3.4990000000000001</v>
      </c>
      <c r="L2810" s="7">
        <v>3.0670000000000002</v>
      </c>
      <c r="M2810" s="7">
        <v>3.3479999999999999</v>
      </c>
      <c r="N2810" s="7">
        <v>4.3499999999999996</v>
      </c>
      <c r="O2810" s="7">
        <v>4.532</v>
      </c>
      <c r="P2810" s="7">
        <v>5.2229999999999999</v>
      </c>
      <c r="Q2810" s="7">
        <v>6.1</v>
      </c>
      <c r="R2810" s="7">
        <v>6.3079999999999998</v>
      </c>
      <c r="S2810" s="7">
        <f t="shared" si="43"/>
        <v>4.8272499999999994</v>
      </c>
    </row>
    <row r="2811" spans="1:19">
      <c r="A2811" s="5" t="str">
        <f>B2811&amp;"-"&amp;COUNTIF($B$2:B2811,B2811)</f>
        <v>PARANÁ-25</v>
      </c>
      <c r="B2811" s="5" t="s">
        <v>1921</v>
      </c>
      <c r="C2811" s="5" t="s">
        <v>1933</v>
      </c>
      <c r="D2811" s="6">
        <v>-508464</v>
      </c>
      <c r="E2811" s="6">
        <v>-233701</v>
      </c>
      <c r="F2811" s="7">
        <v>4.9089999999999998</v>
      </c>
      <c r="G2811" s="7">
        <v>5.8959999999999999</v>
      </c>
      <c r="H2811" s="7">
        <v>5.7679999999999998</v>
      </c>
      <c r="I2811" s="7">
        <v>5.2560000000000002</v>
      </c>
      <c r="J2811" s="7">
        <v>4.6059999999999999</v>
      </c>
      <c r="K2811" s="7">
        <v>3.673</v>
      </c>
      <c r="L2811" s="7">
        <v>3.367</v>
      </c>
      <c r="M2811" s="7">
        <v>3.5710000000000002</v>
      </c>
      <c r="N2811" s="7">
        <v>4.5179999999999998</v>
      </c>
      <c r="O2811" s="7">
        <v>4.6859999999999999</v>
      </c>
      <c r="P2811" s="7">
        <v>5.2830000000000004</v>
      </c>
      <c r="Q2811" s="7">
        <v>5.9770000000000003</v>
      </c>
      <c r="R2811" s="7">
        <v>6.306</v>
      </c>
      <c r="S2811" s="7">
        <f t="shared" si="43"/>
        <v>4.9089166666666673</v>
      </c>
    </row>
    <row r="2812" spans="1:19">
      <c r="A2812" s="5" t="str">
        <f>B2812&amp;"-"&amp;COUNTIF($B$2:B2812,B2812)</f>
        <v>PARANÁ-26</v>
      </c>
      <c r="B2812" s="5" t="s">
        <v>1921</v>
      </c>
      <c r="C2812" s="5" t="s">
        <v>1934</v>
      </c>
      <c r="D2812" s="6">
        <v>-535218</v>
      </c>
      <c r="E2812" s="6">
        <v>-244173</v>
      </c>
      <c r="F2812" s="7">
        <v>4.8410000000000002</v>
      </c>
      <c r="G2812" s="7">
        <v>6.3019999999999996</v>
      </c>
      <c r="H2812" s="7">
        <v>5.6890000000000001</v>
      </c>
      <c r="I2812" s="7">
        <v>5.2439999999999998</v>
      </c>
      <c r="J2812" s="7">
        <v>4.3959999999999999</v>
      </c>
      <c r="K2812" s="7">
        <v>3.45</v>
      </c>
      <c r="L2812" s="7">
        <v>3.0550000000000002</v>
      </c>
      <c r="M2812" s="7">
        <v>3.2330000000000001</v>
      </c>
      <c r="N2812" s="7">
        <v>4.242</v>
      </c>
      <c r="O2812" s="7">
        <v>4.5140000000000002</v>
      </c>
      <c r="P2812" s="7">
        <v>5.3</v>
      </c>
      <c r="Q2812" s="7">
        <v>6.141</v>
      </c>
      <c r="R2812" s="7">
        <v>6.5229999999999997</v>
      </c>
      <c r="S2812" s="7">
        <f t="shared" si="43"/>
        <v>4.8407499999999999</v>
      </c>
    </row>
    <row r="2813" spans="1:19">
      <c r="A2813" s="5" t="str">
        <f>B2813&amp;"-"&amp;COUNTIF($B$2:B2813,B2813)</f>
        <v>PARANÁ-27</v>
      </c>
      <c r="B2813" s="5" t="s">
        <v>1921</v>
      </c>
      <c r="C2813" s="5" t="s">
        <v>1935</v>
      </c>
      <c r="D2813" s="6">
        <v>-516672</v>
      </c>
      <c r="E2813" s="6">
        <v>-232323</v>
      </c>
      <c r="F2813" s="7">
        <v>4.9580000000000002</v>
      </c>
      <c r="G2813" s="7">
        <v>5.9180000000000001</v>
      </c>
      <c r="H2813" s="7">
        <v>5.78</v>
      </c>
      <c r="I2813" s="7">
        <v>5.3109999999999999</v>
      </c>
      <c r="J2813" s="7">
        <v>4.6920000000000002</v>
      </c>
      <c r="K2813" s="7">
        <v>3.6869999999999998</v>
      </c>
      <c r="L2813" s="7">
        <v>3.387</v>
      </c>
      <c r="M2813" s="7">
        <v>3.597</v>
      </c>
      <c r="N2813" s="7">
        <v>4.5339999999999998</v>
      </c>
      <c r="O2813" s="7">
        <v>4.718</v>
      </c>
      <c r="P2813" s="7">
        <v>5.407</v>
      </c>
      <c r="Q2813" s="7">
        <v>6.0759999999999996</v>
      </c>
      <c r="R2813" s="7">
        <v>6.3869999999999996</v>
      </c>
      <c r="S2813" s="7">
        <f t="shared" si="43"/>
        <v>4.9578333333333324</v>
      </c>
    </row>
    <row r="2814" spans="1:19">
      <c r="A2814" s="5" t="str">
        <f>B2814&amp;"-"&amp;COUNTIF($B$2:B2814,B2814)</f>
        <v>PARANÁ-28</v>
      </c>
      <c r="B2814" s="5" t="s">
        <v>1921</v>
      </c>
      <c r="C2814" s="5" t="s">
        <v>101</v>
      </c>
      <c r="D2814" s="6">
        <v>-520555</v>
      </c>
      <c r="E2814" s="6">
        <v>-231522</v>
      </c>
      <c r="F2814" s="7">
        <v>4.9420000000000002</v>
      </c>
      <c r="G2814" s="7">
        <v>5.9169999999999998</v>
      </c>
      <c r="H2814" s="7">
        <v>5.8209999999999997</v>
      </c>
      <c r="I2814" s="7">
        <v>5.3230000000000004</v>
      </c>
      <c r="J2814" s="7">
        <v>4.6470000000000002</v>
      </c>
      <c r="K2814" s="7">
        <v>3.67</v>
      </c>
      <c r="L2814" s="7">
        <v>3.3639999999999999</v>
      </c>
      <c r="M2814" s="7">
        <v>3.5630000000000002</v>
      </c>
      <c r="N2814" s="7">
        <v>4.4790000000000001</v>
      </c>
      <c r="O2814" s="7">
        <v>4.6820000000000004</v>
      </c>
      <c r="P2814" s="7">
        <v>5.3959999999999999</v>
      </c>
      <c r="Q2814" s="7">
        <v>6.0789999999999997</v>
      </c>
      <c r="R2814" s="7">
        <v>6.3680000000000003</v>
      </c>
      <c r="S2814" s="7">
        <f t="shared" si="43"/>
        <v>4.9424166666666673</v>
      </c>
    </row>
    <row r="2815" spans="1:19">
      <c r="A2815" s="5" t="str">
        <f>B2815&amp;"-"&amp;COUNTIF($B$2:B2815,B2815)</f>
        <v>PARANÁ-29</v>
      </c>
      <c r="B2815" s="5" t="s">
        <v>1921</v>
      </c>
      <c r="C2815" s="5" t="s">
        <v>1936</v>
      </c>
      <c r="D2815" s="6">
        <v>-496295</v>
      </c>
      <c r="E2815" s="6">
        <v>-255808</v>
      </c>
      <c r="F2815" s="7">
        <v>4.2510000000000003</v>
      </c>
      <c r="G2815" s="7">
        <v>5.4059999999999997</v>
      </c>
      <c r="H2815" s="7">
        <v>5.1779999999999999</v>
      </c>
      <c r="I2815" s="7">
        <v>4.5839999999999996</v>
      </c>
      <c r="J2815" s="7">
        <v>3.7970000000000002</v>
      </c>
      <c r="K2815" s="7">
        <v>3.048</v>
      </c>
      <c r="L2815" s="7">
        <v>2.742</v>
      </c>
      <c r="M2815" s="7">
        <v>2.9249999999999998</v>
      </c>
      <c r="N2815" s="7">
        <v>3.911</v>
      </c>
      <c r="O2815" s="7">
        <v>3.927</v>
      </c>
      <c r="P2815" s="7">
        <v>4.4939999999999998</v>
      </c>
      <c r="Q2815" s="7">
        <v>5.3570000000000002</v>
      </c>
      <c r="R2815" s="7">
        <v>5.6449999999999996</v>
      </c>
      <c r="S2815" s="7">
        <f t="shared" si="43"/>
        <v>4.2511666666666663</v>
      </c>
    </row>
    <row r="2816" spans="1:19">
      <c r="A2816" s="5" t="str">
        <f>B2816&amp;"-"&amp;COUNTIF($B$2:B2816,B2816)</f>
        <v>PARANÁ-30</v>
      </c>
      <c r="B2816" s="5" t="s">
        <v>1921</v>
      </c>
      <c r="C2816" s="5" t="s">
        <v>1082</v>
      </c>
      <c r="D2816" s="6">
        <v>-503708</v>
      </c>
      <c r="E2816" s="6">
        <v>-231083</v>
      </c>
      <c r="F2816" s="7">
        <v>4.9660000000000002</v>
      </c>
      <c r="G2816" s="7">
        <v>5.8719999999999999</v>
      </c>
      <c r="H2816" s="7">
        <v>5.9059999999999997</v>
      </c>
      <c r="I2816" s="7">
        <v>5.2759999999999998</v>
      </c>
      <c r="J2816" s="7">
        <v>4.6820000000000004</v>
      </c>
      <c r="K2816" s="7">
        <v>3.7069999999999999</v>
      </c>
      <c r="L2816" s="7">
        <v>3.4079999999999999</v>
      </c>
      <c r="M2816" s="7">
        <v>3.6219999999999999</v>
      </c>
      <c r="N2816" s="7">
        <v>4.5970000000000004</v>
      </c>
      <c r="O2816" s="7">
        <v>4.7229999999999999</v>
      </c>
      <c r="P2816" s="7">
        <v>5.4180000000000001</v>
      </c>
      <c r="Q2816" s="7">
        <v>5.9740000000000002</v>
      </c>
      <c r="R2816" s="7">
        <v>6.4029999999999996</v>
      </c>
      <c r="S2816" s="7">
        <f t="shared" si="43"/>
        <v>4.9656666666666665</v>
      </c>
    </row>
    <row r="2817" spans="1:19">
      <c r="A2817" s="5" t="str">
        <f>B2817&amp;"-"&amp;COUNTIF($B$2:B2817,B2817)</f>
        <v>PARANÁ-31</v>
      </c>
      <c r="B2817" s="5" t="s">
        <v>1921</v>
      </c>
      <c r="C2817" s="5" t="s">
        <v>1937</v>
      </c>
      <c r="D2817" s="6">
        <v>-520044</v>
      </c>
      <c r="E2817" s="6">
        <v>-240338</v>
      </c>
      <c r="F2817" s="7">
        <v>4.8979999999999997</v>
      </c>
      <c r="G2817" s="7">
        <v>6.1349999999999998</v>
      </c>
      <c r="H2817" s="7">
        <v>5.81</v>
      </c>
      <c r="I2817" s="7">
        <v>5.298</v>
      </c>
      <c r="J2817" s="7">
        <v>4.5819999999999999</v>
      </c>
      <c r="K2817" s="7">
        <v>3.5760000000000001</v>
      </c>
      <c r="L2817" s="7">
        <v>3.1850000000000001</v>
      </c>
      <c r="M2817" s="7">
        <v>3.4119999999999999</v>
      </c>
      <c r="N2817" s="7">
        <v>4.3570000000000002</v>
      </c>
      <c r="O2817" s="7">
        <v>4.5949999999999998</v>
      </c>
      <c r="P2817" s="7">
        <v>5.274</v>
      </c>
      <c r="Q2817" s="7">
        <v>6.1109999999999998</v>
      </c>
      <c r="R2817" s="7">
        <v>6.44</v>
      </c>
      <c r="S2817" s="7">
        <f t="shared" si="43"/>
        <v>4.8979166666666663</v>
      </c>
    </row>
    <row r="2818" spans="1:19">
      <c r="A2818" s="5" t="str">
        <f>B2818&amp;"-"&amp;COUNTIF($B$2:B2818,B2818)</f>
        <v>PARANÁ-32</v>
      </c>
      <c r="B2818" s="5" t="s">
        <v>1921</v>
      </c>
      <c r="C2818" s="5" t="s">
        <v>4410</v>
      </c>
      <c r="D2818" s="6">
        <v>-501846</v>
      </c>
      <c r="E2818" s="6">
        <v>-231165</v>
      </c>
      <c r="F2818" s="7">
        <v>4.9489999999999998</v>
      </c>
      <c r="G2818" s="7">
        <v>5.8339999999999996</v>
      </c>
      <c r="H2818" s="7">
        <v>5.9340000000000002</v>
      </c>
      <c r="I2818" s="7">
        <v>5.2110000000000003</v>
      </c>
      <c r="J2818" s="7">
        <v>4.6619999999999999</v>
      </c>
      <c r="K2818" s="7">
        <v>3.714</v>
      </c>
      <c r="L2818" s="7">
        <v>3.4140000000000001</v>
      </c>
      <c r="M2818" s="7">
        <v>3.625</v>
      </c>
      <c r="N2818" s="7">
        <v>4.57</v>
      </c>
      <c r="O2818" s="7">
        <v>4.7240000000000002</v>
      </c>
      <c r="P2818" s="7">
        <v>5.3849999999999998</v>
      </c>
      <c r="Q2818" s="7">
        <v>5.9119999999999999</v>
      </c>
      <c r="R2818" s="7">
        <v>6.4089999999999998</v>
      </c>
      <c r="S2818" s="7">
        <f t="shared" si="43"/>
        <v>4.9494999999999996</v>
      </c>
    </row>
    <row r="2819" spans="1:19">
      <c r="A2819" s="5" t="str">
        <f>B2819&amp;"-"&amp;COUNTIF($B$2:B2819,B2819)</f>
        <v>PARANÁ-33</v>
      </c>
      <c r="B2819" s="5" t="s">
        <v>1921</v>
      </c>
      <c r="C2819" s="5" t="s">
        <v>4073</v>
      </c>
      <c r="D2819" s="6">
        <v>-536328</v>
      </c>
      <c r="E2819" s="6">
        <v>-262507</v>
      </c>
      <c r="F2819" s="7">
        <v>4.6920000000000002</v>
      </c>
      <c r="G2819" s="7">
        <v>6.3369999999999997</v>
      </c>
      <c r="H2819" s="7">
        <v>5.8120000000000003</v>
      </c>
      <c r="I2819" s="7">
        <v>5.1719999999999997</v>
      </c>
      <c r="J2819" s="7">
        <v>4.1360000000000001</v>
      </c>
      <c r="K2819" s="7">
        <v>3.214</v>
      </c>
      <c r="L2819" s="7">
        <v>2.7629999999999999</v>
      </c>
      <c r="M2819" s="7">
        <v>3.052</v>
      </c>
      <c r="N2819" s="7">
        <v>3.964</v>
      </c>
      <c r="O2819" s="7">
        <v>4.2249999999999996</v>
      </c>
      <c r="P2819" s="7">
        <v>5.2149999999999999</v>
      </c>
      <c r="Q2819" s="7">
        <v>6.0439999999999996</v>
      </c>
      <c r="R2819" s="7">
        <v>6.3630000000000004</v>
      </c>
      <c r="S2819" s="7">
        <f t="shared" ref="S2819:S2882" si="44">(G2819+H2819+I2819+J2819+K2819+L2819+M2819+N2819+O2819+P2819+Q2819+R2819)/12</f>
        <v>4.6914166666666661</v>
      </c>
    </row>
    <row r="2820" spans="1:19">
      <c r="A2820" s="5" t="str">
        <f>B2820&amp;"-"&amp;COUNTIF($B$2:B2820,B2820)</f>
        <v>PARANÁ-34</v>
      </c>
      <c r="B2820" s="5" t="s">
        <v>1921</v>
      </c>
      <c r="C2820" s="5" t="s">
        <v>1938</v>
      </c>
      <c r="D2820" s="6">
        <v>-53673</v>
      </c>
      <c r="E2820" s="6">
        <v>-258846</v>
      </c>
      <c r="F2820" s="7">
        <v>4.7779999999999996</v>
      </c>
      <c r="G2820" s="7">
        <v>6.4139999999999997</v>
      </c>
      <c r="H2820" s="7">
        <v>5.899</v>
      </c>
      <c r="I2820" s="7">
        <v>5.2839999999999998</v>
      </c>
      <c r="J2820" s="7">
        <v>4.2370000000000001</v>
      </c>
      <c r="K2820" s="7">
        <v>3.2930000000000001</v>
      </c>
      <c r="L2820" s="7">
        <v>2.8330000000000002</v>
      </c>
      <c r="M2820" s="7">
        <v>3.11</v>
      </c>
      <c r="N2820" s="7">
        <v>4.0599999999999996</v>
      </c>
      <c r="O2820" s="7">
        <v>4.2649999999999997</v>
      </c>
      <c r="P2820" s="7">
        <v>5.2770000000000001</v>
      </c>
      <c r="Q2820" s="7">
        <v>6.1790000000000003</v>
      </c>
      <c r="R2820" s="7">
        <v>6.49</v>
      </c>
      <c r="S2820" s="7">
        <f t="shared" si="44"/>
        <v>4.7784166666666668</v>
      </c>
    </row>
    <row r="2821" spans="1:19">
      <c r="A2821" s="5" t="str">
        <f>B2821&amp;"-"&amp;COUNTIF($B$2:B2821,B2821)</f>
        <v>PARANÁ-35</v>
      </c>
      <c r="B2821" s="5" t="s">
        <v>1921</v>
      </c>
      <c r="C2821" s="5" t="s">
        <v>1939</v>
      </c>
      <c r="D2821" s="6">
        <v>-511931</v>
      </c>
      <c r="E2821" s="6">
        <v>-229941</v>
      </c>
      <c r="F2821" s="7">
        <v>5.0039999999999996</v>
      </c>
      <c r="G2821" s="7">
        <v>5.9740000000000002</v>
      </c>
      <c r="H2821" s="7">
        <v>5.8959999999999999</v>
      </c>
      <c r="I2821" s="7">
        <v>5.3449999999999998</v>
      </c>
      <c r="J2821" s="7">
        <v>4.7110000000000003</v>
      </c>
      <c r="K2821" s="7">
        <v>3.742</v>
      </c>
      <c r="L2821" s="7">
        <v>3.4430000000000001</v>
      </c>
      <c r="M2821" s="7">
        <v>3.65</v>
      </c>
      <c r="N2821" s="7">
        <v>4.5890000000000004</v>
      </c>
      <c r="O2821" s="7">
        <v>4.7279999999999998</v>
      </c>
      <c r="P2821" s="7">
        <v>5.4240000000000004</v>
      </c>
      <c r="Q2821" s="7">
        <v>6.1070000000000002</v>
      </c>
      <c r="R2821" s="7">
        <v>6.4329999999999998</v>
      </c>
      <c r="S2821" s="7">
        <f t="shared" si="44"/>
        <v>5.0034999999999998</v>
      </c>
    </row>
    <row r="2822" spans="1:19">
      <c r="A2822" s="5" t="str">
        <f>B2822&amp;"-"&amp;COUNTIF($B$2:B2822,B2822)</f>
        <v>PARANÁ-36</v>
      </c>
      <c r="B2822" s="5" t="s">
        <v>1921</v>
      </c>
      <c r="C2822" s="5" t="s">
        <v>1940</v>
      </c>
      <c r="D2822" s="6">
        <v>-515522</v>
      </c>
      <c r="E2822" s="6">
        <v>-261612</v>
      </c>
      <c r="F2822" s="7">
        <v>4.2880000000000003</v>
      </c>
      <c r="G2822" s="7">
        <v>5.54</v>
      </c>
      <c r="H2822" s="7">
        <v>5.2510000000000003</v>
      </c>
      <c r="I2822" s="7">
        <v>4.6879999999999997</v>
      </c>
      <c r="J2822" s="7">
        <v>3.7469999999999999</v>
      </c>
      <c r="K2822" s="7">
        <v>2.948</v>
      </c>
      <c r="L2822" s="7">
        <v>2.5630000000000002</v>
      </c>
      <c r="M2822" s="7">
        <v>2.8290000000000002</v>
      </c>
      <c r="N2822" s="7">
        <v>3.831</v>
      </c>
      <c r="O2822" s="7">
        <v>3.93</v>
      </c>
      <c r="P2822" s="7">
        <v>4.67</v>
      </c>
      <c r="Q2822" s="7">
        <v>5.6219999999999999</v>
      </c>
      <c r="R2822" s="7">
        <v>5.8390000000000004</v>
      </c>
      <c r="S2822" s="7">
        <f t="shared" si="44"/>
        <v>4.2881666666666662</v>
      </c>
    </row>
    <row r="2823" spans="1:19">
      <c r="A2823" s="5" t="str">
        <f>B2823&amp;"-"&amp;COUNTIF($B$2:B2823,B2823)</f>
        <v>PARANÁ-37</v>
      </c>
      <c r="B2823" s="5" t="s">
        <v>1921</v>
      </c>
      <c r="C2823" s="5" t="s">
        <v>704</v>
      </c>
      <c r="D2823" s="6">
        <v>-52788</v>
      </c>
      <c r="E2823" s="6">
        <v>-242472</v>
      </c>
      <c r="F2823" s="7">
        <v>4.867</v>
      </c>
      <c r="G2823" s="7">
        <v>6.173</v>
      </c>
      <c r="H2823" s="7">
        <v>5.7409999999999997</v>
      </c>
      <c r="I2823" s="7">
        <v>5.2510000000000003</v>
      </c>
      <c r="J2823" s="7">
        <v>4.4580000000000002</v>
      </c>
      <c r="K2823" s="7">
        <v>3.5129999999999999</v>
      </c>
      <c r="L2823" s="7">
        <v>3.1389999999999998</v>
      </c>
      <c r="M2823" s="7">
        <v>3.37</v>
      </c>
      <c r="N2823" s="7">
        <v>4.2850000000000001</v>
      </c>
      <c r="O2823" s="7">
        <v>4.5419999999999998</v>
      </c>
      <c r="P2823" s="7">
        <v>5.3449999999999998</v>
      </c>
      <c r="Q2823" s="7">
        <v>6.0880000000000001</v>
      </c>
      <c r="R2823" s="7">
        <v>6.4939999999999998</v>
      </c>
      <c r="S2823" s="7">
        <f t="shared" si="44"/>
        <v>4.8665833333333328</v>
      </c>
    </row>
    <row r="2824" spans="1:19">
      <c r="A2824" s="5" t="str">
        <f>B2824&amp;"-"&amp;COUNTIF($B$2:B2824,B2824)</f>
        <v>PARANÁ-38</v>
      </c>
      <c r="B2824" s="5" t="s">
        <v>1921</v>
      </c>
      <c r="C2824" s="5" t="s">
        <v>4708</v>
      </c>
      <c r="D2824" s="6">
        <v>-532113</v>
      </c>
      <c r="E2824" s="6">
        <v>-256329</v>
      </c>
      <c r="F2824" s="7">
        <v>4.76</v>
      </c>
      <c r="G2824" s="7">
        <v>6.3650000000000002</v>
      </c>
      <c r="H2824" s="7">
        <v>5.8029999999999999</v>
      </c>
      <c r="I2824" s="7">
        <v>5.29</v>
      </c>
      <c r="J2824" s="7">
        <v>4.2629999999999999</v>
      </c>
      <c r="K2824" s="7">
        <v>3.2650000000000001</v>
      </c>
      <c r="L2824" s="7">
        <v>2.8439999999999999</v>
      </c>
      <c r="M2824" s="7">
        <v>3.0870000000000002</v>
      </c>
      <c r="N2824" s="7">
        <v>4.0659999999999998</v>
      </c>
      <c r="O2824" s="7">
        <v>4.2389999999999999</v>
      </c>
      <c r="P2824" s="7">
        <v>5.2629999999999999</v>
      </c>
      <c r="Q2824" s="7">
        <v>6.1539999999999999</v>
      </c>
      <c r="R2824" s="7">
        <v>6.48</v>
      </c>
      <c r="S2824" s="7">
        <f t="shared" si="44"/>
        <v>4.7599166666666664</v>
      </c>
    </row>
    <row r="2825" spans="1:19">
      <c r="A2825" s="5" t="str">
        <f>B2825&amp;"-"&amp;COUNTIF($B$2:B2825,B2825)</f>
        <v>PARANÁ-39</v>
      </c>
      <c r="B2825" s="5" t="s">
        <v>1921</v>
      </c>
      <c r="C2825" s="5" t="s">
        <v>4074</v>
      </c>
      <c r="D2825" s="6">
        <v>-51543</v>
      </c>
      <c r="E2825" s="6">
        <v>-248773</v>
      </c>
      <c r="F2825" s="7">
        <v>4.6660000000000004</v>
      </c>
      <c r="G2825" s="7">
        <v>5.8220000000000001</v>
      </c>
      <c r="H2825" s="7">
        <v>5.5220000000000002</v>
      </c>
      <c r="I2825" s="7">
        <v>4.9930000000000003</v>
      </c>
      <c r="J2825" s="7">
        <v>4.2869999999999999</v>
      </c>
      <c r="K2825" s="7">
        <v>3.363</v>
      </c>
      <c r="L2825" s="7">
        <v>2.948</v>
      </c>
      <c r="M2825" s="7">
        <v>3.2719999999999998</v>
      </c>
      <c r="N2825" s="7">
        <v>4.25</v>
      </c>
      <c r="O2825" s="7">
        <v>4.4180000000000001</v>
      </c>
      <c r="P2825" s="7">
        <v>5.1050000000000004</v>
      </c>
      <c r="Q2825" s="7">
        <v>5.8970000000000002</v>
      </c>
      <c r="R2825" s="7">
        <v>6.1109999999999998</v>
      </c>
      <c r="S2825" s="7">
        <f t="shared" si="44"/>
        <v>4.6656666666666666</v>
      </c>
    </row>
    <row r="2826" spans="1:19">
      <c r="A2826" s="5" t="str">
        <f>B2826&amp;"-"&amp;COUNTIF($B$2:B2826,B2826)</f>
        <v>PARANÁ-40</v>
      </c>
      <c r="B2826" s="5" t="s">
        <v>1921</v>
      </c>
      <c r="C2826" s="5" t="s">
        <v>1941</v>
      </c>
      <c r="D2826" s="6">
        <v>-534121</v>
      </c>
      <c r="E2826" s="6">
        <v>-254312</v>
      </c>
      <c r="F2826" s="7">
        <v>4.7160000000000002</v>
      </c>
      <c r="G2826" s="7">
        <v>6.1689999999999996</v>
      </c>
      <c r="H2826" s="7">
        <v>5.68</v>
      </c>
      <c r="I2826" s="7">
        <v>5.1989999999999998</v>
      </c>
      <c r="J2826" s="7">
        <v>4.242</v>
      </c>
      <c r="K2826" s="7">
        <v>3.29</v>
      </c>
      <c r="L2826" s="7">
        <v>2.8679999999999999</v>
      </c>
      <c r="M2826" s="7">
        <v>3.0939999999999999</v>
      </c>
      <c r="N2826" s="7">
        <v>4.1230000000000002</v>
      </c>
      <c r="O2826" s="7">
        <v>4.2789999999999999</v>
      </c>
      <c r="P2826" s="7">
        <v>5.2320000000000002</v>
      </c>
      <c r="Q2826" s="7">
        <v>6.0750000000000002</v>
      </c>
      <c r="R2826" s="7">
        <v>6.3419999999999996</v>
      </c>
      <c r="S2826" s="7">
        <f t="shared" si="44"/>
        <v>4.7160833333333336</v>
      </c>
    </row>
    <row r="2827" spans="1:19">
      <c r="A2827" s="5" t="str">
        <f>B2827&amp;"-"&amp;COUNTIF($B$2:B2827,B2827)</f>
        <v>PARANÁ-41</v>
      </c>
      <c r="B2827" s="5" t="s">
        <v>1921</v>
      </c>
      <c r="C2827" s="5" t="s">
        <v>4857</v>
      </c>
      <c r="D2827" s="6">
        <v>-491146</v>
      </c>
      <c r="E2827" s="6">
        <v>-252071</v>
      </c>
      <c r="F2827" s="7">
        <v>4.2229999999999999</v>
      </c>
      <c r="G2827" s="7">
        <v>5.3129999999999997</v>
      </c>
      <c r="H2827" s="7">
        <v>5.1950000000000003</v>
      </c>
      <c r="I2827" s="7">
        <v>4.5730000000000004</v>
      </c>
      <c r="J2827" s="7">
        <v>3.8260000000000001</v>
      </c>
      <c r="K2827" s="7">
        <v>3.073</v>
      </c>
      <c r="L2827" s="7">
        <v>2.754</v>
      </c>
      <c r="M2827" s="7">
        <v>2.94</v>
      </c>
      <c r="N2827" s="7">
        <v>3.903</v>
      </c>
      <c r="O2827" s="7">
        <v>3.8540000000000001</v>
      </c>
      <c r="P2827" s="7">
        <v>4.3979999999999997</v>
      </c>
      <c r="Q2827" s="7">
        <v>5.2389999999999999</v>
      </c>
      <c r="R2827" s="7">
        <v>5.6079999999999997</v>
      </c>
      <c r="S2827" s="7">
        <f t="shared" si="44"/>
        <v>4.2229999999999999</v>
      </c>
    </row>
    <row r="2828" spans="1:19">
      <c r="A2828" s="5" t="str">
        <f>B2828&amp;"-"&amp;COUNTIF($B$2:B2828,B2828)</f>
        <v>PARANÁ-42</v>
      </c>
      <c r="B2828" s="5" t="s">
        <v>1921</v>
      </c>
      <c r="C2828" s="5" t="s">
        <v>1942</v>
      </c>
      <c r="D2828" s="6">
        <v>-535959</v>
      </c>
      <c r="E2828" s="6">
        <v>-261963</v>
      </c>
      <c r="F2828" s="7">
        <v>4.7359999999999998</v>
      </c>
      <c r="G2828" s="7">
        <v>6.4489999999999998</v>
      </c>
      <c r="H2828" s="7">
        <v>5.7679999999999998</v>
      </c>
      <c r="I2828" s="7">
        <v>5.22</v>
      </c>
      <c r="J2828" s="7">
        <v>4.2060000000000004</v>
      </c>
      <c r="K2828" s="7">
        <v>3.2440000000000002</v>
      </c>
      <c r="L2828" s="7">
        <v>2.7839999999999998</v>
      </c>
      <c r="M2828" s="7">
        <v>3.0870000000000002</v>
      </c>
      <c r="N2828" s="7">
        <v>4.0359999999999996</v>
      </c>
      <c r="O2828" s="7">
        <v>4.2460000000000004</v>
      </c>
      <c r="P2828" s="7">
        <v>5.2439999999999998</v>
      </c>
      <c r="Q2828" s="7">
        <v>6.1219999999999999</v>
      </c>
      <c r="R2828" s="7">
        <v>6.4260000000000002</v>
      </c>
      <c r="S2828" s="7">
        <f t="shared" si="44"/>
        <v>4.7359999999999998</v>
      </c>
    </row>
    <row r="2829" spans="1:19">
      <c r="A2829" s="5" t="str">
        <f>B2829&amp;"-"&amp;COUNTIF($B$2:B2829,B2829)</f>
        <v>PARANÁ-43</v>
      </c>
      <c r="B2829" s="5" t="s">
        <v>1921</v>
      </c>
      <c r="C2829" s="5" t="s">
        <v>1184</v>
      </c>
      <c r="D2829" s="6">
        <v>-517675</v>
      </c>
      <c r="E2829" s="6">
        <v>-237068</v>
      </c>
      <c r="F2829" s="7">
        <v>4.8540000000000001</v>
      </c>
      <c r="G2829" s="7">
        <v>5.8570000000000002</v>
      </c>
      <c r="H2829" s="7">
        <v>5.7530000000000001</v>
      </c>
      <c r="I2829" s="7">
        <v>5.242</v>
      </c>
      <c r="J2829" s="7">
        <v>4.5419999999999998</v>
      </c>
      <c r="K2829" s="7">
        <v>3.5649999999999999</v>
      </c>
      <c r="L2829" s="7">
        <v>3.258</v>
      </c>
      <c r="M2829" s="7">
        <v>3.4660000000000002</v>
      </c>
      <c r="N2829" s="7">
        <v>4.4390000000000001</v>
      </c>
      <c r="O2829" s="7">
        <v>4.633</v>
      </c>
      <c r="P2829" s="7">
        <v>5.2489999999999997</v>
      </c>
      <c r="Q2829" s="7">
        <v>5.98</v>
      </c>
      <c r="R2829" s="7">
        <v>6.26</v>
      </c>
      <c r="S2829" s="7">
        <f t="shared" si="44"/>
        <v>4.8536666666666672</v>
      </c>
    </row>
    <row r="2830" spans="1:19">
      <c r="A2830" s="5" t="str">
        <f>B2830&amp;"-"&amp;COUNTIF($B$2:B2830,B2830)</f>
        <v>PARANÁ-44</v>
      </c>
      <c r="B2830" s="5" t="s">
        <v>1921</v>
      </c>
      <c r="C2830" s="5" t="s">
        <v>1943</v>
      </c>
      <c r="D2830" s="6">
        <v>-528357</v>
      </c>
      <c r="E2830" s="6">
        <v>-260736</v>
      </c>
      <c r="F2830" s="7">
        <v>4.7229999999999999</v>
      </c>
      <c r="G2830" s="7">
        <v>6.218</v>
      </c>
      <c r="H2830" s="7">
        <v>5.6959999999999997</v>
      </c>
      <c r="I2830" s="7">
        <v>5.22</v>
      </c>
      <c r="J2830" s="7">
        <v>4.2409999999999997</v>
      </c>
      <c r="K2830" s="7">
        <v>3.2829999999999999</v>
      </c>
      <c r="L2830" s="7">
        <v>2.8119999999999998</v>
      </c>
      <c r="M2830" s="7">
        <v>3.0990000000000002</v>
      </c>
      <c r="N2830" s="7">
        <v>4.0830000000000002</v>
      </c>
      <c r="O2830" s="7">
        <v>4.2450000000000001</v>
      </c>
      <c r="P2830" s="7">
        <v>5.21</v>
      </c>
      <c r="Q2830" s="7">
        <v>6.1619999999999999</v>
      </c>
      <c r="R2830" s="7">
        <v>6.41</v>
      </c>
      <c r="S2830" s="7">
        <f t="shared" si="44"/>
        <v>4.7232500000000002</v>
      </c>
    </row>
    <row r="2831" spans="1:19">
      <c r="A2831" s="5" t="str">
        <f>B2831&amp;"-"&amp;COUNTIF($B$2:B2831,B2831)</f>
        <v>PARANÁ-45</v>
      </c>
      <c r="B2831" s="5" t="s">
        <v>1921</v>
      </c>
      <c r="C2831" s="5" t="s">
        <v>5163</v>
      </c>
      <c r="D2831" s="6">
        <v>-515879</v>
      </c>
      <c r="E2831" s="6">
        <v>-239371</v>
      </c>
      <c r="F2831" s="7">
        <v>4.8499999999999996</v>
      </c>
      <c r="G2831" s="7">
        <v>5.8840000000000003</v>
      </c>
      <c r="H2831" s="7">
        <v>5.7149999999999999</v>
      </c>
      <c r="I2831" s="7">
        <v>5.2350000000000003</v>
      </c>
      <c r="J2831" s="7">
        <v>4.5419999999999998</v>
      </c>
      <c r="K2831" s="7">
        <v>3.5459999999999998</v>
      </c>
      <c r="L2831" s="7">
        <v>3.2290000000000001</v>
      </c>
      <c r="M2831" s="7">
        <v>3.4540000000000002</v>
      </c>
      <c r="N2831" s="7">
        <v>4.4359999999999999</v>
      </c>
      <c r="O2831" s="7">
        <v>4.5880000000000001</v>
      </c>
      <c r="P2831" s="7">
        <v>5.2409999999999997</v>
      </c>
      <c r="Q2831" s="7">
        <v>6.0380000000000003</v>
      </c>
      <c r="R2831" s="7">
        <v>6.29</v>
      </c>
      <c r="S2831" s="7">
        <f t="shared" si="44"/>
        <v>4.8498333333333337</v>
      </c>
    </row>
    <row r="2832" spans="1:19">
      <c r="A2832" s="5" t="str">
        <f>B2832&amp;"-"&amp;COUNTIF($B$2:B2832,B2832)</f>
        <v>PARANÁ-46</v>
      </c>
      <c r="B2832" s="5" t="s">
        <v>1921</v>
      </c>
      <c r="C2832" s="5" t="s">
        <v>1944</v>
      </c>
      <c r="D2832" s="6">
        <v>-531222</v>
      </c>
      <c r="E2832" s="6">
        <v>-248178</v>
      </c>
      <c r="F2832" s="7">
        <v>4.8010000000000002</v>
      </c>
      <c r="G2832" s="7">
        <v>6.31</v>
      </c>
      <c r="H2832" s="7">
        <v>5.6079999999999997</v>
      </c>
      <c r="I2832" s="7">
        <v>5.2370000000000001</v>
      </c>
      <c r="J2832" s="7">
        <v>4.3579999999999997</v>
      </c>
      <c r="K2832" s="7">
        <v>3.4340000000000002</v>
      </c>
      <c r="L2832" s="7">
        <v>3.0150000000000001</v>
      </c>
      <c r="M2832" s="7">
        <v>3.2429999999999999</v>
      </c>
      <c r="N2832" s="7">
        <v>4.2450000000000001</v>
      </c>
      <c r="O2832" s="7">
        <v>4.4610000000000003</v>
      </c>
      <c r="P2832" s="7">
        <v>5.2229999999999999</v>
      </c>
      <c r="Q2832" s="7">
        <v>6.0590000000000002</v>
      </c>
      <c r="R2832" s="7">
        <v>6.415</v>
      </c>
      <c r="S2832" s="7">
        <f t="shared" si="44"/>
        <v>4.8006666666666664</v>
      </c>
    </row>
    <row r="2833" spans="1:19">
      <c r="A2833" s="5" t="str">
        <f>B2833&amp;"-"&amp;COUNTIF($B$2:B2833,B2833)</f>
        <v>PARANÁ-47</v>
      </c>
      <c r="B2833" s="5" t="s">
        <v>1921</v>
      </c>
      <c r="C2833" s="5" t="s">
        <v>4989</v>
      </c>
      <c r="D2833" s="6">
        <v>-53528</v>
      </c>
      <c r="E2833" s="6">
        <v>-241982</v>
      </c>
      <c r="F2833" s="7">
        <v>4.8680000000000003</v>
      </c>
      <c r="G2833" s="7">
        <v>6.2530000000000001</v>
      </c>
      <c r="H2833" s="7">
        <v>5.8120000000000003</v>
      </c>
      <c r="I2833" s="7">
        <v>5.2830000000000004</v>
      </c>
      <c r="J2833" s="7">
        <v>4.399</v>
      </c>
      <c r="K2833" s="7">
        <v>3.49</v>
      </c>
      <c r="L2833" s="7">
        <v>3.0739999999999998</v>
      </c>
      <c r="M2833" s="7">
        <v>3.2679999999999998</v>
      </c>
      <c r="N2833" s="7">
        <v>4.2679999999999998</v>
      </c>
      <c r="O2833" s="7">
        <v>4.5369999999999999</v>
      </c>
      <c r="P2833" s="7">
        <v>5.3570000000000002</v>
      </c>
      <c r="Q2833" s="7">
        <v>6.141</v>
      </c>
      <c r="R2833" s="7">
        <v>6.53</v>
      </c>
      <c r="S2833" s="7">
        <f t="shared" si="44"/>
        <v>4.8676666666666666</v>
      </c>
    </row>
    <row r="2834" spans="1:19">
      <c r="A2834" s="5" t="str">
        <f>B2834&amp;"-"&amp;COUNTIF($B$2:B2834,B2834)</f>
        <v>PARANÁ-48</v>
      </c>
      <c r="B2834" s="5" t="s">
        <v>1921</v>
      </c>
      <c r="C2834" s="5" t="s">
        <v>4990</v>
      </c>
      <c r="D2834" s="6">
        <v>-513376</v>
      </c>
      <c r="E2834" s="6">
        <v>-245654</v>
      </c>
      <c r="F2834" s="7">
        <v>4.8120000000000003</v>
      </c>
      <c r="G2834" s="7">
        <v>6.0979999999999999</v>
      </c>
      <c r="H2834" s="7">
        <v>5.7590000000000003</v>
      </c>
      <c r="I2834" s="7">
        <v>5.181</v>
      </c>
      <c r="J2834" s="7">
        <v>4.4290000000000003</v>
      </c>
      <c r="K2834" s="7">
        <v>3.456</v>
      </c>
      <c r="L2834" s="7">
        <v>3.0510000000000002</v>
      </c>
      <c r="M2834" s="7">
        <v>3.2909999999999999</v>
      </c>
      <c r="N2834" s="7">
        <v>4.3070000000000004</v>
      </c>
      <c r="O2834" s="7">
        <v>4.5030000000000001</v>
      </c>
      <c r="P2834" s="7">
        <v>5.26</v>
      </c>
      <c r="Q2834" s="7">
        <v>6.0750000000000002</v>
      </c>
      <c r="R2834" s="7">
        <v>6.3330000000000002</v>
      </c>
      <c r="S2834" s="7">
        <f t="shared" si="44"/>
        <v>4.811916666666666</v>
      </c>
    </row>
    <row r="2835" spans="1:19">
      <c r="A2835" s="5" t="str">
        <f>B2835&amp;"-"&amp;COUNTIF($B$2:B2835,B2835)</f>
        <v>PARANÁ-49</v>
      </c>
      <c r="B2835" s="5" t="s">
        <v>1921</v>
      </c>
      <c r="C2835" s="5" t="s">
        <v>4411</v>
      </c>
      <c r="D2835" s="6">
        <v>-538419</v>
      </c>
      <c r="E2835" s="6">
        <v>-251493</v>
      </c>
      <c r="F2835" s="7">
        <v>4.7279999999999998</v>
      </c>
      <c r="G2835" s="7">
        <v>6.2709999999999999</v>
      </c>
      <c r="H2835" s="7">
        <v>5.6920000000000002</v>
      </c>
      <c r="I2835" s="7">
        <v>5.0739999999999998</v>
      </c>
      <c r="J2835" s="7">
        <v>4.2359999999999998</v>
      </c>
      <c r="K2835" s="7">
        <v>3.3039999999999998</v>
      </c>
      <c r="L2835" s="7">
        <v>2.9129999999999998</v>
      </c>
      <c r="M2835" s="7">
        <v>3.1560000000000001</v>
      </c>
      <c r="N2835" s="7">
        <v>4.1559999999999997</v>
      </c>
      <c r="O2835" s="7">
        <v>4.351</v>
      </c>
      <c r="P2835" s="7">
        <v>5.2060000000000004</v>
      </c>
      <c r="Q2835" s="7">
        <v>5.9640000000000004</v>
      </c>
      <c r="R2835" s="7">
        <v>6.4119999999999999</v>
      </c>
      <c r="S2835" s="7">
        <f t="shared" si="44"/>
        <v>4.7279166666666663</v>
      </c>
    </row>
    <row r="2836" spans="1:19">
      <c r="A2836" s="5" t="str">
        <f>B2836&amp;"-"&amp;COUNTIF($B$2:B2836,B2836)</f>
        <v>PARANÁ-50</v>
      </c>
      <c r="B2836" s="5" t="s">
        <v>1921</v>
      </c>
      <c r="C2836" s="5" t="s">
        <v>1945</v>
      </c>
      <c r="D2836" s="6">
        <v>-517146</v>
      </c>
      <c r="E2836" s="6">
        <v>-227895</v>
      </c>
      <c r="F2836" s="7">
        <v>5.0620000000000003</v>
      </c>
      <c r="G2836" s="7">
        <v>5.9850000000000003</v>
      </c>
      <c r="H2836" s="7">
        <v>6.0279999999999996</v>
      </c>
      <c r="I2836" s="7">
        <v>5.4950000000000001</v>
      </c>
      <c r="J2836" s="7">
        <v>4.7389999999999999</v>
      </c>
      <c r="K2836" s="7">
        <v>3.758</v>
      </c>
      <c r="L2836" s="7">
        <v>3.456</v>
      </c>
      <c r="M2836" s="7">
        <v>3.67</v>
      </c>
      <c r="N2836" s="7">
        <v>4.6059999999999999</v>
      </c>
      <c r="O2836" s="7">
        <v>4.8090000000000002</v>
      </c>
      <c r="P2836" s="7">
        <v>5.5259999999999998</v>
      </c>
      <c r="Q2836" s="7">
        <v>6.19</v>
      </c>
      <c r="R2836" s="7">
        <v>6.4790000000000001</v>
      </c>
      <c r="S2836" s="7">
        <f t="shared" si="44"/>
        <v>5.06175</v>
      </c>
    </row>
    <row r="2837" spans="1:19">
      <c r="A2837" s="5" t="str">
        <f>B2837&amp;"-"&amp;COUNTIF($B$2:B2837,B2837)</f>
        <v>PARANÁ-51</v>
      </c>
      <c r="B2837" s="5" t="s">
        <v>1921</v>
      </c>
      <c r="C2837" s="5" t="s">
        <v>4991</v>
      </c>
      <c r="D2837" s="6">
        <v>-533212</v>
      </c>
      <c r="E2837" s="6">
        <v>-246193</v>
      </c>
      <c r="F2837" s="7">
        <v>4.8170000000000002</v>
      </c>
      <c r="G2837" s="7">
        <v>6.3090000000000002</v>
      </c>
      <c r="H2837" s="7">
        <v>5.6059999999999999</v>
      </c>
      <c r="I2837" s="7">
        <v>5.2389999999999999</v>
      </c>
      <c r="J2837" s="7">
        <v>4.3769999999999998</v>
      </c>
      <c r="K2837" s="7">
        <v>3.4420000000000002</v>
      </c>
      <c r="L2837" s="7">
        <v>3.0590000000000002</v>
      </c>
      <c r="M2837" s="7">
        <v>3.258</v>
      </c>
      <c r="N2837" s="7">
        <v>4.2130000000000001</v>
      </c>
      <c r="O2837" s="7">
        <v>4.492</v>
      </c>
      <c r="P2837" s="7">
        <v>5.2809999999999997</v>
      </c>
      <c r="Q2837" s="7">
        <v>6.0609999999999999</v>
      </c>
      <c r="R2837" s="7">
        <v>6.4669999999999996</v>
      </c>
      <c r="S2837" s="7">
        <f t="shared" si="44"/>
        <v>4.8169999999999993</v>
      </c>
    </row>
    <row r="2838" spans="1:19">
      <c r="A2838" s="5" t="str">
        <f>B2838&amp;"-"&amp;COUNTIF($B$2:B2838,B2838)</f>
        <v>PARANÁ-52</v>
      </c>
      <c r="B2838" s="5" t="s">
        <v>1921</v>
      </c>
      <c r="C2838" s="5" t="s">
        <v>1946</v>
      </c>
      <c r="D2838" s="6">
        <v>-535129</v>
      </c>
      <c r="E2838" s="6">
        <v>-23901</v>
      </c>
      <c r="F2838" s="7">
        <v>4.8819999999999997</v>
      </c>
      <c r="G2838" s="7">
        <v>6.149</v>
      </c>
      <c r="H2838" s="7">
        <v>5.83</v>
      </c>
      <c r="I2838" s="7">
        <v>5.3369999999999997</v>
      </c>
      <c r="J2838" s="7">
        <v>4.4539999999999997</v>
      </c>
      <c r="K2838" s="7">
        <v>3.5249999999999999</v>
      </c>
      <c r="L2838" s="7">
        <v>3.109</v>
      </c>
      <c r="M2838" s="7">
        <v>3.323</v>
      </c>
      <c r="N2838" s="7">
        <v>4.3230000000000004</v>
      </c>
      <c r="O2838" s="7">
        <v>4.5519999999999996</v>
      </c>
      <c r="P2838" s="7">
        <v>5.3570000000000002</v>
      </c>
      <c r="Q2838" s="7">
        <v>6.1580000000000004</v>
      </c>
      <c r="R2838" s="7">
        <v>6.4740000000000002</v>
      </c>
      <c r="S2838" s="7">
        <f t="shared" si="44"/>
        <v>4.8825833333333328</v>
      </c>
    </row>
    <row r="2839" spans="1:19">
      <c r="A2839" s="5" t="str">
        <f>B2839&amp;"-"&amp;COUNTIF($B$2:B2839,B2839)</f>
        <v>PARANÁ-53</v>
      </c>
      <c r="B2839" s="5" t="s">
        <v>1921</v>
      </c>
      <c r="C2839" s="5" t="s">
        <v>5164</v>
      </c>
      <c r="D2839" s="6">
        <v>-513578</v>
      </c>
      <c r="E2839" s="6">
        <v>-236571</v>
      </c>
      <c r="F2839" s="7">
        <v>4.8419999999999996</v>
      </c>
      <c r="G2839" s="7">
        <v>5.87</v>
      </c>
      <c r="H2839" s="7">
        <v>5.6369999999999996</v>
      </c>
      <c r="I2839" s="7">
        <v>5.2539999999999996</v>
      </c>
      <c r="J2839" s="7">
        <v>4.5650000000000004</v>
      </c>
      <c r="K2839" s="7">
        <v>3.573</v>
      </c>
      <c r="L2839" s="7">
        <v>3.2490000000000001</v>
      </c>
      <c r="M2839" s="7">
        <v>3.468</v>
      </c>
      <c r="N2839" s="7">
        <v>4.45</v>
      </c>
      <c r="O2839" s="7">
        <v>4.6150000000000002</v>
      </c>
      <c r="P2839" s="7">
        <v>5.2439999999999998</v>
      </c>
      <c r="Q2839" s="7">
        <v>5.9560000000000004</v>
      </c>
      <c r="R2839" s="7">
        <v>6.218</v>
      </c>
      <c r="S2839" s="7">
        <f t="shared" si="44"/>
        <v>4.8415833333333333</v>
      </c>
    </row>
    <row r="2840" spans="1:19">
      <c r="A2840" s="5" t="str">
        <f>B2840&amp;"-"&amp;COUNTIF($B$2:B2840,B2840)</f>
        <v>PARANÁ-54</v>
      </c>
      <c r="B2840" s="5" t="s">
        <v>1921</v>
      </c>
      <c r="C2840" s="5" t="s">
        <v>4412</v>
      </c>
      <c r="D2840" s="6">
        <v>-512803</v>
      </c>
      <c r="E2840" s="6">
        <v>-23277</v>
      </c>
      <c r="F2840" s="7">
        <v>4.891</v>
      </c>
      <c r="G2840" s="7">
        <v>5.8330000000000002</v>
      </c>
      <c r="H2840" s="7">
        <v>5.6840000000000002</v>
      </c>
      <c r="I2840" s="7">
        <v>5.242</v>
      </c>
      <c r="J2840" s="7">
        <v>4.6040000000000001</v>
      </c>
      <c r="K2840" s="7">
        <v>3.6309999999999998</v>
      </c>
      <c r="L2840" s="7">
        <v>3.3839999999999999</v>
      </c>
      <c r="M2840" s="7">
        <v>3.577</v>
      </c>
      <c r="N2840" s="7">
        <v>4.5090000000000003</v>
      </c>
      <c r="O2840" s="7">
        <v>4.7</v>
      </c>
      <c r="P2840" s="7">
        <v>5.2750000000000004</v>
      </c>
      <c r="Q2840" s="7">
        <v>5.9850000000000003</v>
      </c>
      <c r="R2840" s="7">
        <v>6.274</v>
      </c>
      <c r="S2840" s="7">
        <f t="shared" si="44"/>
        <v>4.8914999999999997</v>
      </c>
    </row>
    <row r="2841" spans="1:19">
      <c r="A2841" s="5" t="str">
        <f>B2841&amp;"-"&amp;COUNTIF($B$2:B2841,B2841)</f>
        <v>PARANÁ-55</v>
      </c>
      <c r="B2841" s="5" t="s">
        <v>1921</v>
      </c>
      <c r="C2841" s="5" t="s">
        <v>5656</v>
      </c>
      <c r="D2841" s="6">
        <v>-500757</v>
      </c>
      <c r="E2841" s="6">
        <v>-230427</v>
      </c>
      <c r="F2841" s="7">
        <v>4.9619999999999997</v>
      </c>
      <c r="G2841" s="7">
        <v>5.7869999999999999</v>
      </c>
      <c r="H2841" s="7">
        <v>5.9160000000000004</v>
      </c>
      <c r="I2841" s="7">
        <v>5.2640000000000002</v>
      </c>
      <c r="J2841" s="7">
        <v>4.673</v>
      </c>
      <c r="K2841" s="7">
        <v>3.7290000000000001</v>
      </c>
      <c r="L2841" s="7">
        <v>3.4380000000000002</v>
      </c>
      <c r="M2841" s="7">
        <v>3.637</v>
      </c>
      <c r="N2841" s="7">
        <v>4.5979999999999999</v>
      </c>
      <c r="O2841" s="7">
        <v>4.7380000000000004</v>
      </c>
      <c r="P2841" s="7">
        <v>5.4340000000000002</v>
      </c>
      <c r="Q2841" s="7">
        <v>5.9109999999999996</v>
      </c>
      <c r="R2841" s="7">
        <v>6.4119999999999999</v>
      </c>
      <c r="S2841" s="7">
        <f t="shared" si="44"/>
        <v>4.9614166666666657</v>
      </c>
    </row>
    <row r="2842" spans="1:19">
      <c r="A2842" s="5" t="str">
        <f>B2842&amp;"-"&amp;COUNTIF($B$2:B2842,B2842)</f>
        <v>PARANÁ-56</v>
      </c>
      <c r="B2842" s="5" t="s">
        <v>1921</v>
      </c>
      <c r="C2842" s="5" t="s">
        <v>1947</v>
      </c>
      <c r="D2842" s="6">
        <v>-515796</v>
      </c>
      <c r="E2842" s="6">
        <v>-235895</v>
      </c>
      <c r="F2842" s="7">
        <v>4.8440000000000003</v>
      </c>
      <c r="G2842" s="7">
        <v>5.73</v>
      </c>
      <c r="H2842" s="7">
        <v>5.67</v>
      </c>
      <c r="I2842" s="7">
        <v>5.22</v>
      </c>
      <c r="J2842" s="7">
        <v>4.5609999999999999</v>
      </c>
      <c r="K2842" s="7">
        <v>3.5960000000000001</v>
      </c>
      <c r="L2842" s="7">
        <v>3.2970000000000002</v>
      </c>
      <c r="M2842" s="7">
        <v>3.5179999999999998</v>
      </c>
      <c r="N2842" s="7">
        <v>4.476</v>
      </c>
      <c r="O2842" s="7">
        <v>4.6509999999999998</v>
      </c>
      <c r="P2842" s="7">
        <v>5.2869999999999999</v>
      </c>
      <c r="Q2842" s="7">
        <v>5.9359999999999999</v>
      </c>
      <c r="R2842" s="7">
        <v>6.1859999999999999</v>
      </c>
      <c r="S2842" s="7">
        <f t="shared" si="44"/>
        <v>4.8440000000000003</v>
      </c>
    </row>
    <row r="2843" spans="1:19">
      <c r="A2843" s="5" t="str">
        <f>B2843&amp;"-"&amp;COUNTIF($B$2:B2843,B2843)</f>
        <v>PARANÁ-57</v>
      </c>
      <c r="B2843" s="5" t="s">
        <v>1921</v>
      </c>
      <c r="C2843" s="5" t="s">
        <v>1948</v>
      </c>
      <c r="D2843" s="6">
        <v>-52798</v>
      </c>
      <c r="E2843" s="6">
        <v>-245898</v>
      </c>
      <c r="F2843" s="7">
        <v>4.7919999999999998</v>
      </c>
      <c r="G2843" s="7">
        <v>6.2619999999999996</v>
      </c>
      <c r="H2843" s="7">
        <v>5.4980000000000002</v>
      </c>
      <c r="I2843" s="7">
        <v>5.1639999999999997</v>
      </c>
      <c r="J2843" s="7">
        <v>4.4089999999999998</v>
      </c>
      <c r="K2843" s="7">
        <v>3.4740000000000002</v>
      </c>
      <c r="L2843" s="7">
        <v>3.0379999999999998</v>
      </c>
      <c r="M2843" s="7">
        <v>3.266</v>
      </c>
      <c r="N2843" s="7">
        <v>4.2359999999999998</v>
      </c>
      <c r="O2843" s="7">
        <v>4.4669999999999996</v>
      </c>
      <c r="P2843" s="7">
        <v>5.2089999999999996</v>
      </c>
      <c r="Q2843" s="7">
        <v>6.032</v>
      </c>
      <c r="R2843" s="7">
        <v>6.45</v>
      </c>
      <c r="S2843" s="7">
        <f t="shared" si="44"/>
        <v>4.7920833333333333</v>
      </c>
    </row>
    <row r="2844" spans="1:19">
      <c r="A2844" s="5" t="str">
        <f>B2844&amp;"-"&amp;COUNTIF($B$2:B2844,B2844)</f>
        <v>PARANÁ-58</v>
      </c>
      <c r="B2844" s="5" t="s">
        <v>1921</v>
      </c>
      <c r="C2844" s="5" t="s">
        <v>4075</v>
      </c>
      <c r="D2844" s="6">
        <v>-518241</v>
      </c>
      <c r="E2844" s="6">
        <v>-250806</v>
      </c>
      <c r="F2844" s="7">
        <v>4.6740000000000004</v>
      </c>
      <c r="G2844" s="7">
        <v>5.8140000000000001</v>
      </c>
      <c r="H2844" s="7">
        <v>5.5030000000000001</v>
      </c>
      <c r="I2844" s="7">
        <v>5.0890000000000004</v>
      </c>
      <c r="J2844" s="7">
        <v>4.3010000000000002</v>
      </c>
      <c r="K2844" s="7">
        <v>3.3439999999999999</v>
      </c>
      <c r="L2844" s="7">
        <v>2.9580000000000002</v>
      </c>
      <c r="M2844" s="7">
        <v>3.2280000000000002</v>
      </c>
      <c r="N2844" s="7">
        <v>4.2229999999999999</v>
      </c>
      <c r="O2844" s="7">
        <v>4.3559999999999999</v>
      </c>
      <c r="P2844" s="7">
        <v>5.1680000000000001</v>
      </c>
      <c r="Q2844" s="7">
        <v>5.9470000000000001</v>
      </c>
      <c r="R2844" s="7">
        <v>6.15</v>
      </c>
      <c r="S2844" s="7">
        <f t="shared" si="44"/>
        <v>4.6734166666666672</v>
      </c>
    </row>
    <row r="2845" spans="1:19">
      <c r="A2845" s="5" t="str">
        <f>B2845&amp;"-"&amp;COUNTIF($B$2:B2845,B2845)</f>
        <v>PARANÁ-59</v>
      </c>
      <c r="B2845" s="5" t="s">
        <v>1921</v>
      </c>
      <c r="C2845" s="5" t="s">
        <v>1949</v>
      </c>
      <c r="D2845" s="6">
        <v>-490555</v>
      </c>
      <c r="E2845" s="6">
        <v>-253049</v>
      </c>
      <c r="F2845" s="7">
        <v>4.1769999999999996</v>
      </c>
      <c r="G2845" s="7">
        <v>5.3019999999999996</v>
      </c>
      <c r="H2845" s="7">
        <v>5.1669999999999998</v>
      </c>
      <c r="I2845" s="7">
        <v>4.5410000000000004</v>
      </c>
      <c r="J2845" s="7">
        <v>3.7389999999999999</v>
      </c>
      <c r="K2845" s="7">
        <v>3.0539999999999998</v>
      </c>
      <c r="L2845" s="7">
        <v>2.7269999999999999</v>
      </c>
      <c r="M2845" s="7">
        <v>2.8980000000000001</v>
      </c>
      <c r="N2845" s="7">
        <v>3.8340000000000001</v>
      </c>
      <c r="O2845" s="7">
        <v>3.78</v>
      </c>
      <c r="P2845" s="7">
        <v>4.3259999999999996</v>
      </c>
      <c r="Q2845" s="7">
        <v>5.1849999999999996</v>
      </c>
      <c r="R2845" s="7">
        <v>5.5679999999999996</v>
      </c>
      <c r="S2845" s="7">
        <f t="shared" si="44"/>
        <v>4.1767499999999993</v>
      </c>
    </row>
    <row r="2846" spans="1:19">
      <c r="A2846" s="5" t="str">
        <f>B2846&amp;"-"&amp;COUNTIF($B$2:B2846,B2846)</f>
        <v>PARANÁ-60</v>
      </c>
      <c r="B2846" s="5" t="s">
        <v>1921</v>
      </c>
      <c r="C2846" s="5" t="s">
        <v>1950</v>
      </c>
      <c r="D2846" s="6">
        <v>-529944</v>
      </c>
      <c r="E2846" s="6">
        <v>-250299</v>
      </c>
      <c r="F2846" s="7">
        <v>4.7839999999999998</v>
      </c>
      <c r="G2846" s="7">
        <v>6.2270000000000003</v>
      </c>
      <c r="H2846" s="7">
        <v>5.593</v>
      </c>
      <c r="I2846" s="7">
        <v>5.2850000000000001</v>
      </c>
      <c r="J2846" s="7">
        <v>4.351</v>
      </c>
      <c r="K2846" s="7">
        <v>3.4009999999999998</v>
      </c>
      <c r="L2846" s="7">
        <v>3.0019999999999998</v>
      </c>
      <c r="M2846" s="7">
        <v>3.2440000000000002</v>
      </c>
      <c r="N2846" s="7">
        <v>4.2519999999999998</v>
      </c>
      <c r="O2846" s="7">
        <v>4.4189999999999996</v>
      </c>
      <c r="P2846" s="7">
        <v>5.2210000000000001</v>
      </c>
      <c r="Q2846" s="7">
        <v>6.0659999999999998</v>
      </c>
      <c r="R2846" s="7">
        <v>6.3460000000000001</v>
      </c>
      <c r="S2846" s="7">
        <f t="shared" si="44"/>
        <v>4.7839166666666664</v>
      </c>
    </row>
    <row r="2847" spans="1:19">
      <c r="A2847" s="5" t="str">
        <f>B2847&amp;"-"&amp;COUNTIF($B$2:B2847,B2847)</f>
        <v>PARANÁ-61</v>
      </c>
      <c r="B2847" s="5" t="s">
        <v>1921</v>
      </c>
      <c r="C2847" s="5" t="s">
        <v>1951</v>
      </c>
      <c r="D2847" s="6">
        <v>-496848</v>
      </c>
      <c r="E2847" s="6">
        <v>-259805</v>
      </c>
      <c r="F2847" s="7">
        <v>4.1619999999999999</v>
      </c>
      <c r="G2847" s="7">
        <v>5.4249999999999998</v>
      </c>
      <c r="H2847" s="7">
        <v>5.1260000000000003</v>
      </c>
      <c r="I2847" s="7">
        <v>4.5289999999999999</v>
      </c>
      <c r="J2847" s="7">
        <v>3.702</v>
      </c>
      <c r="K2847" s="7">
        <v>2.9470000000000001</v>
      </c>
      <c r="L2847" s="7">
        <v>2.5670000000000002</v>
      </c>
      <c r="M2847" s="7">
        <v>2.7909999999999999</v>
      </c>
      <c r="N2847" s="7">
        <v>3.7639999999999998</v>
      </c>
      <c r="O2847" s="7">
        <v>3.806</v>
      </c>
      <c r="P2847" s="7">
        <v>4.4080000000000004</v>
      </c>
      <c r="Q2847" s="7">
        <v>5.26</v>
      </c>
      <c r="R2847" s="7">
        <v>5.6189999999999998</v>
      </c>
      <c r="S2847" s="7">
        <f t="shared" si="44"/>
        <v>4.1619999999999999</v>
      </c>
    </row>
    <row r="2848" spans="1:19">
      <c r="A2848" s="5" t="str">
        <f>B2848&amp;"-"&amp;COUNTIF($B$2:B2848,B2848)</f>
        <v>PARANÁ-62</v>
      </c>
      <c r="B2848" s="5" t="s">
        <v>1921</v>
      </c>
      <c r="C2848" s="5" t="s">
        <v>1952</v>
      </c>
      <c r="D2848" s="6">
        <v>-495295</v>
      </c>
      <c r="E2848" s="6">
        <v>-25453</v>
      </c>
      <c r="F2848" s="7">
        <v>4.1879999999999997</v>
      </c>
      <c r="G2848" s="7">
        <v>5.3140000000000001</v>
      </c>
      <c r="H2848" s="7">
        <v>5.1520000000000001</v>
      </c>
      <c r="I2848" s="7">
        <v>4.5309999999999997</v>
      </c>
      <c r="J2848" s="7">
        <v>3.7650000000000001</v>
      </c>
      <c r="K2848" s="7">
        <v>3.0249999999999999</v>
      </c>
      <c r="L2848" s="7">
        <v>2.67</v>
      </c>
      <c r="M2848" s="7">
        <v>2.8820000000000001</v>
      </c>
      <c r="N2848" s="7">
        <v>3.855</v>
      </c>
      <c r="O2848" s="7">
        <v>3.859</v>
      </c>
      <c r="P2848" s="7">
        <v>4.391</v>
      </c>
      <c r="Q2848" s="7">
        <v>5.282</v>
      </c>
      <c r="R2848" s="7">
        <v>5.5359999999999996</v>
      </c>
      <c r="S2848" s="7">
        <f t="shared" si="44"/>
        <v>4.1885000000000003</v>
      </c>
    </row>
    <row r="2849" spans="1:19">
      <c r="A2849" s="5" t="str">
        <f>B2849&amp;"-"&amp;COUNTIF($B$2:B2849,B2849)</f>
        <v>PARANÁ-63</v>
      </c>
      <c r="B2849" s="5" t="s">
        <v>1921</v>
      </c>
      <c r="C2849" s="5" t="s">
        <v>1953</v>
      </c>
      <c r="D2849" s="6">
        <v>-494505</v>
      </c>
      <c r="E2849" s="6">
        <v>-253692</v>
      </c>
      <c r="F2849" s="7">
        <v>4.2110000000000003</v>
      </c>
      <c r="G2849" s="7">
        <v>5.3</v>
      </c>
      <c r="H2849" s="7">
        <v>5.1929999999999996</v>
      </c>
      <c r="I2849" s="7">
        <v>4.5810000000000004</v>
      </c>
      <c r="J2849" s="7">
        <v>3.7930000000000001</v>
      </c>
      <c r="K2849" s="7">
        <v>3.0209999999999999</v>
      </c>
      <c r="L2849" s="7">
        <v>2.6909999999999998</v>
      </c>
      <c r="M2849" s="7">
        <v>2.883</v>
      </c>
      <c r="N2849" s="7">
        <v>3.8820000000000001</v>
      </c>
      <c r="O2849" s="7">
        <v>3.8759999999999999</v>
      </c>
      <c r="P2849" s="7">
        <v>4.4180000000000001</v>
      </c>
      <c r="Q2849" s="7">
        <v>5.306</v>
      </c>
      <c r="R2849" s="7">
        <v>5.5940000000000003</v>
      </c>
      <c r="S2849" s="7">
        <f t="shared" si="44"/>
        <v>4.2115</v>
      </c>
    </row>
    <row r="2850" spans="1:19">
      <c r="A2850" s="5" t="str">
        <f>B2850&amp;"-"&amp;COUNTIF($B$2:B2850,B2850)</f>
        <v>PARANÁ-64</v>
      </c>
      <c r="B2850" s="5" t="s">
        <v>1921</v>
      </c>
      <c r="C2850" s="5" t="s">
        <v>4076</v>
      </c>
      <c r="D2850" s="6">
        <v>-523785</v>
      </c>
      <c r="E2850" s="6">
        <v>-240468</v>
      </c>
      <c r="F2850" s="7">
        <v>4.8760000000000003</v>
      </c>
      <c r="G2850" s="7">
        <v>6.085</v>
      </c>
      <c r="H2850" s="7">
        <v>5.7290000000000001</v>
      </c>
      <c r="I2850" s="7">
        <v>5.2569999999999997</v>
      </c>
      <c r="J2850" s="7">
        <v>4.5389999999999997</v>
      </c>
      <c r="K2850" s="7">
        <v>3.5840000000000001</v>
      </c>
      <c r="L2850" s="7">
        <v>3.1640000000000001</v>
      </c>
      <c r="M2850" s="7">
        <v>3.395</v>
      </c>
      <c r="N2850" s="7">
        <v>4.3319999999999999</v>
      </c>
      <c r="O2850" s="7">
        <v>4.5650000000000004</v>
      </c>
      <c r="P2850" s="7">
        <v>5.2789999999999999</v>
      </c>
      <c r="Q2850" s="7">
        <v>6.1059999999999999</v>
      </c>
      <c r="R2850" s="7">
        <v>6.4729999999999999</v>
      </c>
      <c r="S2850" s="7">
        <f t="shared" si="44"/>
        <v>4.8756666666666666</v>
      </c>
    </row>
    <row r="2851" spans="1:19">
      <c r="A2851" s="5" t="str">
        <f>B2851&amp;"-"&amp;COUNTIF($B$2:B2851,B2851)</f>
        <v>PARANÁ-65</v>
      </c>
      <c r="B2851" s="5" t="s">
        <v>1921</v>
      </c>
      <c r="C2851" s="5" t="s">
        <v>5165</v>
      </c>
      <c r="D2851" s="6">
        <v>-520413</v>
      </c>
      <c r="E2851" s="6">
        <v>-255763</v>
      </c>
      <c r="F2851" s="7">
        <v>4.6849999999999996</v>
      </c>
      <c r="G2851" s="7">
        <v>6.0609999999999999</v>
      </c>
      <c r="H2851" s="7">
        <v>5.5659999999999998</v>
      </c>
      <c r="I2851" s="7">
        <v>5.1550000000000002</v>
      </c>
      <c r="J2851" s="7">
        <v>4.2469999999999999</v>
      </c>
      <c r="K2851" s="7">
        <v>3.2869999999999999</v>
      </c>
      <c r="L2851" s="7">
        <v>2.8839999999999999</v>
      </c>
      <c r="M2851" s="7">
        <v>3.113</v>
      </c>
      <c r="N2851" s="7">
        <v>4.1349999999999998</v>
      </c>
      <c r="O2851" s="7">
        <v>4.2969999999999997</v>
      </c>
      <c r="P2851" s="7">
        <v>5.18</v>
      </c>
      <c r="Q2851" s="7">
        <v>6.0179999999999998</v>
      </c>
      <c r="R2851" s="7">
        <v>6.2720000000000002</v>
      </c>
      <c r="S2851" s="7">
        <f t="shared" si="44"/>
        <v>4.6845833333333333</v>
      </c>
    </row>
    <row r="2852" spans="1:19">
      <c r="A2852" s="5" t="str">
        <f>B2852&amp;"-"&amp;COUNTIF($B$2:B2852,B2852)</f>
        <v>PARANÁ-66</v>
      </c>
      <c r="B2852" s="5" t="s">
        <v>1921</v>
      </c>
      <c r="C2852" s="5" t="s">
        <v>1216</v>
      </c>
      <c r="D2852" s="6">
        <v>-521203</v>
      </c>
      <c r="E2852" s="6">
        <v>-253738</v>
      </c>
      <c r="F2852" s="7">
        <v>4.6929999999999996</v>
      </c>
      <c r="G2852" s="7">
        <v>6.02</v>
      </c>
      <c r="H2852" s="7">
        <v>5.5609999999999999</v>
      </c>
      <c r="I2852" s="7">
        <v>5.1390000000000002</v>
      </c>
      <c r="J2852" s="7">
        <v>4.2919999999999998</v>
      </c>
      <c r="K2852" s="7">
        <v>3.335</v>
      </c>
      <c r="L2852" s="7">
        <v>2.919</v>
      </c>
      <c r="M2852" s="7">
        <v>3.165</v>
      </c>
      <c r="N2852" s="7">
        <v>4.1639999999999997</v>
      </c>
      <c r="O2852" s="7">
        <v>4.3470000000000004</v>
      </c>
      <c r="P2852" s="7">
        <v>5.1529999999999996</v>
      </c>
      <c r="Q2852" s="7">
        <v>6.0359999999999996</v>
      </c>
      <c r="R2852" s="7">
        <v>6.1870000000000003</v>
      </c>
      <c r="S2852" s="7">
        <f t="shared" si="44"/>
        <v>4.6931666666666665</v>
      </c>
    </row>
    <row r="2853" spans="1:19">
      <c r="A2853" s="5" t="str">
        <f>B2853&amp;"-"&amp;COUNTIF($B$2:B2853,B2853)</f>
        <v>PARANÁ-67</v>
      </c>
      <c r="B2853" s="5" t="s">
        <v>1921</v>
      </c>
      <c r="C2853" s="5" t="s">
        <v>1720</v>
      </c>
      <c r="D2853" s="6">
        <v>-53806</v>
      </c>
      <c r="E2853" s="6">
        <v>-256696</v>
      </c>
      <c r="F2853" s="7">
        <v>4.7640000000000002</v>
      </c>
      <c r="G2853" s="7">
        <v>6.3650000000000002</v>
      </c>
      <c r="H2853" s="7">
        <v>5.8550000000000004</v>
      </c>
      <c r="I2853" s="7">
        <v>5.32</v>
      </c>
      <c r="J2853" s="7">
        <v>4.2519999999999998</v>
      </c>
      <c r="K2853" s="7">
        <v>3.2719999999999998</v>
      </c>
      <c r="L2853" s="7">
        <v>2.8069999999999999</v>
      </c>
      <c r="M2853" s="7">
        <v>3.0630000000000002</v>
      </c>
      <c r="N2853" s="7">
        <v>4.0430000000000001</v>
      </c>
      <c r="O2853" s="7">
        <v>4.2569999999999997</v>
      </c>
      <c r="P2853" s="7">
        <v>5.2809999999999997</v>
      </c>
      <c r="Q2853" s="7">
        <v>6.1459999999999999</v>
      </c>
      <c r="R2853" s="7">
        <v>6.5069999999999997</v>
      </c>
      <c r="S2853" s="7">
        <f t="shared" si="44"/>
        <v>4.7639999999999993</v>
      </c>
    </row>
    <row r="2854" spans="1:19">
      <c r="A2854" s="5" t="str">
        <f>B2854&amp;"-"&amp;COUNTIF($B$2:B2854,B2854)</f>
        <v>PARANÁ-68</v>
      </c>
      <c r="B2854" s="5" t="s">
        <v>1921</v>
      </c>
      <c r="C2854" s="5" t="s">
        <v>4565</v>
      </c>
      <c r="D2854" s="6">
        <v>-536117</v>
      </c>
      <c r="E2854" s="6">
        <v>-254821</v>
      </c>
      <c r="F2854" s="7">
        <v>4.7160000000000002</v>
      </c>
      <c r="G2854" s="7">
        <v>6.1989999999999998</v>
      </c>
      <c r="H2854" s="7">
        <v>5.7320000000000002</v>
      </c>
      <c r="I2854" s="7">
        <v>5.2460000000000004</v>
      </c>
      <c r="J2854" s="7">
        <v>4.2220000000000004</v>
      </c>
      <c r="K2854" s="7">
        <v>3.2850000000000001</v>
      </c>
      <c r="L2854" s="7">
        <v>2.8410000000000002</v>
      </c>
      <c r="M2854" s="7">
        <v>3.056</v>
      </c>
      <c r="N2854" s="7">
        <v>4.0670000000000002</v>
      </c>
      <c r="O2854" s="7">
        <v>4.24</v>
      </c>
      <c r="P2854" s="7">
        <v>5.2560000000000002</v>
      </c>
      <c r="Q2854" s="7">
        <v>6.0960000000000001</v>
      </c>
      <c r="R2854" s="7">
        <v>6.3490000000000002</v>
      </c>
      <c r="S2854" s="7">
        <f t="shared" si="44"/>
        <v>4.7157500000000008</v>
      </c>
    </row>
    <row r="2855" spans="1:19">
      <c r="A2855" s="5" t="str">
        <f>B2855&amp;"-"&amp;COUNTIF($B$2:B2855,B2855)</f>
        <v>PARANÁ-69</v>
      </c>
      <c r="B2855" s="5" t="s">
        <v>1921</v>
      </c>
      <c r="C2855" s="5" t="s">
        <v>1954</v>
      </c>
      <c r="D2855" s="6">
        <v>-501102</v>
      </c>
      <c r="E2855" s="6">
        <v>-249483</v>
      </c>
      <c r="F2855" s="7">
        <v>4.5650000000000004</v>
      </c>
      <c r="G2855" s="7">
        <v>5.6859999999999999</v>
      </c>
      <c r="H2855" s="7">
        <v>5.4450000000000003</v>
      </c>
      <c r="I2855" s="7">
        <v>4.8129999999999997</v>
      </c>
      <c r="J2855" s="7">
        <v>4.2039999999999997</v>
      </c>
      <c r="K2855" s="7">
        <v>3.298</v>
      </c>
      <c r="L2855" s="7">
        <v>2.9649999999999999</v>
      </c>
      <c r="M2855" s="7">
        <v>3.218</v>
      </c>
      <c r="N2855" s="7">
        <v>4.1849999999999996</v>
      </c>
      <c r="O2855" s="7">
        <v>4.3239999999999998</v>
      </c>
      <c r="P2855" s="7">
        <v>4.9740000000000002</v>
      </c>
      <c r="Q2855" s="7">
        <v>5.7039999999999997</v>
      </c>
      <c r="R2855" s="7">
        <v>5.96</v>
      </c>
      <c r="S2855" s="7">
        <f t="shared" si="44"/>
        <v>4.5646666666666667</v>
      </c>
    </row>
    <row r="2856" spans="1:19">
      <c r="A2856" s="5" t="str">
        <f>B2856&amp;"-"&amp;COUNTIF($B$2:B2856,B2856)</f>
        <v>PARANÁ-70</v>
      </c>
      <c r="B2856" s="5" t="s">
        <v>1921</v>
      </c>
      <c r="C2856" s="5" t="s">
        <v>5166</v>
      </c>
      <c r="D2856" s="6">
        <v>-497209</v>
      </c>
      <c r="E2856" s="6">
        <v>-23425</v>
      </c>
      <c r="F2856" s="7">
        <v>4.8570000000000002</v>
      </c>
      <c r="G2856" s="7">
        <v>5.7460000000000004</v>
      </c>
      <c r="H2856" s="7">
        <v>5.81</v>
      </c>
      <c r="I2856" s="7">
        <v>5.18</v>
      </c>
      <c r="J2856" s="7">
        <v>4.5529999999999999</v>
      </c>
      <c r="K2856" s="7">
        <v>3.5830000000000002</v>
      </c>
      <c r="L2856" s="7">
        <v>3.23</v>
      </c>
      <c r="M2856" s="7">
        <v>3.4910000000000001</v>
      </c>
      <c r="N2856" s="7">
        <v>4.4619999999999997</v>
      </c>
      <c r="O2856" s="7">
        <v>4.617</v>
      </c>
      <c r="P2856" s="7">
        <v>5.2910000000000004</v>
      </c>
      <c r="Q2856" s="7">
        <v>5.9530000000000003</v>
      </c>
      <c r="R2856" s="7">
        <v>6.3739999999999997</v>
      </c>
      <c r="S2856" s="7">
        <f t="shared" si="44"/>
        <v>4.8574999999999999</v>
      </c>
    </row>
    <row r="2857" spans="1:19">
      <c r="A2857" s="5" t="str">
        <f>B2857&amp;"-"&amp;COUNTIF($B$2:B2857,B2857)</f>
        <v>PARANÁ-71</v>
      </c>
      <c r="B2857" s="5" t="s">
        <v>1921</v>
      </c>
      <c r="C2857" s="5" t="s">
        <v>588</v>
      </c>
      <c r="D2857" s="6">
        <v>-534595</v>
      </c>
      <c r="E2857" s="6">
        <v>-249578</v>
      </c>
      <c r="F2857" s="7">
        <v>4.7240000000000002</v>
      </c>
      <c r="G2857" s="7">
        <v>6.21</v>
      </c>
      <c r="H2857" s="7">
        <v>5.53</v>
      </c>
      <c r="I2857" s="7">
        <v>5.0949999999999998</v>
      </c>
      <c r="J2857" s="7">
        <v>4.2729999999999997</v>
      </c>
      <c r="K2857" s="7">
        <v>3.3439999999999999</v>
      </c>
      <c r="L2857" s="7">
        <v>2.9740000000000002</v>
      </c>
      <c r="M2857" s="7">
        <v>3.1920000000000002</v>
      </c>
      <c r="N2857" s="7">
        <v>4.2119999999999997</v>
      </c>
      <c r="O2857" s="7">
        <v>4.3730000000000002</v>
      </c>
      <c r="P2857" s="7">
        <v>5.1879999999999997</v>
      </c>
      <c r="Q2857" s="7">
        <v>5.9649999999999999</v>
      </c>
      <c r="R2857" s="7">
        <v>6.3369999999999997</v>
      </c>
      <c r="S2857" s="7">
        <f t="shared" si="44"/>
        <v>4.7244166666666665</v>
      </c>
    </row>
    <row r="2858" spans="1:19">
      <c r="A2858" s="5" t="str">
        <f>B2858&amp;"-"&amp;COUNTIF($B$2:B2858,B2858)</f>
        <v>PARANÁ-72</v>
      </c>
      <c r="B2858" s="5" t="s">
        <v>1921</v>
      </c>
      <c r="C2858" s="5" t="s">
        <v>1955</v>
      </c>
      <c r="D2858" s="6">
        <v>-500112</v>
      </c>
      <c r="E2858" s="6">
        <v>-247896</v>
      </c>
      <c r="F2858" s="7">
        <v>4.3940000000000001</v>
      </c>
      <c r="G2858" s="7">
        <v>5.4089999999999998</v>
      </c>
      <c r="H2858" s="7">
        <v>5.29</v>
      </c>
      <c r="I2858" s="7">
        <v>4.66</v>
      </c>
      <c r="J2858" s="7">
        <v>4.0410000000000004</v>
      </c>
      <c r="K2858" s="7">
        <v>3.2160000000000002</v>
      </c>
      <c r="L2858" s="7">
        <v>2.8580000000000001</v>
      </c>
      <c r="M2858" s="7">
        <v>3.0939999999999999</v>
      </c>
      <c r="N2858" s="7">
        <v>4.0789999999999997</v>
      </c>
      <c r="O2858" s="7">
        <v>4.18</v>
      </c>
      <c r="P2858" s="7">
        <v>4.718</v>
      </c>
      <c r="Q2858" s="7">
        <v>5.4710000000000001</v>
      </c>
      <c r="R2858" s="7">
        <v>5.718</v>
      </c>
      <c r="S2858" s="7">
        <f t="shared" si="44"/>
        <v>4.3945000000000007</v>
      </c>
    </row>
    <row r="2859" spans="1:19">
      <c r="A2859" s="5" t="str">
        <f>B2859&amp;"-"&amp;COUNTIF($B$2:B2859,B2859)</f>
        <v>PARANÁ-73</v>
      </c>
      <c r="B2859" s="5" t="s">
        <v>1921</v>
      </c>
      <c r="C2859" s="5" t="s">
        <v>1956</v>
      </c>
      <c r="D2859" s="6">
        <v>-531553</v>
      </c>
      <c r="E2859" s="6">
        <v>-252048</v>
      </c>
      <c r="F2859" s="7">
        <v>4.702</v>
      </c>
      <c r="G2859" s="7">
        <v>6.2030000000000003</v>
      </c>
      <c r="H2859" s="7">
        <v>5.5709999999999997</v>
      </c>
      <c r="I2859" s="7">
        <v>5.0999999999999996</v>
      </c>
      <c r="J2859" s="7">
        <v>4.2480000000000002</v>
      </c>
      <c r="K2859" s="7">
        <v>3.3170000000000002</v>
      </c>
      <c r="L2859" s="7">
        <v>2.9380000000000002</v>
      </c>
      <c r="M2859" s="7">
        <v>3.17</v>
      </c>
      <c r="N2859" s="7">
        <v>4.1909999999999998</v>
      </c>
      <c r="O2859" s="7">
        <v>4.3419999999999996</v>
      </c>
      <c r="P2859" s="7">
        <v>5.1559999999999997</v>
      </c>
      <c r="Q2859" s="7">
        <v>5.9210000000000003</v>
      </c>
      <c r="R2859" s="7">
        <v>6.274</v>
      </c>
      <c r="S2859" s="7">
        <f t="shared" si="44"/>
        <v>4.702583333333334</v>
      </c>
    </row>
    <row r="2860" spans="1:19">
      <c r="A2860" s="5" t="str">
        <f>B2860&amp;"-"&amp;COUNTIF($B$2:B2860,B2860)</f>
        <v>PARANÁ-74</v>
      </c>
      <c r="B2860" s="5" t="s">
        <v>1921</v>
      </c>
      <c r="C2860" s="5" t="s">
        <v>5657</v>
      </c>
      <c r="D2860" s="6">
        <v>-515977</v>
      </c>
      <c r="E2860" s="6">
        <v>-228192</v>
      </c>
      <c r="F2860" s="7">
        <v>5.048</v>
      </c>
      <c r="G2860" s="7">
        <v>5.9980000000000002</v>
      </c>
      <c r="H2860" s="7">
        <v>5.9669999999999996</v>
      </c>
      <c r="I2860" s="7">
        <v>5.4560000000000004</v>
      </c>
      <c r="J2860" s="7">
        <v>4.7750000000000004</v>
      </c>
      <c r="K2860" s="7">
        <v>3.76</v>
      </c>
      <c r="L2860" s="7">
        <v>3.4460000000000002</v>
      </c>
      <c r="M2860" s="7">
        <v>3.6760000000000002</v>
      </c>
      <c r="N2860" s="7">
        <v>4.6020000000000003</v>
      </c>
      <c r="O2860" s="7">
        <v>4.7859999999999996</v>
      </c>
      <c r="P2860" s="7">
        <v>5.5110000000000001</v>
      </c>
      <c r="Q2860" s="7">
        <v>6.1310000000000002</v>
      </c>
      <c r="R2860" s="7">
        <v>6.4640000000000004</v>
      </c>
      <c r="S2860" s="7">
        <f t="shared" si="44"/>
        <v>5.0476666666666663</v>
      </c>
    </row>
    <row r="2861" spans="1:19">
      <c r="A2861" s="5" t="str">
        <f>B2861&amp;"-"&amp;COUNTIF($B$2:B2861,B2861)</f>
        <v>PARANÁ-75</v>
      </c>
      <c r="B2861" s="5" t="s">
        <v>1921</v>
      </c>
      <c r="C2861" s="5" t="s">
        <v>1957</v>
      </c>
      <c r="D2861" s="6">
        <v>-492609</v>
      </c>
      <c r="E2861" s="6">
        <v>-24824</v>
      </c>
      <c r="F2861" s="7">
        <v>4.2229999999999999</v>
      </c>
      <c r="G2861" s="7">
        <v>5.37</v>
      </c>
      <c r="H2861" s="7">
        <v>5.2889999999999997</v>
      </c>
      <c r="I2861" s="7">
        <v>4.6609999999999996</v>
      </c>
      <c r="J2861" s="7">
        <v>3.875</v>
      </c>
      <c r="K2861" s="7">
        <v>3.052</v>
      </c>
      <c r="L2861" s="7">
        <v>2.5710000000000002</v>
      </c>
      <c r="M2861" s="7">
        <v>2.7309999999999999</v>
      </c>
      <c r="N2861" s="7">
        <v>3.7050000000000001</v>
      </c>
      <c r="O2861" s="7">
        <v>3.9020000000000001</v>
      </c>
      <c r="P2861" s="7">
        <v>4.4829999999999997</v>
      </c>
      <c r="Q2861" s="7">
        <v>5.335</v>
      </c>
      <c r="R2861" s="7">
        <v>5.7069999999999999</v>
      </c>
      <c r="S2861" s="7">
        <f t="shared" si="44"/>
        <v>4.2234166666666662</v>
      </c>
    </row>
    <row r="2862" spans="1:19">
      <c r="A2862" s="5" t="str">
        <f>B2862&amp;"-"&amp;COUNTIF($B$2:B2862,B2862)</f>
        <v>PARANÁ-76</v>
      </c>
      <c r="B2862" s="5" t="s">
        <v>1921</v>
      </c>
      <c r="C2862" s="5" t="s">
        <v>1958</v>
      </c>
      <c r="D2862" s="6">
        <v>-525177</v>
      </c>
      <c r="E2862" s="6">
        <v>-25852</v>
      </c>
      <c r="F2862" s="7">
        <v>4.72</v>
      </c>
      <c r="G2862" s="7">
        <v>6.2519999999999998</v>
      </c>
      <c r="H2862" s="7">
        <v>5.6829999999999998</v>
      </c>
      <c r="I2862" s="7">
        <v>5.1950000000000003</v>
      </c>
      <c r="J2862" s="7">
        <v>4.2460000000000004</v>
      </c>
      <c r="K2862" s="7">
        <v>3.2850000000000001</v>
      </c>
      <c r="L2862" s="7">
        <v>2.8570000000000002</v>
      </c>
      <c r="M2862" s="7">
        <v>3.1160000000000001</v>
      </c>
      <c r="N2862" s="7">
        <v>4.0919999999999996</v>
      </c>
      <c r="O2862" s="7">
        <v>4.2519999999999998</v>
      </c>
      <c r="P2862" s="7">
        <v>5.23</v>
      </c>
      <c r="Q2862" s="7">
        <v>6.1260000000000003</v>
      </c>
      <c r="R2862" s="7">
        <v>6.3029999999999999</v>
      </c>
      <c r="S2862" s="7">
        <f t="shared" si="44"/>
        <v>4.7197499999999994</v>
      </c>
    </row>
    <row r="2863" spans="1:19">
      <c r="A2863" s="5" t="str">
        <f>B2863&amp;"-"&amp;COUNTIF($B$2:B2863,B2863)</f>
        <v>PARANÁ-77</v>
      </c>
      <c r="B2863" s="5" t="s">
        <v>1921</v>
      </c>
      <c r="C2863" s="5" t="s">
        <v>1959</v>
      </c>
      <c r="D2863" s="6">
        <v>-526059</v>
      </c>
      <c r="E2863" s="6">
        <v>-236603</v>
      </c>
      <c r="F2863" s="7">
        <v>4.9169999999999998</v>
      </c>
      <c r="G2863" s="7">
        <v>6.0679999999999996</v>
      </c>
      <c r="H2863" s="7">
        <v>5.8</v>
      </c>
      <c r="I2863" s="7">
        <v>5.3540000000000001</v>
      </c>
      <c r="J2863" s="7">
        <v>4.54</v>
      </c>
      <c r="K2863" s="7">
        <v>3.593</v>
      </c>
      <c r="L2863" s="7">
        <v>3.222</v>
      </c>
      <c r="M2863" s="7">
        <v>3.4470000000000001</v>
      </c>
      <c r="N2863" s="7">
        <v>4.41</v>
      </c>
      <c r="O2863" s="7">
        <v>4.63</v>
      </c>
      <c r="P2863" s="7">
        <v>5.3810000000000002</v>
      </c>
      <c r="Q2863" s="7">
        <v>6.1289999999999996</v>
      </c>
      <c r="R2863" s="7">
        <v>6.4359999999999999</v>
      </c>
      <c r="S2863" s="7">
        <f t="shared" si="44"/>
        <v>4.9174999999999995</v>
      </c>
    </row>
    <row r="2864" spans="1:19">
      <c r="A2864" s="5" t="str">
        <f>B2864&amp;"-"&amp;COUNTIF($B$2:B2864,B2864)</f>
        <v>PARANÁ-78</v>
      </c>
      <c r="B2864" s="5" t="s">
        <v>1921</v>
      </c>
      <c r="C2864" s="5" t="s">
        <v>4858</v>
      </c>
      <c r="D2864" s="6">
        <v>-52944</v>
      </c>
      <c r="E2864" s="6">
        <v>-233776</v>
      </c>
      <c r="F2864" s="7">
        <v>4.952</v>
      </c>
      <c r="G2864" s="7">
        <v>6.0629999999999997</v>
      </c>
      <c r="H2864" s="7">
        <v>5.9260000000000002</v>
      </c>
      <c r="I2864" s="7">
        <v>5.41</v>
      </c>
      <c r="J2864" s="7">
        <v>4.5819999999999999</v>
      </c>
      <c r="K2864" s="7">
        <v>3.6190000000000002</v>
      </c>
      <c r="L2864" s="7">
        <v>3.2730000000000001</v>
      </c>
      <c r="M2864" s="7">
        <v>3.448</v>
      </c>
      <c r="N2864" s="7">
        <v>4.41</v>
      </c>
      <c r="O2864" s="7">
        <v>4.649</v>
      </c>
      <c r="P2864" s="7">
        <v>5.4240000000000004</v>
      </c>
      <c r="Q2864" s="7">
        <v>6.1360000000000001</v>
      </c>
      <c r="R2864" s="7">
        <v>6.4790000000000001</v>
      </c>
      <c r="S2864" s="7">
        <f t="shared" si="44"/>
        <v>4.9515833333333328</v>
      </c>
    </row>
    <row r="2865" spans="1:19">
      <c r="A2865" s="5" t="str">
        <f>B2865&amp;"-"&amp;COUNTIF($B$2:B2865,B2865)</f>
        <v>PARANÁ-79</v>
      </c>
      <c r="B2865" s="5" t="s">
        <v>1921</v>
      </c>
      <c r="C2865" s="5" t="s">
        <v>4992</v>
      </c>
      <c r="D2865" s="6">
        <v>-523512</v>
      </c>
      <c r="E2865" s="6">
        <v>-264048</v>
      </c>
      <c r="F2865" s="7">
        <v>4.6429999999999998</v>
      </c>
      <c r="G2865" s="7">
        <v>6.1139999999999999</v>
      </c>
      <c r="H2865" s="7">
        <v>5.5979999999999999</v>
      </c>
      <c r="I2865" s="7">
        <v>5.0869999999999997</v>
      </c>
      <c r="J2865" s="7">
        <v>4.16</v>
      </c>
      <c r="K2865" s="7">
        <v>3.254</v>
      </c>
      <c r="L2865" s="7">
        <v>2.7839999999999998</v>
      </c>
      <c r="M2865" s="7">
        <v>3.07</v>
      </c>
      <c r="N2865" s="7">
        <v>4.0270000000000001</v>
      </c>
      <c r="O2865" s="7">
        <v>4.1760000000000002</v>
      </c>
      <c r="P2865" s="7">
        <v>5.0919999999999996</v>
      </c>
      <c r="Q2865" s="7">
        <v>6.0970000000000004</v>
      </c>
      <c r="R2865" s="7">
        <v>6.2649999999999997</v>
      </c>
      <c r="S2865" s="7">
        <f t="shared" si="44"/>
        <v>4.6436666666666673</v>
      </c>
    </row>
    <row r="2866" spans="1:19">
      <c r="A2866" s="5" t="str">
        <f>B2866&amp;"-"&amp;COUNTIF($B$2:B2866,B2866)</f>
        <v>PARANÁ-80</v>
      </c>
      <c r="B2866" s="5" t="s">
        <v>1921</v>
      </c>
      <c r="C2866" s="5" t="s">
        <v>1960</v>
      </c>
      <c r="D2866" s="6">
        <v>-492266</v>
      </c>
      <c r="E2866" s="6">
        <v>-25293</v>
      </c>
      <c r="F2866" s="7">
        <v>4.194</v>
      </c>
      <c r="G2866" s="7">
        <v>5.258</v>
      </c>
      <c r="H2866" s="7">
        <v>5.1870000000000003</v>
      </c>
      <c r="I2866" s="7">
        <v>4.5510000000000002</v>
      </c>
      <c r="J2866" s="7">
        <v>3.778</v>
      </c>
      <c r="K2866" s="7">
        <v>3.0310000000000001</v>
      </c>
      <c r="L2866" s="7">
        <v>2.7549999999999999</v>
      </c>
      <c r="M2866" s="7">
        <v>2.903</v>
      </c>
      <c r="N2866" s="7">
        <v>3.8839999999999999</v>
      </c>
      <c r="O2866" s="7">
        <v>3.8439999999999999</v>
      </c>
      <c r="P2866" s="7">
        <v>4.3479999999999999</v>
      </c>
      <c r="Q2866" s="7">
        <v>5.2320000000000002</v>
      </c>
      <c r="R2866" s="7">
        <v>5.5579999999999998</v>
      </c>
      <c r="S2866" s="7">
        <f t="shared" si="44"/>
        <v>4.1940833333333325</v>
      </c>
    </row>
    <row r="2867" spans="1:19">
      <c r="A2867" s="5" t="str">
        <f>B2867&amp;"-"&amp;COUNTIF($B$2:B2867,B2867)</f>
        <v>PARANÁ-81</v>
      </c>
      <c r="B2867" s="5" t="s">
        <v>1921</v>
      </c>
      <c r="C2867" s="5" t="s">
        <v>1961</v>
      </c>
      <c r="D2867" s="6">
        <v>-519747</v>
      </c>
      <c r="E2867" s="6">
        <v>-228379</v>
      </c>
      <c r="F2867" s="7">
        <v>5.0410000000000004</v>
      </c>
      <c r="G2867" s="7">
        <v>5.9589999999999996</v>
      </c>
      <c r="H2867" s="7">
        <v>5.9909999999999997</v>
      </c>
      <c r="I2867" s="7">
        <v>5.4630000000000001</v>
      </c>
      <c r="J2867" s="7">
        <v>4.7249999999999996</v>
      </c>
      <c r="K2867" s="7">
        <v>3.7559999999999998</v>
      </c>
      <c r="L2867" s="7">
        <v>3.4470000000000001</v>
      </c>
      <c r="M2867" s="7">
        <v>3.6320000000000001</v>
      </c>
      <c r="N2867" s="7">
        <v>4.6159999999999997</v>
      </c>
      <c r="O2867" s="7">
        <v>4.7770000000000001</v>
      </c>
      <c r="P2867" s="7">
        <v>5.5049999999999999</v>
      </c>
      <c r="Q2867" s="7">
        <v>6.1779999999999999</v>
      </c>
      <c r="R2867" s="7">
        <v>6.4359999999999999</v>
      </c>
      <c r="S2867" s="7">
        <f t="shared" si="44"/>
        <v>5.0404166666666663</v>
      </c>
    </row>
    <row r="2868" spans="1:19">
      <c r="A2868" s="5" t="str">
        <f>B2868&amp;"-"&amp;COUNTIF($B$2:B2868,B2868)</f>
        <v>PARANÁ-82</v>
      </c>
      <c r="B2868" s="5" t="s">
        <v>1921</v>
      </c>
      <c r="C2868" s="5" t="s">
        <v>1962</v>
      </c>
      <c r="D2868" s="6">
        <v>-505539</v>
      </c>
      <c r="E2868" s="6">
        <v>-23551</v>
      </c>
      <c r="F2868" s="7">
        <v>4.8470000000000004</v>
      </c>
      <c r="G2868" s="7">
        <v>5.78</v>
      </c>
      <c r="H2868" s="7">
        <v>5.7130000000000001</v>
      </c>
      <c r="I2868" s="7">
        <v>5.141</v>
      </c>
      <c r="J2868" s="7">
        <v>4.5410000000000004</v>
      </c>
      <c r="K2868" s="7">
        <v>3.62</v>
      </c>
      <c r="L2868" s="7">
        <v>3.286</v>
      </c>
      <c r="M2868" s="7">
        <v>3.504</v>
      </c>
      <c r="N2868" s="7">
        <v>4.5179999999999998</v>
      </c>
      <c r="O2868" s="7">
        <v>4.6369999999999996</v>
      </c>
      <c r="P2868" s="7">
        <v>5.25</v>
      </c>
      <c r="Q2868" s="7">
        <v>5.9489999999999998</v>
      </c>
      <c r="R2868" s="7">
        <v>6.2220000000000004</v>
      </c>
      <c r="S2868" s="7">
        <f t="shared" si="44"/>
        <v>4.8467500000000001</v>
      </c>
    </row>
    <row r="2869" spans="1:19">
      <c r="A2869" s="5" t="str">
        <f>B2869&amp;"-"&amp;COUNTIF($B$2:B2869,B2869)</f>
        <v>PARANÁ-83</v>
      </c>
      <c r="B2869" s="5" t="s">
        <v>1921</v>
      </c>
      <c r="C2869" s="5" t="s">
        <v>1963</v>
      </c>
      <c r="D2869" s="6">
        <v>-501712</v>
      </c>
      <c r="E2869" s="6">
        <v>-236269</v>
      </c>
      <c r="F2869" s="7">
        <v>4.8529999999999998</v>
      </c>
      <c r="G2869" s="7">
        <v>5.8239999999999998</v>
      </c>
      <c r="H2869" s="7">
        <v>5.742</v>
      </c>
      <c r="I2869" s="7">
        <v>5.1909999999999998</v>
      </c>
      <c r="J2869" s="7">
        <v>4.5519999999999996</v>
      </c>
      <c r="K2869" s="7">
        <v>3.6</v>
      </c>
      <c r="L2869" s="7">
        <v>3.226</v>
      </c>
      <c r="M2869" s="7">
        <v>3.4780000000000002</v>
      </c>
      <c r="N2869" s="7">
        <v>4.4829999999999997</v>
      </c>
      <c r="O2869" s="7">
        <v>4.6390000000000002</v>
      </c>
      <c r="P2869" s="7">
        <v>5.2569999999999997</v>
      </c>
      <c r="Q2869" s="7">
        <v>5.9320000000000004</v>
      </c>
      <c r="R2869" s="7">
        <v>6.3070000000000004</v>
      </c>
      <c r="S2869" s="7">
        <f t="shared" si="44"/>
        <v>4.8525833333333335</v>
      </c>
    </row>
    <row r="2870" spans="1:19">
      <c r="A2870" s="5" t="str">
        <f>B2870&amp;"-"&amp;COUNTIF($B$2:B2870,B2870)</f>
        <v>PARANÁ-84</v>
      </c>
      <c r="B2870" s="5" t="s">
        <v>1921</v>
      </c>
      <c r="C2870" s="5" t="s">
        <v>1964</v>
      </c>
      <c r="D2870" s="6">
        <v>-495355</v>
      </c>
      <c r="E2870" s="6">
        <v>-256793</v>
      </c>
      <c r="F2870" s="7">
        <v>4.2050000000000001</v>
      </c>
      <c r="G2870" s="7">
        <v>5.3959999999999999</v>
      </c>
      <c r="H2870" s="7">
        <v>5.1470000000000002</v>
      </c>
      <c r="I2870" s="7">
        <v>4.5129999999999999</v>
      </c>
      <c r="J2870" s="7">
        <v>3.7429999999999999</v>
      </c>
      <c r="K2870" s="7">
        <v>3.0190000000000001</v>
      </c>
      <c r="L2870" s="7">
        <v>2.706</v>
      </c>
      <c r="M2870" s="7">
        <v>2.87</v>
      </c>
      <c r="N2870" s="7">
        <v>3.8380000000000001</v>
      </c>
      <c r="O2870" s="7">
        <v>3.8719999999999999</v>
      </c>
      <c r="P2870" s="7">
        <v>4.4340000000000002</v>
      </c>
      <c r="Q2870" s="7">
        <v>5.31</v>
      </c>
      <c r="R2870" s="7">
        <v>5.617</v>
      </c>
      <c r="S2870" s="7">
        <f t="shared" si="44"/>
        <v>4.2054166666666664</v>
      </c>
    </row>
    <row r="2871" spans="1:19">
      <c r="A2871" s="5" t="str">
        <f>B2871&amp;"-"&amp;COUNTIF($B$2:B2871,B2871)</f>
        <v>PARANÁ-85</v>
      </c>
      <c r="B2871" s="5" t="s">
        <v>1921</v>
      </c>
      <c r="C2871" s="5" t="s">
        <v>4413</v>
      </c>
      <c r="D2871" s="6">
        <v>-53301</v>
      </c>
      <c r="E2871" s="6">
        <v>-247976</v>
      </c>
      <c r="F2871" s="7">
        <v>4.7779999999999996</v>
      </c>
      <c r="G2871" s="7">
        <v>6.3109999999999999</v>
      </c>
      <c r="H2871" s="7">
        <v>5.5540000000000003</v>
      </c>
      <c r="I2871" s="7">
        <v>5.1909999999999998</v>
      </c>
      <c r="J2871" s="7">
        <v>4.3090000000000002</v>
      </c>
      <c r="K2871" s="7">
        <v>3.3929999999999998</v>
      </c>
      <c r="L2871" s="7">
        <v>3.0259999999999998</v>
      </c>
      <c r="M2871" s="7">
        <v>3.2250000000000001</v>
      </c>
      <c r="N2871" s="7">
        <v>4.2210000000000001</v>
      </c>
      <c r="O2871" s="7">
        <v>4.4400000000000004</v>
      </c>
      <c r="P2871" s="7">
        <v>5.1920000000000002</v>
      </c>
      <c r="Q2871" s="7">
        <v>6.0449999999999999</v>
      </c>
      <c r="R2871" s="7">
        <v>6.43</v>
      </c>
      <c r="S2871" s="7">
        <f t="shared" si="44"/>
        <v>4.7780833333333339</v>
      </c>
    </row>
    <row r="2872" spans="1:19">
      <c r="A2872" s="5" t="str">
        <f>B2872&amp;"-"&amp;COUNTIF($B$2:B2872,B2872)</f>
        <v>PARANÁ-86</v>
      </c>
      <c r="B2872" s="5" t="s">
        <v>1921</v>
      </c>
      <c r="C2872" s="5" t="s">
        <v>5167</v>
      </c>
      <c r="D2872" s="6">
        <v>-506502</v>
      </c>
      <c r="E2872" s="6">
        <v>-231834</v>
      </c>
      <c r="F2872" s="7">
        <v>4.9619999999999997</v>
      </c>
      <c r="G2872" s="7">
        <v>5.944</v>
      </c>
      <c r="H2872" s="7">
        <v>5.8810000000000002</v>
      </c>
      <c r="I2872" s="7">
        <v>5.2859999999999996</v>
      </c>
      <c r="J2872" s="7">
        <v>4.6269999999999998</v>
      </c>
      <c r="K2872" s="7">
        <v>3.68</v>
      </c>
      <c r="L2872" s="7">
        <v>3.399</v>
      </c>
      <c r="M2872" s="7">
        <v>3.5950000000000002</v>
      </c>
      <c r="N2872" s="7">
        <v>4.5750000000000002</v>
      </c>
      <c r="O2872" s="7">
        <v>4.7510000000000003</v>
      </c>
      <c r="P2872" s="7">
        <v>5.3970000000000002</v>
      </c>
      <c r="Q2872" s="7">
        <v>6.0629999999999997</v>
      </c>
      <c r="R2872" s="7">
        <v>6.3520000000000003</v>
      </c>
      <c r="S2872" s="7">
        <f t="shared" si="44"/>
        <v>4.9624999999999995</v>
      </c>
    </row>
    <row r="2873" spans="1:19">
      <c r="A2873" s="5" t="str">
        <f>B2873&amp;"-"&amp;COUNTIF($B$2:B2873,B2873)</f>
        <v>PARANÁ-87</v>
      </c>
      <c r="B2873" s="5" t="s">
        <v>1921</v>
      </c>
      <c r="C2873" s="5" t="s">
        <v>1965</v>
      </c>
      <c r="D2873" s="6">
        <v>-520361</v>
      </c>
      <c r="E2873" s="6">
        <v>-262282</v>
      </c>
      <c r="F2873" s="7">
        <v>4.6040000000000001</v>
      </c>
      <c r="G2873" s="7">
        <v>6.0060000000000002</v>
      </c>
      <c r="H2873" s="7">
        <v>5.4740000000000002</v>
      </c>
      <c r="I2873" s="7">
        <v>5.016</v>
      </c>
      <c r="J2873" s="7">
        <v>4.125</v>
      </c>
      <c r="K2873" s="7">
        <v>3.2109999999999999</v>
      </c>
      <c r="L2873" s="7">
        <v>2.81</v>
      </c>
      <c r="M2873" s="7">
        <v>3.0680000000000001</v>
      </c>
      <c r="N2873" s="7">
        <v>4.0540000000000003</v>
      </c>
      <c r="O2873" s="7">
        <v>4.2190000000000003</v>
      </c>
      <c r="P2873" s="7">
        <v>5.0709999999999997</v>
      </c>
      <c r="Q2873" s="7">
        <v>6.0289999999999999</v>
      </c>
      <c r="R2873" s="7">
        <v>6.165</v>
      </c>
      <c r="S2873" s="7">
        <f t="shared" si="44"/>
        <v>4.6040000000000001</v>
      </c>
    </row>
    <row r="2874" spans="1:19">
      <c r="A2874" s="5" t="str">
        <f>B2874&amp;"-"&amp;COUNTIF($B$2:B2874,B2874)</f>
        <v>PARANÁ-88</v>
      </c>
      <c r="B2874" s="5" t="s">
        <v>1921</v>
      </c>
      <c r="C2874" s="5" t="s">
        <v>1966</v>
      </c>
      <c r="D2874" s="6">
        <v>-525645</v>
      </c>
      <c r="E2874" s="6">
        <v>-259772</v>
      </c>
      <c r="F2874" s="7">
        <v>4.7089999999999996</v>
      </c>
      <c r="G2874" s="7">
        <v>6.2549999999999999</v>
      </c>
      <c r="H2874" s="7">
        <v>5.64</v>
      </c>
      <c r="I2874" s="7">
        <v>5.2119999999999997</v>
      </c>
      <c r="J2874" s="7">
        <v>4.2229999999999999</v>
      </c>
      <c r="K2874" s="7">
        <v>3.2810000000000001</v>
      </c>
      <c r="L2874" s="7">
        <v>2.8540000000000001</v>
      </c>
      <c r="M2874" s="7">
        <v>3.101</v>
      </c>
      <c r="N2874" s="7">
        <v>4.0759999999999996</v>
      </c>
      <c r="O2874" s="7">
        <v>4.24</v>
      </c>
      <c r="P2874" s="7">
        <v>5.1989999999999998</v>
      </c>
      <c r="Q2874" s="7">
        <v>6.1219999999999999</v>
      </c>
      <c r="R2874" s="7">
        <v>6.3040000000000003</v>
      </c>
      <c r="S2874" s="7">
        <f t="shared" si="44"/>
        <v>4.7089166666666662</v>
      </c>
    </row>
    <row r="2875" spans="1:19">
      <c r="A2875" s="5" t="str">
        <f>B2875&amp;"-"&amp;COUNTIF($B$2:B2875,B2875)</f>
        <v>PARANÁ-89</v>
      </c>
      <c r="B2875" s="5" t="s">
        <v>1921</v>
      </c>
      <c r="C2875" s="5" t="s">
        <v>1967</v>
      </c>
      <c r="D2875" s="6">
        <v>-521181</v>
      </c>
      <c r="E2875" s="6">
        <v>-241014</v>
      </c>
      <c r="F2875" s="7">
        <v>4.8840000000000003</v>
      </c>
      <c r="G2875" s="7">
        <v>6.0670000000000002</v>
      </c>
      <c r="H2875" s="7">
        <v>5.742</v>
      </c>
      <c r="I2875" s="7">
        <v>5.2720000000000002</v>
      </c>
      <c r="J2875" s="7">
        <v>4.5460000000000003</v>
      </c>
      <c r="K2875" s="7">
        <v>3.5670000000000002</v>
      </c>
      <c r="L2875" s="7">
        <v>3.1829999999999998</v>
      </c>
      <c r="M2875" s="7">
        <v>3.3980000000000001</v>
      </c>
      <c r="N2875" s="7">
        <v>4.37</v>
      </c>
      <c r="O2875" s="7">
        <v>4.58</v>
      </c>
      <c r="P2875" s="7">
        <v>5.2969999999999997</v>
      </c>
      <c r="Q2875" s="7">
        <v>6.1470000000000002</v>
      </c>
      <c r="R2875" s="7">
        <v>6.4329999999999998</v>
      </c>
      <c r="S2875" s="7">
        <f t="shared" si="44"/>
        <v>4.8834999999999997</v>
      </c>
    </row>
    <row r="2876" spans="1:19">
      <c r="A2876" s="5" t="str">
        <f>B2876&amp;"-"&amp;COUNTIF($B$2:B2876,B2876)</f>
        <v>PARANÁ-90</v>
      </c>
      <c r="B2876" s="5" t="s">
        <v>1921</v>
      </c>
      <c r="C2876" s="5" t="s">
        <v>1968</v>
      </c>
      <c r="D2876" s="6">
        <v>-513434</v>
      </c>
      <c r="E2876" s="6">
        <v>-260171</v>
      </c>
      <c r="F2876" s="7">
        <v>4.3</v>
      </c>
      <c r="G2876" s="7">
        <v>5.58</v>
      </c>
      <c r="H2876" s="7">
        <v>5.1929999999999996</v>
      </c>
      <c r="I2876" s="7">
        <v>4.7430000000000003</v>
      </c>
      <c r="J2876" s="7">
        <v>3.766</v>
      </c>
      <c r="K2876" s="7">
        <v>2.984</v>
      </c>
      <c r="L2876" s="7">
        <v>2.5590000000000002</v>
      </c>
      <c r="M2876" s="7">
        <v>2.7930000000000001</v>
      </c>
      <c r="N2876" s="7">
        <v>3.827</v>
      </c>
      <c r="O2876" s="7">
        <v>3.9809999999999999</v>
      </c>
      <c r="P2876" s="7">
        <v>4.6929999999999996</v>
      </c>
      <c r="Q2876" s="7">
        <v>5.6580000000000004</v>
      </c>
      <c r="R2876" s="7">
        <v>5.8280000000000003</v>
      </c>
      <c r="S2876" s="7">
        <f t="shared" si="44"/>
        <v>4.300416666666667</v>
      </c>
    </row>
    <row r="2877" spans="1:19">
      <c r="A2877" s="5" t="str">
        <f>B2877&amp;"-"&amp;COUNTIF($B$2:B2877,B2877)</f>
        <v>PARANÁ-91</v>
      </c>
      <c r="B2877" s="5" t="s">
        <v>1921</v>
      </c>
      <c r="C2877" s="5" t="s">
        <v>4709</v>
      </c>
      <c r="D2877" s="6">
        <v>-531289</v>
      </c>
      <c r="E2877" s="6">
        <v>-256197</v>
      </c>
      <c r="F2877" s="7">
        <v>4.7569999999999997</v>
      </c>
      <c r="G2877" s="7">
        <v>6.3159999999999998</v>
      </c>
      <c r="H2877" s="7">
        <v>5.7859999999999996</v>
      </c>
      <c r="I2877" s="7">
        <v>5.2859999999999996</v>
      </c>
      <c r="J2877" s="7">
        <v>4.28</v>
      </c>
      <c r="K2877" s="7">
        <v>3.278</v>
      </c>
      <c r="L2877" s="7">
        <v>2.8330000000000002</v>
      </c>
      <c r="M2877" s="7">
        <v>3.0859999999999999</v>
      </c>
      <c r="N2877" s="7">
        <v>4.0709999999999997</v>
      </c>
      <c r="O2877" s="7">
        <v>4.25</v>
      </c>
      <c r="P2877" s="7">
        <v>5.2610000000000001</v>
      </c>
      <c r="Q2877" s="7">
        <v>6.1619999999999999</v>
      </c>
      <c r="R2877" s="7">
        <v>6.4729999999999999</v>
      </c>
      <c r="S2877" s="7">
        <f t="shared" si="44"/>
        <v>4.7568333333333328</v>
      </c>
    </row>
    <row r="2878" spans="1:19">
      <c r="A2878" s="5" t="str">
        <f>B2878&amp;"-"&amp;COUNTIF($B$2:B2878,B2878)</f>
        <v>PARANÁ-92</v>
      </c>
      <c r="B2878" s="5" t="s">
        <v>1921</v>
      </c>
      <c r="C2878" s="5" t="s">
        <v>1969</v>
      </c>
      <c r="D2878" s="6">
        <v>-530779</v>
      </c>
      <c r="E2878" s="6">
        <v>-237804</v>
      </c>
      <c r="F2878" s="7">
        <v>4.9119999999999999</v>
      </c>
      <c r="G2878" s="7">
        <v>6.1130000000000004</v>
      </c>
      <c r="H2878" s="7">
        <v>5.84</v>
      </c>
      <c r="I2878" s="7">
        <v>5.4020000000000001</v>
      </c>
      <c r="J2878" s="7">
        <v>4.5170000000000003</v>
      </c>
      <c r="K2878" s="7">
        <v>3.552</v>
      </c>
      <c r="L2878" s="7">
        <v>3.161</v>
      </c>
      <c r="M2878" s="7">
        <v>3.3769999999999998</v>
      </c>
      <c r="N2878" s="7">
        <v>4.3600000000000003</v>
      </c>
      <c r="O2878" s="7">
        <v>4.5910000000000002</v>
      </c>
      <c r="P2878" s="7">
        <v>5.3840000000000003</v>
      </c>
      <c r="Q2878" s="7">
        <v>6.181</v>
      </c>
      <c r="R2878" s="7">
        <v>6.468</v>
      </c>
      <c r="S2878" s="7">
        <f t="shared" si="44"/>
        <v>4.9121666666666668</v>
      </c>
    </row>
    <row r="2879" spans="1:19">
      <c r="A2879" s="5" t="str">
        <f>B2879&amp;"-"&amp;COUNTIF($B$2:B2879,B2879)</f>
        <v>PARANÁ-93</v>
      </c>
      <c r="B2879" s="5" t="s">
        <v>1921</v>
      </c>
      <c r="C2879" s="5" t="s">
        <v>80</v>
      </c>
      <c r="D2879" s="6">
        <v>-521626</v>
      </c>
      <c r="E2879" s="6">
        <v>-229629</v>
      </c>
      <c r="F2879" s="7">
        <v>4.9880000000000004</v>
      </c>
      <c r="G2879" s="7">
        <v>5.9429999999999996</v>
      </c>
      <c r="H2879" s="7">
        <v>5.8710000000000004</v>
      </c>
      <c r="I2879" s="7">
        <v>5.375</v>
      </c>
      <c r="J2879" s="7">
        <v>4.6749999999999998</v>
      </c>
      <c r="K2879" s="7">
        <v>3.7080000000000002</v>
      </c>
      <c r="L2879" s="7">
        <v>3.4129999999999998</v>
      </c>
      <c r="M2879" s="7">
        <v>3.59</v>
      </c>
      <c r="N2879" s="7">
        <v>4.532</v>
      </c>
      <c r="O2879" s="7">
        <v>4.7409999999999997</v>
      </c>
      <c r="P2879" s="7">
        <v>5.452</v>
      </c>
      <c r="Q2879" s="7">
        <v>6.1740000000000004</v>
      </c>
      <c r="R2879" s="7">
        <v>6.3860000000000001</v>
      </c>
      <c r="S2879" s="7">
        <f t="shared" si="44"/>
        <v>4.9883333333333333</v>
      </c>
    </row>
    <row r="2880" spans="1:19">
      <c r="A2880" s="5" t="str">
        <f>B2880&amp;"-"&amp;COUNTIF($B$2:B2880,B2880)</f>
        <v>PARANÁ-94</v>
      </c>
      <c r="B2880" s="5" t="s">
        <v>1921</v>
      </c>
      <c r="C2880" s="5" t="s">
        <v>1970</v>
      </c>
      <c r="D2880" s="6">
        <v>-51444</v>
      </c>
      <c r="E2880" s="6">
        <v>-239924</v>
      </c>
      <c r="F2880" s="7">
        <v>4.8129999999999997</v>
      </c>
      <c r="G2880" s="7">
        <v>5.8410000000000002</v>
      </c>
      <c r="H2880" s="7">
        <v>5.6660000000000004</v>
      </c>
      <c r="I2880" s="7">
        <v>5.1619999999999999</v>
      </c>
      <c r="J2880" s="7">
        <v>4.5039999999999996</v>
      </c>
      <c r="K2880" s="7">
        <v>3.5289999999999999</v>
      </c>
      <c r="L2880" s="7">
        <v>3.206</v>
      </c>
      <c r="M2880" s="7">
        <v>3.4350000000000001</v>
      </c>
      <c r="N2880" s="7">
        <v>4.3890000000000002</v>
      </c>
      <c r="O2880" s="7">
        <v>4.556</v>
      </c>
      <c r="P2880" s="7">
        <v>5.2329999999999997</v>
      </c>
      <c r="Q2880" s="7">
        <v>5.96</v>
      </c>
      <c r="R2880" s="7">
        <v>6.274</v>
      </c>
      <c r="S2880" s="7">
        <f t="shared" si="44"/>
        <v>4.8129166666666663</v>
      </c>
    </row>
    <row r="2881" spans="1:19">
      <c r="A2881" s="5" t="str">
        <f>B2881&amp;"-"&amp;COUNTIF($B$2:B2881,B2881)</f>
        <v>PARANÁ-95</v>
      </c>
      <c r="B2881" s="5" t="s">
        <v>1921</v>
      </c>
      <c r="C2881" s="5" t="s">
        <v>4859</v>
      </c>
      <c r="D2881" s="6">
        <v>-504581</v>
      </c>
      <c r="E2881" s="6">
        <v>-240366</v>
      </c>
      <c r="F2881" s="7">
        <v>4.7210000000000001</v>
      </c>
      <c r="G2881" s="7">
        <v>5.6820000000000004</v>
      </c>
      <c r="H2881" s="7">
        <v>5.5430000000000001</v>
      </c>
      <c r="I2881" s="7">
        <v>5.0780000000000003</v>
      </c>
      <c r="J2881" s="7">
        <v>4.452</v>
      </c>
      <c r="K2881" s="7">
        <v>3.4910000000000001</v>
      </c>
      <c r="L2881" s="7">
        <v>3.0990000000000002</v>
      </c>
      <c r="M2881" s="7">
        <v>3.4</v>
      </c>
      <c r="N2881" s="7">
        <v>4.38</v>
      </c>
      <c r="O2881" s="7">
        <v>4.5449999999999999</v>
      </c>
      <c r="P2881" s="7">
        <v>5.1029999999999998</v>
      </c>
      <c r="Q2881" s="7">
        <v>5.7889999999999997</v>
      </c>
      <c r="R2881" s="7">
        <v>6.0910000000000002</v>
      </c>
      <c r="S2881" s="7">
        <f t="shared" si="44"/>
        <v>4.7210833333333335</v>
      </c>
    </row>
    <row r="2882" spans="1:19">
      <c r="A2882" s="5" t="str">
        <f>B2882&amp;"-"&amp;COUNTIF($B$2:B2882,B2882)</f>
        <v>PARANÁ-96</v>
      </c>
      <c r="B2882" s="5" t="s">
        <v>1921</v>
      </c>
      <c r="C2882" s="5" t="s">
        <v>1971</v>
      </c>
      <c r="D2882" s="6">
        <v>-492655</v>
      </c>
      <c r="E2882" s="6">
        <v>-254205</v>
      </c>
      <c r="F2882" s="7">
        <v>4.194</v>
      </c>
      <c r="G2882" s="7">
        <v>5.3179999999999996</v>
      </c>
      <c r="H2882" s="7">
        <v>5.1580000000000004</v>
      </c>
      <c r="I2882" s="7">
        <v>4.5380000000000003</v>
      </c>
      <c r="J2882" s="7">
        <v>3.782</v>
      </c>
      <c r="K2882" s="7">
        <v>3.0470000000000002</v>
      </c>
      <c r="L2882" s="7">
        <v>2.758</v>
      </c>
      <c r="M2882" s="7">
        <v>2.8919999999999999</v>
      </c>
      <c r="N2882" s="7">
        <v>3.8639999999999999</v>
      </c>
      <c r="O2882" s="7">
        <v>3.83</v>
      </c>
      <c r="P2882" s="7">
        <v>4.359</v>
      </c>
      <c r="Q2882" s="7">
        <v>5.23</v>
      </c>
      <c r="R2882" s="7">
        <v>5.5570000000000004</v>
      </c>
      <c r="S2882" s="7">
        <f t="shared" si="44"/>
        <v>4.1944166666666662</v>
      </c>
    </row>
    <row r="2883" spans="1:19">
      <c r="A2883" s="5" t="str">
        <f>B2883&amp;"-"&amp;COUNTIF($B$2:B2883,B2883)</f>
        <v>PARANÁ-97</v>
      </c>
      <c r="B2883" s="5" t="s">
        <v>1921</v>
      </c>
      <c r="C2883" s="5" t="s">
        <v>1972</v>
      </c>
      <c r="D2883" s="5" t="s">
        <v>1973</v>
      </c>
      <c r="E2883" s="6">
        <v>-22656</v>
      </c>
      <c r="F2883" s="7">
        <v>5.0410000000000004</v>
      </c>
      <c r="G2883" s="7">
        <v>6.0880000000000001</v>
      </c>
      <c r="H2883" s="7">
        <v>6.0519999999999996</v>
      </c>
      <c r="I2883" s="7">
        <v>5.4610000000000003</v>
      </c>
      <c r="J2883" s="7">
        <v>4.6559999999999997</v>
      </c>
      <c r="K2883" s="7">
        <v>3.742</v>
      </c>
      <c r="L2883" s="7">
        <v>3.4140000000000001</v>
      </c>
      <c r="M2883" s="7">
        <v>3.5910000000000002</v>
      </c>
      <c r="N2883" s="7">
        <v>4.5060000000000002</v>
      </c>
      <c r="O2883" s="7">
        <v>4.7779999999999996</v>
      </c>
      <c r="P2883" s="7">
        <v>5.4480000000000004</v>
      </c>
      <c r="Q2883" s="7">
        <v>6.19</v>
      </c>
      <c r="R2883" s="7">
        <v>6.5670000000000002</v>
      </c>
      <c r="S2883" s="7">
        <f t="shared" ref="S2883:S2946" si="45">(G2883+H2883+I2883+J2883+K2883+L2883+M2883+N2883+O2883+P2883+Q2883+R2883)/12</f>
        <v>5.0410833333333329</v>
      </c>
    </row>
    <row r="2884" spans="1:19">
      <c r="A2884" s="5" t="str">
        <f>B2884&amp;"-"&amp;COUNTIF($B$2:B2884,B2884)</f>
        <v>PARANÁ-98</v>
      </c>
      <c r="B2884" s="5" t="s">
        <v>1921</v>
      </c>
      <c r="C2884" s="5" t="s">
        <v>1974</v>
      </c>
      <c r="D2884" s="6">
        <v>-526772</v>
      </c>
      <c r="E2884" s="6">
        <v>-250355</v>
      </c>
      <c r="F2884" s="7">
        <v>4.8179999999999996</v>
      </c>
      <c r="G2884" s="7">
        <v>6.2779999999999996</v>
      </c>
      <c r="H2884" s="7">
        <v>5.6829999999999998</v>
      </c>
      <c r="I2884" s="7">
        <v>5.3259999999999996</v>
      </c>
      <c r="J2884" s="7">
        <v>4.3879999999999999</v>
      </c>
      <c r="K2884" s="7">
        <v>3.3980000000000001</v>
      </c>
      <c r="L2884" s="7">
        <v>2.9990000000000001</v>
      </c>
      <c r="M2884" s="7">
        <v>3.2320000000000002</v>
      </c>
      <c r="N2884" s="7">
        <v>4.2519999999999998</v>
      </c>
      <c r="O2884" s="7">
        <v>4.4240000000000004</v>
      </c>
      <c r="P2884" s="7">
        <v>5.29</v>
      </c>
      <c r="Q2884" s="7">
        <v>6.157</v>
      </c>
      <c r="R2884" s="7">
        <v>6.3959999999999999</v>
      </c>
      <c r="S2884" s="7">
        <f t="shared" si="45"/>
        <v>4.8185833333333328</v>
      </c>
    </row>
    <row r="2885" spans="1:19">
      <c r="A2885" s="5" t="str">
        <f>B2885&amp;"-"&amp;COUNTIF($B$2:B2885,B2885)</f>
        <v>PARANÁ-99</v>
      </c>
      <c r="B2885" s="5" t="s">
        <v>1921</v>
      </c>
      <c r="C2885" s="5" t="s">
        <v>1975</v>
      </c>
      <c r="D2885" s="6">
        <v>-541056</v>
      </c>
      <c r="E2885" s="6">
        <v>-249423</v>
      </c>
      <c r="F2885" s="7">
        <v>4.7990000000000004</v>
      </c>
      <c r="G2885" s="7">
        <v>6.2919999999999998</v>
      </c>
      <c r="H2885" s="7">
        <v>5.7720000000000002</v>
      </c>
      <c r="I2885" s="7">
        <v>5.3319999999999999</v>
      </c>
      <c r="J2885" s="7">
        <v>4.2779999999999996</v>
      </c>
      <c r="K2885" s="7">
        <v>3.3069999999999999</v>
      </c>
      <c r="L2885" s="7">
        <v>2.911</v>
      </c>
      <c r="M2885" s="7">
        <v>3.137</v>
      </c>
      <c r="N2885" s="7">
        <v>4.149</v>
      </c>
      <c r="O2885" s="7">
        <v>4.3769999999999998</v>
      </c>
      <c r="P2885" s="7">
        <v>5.3140000000000001</v>
      </c>
      <c r="Q2885" s="7">
        <v>6.1520000000000001</v>
      </c>
      <c r="R2885" s="7">
        <v>6.5650000000000004</v>
      </c>
      <c r="S2885" s="7">
        <f t="shared" si="45"/>
        <v>4.7988333333333335</v>
      </c>
    </row>
    <row r="2886" spans="1:19">
      <c r="A2886" s="5" t="str">
        <f>B2886&amp;"-"&amp;COUNTIF($B$2:B2886,B2886)</f>
        <v>PARANÁ-100</v>
      </c>
      <c r="B2886" s="5" t="s">
        <v>1921</v>
      </c>
      <c r="C2886" s="5" t="s">
        <v>1976</v>
      </c>
      <c r="D2886" s="6">
        <v>-530575</v>
      </c>
      <c r="E2886" s="6">
        <v>-257412</v>
      </c>
      <c r="F2886" s="7">
        <v>4.7679999999999998</v>
      </c>
      <c r="G2886" s="7">
        <v>6.3710000000000004</v>
      </c>
      <c r="H2886" s="7">
        <v>5.79</v>
      </c>
      <c r="I2886" s="7">
        <v>5.2690000000000001</v>
      </c>
      <c r="J2886" s="7">
        <v>4.2759999999999998</v>
      </c>
      <c r="K2886" s="7">
        <v>3.28</v>
      </c>
      <c r="L2886" s="7">
        <v>2.835</v>
      </c>
      <c r="M2886" s="7">
        <v>3.1040000000000001</v>
      </c>
      <c r="N2886" s="7">
        <v>4.0910000000000002</v>
      </c>
      <c r="O2886" s="7">
        <v>4.2859999999999996</v>
      </c>
      <c r="P2886" s="7">
        <v>5.2590000000000003</v>
      </c>
      <c r="Q2886" s="7">
        <v>6.194</v>
      </c>
      <c r="R2886" s="7">
        <v>6.4610000000000003</v>
      </c>
      <c r="S2886" s="7">
        <f t="shared" si="45"/>
        <v>4.7679999999999998</v>
      </c>
    </row>
    <row r="2887" spans="1:19">
      <c r="A2887" s="5" t="str">
        <f>B2887&amp;"-"&amp;COUNTIF($B$2:B2887,B2887)</f>
        <v>PARANÁ-101</v>
      </c>
      <c r="B2887" s="5" t="s">
        <v>1921</v>
      </c>
      <c r="C2887" s="5" t="s">
        <v>1091</v>
      </c>
      <c r="D2887" s="6">
        <v>-532922</v>
      </c>
      <c r="E2887" s="6">
        <v>-233812</v>
      </c>
      <c r="F2887" s="7">
        <v>4.931</v>
      </c>
      <c r="G2887" s="7">
        <v>6.0270000000000001</v>
      </c>
      <c r="H2887" s="7">
        <v>5.883</v>
      </c>
      <c r="I2887" s="7">
        <v>5.3739999999999997</v>
      </c>
      <c r="J2887" s="7">
        <v>4.5430000000000001</v>
      </c>
      <c r="K2887" s="7">
        <v>3.5939999999999999</v>
      </c>
      <c r="L2887" s="7">
        <v>3.2210000000000001</v>
      </c>
      <c r="M2887" s="7">
        <v>3.4409999999999998</v>
      </c>
      <c r="N2887" s="7">
        <v>4.4039999999999999</v>
      </c>
      <c r="O2887" s="7">
        <v>4.6180000000000003</v>
      </c>
      <c r="P2887" s="7">
        <v>5.444</v>
      </c>
      <c r="Q2887" s="7">
        <v>6.1470000000000002</v>
      </c>
      <c r="R2887" s="7">
        <v>6.4770000000000003</v>
      </c>
      <c r="S2887" s="7">
        <f t="shared" si="45"/>
        <v>4.9310833333333335</v>
      </c>
    </row>
    <row r="2888" spans="1:19">
      <c r="A2888" s="5" t="str">
        <f>B2888&amp;"-"&amp;COUNTIF($B$2:B2888,B2888)</f>
        <v>PARANÁ-102</v>
      </c>
      <c r="B2888" s="5" t="s">
        <v>1921</v>
      </c>
      <c r="C2888" s="5" t="s">
        <v>1977</v>
      </c>
      <c r="D2888" s="6">
        <v>-522182</v>
      </c>
      <c r="E2888" s="6">
        <v>-235586</v>
      </c>
      <c r="F2888" s="7">
        <v>4.891</v>
      </c>
      <c r="G2888" s="7">
        <v>6.0839999999999996</v>
      </c>
      <c r="H2888" s="7">
        <v>5.68</v>
      </c>
      <c r="I2888" s="7">
        <v>5.2169999999999996</v>
      </c>
      <c r="J2888" s="7">
        <v>4.593</v>
      </c>
      <c r="K2888" s="7">
        <v>3.6389999999999998</v>
      </c>
      <c r="L2888" s="7">
        <v>3.2440000000000002</v>
      </c>
      <c r="M2888" s="7">
        <v>3.45</v>
      </c>
      <c r="N2888" s="7">
        <v>4.3410000000000002</v>
      </c>
      <c r="O2888" s="7">
        <v>4.63</v>
      </c>
      <c r="P2888" s="7">
        <v>5.2809999999999997</v>
      </c>
      <c r="Q2888" s="7">
        <v>6.0469999999999997</v>
      </c>
      <c r="R2888" s="7">
        <v>6.484</v>
      </c>
      <c r="S2888" s="7">
        <f t="shared" si="45"/>
        <v>4.8908333333333331</v>
      </c>
    </row>
    <row r="2889" spans="1:19">
      <c r="A2889" s="5" t="str">
        <f>B2889&amp;"-"&amp;COUNTIF($B$2:B2889,B2889)</f>
        <v>PARANÁ-103</v>
      </c>
      <c r="B2889" s="5" t="s">
        <v>1921</v>
      </c>
      <c r="C2889" s="5" t="s">
        <v>1978</v>
      </c>
      <c r="D2889" s="6">
        <v>-494199</v>
      </c>
      <c r="E2889" s="6">
        <v>-24568</v>
      </c>
      <c r="F2889" s="7">
        <v>4.1829999999999998</v>
      </c>
      <c r="G2889" s="7">
        <v>5.0460000000000003</v>
      </c>
      <c r="H2889" s="7">
        <v>5.1189999999999998</v>
      </c>
      <c r="I2889" s="7">
        <v>4.4850000000000003</v>
      </c>
      <c r="J2889" s="7">
        <v>3.839</v>
      </c>
      <c r="K2889" s="7">
        <v>3.1019999999999999</v>
      </c>
      <c r="L2889" s="7">
        <v>2.8090000000000002</v>
      </c>
      <c r="M2889" s="7">
        <v>2.9460000000000002</v>
      </c>
      <c r="N2889" s="7">
        <v>3.9340000000000002</v>
      </c>
      <c r="O2889" s="7">
        <v>3.92</v>
      </c>
      <c r="P2889" s="7">
        <v>4.367</v>
      </c>
      <c r="Q2889" s="7">
        <v>5.1239999999999997</v>
      </c>
      <c r="R2889" s="7">
        <v>5.5019999999999998</v>
      </c>
      <c r="S2889" s="7">
        <f t="shared" si="45"/>
        <v>4.1827500000000004</v>
      </c>
    </row>
    <row r="2890" spans="1:19">
      <c r="A2890" s="5" t="str">
        <f>B2890&amp;"-"&amp;COUNTIF($B$2:B2890,B2890)</f>
        <v>PARANÁ-104</v>
      </c>
      <c r="B2890" s="5" t="s">
        <v>1921</v>
      </c>
      <c r="C2890" s="5" t="s">
        <v>4414</v>
      </c>
      <c r="D2890" s="6">
        <v>-531663</v>
      </c>
      <c r="E2890" s="6">
        <v>-25945</v>
      </c>
      <c r="F2890" s="7">
        <v>4.75</v>
      </c>
      <c r="G2890" s="7">
        <v>6.2889999999999997</v>
      </c>
      <c r="H2890" s="7">
        <v>5.7489999999999997</v>
      </c>
      <c r="I2890" s="7">
        <v>5.2329999999999997</v>
      </c>
      <c r="J2890" s="7">
        <v>4.2510000000000003</v>
      </c>
      <c r="K2890" s="7">
        <v>3.2850000000000001</v>
      </c>
      <c r="L2890" s="7">
        <v>2.8370000000000002</v>
      </c>
      <c r="M2890" s="7">
        <v>3.1360000000000001</v>
      </c>
      <c r="N2890" s="7">
        <v>4.0960000000000001</v>
      </c>
      <c r="O2890" s="7">
        <v>4.2809999999999997</v>
      </c>
      <c r="P2890" s="7">
        <v>5.2389999999999999</v>
      </c>
      <c r="Q2890" s="7">
        <v>6.1559999999999997</v>
      </c>
      <c r="R2890" s="7">
        <v>6.4459999999999997</v>
      </c>
      <c r="S2890" s="7">
        <f t="shared" si="45"/>
        <v>4.7498333333333331</v>
      </c>
    </row>
    <row r="2891" spans="1:19">
      <c r="A2891" s="5" t="str">
        <f>B2891&amp;"-"&amp;COUNTIF($B$2:B2891,B2891)</f>
        <v>PARANÁ-105</v>
      </c>
      <c r="B2891" s="5" t="s">
        <v>1921</v>
      </c>
      <c r="C2891" s="5" t="s">
        <v>4077</v>
      </c>
      <c r="D2891" s="6">
        <v>-522663</v>
      </c>
      <c r="E2891" s="6">
        <v>-237975</v>
      </c>
      <c r="F2891" s="7">
        <v>4.9000000000000004</v>
      </c>
      <c r="G2891" s="7">
        <v>6.0529999999999999</v>
      </c>
      <c r="H2891" s="7">
        <v>5.77</v>
      </c>
      <c r="I2891" s="7">
        <v>5.3159999999999998</v>
      </c>
      <c r="J2891" s="7">
        <v>4.5810000000000004</v>
      </c>
      <c r="K2891" s="7">
        <v>3.6160000000000001</v>
      </c>
      <c r="L2891" s="7">
        <v>3.2280000000000002</v>
      </c>
      <c r="M2891" s="7">
        <v>3.419</v>
      </c>
      <c r="N2891" s="7">
        <v>4.3659999999999997</v>
      </c>
      <c r="O2891" s="7">
        <v>4.601</v>
      </c>
      <c r="P2891" s="7">
        <v>5.29</v>
      </c>
      <c r="Q2891" s="7">
        <v>6.1379999999999999</v>
      </c>
      <c r="R2891" s="7">
        <v>6.4210000000000003</v>
      </c>
      <c r="S2891" s="7">
        <f t="shared" si="45"/>
        <v>4.8999166666666669</v>
      </c>
    </row>
    <row r="2892" spans="1:19">
      <c r="A2892" s="5" t="str">
        <f>B2892&amp;"-"&amp;COUNTIF($B$2:B2892,B2892)</f>
        <v>PARANÁ-106</v>
      </c>
      <c r="B2892" s="5" t="s">
        <v>1921</v>
      </c>
      <c r="C2892" s="5" t="s">
        <v>1979</v>
      </c>
      <c r="D2892" s="6">
        <v>-54239</v>
      </c>
      <c r="E2892" s="6">
        <v>-247047</v>
      </c>
      <c r="F2892" s="7">
        <v>4.8109999999999999</v>
      </c>
      <c r="G2892" s="7">
        <v>6.3739999999999997</v>
      </c>
      <c r="H2892" s="7">
        <v>5.8390000000000004</v>
      </c>
      <c r="I2892" s="7">
        <v>5.33</v>
      </c>
      <c r="J2892" s="7">
        <v>4.3070000000000004</v>
      </c>
      <c r="K2892" s="7">
        <v>3.3260000000000001</v>
      </c>
      <c r="L2892" s="7">
        <v>2.9180000000000001</v>
      </c>
      <c r="M2892" s="7">
        <v>3.1309999999999998</v>
      </c>
      <c r="N2892" s="7">
        <v>4.0979999999999999</v>
      </c>
      <c r="O2892" s="7">
        <v>4.3730000000000002</v>
      </c>
      <c r="P2892" s="7">
        <v>5.3049999999999997</v>
      </c>
      <c r="Q2892" s="7">
        <v>6.1420000000000003</v>
      </c>
      <c r="R2892" s="7">
        <v>6.5860000000000003</v>
      </c>
      <c r="S2892" s="7">
        <f t="shared" si="45"/>
        <v>4.8107499999999996</v>
      </c>
    </row>
    <row r="2893" spans="1:19">
      <c r="A2893" s="5" t="str">
        <f>B2893&amp;"-"&amp;COUNTIF($B$2:B2893,B2893)</f>
        <v>PARANÁ-107</v>
      </c>
      <c r="B2893" s="5" t="s">
        <v>1921</v>
      </c>
      <c r="C2893" s="5" t="s">
        <v>4710</v>
      </c>
      <c r="D2893" s="6">
        <v>-538114</v>
      </c>
      <c r="E2893" s="6">
        <v>-237242</v>
      </c>
      <c r="F2893" s="7">
        <v>4.9020000000000001</v>
      </c>
      <c r="G2893" s="7">
        <v>6.1859999999999999</v>
      </c>
      <c r="H2893" s="7">
        <v>5.8970000000000002</v>
      </c>
      <c r="I2893" s="7">
        <v>5.3550000000000004</v>
      </c>
      <c r="J2893" s="7">
        <v>4.4569999999999999</v>
      </c>
      <c r="K2893" s="7">
        <v>3.512</v>
      </c>
      <c r="L2893" s="7">
        <v>3.1309999999999998</v>
      </c>
      <c r="M2893" s="7">
        <v>3.323</v>
      </c>
      <c r="N2893" s="7">
        <v>4.3170000000000002</v>
      </c>
      <c r="O2893" s="7">
        <v>4.5739999999999998</v>
      </c>
      <c r="P2893" s="7">
        <v>5.3810000000000002</v>
      </c>
      <c r="Q2893" s="7">
        <v>6.1379999999999999</v>
      </c>
      <c r="R2893" s="7">
        <v>6.556</v>
      </c>
      <c r="S2893" s="7">
        <f t="shared" si="45"/>
        <v>4.9022499999999996</v>
      </c>
    </row>
    <row r="2894" spans="1:19">
      <c r="A2894" s="5" t="str">
        <f>B2894&amp;"-"&amp;COUNTIF($B$2:B2894,B2894)</f>
        <v>PARANÁ-108</v>
      </c>
      <c r="B2894" s="5" t="s">
        <v>1921</v>
      </c>
      <c r="C2894" s="5" t="s">
        <v>4711</v>
      </c>
      <c r="D2894" s="6">
        <v>-528352</v>
      </c>
      <c r="E2894" s="6">
        <v>-254221</v>
      </c>
      <c r="F2894" s="7">
        <v>4.7249999999999996</v>
      </c>
      <c r="G2894" s="7">
        <v>6.2290000000000001</v>
      </c>
      <c r="H2894" s="7">
        <v>5.6390000000000002</v>
      </c>
      <c r="I2894" s="7">
        <v>5.173</v>
      </c>
      <c r="J2894" s="7">
        <v>4.2830000000000004</v>
      </c>
      <c r="K2894" s="7">
        <v>3.3090000000000002</v>
      </c>
      <c r="L2894" s="7">
        <v>2.91</v>
      </c>
      <c r="M2894" s="7">
        <v>3.1389999999999998</v>
      </c>
      <c r="N2894" s="7">
        <v>4.1260000000000003</v>
      </c>
      <c r="O2894" s="7">
        <v>4.3140000000000001</v>
      </c>
      <c r="P2894" s="7">
        <v>5.1950000000000003</v>
      </c>
      <c r="Q2894" s="7">
        <v>6.0709999999999997</v>
      </c>
      <c r="R2894" s="7">
        <v>6.306</v>
      </c>
      <c r="S2894" s="7">
        <f t="shared" si="45"/>
        <v>4.7244999999999999</v>
      </c>
    </row>
    <row r="2895" spans="1:19">
      <c r="A2895" s="5" t="str">
        <f>B2895&amp;"-"&amp;COUNTIF($B$2:B2895,B2895)</f>
        <v>PARANÁ-109</v>
      </c>
      <c r="B2895" s="5" t="s">
        <v>1921</v>
      </c>
      <c r="C2895" s="5" t="s">
        <v>5300</v>
      </c>
      <c r="D2895" s="6">
        <v>-51981</v>
      </c>
      <c r="E2895" s="6">
        <v>-23914</v>
      </c>
      <c r="F2895" s="7">
        <v>4.8959999999999999</v>
      </c>
      <c r="G2895" s="7">
        <v>6.101</v>
      </c>
      <c r="H2895" s="7">
        <v>5.8179999999999996</v>
      </c>
      <c r="I2895" s="7">
        <v>5.2939999999999996</v>
      </c>
      <c r="J2895" s="7">
        <v>4.5970000000000004</v>
      </c>
      <c r="K2895" s="7">
        <v>3.5920000000000001</v>
      </c>
      <c r="L2895" s="7">
        <v>3.1949999999999998</v>
      </c>
      <c r="M2895" s="7">
        <v>3.423</v>
      </c>
      <c r="N2895" s="7">
        <v>4.3659999999999997</v>
      </c>
      <c r="O2895" s="7">
        <v>4.5810000000000004</v>
      </c>
      <c r="P2895" s="7">
        <v>5.258</v>
      </c>
      <c r="Q2895" s="7">
        <v>6.1130000000000004</v>
      </c>
      <c r="R2895" s="7">
        <v>6.4119999999999999</v>
      </c>
      <c r="S2895" s="7">
        <f t="shared" si="45"/>
        <v>4.8958333333333339</v>
      </c>
    </row>
    <row r="2896" spans="1:19">
      <c r="A2896" s="5" t="str">
        <f>B2896&amp;"-"&amp;COUNTIF($B$2:B2896,B2896)</f>
        <v>PARANÁ-110</v>
      </c>
      <c r="B2896" s="5" t="s">
        <v>1921</v>
      </c>
      <c r="C2896" s="5" t="s">
        <v>1980</v>
      </c>
      <c r="D2896" s="6">
        <v>-526221</v>
      </c>
      <c r="E2896" s="6">
        <v>-240963</v>
      </c>
      <c r="F2896" s="7">
        <v>4.867</v>
      </c>
      <c r="G2896" s="7">
        <v>6.1980000000000004</v>
      </c>
      <c r="H2896" s="7">
        <v>5.6909999999999998</v>
      </c>
      <c r="I2896" s="7">
        <v>5.2350000000000003</v>
      </c>
      <c r="J2896" s="7">
        <v>4.4729999999999999</v>
      </c>
      <c r="K2896" s="7">
        <v>3.5390000000000001</v>
      </c>
      <c r="L2896" s="7">
        <v>3.137</v>
      </c>
      <c r="M2896" s="7">
        <v>3.38</v>
      </c>
      <c r="N2896" s="7">
        <v>4.3010000000000002</v>
      </c>
      <c r="O2896" s="7">
        <v>4.548</v>
      </c>
      <c r="P2896" s="7">
        <v>5.3179999999999996</v>
      </c>
      <c r="Q2896" s="7">
        <v>6.0839999999999996</v>
      </c>
      <c r="R2896" s="7">
        <v>6.5039999999999996</v>
      </c>
      <c r="S2896" s="7">
        <f t="shared" si="45"/>
        <v>4.8673333333333328</v>
      </c>
    </row>
    <row r="2897" spans="1:19">
      <c r="A2897" s="5" t="str">
        <f>B2897&amp;"-"&amp;COUNTIF($B$2:B2897,B2897)</f>
        <v>PARANÁ-111</v>
      </c>
      <c r="B2897" s="5" t="s">
        <v>1921</v>
      </c>
      <c r="C2897" s="5" t="s">
        <v>1981</v>
      </c>
      <c r="D2897" s="6">
        <v>-513231</v>
      </c>
      <c r="E2897" s="6">
        <v>-240081</v>
      </c>
      <c r="F2897" s="7">
        <v>4.7699999999999996</v>
      </c>
      <c r="G2897" s="7">
        <v>5.766</v>
      </c>
      <c r="H2897" s="7">
        <v>5.6219999999999999</v>
      </c>
      <c r="I2897" s="7">
        <v>5.0949999999999998</v>
      </c>
      <c r="J2897" s="7">
        <v>4.4649999999999999</v>
      </c>
      <c r="K2897" s="7">
        <v>3.5089999999999999</v>
      </c>
      <c r="L2897" s="7">
        <v>3.2050000000000001</v>
      </c>
      <c r="M2897" s="7">
        <v>3.427</v>
      </c>
      <c r="N2897" s="7">
        <v>4.375</v>
      </c>
      <c r="O2897" s="7">
        <v>4.5289999999999999</v>
      </c>
      <c r="P2897" s="7">
        <v>5.173</v>
      </c>
      <c r="Q2897" s="7">
        <v>5.8929999999999998</v>
      </c>
      <c r="R2897" s="7">
        <v>6.1769999999999996</v>
      </c>
      <c r="S2897" s="7">
        <f t="shared" si="45"/>
        <v>4.7696666666666667</v>
      </c>
    </row>
    <row r="2898" spans="1:19">
      <c r="A2898" s="5" t="str">
        <f>B2898&amp;"-"&amp;COUNTIF($B$2:B2898,B2898)</f>
        <v>PARANÁ-112</v>
      </c>
      <c r="B2898" s="5" t="s">
        <v>1921</v>
      </c>
      <c r="C2898" s="5" t="s">
        <v>1982</v>
      </c>
      <c r="D2898" s="6">
        <v>-493077</v>
      </c>
      <c r="E2898" s="6">
        <v>-256628</v>
      </c>
      <c r="F2898" s="7">
        <v>4.1749999999999998</v>
      </c>
      <c r="G2898" s="7">
        <v>5.3789999999999996</v>
      </c>
      <c r="H2898" s="7">
        <v>5.1639999999999997</v>
      </c>
      <c r="I2898" s="7">
        <v>4.5060000000000002</v>
      </c>
      <c r="J2898" s="7">
        <v>3.7309999999999999</v>
      </c>
      <c r="K2898" s="7">
        <v>2.99</v>
      </c>
      <c r="L2898" s="7">
        <v>2.681</v>
      </c>
      <c r="M2898" s="7">
        <v>2.8380000000000001</v>
      </c>
      <c r="N2898" s="7">
        <v>3.802</v>
      </c>
      <c r="O2898" s="7">
        <v>3.806</v>
      </c>
      <c r="P2898" s="7">
        <v>4.367</v>
      </c>
      <c r="Q2898" s="7">
        <v>5.2409999999999997</v>
      </c>
      <c r="R2898" s="7">
        <v>5.5990000000000002</v>
      </c>
      <c r="S2898" s="7">
        <f t="shared" si="45"/>
        <v>4.1753333333333336</v>
      </c>
    </row>
    <row r="2899" spans="1:19">
      <c r="A2899" s="5" t="str">
        <f>B2899&amp;"-"&amp;COUNTIF($B$2:B2899,B2899)</f>
        <v>PARANÁ-113</v>
      </c>
      <c r="B2899" s="5" t="s">
        <v>1921</v>
      </c>
      <c r="C2899" s="5" t="s">
        <v>1983</v>
      </c>
      <c r="D2899" s="6">
        <v>-50546</v>
      </c>
      <c r="E2899" s="6">
        <v>-254112</v>
      </c>
      <c r="F2899" s="7">
        <v>4.3330000000000002</v>
      </c>
      <c r="G2899" s="7">
        <v>5.5179999999999998</v>
      </c>
      <c r="H2899" s="7">
        <v>5.2530000000000001</v>
      </c>
      <c r="I2899" s="7">
        <v>4.6340000000000003</v>
      </c>
      <c r="J2899" s="7">
        <v>3.8759999999999999</v>
      </c>
      <c r="K2899" s="7">
        <v>3.093</v>
      </c>
      <c r="L2899" s="7">
        <v>2.7</v>
      </c>
      <c r="M2899" s="7">
        <v>2.9689999999999999</v>
      </c>
      <c r="N2899" s="7">
        <v>3.9649999999999999</v>
      </c>
      <c r="O2899" s="7">
        <v>4.069</v>
      </c>
      <c r="P2899" s="7">
        <v>4.6550000000000002</v>
      </c>
      <c r="Q2899" s="7">
        <v>5.5609999999999999</v>
      </c>
      <c r="R2899" s="7">
        <v>5.7030000000000003</v>
      </c>
      <c r="S2899" s="7">
        <f t="shared" si="45"/>
        <v>4.3330000000000011</v>
      </c>
    </row>
    <row r="2900" spans="1:19">
      <c r="A2900" s="5" t="str">
        <f>B2900&amp;"-"&amp;COUNTIF($B$2:B2900,B2900)</f>
        <v>PARANÁ-114</v>
      </c>
      <c r="B2900" s="5" t="s">
        <v>1921</v>
      </c>
      <c r="C2900" s="5" t="s">
        <v>1984</v>
      </c>
      <c r="D2900" s="6">
        <v>-504029</v>
      </c>
      <c r="E2900" s="6">
        <v>-23849</v>
      </c>
      <c r="F2900" s="7">
        <v>4.71</v>
      </c>
      <c r="G2900" s="7">
        <v>5.6219999999999999</v>
      </c>
      <c r="H2900" s="7">
        <v>5.5609999999999999</v>
      </c>
      <c r="I2900" s="7">
        <v>4.9560000000000004</v>
      </c>
      <c r="J2900" s="7">
        <v>4.4180000000000001</v>
      </c>
      <c r="K2900" s="7">
        <v>3.5270000000000001</v>
      </c>
      <c r="L2900" s="7">
        <v>3.1509999999999998</v>
      </c>
      <c r="M2900" s="7">
        <v>3.411</v>
      </c>
      <c r="N2900" s="7">
        <v>4.4169999999999998</v>
      </c>
      <c r="O2900" s="7">
        <v>4.5599999999999996</v>
      </c>
      <c r="P2900" s="7">
        <v>5.0750000000000002</v>
      </c>
      <c r="Q2900" s="7">
        <v>5.7469999999999999</v>
      </c>
      <c r="R2900" s="7">
        <v>6.07</v>
      </c>
      <c r="S2900" s="7">
        <f t="shared" si="45"/>
        <v>4.7095833333333337</v>
      </c>
    </row>
    <row r="2901" spans="1:19">
      <c r="A2901" s="5" t="str">
        <f>B2901&amp;"-"&amp;COUNTIF($B$2:B2901,B2901)</f>
        <v>PARANÁ-115</v>
      </c>
      <c r="B2901" s="5" t="s">
        <v>1921</v>
      </c>
      <c r="C2901" s="5" t="s">
        <v>5168</v>
      </c>
      <c r="D2901" s="6">
        <v>-51955</v>
      </c>
      <c r="E2901" s="6">
        <v>-230852</v>
      </c>
      <c r="F2901" s="7">
        <v>4.9909999999999997</v>
      </c>
      <c r="G2901" s="7">
        <v>6.056</v>
      </c>
      <c r="H2901" s="7">
        <v>5.9109999999999996</v>
      </c>
      <c r="I2901" s="7">
        <v>5.37</v>
      </c>
      <c r="J2901" s="7">
        <v>4.6760000000000002</v>
      </c>
      <c r="K2901" s="7">
        <v>3.698</v>
      </c>
      <c r="L2901" s="7">
        <v>3.3730000000000002</v>
      </c>
      <c r="M2901" s="7">
        <v>3.5659999999999998</v>
      </c>
      <c r="N2901" s="7">
        <v>4.5359999999999996</v>
      </c>
      <c r="O2901" s="7">
        <v>4.7300000000000004</v>
      </c>
      <c r="P2901" s="7">
        <v>5.4320000000000004</v>
      </c>
      <c r="Q2901" s="7">
        <v>6.1260000000000003</v>
      </c>
      <c r="R2901" s="7">
        <v>6.42</v>
      </c>
      <c r="S2901" s="7">
        <f t="shared" si="45"/>
        <v>4.9911666666666665</v>
      </c>
    </row>
    <row r="2902" spans="1:19">
      <c r="A2902" s="5" t="str">
        <f>B2902&amp;"-"&amp;COUNTIF($B$2:B2902,B2902)</f>
        <v>PARANÁ-116</v>
      </c>
      <c r="B2902" s="5" t="s">
        <v>1921</v>
      </c>
      <c r="C2902" s="5" t="s">
        <v>1985</v>
      </c>
      <c r="D2902" s="6">
        <v>-533097</v>
      </c>
      <c r="E2902" s="6">
        <v>-262528</v>
      </c>
      <c r="F2902" s="7">
        <v>4.6769999999999996</v>
      </c>
      <c r="G2902" s="7">
        <v>6.3170000000000002</v>
      </c>
      <c r="H2902" s="7">
        <v>5.7069999999999999</v>
      </c>
      <c r="I2902" s="7">
        <v>5.1260000000000003</v>
      </c>
      <c r="J2902" s="7">
        <v>4.173</v>
      </c>
      <c r="K2902" s="7">
        <v>3.23</v>
      </c>
      <c r="L2902" s="7">
        <v>2.75</v>
      </c>
      <c r="M2902" s="7">
        <v>3.0609999999999999</v>
      </c>
      <c r="N2902" s="7">
        <v>3.9820000000000002</v>
      </c>
      <c r="O2902" s="7">
        <v>4.24</v>
      </c>
      <c r="P2902" s="7">
        <v>5.1769999999999996</v>
      </c>
      <c r="Q2902" s="7">
        <v>6.06</v>
      </c>
      <c r="R2902" s="7">
        <v>6.2990000000000004</v>
      </c>
      <c r="S2902" s="7">
        <f t="shared" si="45"/>
        <v>4.6768333333333336</v>
      </c>
    </row>
    <row r="2903" spans="1:19">
      <c r="A2903" s="5" t="str">
        <f>B2903&amp;"-"&amp;COUNTIF($B$2:B2903,B2903)</f>
        <v>PARANÁ-117</v>
      </c>
      <c r="B2903" s="5" t="s">
        <v>1921</v>
      </c>
      <c r="C2903" s="5" t="s">
        <v>1986</v>
      </c>
      <c r="D2903" s="6">
        <v>-523033</v>
      </c>
      <c r="E2903" s="6">
        <v>-233183</v>
      </c>
      <c r="F2903" s="7">
        <v>4.9379999999999997</v>
      </c>
      <c r="G2903" s="7">
        <v>5.9459999999999997</v>
      </c>
      <c r="H2903" s="7">
        <v>5.8869999999999996</v>
      </c>
      <c r="I2903" s="7">
        <v>5.383</v>
      </c>
      <c r="J2903" s="7">
        <v>4.5979999999999999</v>
      </c>
      <c r="K2903" s="7">
        <v>3.6309999999999998</v>
      </c>
      <c r="L2903" s="7">
        <v>3.2890000000000001</v>
      </c>
      <c r="M2903" s="7">
        <v>3.5089999999999999</v>
      </c>
      <c r="N2903" s="7">
        <v>4.4119999999999999</v>
      </c>
      <c r="O2903" s="7">
        <v>4.6740000000000004</v>
      </c>
      <c r="P2903" s="7">
        <v>5.4139999999999997</v>
      </c>
      <c r="Q2903" s="7">
        <v>6.1079999999999997</v>
      </c>
      <c r="R2903" s="7">
        <v>6.4009999999999998</v>
      </c>
      <c r="S2903" s="7">
        <f t="shared" si="45"/>
        <v>4.937666666666666</v>
      </c>
    </row>
    <row r="2904" spans="1:19">
      <c r="A2904" s="5" t="str">
        <f>B2904&amp;"-"&amp;COUNTIF($B$2:B2904,B2904)</f>
        <v>PARANÁ-118</v>
      </c>
      <c r="B2904" s="5" t="s">
        <v>1921</v>
      </c>
      <c r="C2904" s="5" t="s">
        <v>1987</v>
      </c>
      <c r="D2904" s="6">
        <v>-520811</v>
      </c>
      <c r="E2904" s="6">
        <v>-236035</v>
      </c>
      <c r="F2904" s="7">
        <v>4.8780000000000001</v>
      </c>
      <c r="G2904" s="7">
        <v>5.9870000000000001</v>
      </c>
      <c r="H2904" s="7">
        <v>5.7350000000000003</v>
      </c>
      <c r="I2904" s="7">
        <v>5.194</v>
      </c>
      <c r="J2904" s="7">
        <v>4.5759999999999996</v>
      </c>
      <c r="K2904" s="7">
        <v>3.62</v>
      </c>
      <c r="L2904" s="7">
        <v>3.262</v>
      </c>
      <c r="M2904" s="7">
        <v>3.4590000000000001</v>
      </c>
      <c r="N2904" s="7">
        <v>4.3650000000000002</v>
      </c>
      <c r="O2904" s="7">
        <v>4.6360000000000001</v>
      </c>
      <c r="P2904" s="7">
        <v>5.266</v>
      </c>
      <c r="Q2904" s="7">
        <v>6.0359999999999996</v>
      </c>
      <c r="R2904" s="7">
        <v>6.3920000000000003</v>
      </c>
      <c r="S2904" s="7">
        <f t="shared" si="45"/>
        <v>4.8773333333333335</v>
      </c>
    </row>
    <row r="2905" spans="1:19">
      <c r="A2905" s="5" t="str">
        <f>B2905&amp;"-"&amp;COUNTIF($B$2:B2905,B2905)</f>
        <v>PARANÁ-119</v>
      </c>
      <c r="B2905" s="5" t="s">
        <v>1921</v>
      </c>
      <c r="C2905" s="5" t="s">
        <v>5169</v>
      </c>
      <c r="D2905" s="6">
        <v>-513886</v>
      </c>
      <c r="E2905" s="6">
        <v>-228627</v>
      </c>
      <c r="F2905" s="7">
        <v>5.0140000000000002</v>
      </c>
      <c r="G2905" s="7">
        <v>5.9630000000000001</v>
      </c>
      <c r="H2905" s="7">
        <v>5.93</v>
      </c>
      <c r="I2905" s="7">
        <v>5.407</v>
      </c>
      <c r="J2905" s="7">
        <v>4.7270000000000003</v>
      </c>
      <c r="K2905" s="7">
        <v>3.734</v>
      </c>
      <c r="L2905" s="7">
        <v>3.4220000000000002</v>
      </c>
      <c r="M2905" s="7">
        <v>3.6549999999999998</v>
      </c>
      <c r="N2905" s="7">
        <v>4.5629999999999997</v>
      </c>
      <c r="O2905" s="7">
        <v>4.7519999999999998</v>
      </c>
      <c r="P2905" s="7">
        <v>5.4509999999999996</v>
      </c>
      <c r="Q2905" s="7">
        <v>6.14</v>
      </c>
      <c r="R2905" s="7">
        <v>6.4269999999999996</v>
      </c>
      <c r="S2905" s="7">
        <f t="shared" si="45"/>
        <v>5.0142500000000005</v>
      </c>
    </row>
    <row r="2906" spans="1:19">
      <c r="A2906" s="5" t="str">
        <f>B2906&amp;"-"&amp;COUNTIF($B$2:B2906,B2906)</f>
        <v>PARANÁ-120</v>
      </c>
      <c r="B2906" s="5" t="s">
        <v>1921</v>
      </c>
      <c r="C2906" s="5" t="s">
        <v>1988</v>
      </c>
      <c r="D2906" s="6">
        <v>-533118</v>
      </c>
      <c r="E2906" s="6">
        <v>-242956</v>
      </c>
      <c r="F2906" s="7">
        <v>4.8570000000000002</v>
      </c>
      <c r="G2906" s="7">
        <v>6.2450000000000001</v>
      </c>
      <c r="H2906" s="7">
        <v>5.7949999999999999</v>
      </c>
      <c r="I2906" s="7">
        <v>5.2969999999999997</v>
      </c>
      <c r="J2906" s="7">
        <v>4.43</v>
      </c>
      <c r="K2906" s="7">
        <v>3.4910000000000001</v>
      </c>
      <c r="L2906" s="7">
        <v>3.052</v>
      </c>
      <c r="M2906" s="7">
        <v>3.25</v>
      </c>
      <c r="N2906" s="7">
        <v>4.2670000000000003</v>
      </c>
      <c r="O2906" s="7">
        <v>4.5250000000000004</v>
      </c>
      <c r="P2906" s="7">
        <v>5.3319999999999999</v>
      </c>
      <c r="Q2906" s="7">
        <v>6.101</v>
      </c>
      <c r="R2906" s="7">
        <v>6.5060000000000002</v>
      </c>
      <c r="S2906" s="7">
        <f t="shared" si="45"/>
        <v>4.8575833333333334</v>
      </c>
    </row>
    <row r="2907" spans="1:19">
      <c r="A2907" s="5" t="str">
        <f>B2907&amp;"-"&amp;COUNTIF($B$2:B2907,B2907)</f>
        <v>PARANÁ-121</v>
      </c>
      <c r="B2907" s="5" t="s">
        <v>1921</v>
      </c>
      <c r="C2907" s="5" t="s">
        <v>4712</v>
      </c>
      <c r="D2907" s="6">
        <v>-545831</v>
      </c>
      <c r="E2907" s="6">
        <v>-255432</v>
      </c>
      <c r="F2907" s="7">
        <v>4.7759999999999998</v>
      </c>
      <c r="G2907" s="7">
        <v>6.4340000000000002</v>
      </c>
      <c r="H2907" s="7">
        <v>5.9089999999999998</v>
      </c>
      <c r="I2907" s="7">
        <v>5.3529999999999998</v>
      </c>
      <c r="J2907" s="7">
        <v>4.1929999999999996</v>
      </c>
      <c r="K2907" s="7">
        <v>3.2669999999999999</v>
      </c>
      <c r="L2907" s="7">
        <v>2.794</v>
      </c>
      <c r="M2907" s="7">
        <v>3.0219999999999998</v>
      </c>
      <c r="N2907" s="7">
        <v>3.976</v>
      </c>
      <c r="O2907" s="7">
        <v>4.2770000000000001</v>
      </c>
      <c r="P2907" s="7">
        <v>5.2939999999999996</v>
      </c>
      <c r="Q2907" s="7">
        <v>6.1710000000000003</v>
      </c>
      <c r="R2907" s="7">
        <v>6.6269999999999998</v>
      </c>
      <c r="S2907" s="7">
        <f t="shared" si="45"/>
        <v>4.7764166666666661</v>
      </c>
    </row>
    <row r="2908" spans="1:19">
      <c r="A2908" s="5" t="str">
        <f>B2908&amp;"-"&amp;COUNTIF($B$2:B2908,B2908)</f>
        <v>PARANÁ-122</v>
      </c>
      <c r="B2908" s="5" t="s">
        <v>1921</v>
      </c>
      <c r="C2908" s="5" t="s">
        <v>4078</v>
      </c>
      <c r="D2908" s="6">
        <v>-521193</v>
      </c>
      <c r="E2908" s="6">
        <v>-257376</v>
      </c>
      <c r="F2908" s="7">
        <v>4.71</v>
      </c>
      <c r="G2908" s="7">
        <v>6.1529999999999996</v>
      </c>
      <c r="H2908" s="7">
        <v>5.5940000000000003</v>
      </c>
      <c r="I2908" s="7">
        <v>5.2039999999999997</v>
      </c>
      <c r="J2908" s="7">
        <v>4.2679999999999998</v>
      </c>
      <c r="K2908" s="7">
        <v>3.2930000000000001</v>
      </c>
      <c r="L2908" s="7">
        <v>2.8610000000000002</v>
      </c>
      <c r="M2908" s="7">
        <v>3.105</v>
      </c>
      <c r="N2908" s="7">
        <v>4.1180000000000003</v>
      </c>
      <c r="O2908" s="7">
        <v>4.28</v>
      </c>
      <c r="P2908" s="7">
        <v>5.2089999999999996</v>
      </c>
      <c r="Q2908" s="7">
        <v>6.0919999999999996</v>
      </c>
      <c r="R2908" s="7">
        <v>6.3460000000000001</v>
      </c>
      <c r="S2908" s="7">
        <f t="shared" si="45"/>
        <v>4.7102500000000012</v>
      </c>
    </row>
    <row r="2909" spans="1:19">
      <c r="A2909" s="5" t="str">
        <f>B2909&amp;"-"&amp;COUNTIF($B$2:B2909,B2909)</f>
        <v>PARANÁ-123</v>
      </c>
      <c r="B2909" s="5" t="s">
        <v>1921</v>
      </c>
      <c r="C2909" s="5" t="s">
        <v>1989</v>
      </c>
      <c r="D2909" s="6">
        <v>-538466</v>
      </c>
      <c r="E2909" s="6">
        <v>-240672</v>
      </c>
      <c r="F2909" s="7">
        <v>4.8600000000000003</v>
      </c>
      <c r="G2909" s="7">
        <v>6.1550000000000002</v>
      </c>
      <c r="H2909" s="7">
        <v>5.8289999999999997</v>
      </c>
      <c r="I2909" s="7">
        <v>5.3019999999999996</v>
      </c>
      <c r="J2909" s="7">
        <v>4.3949999999999996</v>
      </c>
      <c r="K2909" s="7">
        <v>3.4929999999999999</v>
      </c>
      <c r="L2909" s="7">
        <v>3.0579999999999998</v>
      </c>
      <c r="M2909" s="7">
        <v>3.2570000000000001</v>
      </c>
      <c r="N2909" s="7">
        <v>4.28</v>
      </c>
      <c r="O2909" s="7">
        <v>4.5369999999999999</v>
      </c>
      <c r="P2909" s="7">
        <v>5.3470000000000004</v>
      </c>
      <c r="Q2909" s="7">
        <v>6.1639999999999997</v>
      </c>
      <c r="R2909" s="7">
        <v>6.5010000000000003</v>
      </c>
      <c r="S2909" s="7">
        <f t="shared" si="45"/>
        <v>4.8598333333333334</v>
      </c>
    </row>
    <row r="2910" spans="1:19">
      <c r="A2910" s="5" t="str">
        <f>B2910&amp;"-"&amp;COUNTIF($B$2:B2910,B2910)</f>
        <v>PARANÁ-124</v>
      </c>
      <c r="B2910" s="5" t="s">
        <v>1921</v>
      </c>
      <c r="C2910" s="5" t="s">
        <v>4079</v>
      </c>
      <c r="D2910" s="6">
        <v>-530539</v>
      </c>
      <c r="E2910" s="6">
        <v>-260821</v>
      </c>
      <c r="F2910" s="7">
        <v>4.7030000000000003</v>
      </c>
      <c r="G2910" s="7">
        <v>6.21</v>
      </c>
      <c r="H2910" s="7">
        <v>5.657</v>
      </c>
      <c r="I2910" s="7">
        <v>5.181</v>
      </c>
      <c r="J2910" s="7">
        <v>4.1980000000000004</v>
      </c>
      <c r="K2910" s="7">
        <v>3.2669999999999999</v>
      </c>
      <c r="L2910" s="7">
        <v>2.8130000000000002</v>
      </c>
      <c r="M2910" s="7">
        <v>3.109</v>
      </c>
      <c r="N2910" s="7">
        <v>4.0679999999999996</v>
      </c>
      <c r="O2910" s="7">
        <v>4.2649999999999997</v>
      </c>
      <c r="P2910" s="7">
        <v>5.2069999999999999</v>
      </c>
      <c r="Q2910" s="7">
        <v>6.09</v>
      </c>
      <c r="R2910" s="7">
        <v>6.3659999999999997</v>
      </c>
      <c r="S2910" s="7">
        <f t="shared" si="45"/>
        <v>4.7025833333333331</v>
      </c>
    </row>
    <row r="2911" spans="1:19">
      <c r="A2911" s="5" t="str">
        <f>B2911&amp;"-"&amp;COUNTIF($B$2:B2911,B2911)</f>
        <v>PARANÁ-125</v>
      </c>
      <c r="B2911" s="5" t="s">
        <v>1921</v>
      </c>
      <c r="C2911" s="5" t="s">
        <v>1022</v>
      </c>
      <c r="D2911" s="6">
        <v>-513177</v>
      </c>
      <c r="E2911" s="6">
        <v>-264254</v>
      </c>
      <c r="F2911" s="7">
        <v>4.1840000000000002</v>
      </c>
      <c r="G2911" s="7">
        <v>5.41</v>
      </c>
      <c r="H2911" s="7">
        <v>5.09</v>
      </c>
      <c r="I2911" s="7">
        <v>4.5439999999999996</v>
      </c>
      <c r="J2911" s="7">
        <v>3.6539999999999999</v>
      </c>
      <c r="K2911" s="7">
        <v>2.93</v>
      </c>
      <c r="L2911" s="7">
        <v>2.5510000000000002</v>
      </c>
      <c r="M2911" s="7">
        <v>2.8039999999999998</v>
      </c>
      <c r="N2911" s="7">
        <v>3.7709999999999999</v>
      </c>
      <c r="O2911" s="7">
        <v>3.8439999999999999</v>
      </c>
      <c r="P2911" s="7">
        <v>4.4880000000000004</v>
      </c>
      <c r="Q2911" s="7">
        <v>5.4589999999999996</v>
      </c>
      <c r="R2911" s="7">
        <v>5.6559999999999997</v>
      </c>
      <c r="S2911" s="7">
        <f t="shared" si="45"/>
        <v>4.183416666666667</v>
      </c>
    </row>
    <row r="2912" spans="1:19">
      <c r="A2912" s="5" t="str">
        <f>B2912&amp;"-"&amp;COUNTIF($B$2:B2912,B2912)</f>
        <v>PARANÁ-126</v>
      </c>
      <c r="B2912" s="5" t="s">
        <v>1921</v>
      </c>
      <c r="C2912" s="5" t="s">
        <v>1990</v>
      </c>
      <c r="D2912" s="6">
        <v>-519251</v>
      </c>
      <c r="E2912" s="6">
        <v>-241734</v>
      </c>
      <c r="F2912" s="7">
        <v>4.8949999999999996</v>
      </c>
      <c r="G2912" s="7">
        <v>6.0960000000000001</v>
      </c>
      <c r="H2912" s="7">
        <v>5.8360000000000003</v>
      </c>
      <c r="I2912" s="7">
        <v>5.3010000000000002</v>
      </c>
      <c r="J2912" s="7">
        <v>4.6059999999999999</v>
      </c>
      <c r="K2912" s="7">
        <v>3.5529999999999999</v>
      </c>
      <c r="L2912" s="7">
        <v>3.14</v>
      </c>
      <c r="M2912" s="7">
        <v>3.3889999999999998</v>
      </c>
      <c r="N2912" s="7">
        <v>4.3550000000000004</v>
      </c>
      <c r="O2912" s="7">
        <v>4.5810000000000004</v>
      </c>
      <c r="P2912" s="7">
        <v>5.3109999999999999</v>
      </c>
      <c r="Q2912" s="7">
        <v>6.1740000000000004</v>
      </c>
      <c r="R2912" s="7">
        <v>6.3920000000000003</v>
      </c>
      <c r="S2912" s="7">
        <f t="shared" si="45"/>
        <v>4.8944999999999999</v>
      </c>
    </row>
    <row r="2913" spans="1:19">
      <c r="A2913" s="5" t="str">
        <f>B2913&amp;"-"&amp;COUNTIF($B$2:B2913,B2913)</f>
        <v>PARANÁ-127</v>
      </c>
      <c r="B2913" s="5" t="s">
        <v>1921</v>
      </c>
      <c r="C2913" s="5" t="s">
        <v>5301</v>
      </c>
      <c r="D2913" s="6">
        <v>-530253</v>
      </c>
      <c r="E2913" s="6">
        <v>-241839</v>
      </c>
      <c r="F2913" s="7">
        <v>4.87</v>
      </c>
      <c r="G2913" s="7">
        <v>6.22</v>
      </c>
      <c r="H2913" s="7">
        <v>5.7759999999999998</v>
      </c>
      <c r="I2913" s="7">
        <v>5.306</v>
      </c>
      <c r="J2913" s="7">
        <v>4.47</v>
      </c>
      <c r="K2913" s="7">
        <v>3.5030000000000001</v>
      </c>
      <c r="L2913" s="7">
        <v>3.089</v>
      </c>
      <c r="M2913" s="7">
        <v>3.3029999999999999</v>
      </c>
      <c r="N2913" s="7">
        <v>4.2670000000000003</v>
      </c>
      <c r="O2913" s="7">
        <v>4.5220000000000002</v>
      </c>
      <c r="P2913" s="7">
        <v>5.3609999999999998</v>
      </c>
      <c r="Q2913" s="7">
        <v>6.12</v>
      </c>
      <c r="R2913" s="7">
        <v>6.5039999999999996</v>
      </c>
      <c r="S2913" s="7">
        <f t="shared" si="45"/>
        <v>4.8700833333333327</v>
      </c>
    </row>
    <row r="2914" spans="1:19">
      <c r="A2914" s="5" t="str">
        <f>B2914&amp;"-"&amp;COUNTIF($B$2:B2914,B2914)</f>
        <v>PARANÁ-128</v>
      </c>
      <c r="B2914" s="5" t="s">
        <v>1921</v>
      </c>
      <c r="C2914" s="5" t="s">
        <v>1991</v>
      </c>
      <c r="D2914" s="6">
        <v>-519915</v>
      </c>
      <c r="E2914" s="6">
        <v>-251931</v>
      </c>
      <c r="F2914" s="7">
        <v>4.7039999999999997</v>
      </c>
      <c r="G2914" s="7">
        <v>5.9649999999999999</v>
      </c>
      <c r="H2914" s="7">
        <v>5.5570000000000004</v>
      </c>
      <c r="I2914" s="7">
        <v>5.157</v>
      </c>
      <c r="J2914" s="7">
        <v>4.3</v>
      </c>
      <c r="K2914" s="7">
        <v>3.343</v>
      </c>
      <c r="L2914" s="7">
        <v>2.9660000000000002</v>
      </c>
      <c r="M2914" s="7">
        <v>3.238</v>
      </c>
      <c r="N2914" s="7">
        <v>4.2039999999999997</v>
      </c>
      <c r="O2914" s="7">
        <v>4.3760000000000003</v>
      </c>
      <c r="P2914" s="7">
        <v>5.2069999999999999</v>
      </c>
      <c r="Q2914" s="7">
        <v>5.9690000000000003</v>
      </c>
      <c r="R2914" s="7">
        <v>6.1639999999999997</v>
      </c>
      <c r="S2914" s="7">
        <f t="shared" si="45"/>
        <v>4.7038333333333338</v>
      </c>
    </row>
    <row r="2915" spans="1:19">
      <c r="A2915" s="5" t="str">
        <f>B2915&amp;"-"&amp;COUNTIF($B$2:B2915,B2915)</f>
        <v>PARANÁ-129</v>
      </c>
      <c r="B2915" s="5" t="s">
        <v>1921</v>
      </c>
      <c r="C2915" s="5" t="s">
        <v>1992</v>
      </c>
      <c r="D2915" s="6">
        <v>-515098</v>
      </c>
      <c r="E2915" s="6">
        <v>-241471</v>
      </c>
      <c r="F2915" s="7">
        <v>4.8879999999999999</v>
      </c>
      <c r="G2915" s="7">
        <v>6.0309999999999997</v>
      </c>
      <c r="H2915" s="7">
        <v>5.8010000000000002</v>
      </c>
      <c r="I2915" s="7">
        <v>5.3019999999999996</v>
      </c>
      <c r="J2915" s="7">
        <v>4.5999999999999996</v>
      </c>
      <c r="K2915" s="7">
        <v>3.5419999999999998</v>
      </c>
      <c r="L2915" s="7">
        <v>3.1669999999999998</v>
      </c>
      <c r="M2915" s="7">
        <v>3.3969999999999998</v>
      </c>
      <c r="N2915" s="7">
        <v>4.3899999999999997</v>
      </c>
      <c r="O2915" s="7">
        <v>4.57</v>
      </c>
      <c r="P2915" s="7">
        <v>5.2919999999999998</v>
      </c>
      <c r="Q2915" s="7">
        <v>6.1360000000000001</v>
      </c>
      <c r="R2915" s="7">
        <v>6.43</v>
      </c>
      <c r="S2915" s="7">
        <f t="shared" si="45"/>
        <v>4.8881666666666677</v>
      </c>
    </row>
    <row r="2916" spans="1:19">
      <c r="A2916" s="5" t="str">
        <f>B2916&amp;"-"&amp;COUNTIF($B$2:B2916,B2916)</f>
        <v>PARANÁ-130</v>
      </c>
      <c r="B2916" s="5" t="s">
        <v>1921</v>
      </c>
      <c r="C2916" s="5" t="s">
        <v>1993</v>
      </c>
      <c r="D2916" s="6">
        <v>-542578</v>
      </c>
      <c r="E2916" s="6">
        <v>-240855</v>
      </c>
      <c r="F2916" s="7">
        <v>4.8470000000000004</v>
      </c>
      <c r="G2916" s="7">
        <v>6.2910000000000004</v>
      </c>
      <c r="H2916" s="7">
        <v>5.875</v>
      </c>
      <c r="I2916" s="7">
        <v>5.3529999999999998</v>
      </c>
      <c r="J2916" s="7">
        <v>4.38</v>
      </c>
      <c r="K2916" s="7">
        <v>3.427</v>
      </c>
      <c r="L2916" s="7">
        <v>2.9849999999999999</v>
      </c>
      <c r="M2916" s="7">
        <v>3.214</v>
      </c>
      <c r="N2916" s="7">
        <v>4.2</v>
      </c>
      <c r="O2916" s="7">
        <v>4.4630000000000001</v>
      </c>
      <c r="P2916" s="7">
        <v>5.3250000000000002</v>
      </c>
      <c r="Q2916" s="7">
        <v>6.1230000000000002</v>
      </c>
      <c r="R2916" s="7">
        <v>6.5250000000000004</v>
      </c>
      <c r="S2916" s="7">
        <f t="shared" si="45"/>
        <v>4.8467499999999992</v>
      </c>
    </row>
    <row r="2917" spans="1:19">
      <c r="A2917" s="5" t="str">
        <f>B2917&amp;"-"&amp;COUNTIF($B$2:B2917,B2917)</f>
        <v>PARANÁ-131</v>
      </c>
      <c r="B2917" s="5" t="s">
        <v>1921</v>
      </c>
      <c r="C2917" s="5" t="s">
        <v>5658</v>
      </c>
      <c r="D2917" s="6">
        <v>-52686</v>
      </c>
      <c r="E2917" s="6">
        <v>-22934</v>
      </c>
      <c r="F2917" s="7">
        <v>5.0030000000000001</v>
      </c>
      <c r="G2917" s="7">
        <v>6.03</v>
      </c>
      <c r="H2917" s="7">
        <v>5.9660000000000002</v>
      </c>
      <c r="I2917" s="7">
        <v>5.391</v>
      </c>
      <c r="J2917" s="7">
        <v>4.6449999999999996</v>
      </c>
      <c r="K2917" s="7">
        <v>3.6850000000000001</v>
      </c>
      <c r="L2917" s="7">
        <v>3.359</v>
      </c>
      <c r="M2917" s="7">
        <v>3.5840000000000001</v>
      </c>
      <c r="N2917" s="7">
        <v>4.5309999999999997</v>
      </c>
      <c r="O2917" s="7">
        <v>4.7560000000000002</v>
      </c>
      <c r="P2917" s="7">
        <v>5.452</v>
      </c>
      <c r="Q2917" s="7">
        <v>6.1779999999999999</v>
      </c>
      <c r="R2917" s="7">
        <v>6.4569999999999999</v>
      </c>
      <c r="S2917" s="7">
        <f t="shared" si="45"/>
        <v>5.0028333333333332</v>
      </c>
    </row>
    <row r="2918" spans="1:19">
      <c r="A2918" s="5" t="str">
        <f>B2918&amp;"-"&amp;COUNTIF($B$2:B2918,B2918)</f>
        <v>PARANÁ-132</v>
      </c>
      <c r="B2918" s="5" t="s">
        <v>1921</v>
      </c>
      <c r="C2918" s="5" t="s">
        <v>1994</v>
      </c>
      <c r="D2918" s="6">
        <v>-508025</v>
      </c>
      <c r="E2918" s="6">
        <v>-251916</v>
      </c>
      <c r="F2918" s="7">
        <v>4.4950000000000001</v>
      </c>
      <c r="G2918" s="7">
        <v>5.702</v>
      </c>
      <c r="H2918" s="7">
        <v>5.4569999999999999</v>
      </c>
      <c r="I2918" s="7">
        <v>4.84</v>
      </c>
      <c r="J2918" s="7">
        <v>4.0339999999999998</v>
      </c>
      <c r="K2918" s="7">
        <v>3.2040000000000002</v>
      </c>
      <c r="L2918" s="7">
        <v>2.8039999999999998</v>
      </c>
      <c r="M2918" s="7">
        <v>3.0609999999999999</v>
      </c>
      <c r="N2918" s="7">
        <v>4.0529999999999999</v>
      </c>
      <c r="O2918" s="7">
        <v>4.2370000000000001</v>
      </c>
      <c r="P2918" s="7">
        <v>4.8570000000000002</v>
      </c>
      <c r="Q2918" s="7">
        <v>5.7450000000000001</v>
      </c>
      <c r="R2918" s="7">
        <v>5.952</v>
      </c>
      <c r="S2918" s="7">
        <f t="shared" si="45"/>
        <v>4.4954999999999989</v>
      </c>
    </row>
    <row r="2919" spans="1:19">
      <c r="A2919" s="5" t="str">
        <f>B2919&amp;"-"&amp;COUNTIF($B$2:B2919,B2919)</f>
        <v>PARANÁ-133</v>
      </c>
      <c r="B2919" s="5" t="s">
        <v>1921</v>
      </c>
      <c r="C2919" s="5" t="s">
        <v>1995</v>
      </c>
      <c r="D2919" s="6">
        <v>-500403</v>
      </c>
      <c r="E2919" s="6">
        <v>-235159</v>
      </c>
      <c r="F2919" s="7">
        <v>4.88</v>
      </c>
      <c r="G2919" s="7">
        <v>5.8010000000000002</v>
      </c>
      <c r="H2919" s="7">
        <v>5.7880000000000003</v>
      </c>
      <c r="I2919" s="7">
        <v>5.1840000000000002</v>
      </c>
      <c r="J2919" s="7">
        <v>4.5919999999999996</v>
      </c>
      <c r="K2919" s="7">
        <v>3.629</v>
      </c>
      <c r="L2919" s="7">
        <v>3.2629999999999999</v>
      </c>
      <c r="M2919" s="7">
        <v>3.5030000000000001</v>
      </c>
      <c r="N2919" s="7">
        <v>4.51</v>
      </c>
      <c r="O2919" s="7">
        <v>4.6470000000000002</v>
      </c>
      <c r="P2919" s="7">
        <v>5.3129999999999997</v>
      </c>
      <c r="Q2919" s="7">
        <v>5.984</v>
      </c>
      <c r="R2919" s="7">
        <v>6.3479999999999999</v>
      </c>
      <c r="S2919" s="7">
        <f t="shared" si="45"/>
        <v>4.8801666666666668</v>
      </c>
    </row>
    <row r="2920" spans="1:19">
      <c r="A2920" s="5" t="str">
        <f>B2920&amp;"-"&amp;COUNTIF($B$2:B2920,B2920)</f>
        <v>PARANÁ-134</v>
      </c>
      <c r="B2920" s="5" t="s">
        <v>1921</v>
      </c>
      <c r="C2920" s="5" t="s">
        <v>1996</v>
      </c>
      <c r="D2920" s="6">
        <v>-52779</v>
      </c>
      <c r="E2920" s="6">
        <v>-233407</v>
      </c>
      <c r="F2920" s="7">
        <v>4.9480000000000004</v>
      </c>
      <c r="G2920" s="7">
        <v>6.02</v>
      </c>
      <c r="H2920" s="7">
        <v>5.8730000000000002</v>
      </c>
      <c r="I2920" s="7">
        <v>5.4</v>
      </c>
      <c r="J2920" s="7">
        <v>4.569</v>
      </c>
      <c r="K2920" s="7">
        <v>3.629</v>
      </c>
      <c r="L2920" s="7">
        <v>3.2709999999999999</v>
      </c>
      <c r="M2920" s="7">
        <v>3.4769999999999999</v>
      </c>
      <c r="N2920" s="7">
        <v>4.4530000000000003</v>
      </c>
      <c r="O2920" s="7">
        <v>4.6639999999999997</v>
      </c>
      <c r="P2920" s="7">
        <v>5.4240000000000004</v>
      </c>
      <c r="Q2920" s="7">
        <v>6.1509999999999998</v>
      </c>
      <c r="R2920" s="7">
        <v>6.4379999999999997</v>
      </c>
      <c r="S2920" s="7">
        <f t="shared" si="45"/>
        <v>4.9474166666666664</v>
      </c>
    </row>
    <row r="2921" spans="1:19">
      <c r="A2921" s="5" t="str">
        <f>B2921&amp;"-"&amp;COUNTIF($B$2:B2921,B2921)</f>
        <v>PARANÁ-135</v>
      </c>
      <c r="B2921" s="5" t="s">
        <v>1921</v>
      </c>
      <c r="C2921" s="5" t="s">
        <v>1997</v>
      </c>
      <c r="D2921" s="6">
        <v>-516499</v>
      </c>
      <c r="E2921" s="6">
        <v>-229729</v>
      </c>
      <c r="F2921" s="7">
        <v>5.0259999999999998</v>
      </c>
      <c r="G2921" s="7">
        <v>5.9779999999999998</v>
      </c>
      <c r="H2921" s="7">
        <v>5.9249999999999998</v>
      </c>
      <c r="I2921" s="7">
        <v>5.4459999999999997</v>
      </c>
      <c r="J2921" s="7">
        <v>4.7249999999999996</v>
      </c>
      <c r="K2921" s="7">
        <v>3.722</v>
      </c>
      <c r="L2921" s="7">
        <v>3.4340000000000002</v>
      </c>
      <c r="M2921" s="7">
        <v>3.6230000000000002</v>
      </c>
      <c r="N2921" s="7">
        <v>4.5620000000000003</v>
      </c>
      <c r="O2921" s="7">
        <v>4.774</v>
      </c>
      <c r="P2921" s="7">
        <v>5.4989999999999997</v>
      </c>
      <c r="Q2921" s="7">
        <v>6.1920000000000002</v>
      </c>
      <c r="R2921" s="7">
        <v>6.4359999999999999</v>
      </c>
      <c r="S2921" s="7">
        <f t="shared" si="45"/>
        <v>5.0263333333333335</v>
      </c>
    </row>
    <row r="2922" spans="1:19">
      <c r="A2922" s="5" t="str">
        <f>B2922&amp;"-"&amp;COUNTIF($B$2:B2922,B2922)</f>
        <v>PARANÁ-136</v>
      </c>
      <c r="B2922" s="5" t="s">
        <v>1921</v>
      </c>
      <c r="C2922" s="5" t="s">
        <v>4713</v>
      </c>
      <c r="D2922" s="6">
        <v>-52876</v>
      </c>
      <c r="E2922" s="6">
        <v>-250973</v>
      </c>
      <c r="F2922" s="7">
        <v>4.7619999999999996</v>
      </c>
      <c r="G2922" s="7">
        <v>6.2110000000000003</v>
      </c>
      <c r="H2922" s="7">
        <v>5.5720000000000001</v>
      </c>
      <c r="I2922" s="7">
        <v>5.2489999999999997</v>
      </c>
      <c r="J2922" s="7">
        <v>4.3319999999999999</v>
      </c>
      <c r="K2922" s="7">
        <v>3.3580000000000001</v>
      </c>
      <c r="L2922" s="7">
        <v>2.9870000000000001</v>
      </c>
      <c r="M2922" s="7">
        <v>3.2320000000000002</v>
      </c>
      <c r="N2922" s="7">
        <v>4.2309999999999999</v>
      </c>
      <c r="O2922" s="7">
        <v>4.4109999999999996</v>
      </c>
      <c r="P2922" s="7">
        <v>5.2329999999999997</v>
      </c>
      <c r="Q2922" s="7">
        <v>6.06</v>
      </c>
      <c r="R2922" s="7">
        <v>6.2649999999999997</v>
      </c>
      <c r="S2922" s="7">
        <f t="shared" si="45"/>
        <v>4.7617500000000001</v>
      </c>
    </row>
    <row r="2923" spans="1:19">
      <c r="A2923" s="5" t="str">
        <f>B2923&amp;"-"&amp;COUNTIF($B$2:B2923,B2923)</f>
        <v>PARANÁ-137</v>
      </c>
      <c r="B2923" s="5" t="s">
        <v>1921</v>
      </c>
      <c r="C2923" s="5" t="s">
        <v>1998</v>
      </c>
      <c r="D2923" s="6">
        <v>-514628</v>
      </c>
      <c r="E2923" s="6">
        <v>-253907</v>
      </c>
      <c r="F2923" s="7">
        <v>4.5430000000000001</v>
      </c>
      <c r="G2923" s="7">
        <v>5.7530000000000001</v>
      </c>
      <c r="H2923" s="7">
        <v>5.3440000000000003</v>
      </c>
      <c r="I2923" s="7">
        <v>4.8650000000000002</v>
      </c>
      <c r="J2923" s="7">
        <v>4.117</v>
      </c>
      <c r="K2923" s="7">
        <v>3.2290000000000001</v>
      </c>
      <c r="L2923" s="7">
        <v>2.863</v>
      </c>
      <c r="M2923" s="7">
        <v>3.1349999999999998</v>
      </c>
      <c r="N2923" s="7">
        <v>4.1120000000000001</v>
      </c>
      <c r="O2923" s="7">
        <v>4.2839999999999998</v>
      </c>
      <c r="P2923" s="7">
        <v>4.9829999999999997</v>
      </c>
      <c r="Q2923" s="7">
        <v>5.8289999999999997</v>
      </c>
      <c r="R2923" s="7">
        <v>6.0090000000000003</v>
      </c>
      <c r="S2923" s="7">
        <f t="shared" si="45"/>
        <v>4.5435833333333333</v>
      </c>
    </row>
    <row r="2924" spans="1:19">
      <c r="A2924" s="5" t="str">
        <f>B2924&amp;"-"&amp;COUNTIF($B$2:B2924,B2924)</f>
        <v>PARANÁ-138</v>
      </c>
      <c r="B2924" s="5" t="s">
        <v>1921</v>
      </c>
      <c r="C2924" s="5" t="s">
        <v>4714</v>
      </c>
      <c r="D2924" s="6">
        <v>-483208</v>
      </c>
      <c r="E2924" s="6">
        <v>-253075</v>
      </c>
      <c r="F2924" s="7">
        <v>3.91</v>
      </c>
      <c r="G2924" s="7">
        <v>5.3070000000000004</v>
      </c>
      <c r="H2924" s="7">
        <v>5.2110000000000003</v>
      </c>
      <c r="I2924" s="7">
        <v>4.3719999999999999</v>
      </c>
      <c r="J2924" s="7">
        <v>3.657</v>
      </c>
      <c r="K2924" s="7">
        <v>2.984</v>
      </c>
      <c r="L2924" s="7">
        <v>2.5579999999999998</v>
      </c>
      <c r="M2924" s="7">
        <v>2.5270000000000001</v>
      </c>
      <c r="N2924" s="7">
        <v>3.238</v>
      </c>
      <c r="O2924" s="7">
        <v>3.2839999999999998</v>
      </c>
      <c r="P2924" s="7">
        <v>3.6789999999999998</v>
      </c>
      <c r="Q2924" s="7">
        <v>4.758</v>
      </c>
      <c r="R2924" s="7">
        <v>5.34</v>
      </c>
      <c r="S2924" s="7">
        <f t="shared" si="45"/>
        <v>3.9095833333333339</v>
      </c>
    </row>
    <row r="2925" spans="1:19">
      <c r="A2925" s="5" t="str">
        <f>B2925&amp;"-"&amp;COUNTIF($B$2:B2925,B2925)</f>
        <v>PARANÁ-139</v>
      </c>
      <c r="B2925" s="5" t="s">
        <v>1921</v>
      </c>
      <c r="C2925" s="5" t="s">
        <v>1999</v>
      </c>
      <c r="D2925" s="6">
        <v>-485756</v>
      </c>
      <c r="E2925" s="6">
        <v>-258822</v>
      </c>
      <c r="F2925" s="7">
        <v>3.968</v>
      </c>
      <c r="G2925" s="7">
        <v>5.42</v>
      </c>
      <c r="H2925" s="7">
        <v>5.2380000000000004</v>
      </c>
      <c r="I2925" s="7">
        <v>4.4779999999999998</v>
      </c>
      <c r="J2925" s="7">
        <v>3.67</v>
      </c>
      <c r="K2925" s="7">
        <v>2.9849999999999999</v>
      </c>
      <c r="L2925" s="7">
        <v>2.4889999999999999</v>
      </c>
      <c r="M2925" s="7">
        <v>2.52</v>
      </c>
      <c r="N2925" s="7">
        <v>3.214</v>
      </c>
      <c r="O2925" s="7">
        <v>3.3290000000000002</v>
      </c>
      <c r="P2925" s="7">
        <v>3.9369999999999998</v>
      </c>
      <c r="Q2925" s="7">
        <v>4.9560000000000004</v>
      </c>
      <c r="R2925" s="7">
        <v>5.3819999999999997</v>
      </c>
      <c r="S2925" s="7">
        <f t="shared" si="45"/>
        <v>3.9681666666666664</v>
      </c>
    </row>
    <row r="2926" spans="1:19">
      <c r="A2926" s="5" t="str">
        <f>B2926&amp;"-"&amp;COUNTIF($B$2:B2926,B2926)</f>
        <v>PARANÁ-140</v>
      </c>
      <c r="B2926" s="5" t="s">
        <v>1921</v>
      </c>
      <c r="C2926" s="5" t="s">
        <v>5170</v>
      </c>
      <c r="D2926" s="6">
        <v>-523853</v>
      </c>
      <c r="E2926" s="6">
        <v>-261395</v>
      </c>
      <c r="F2926" s="7">
        <v>4.6669999999999998</v>
      </c>
      <c r="G2926" s="7">
        <v>6.1920000000000002</v>
      </c>
      <c r="H2926" s="7">
        <v>5.6150000000000002</v>
      </c>
      <c r="I2926" s="7">
        <v>5.1159999999999997</v>
      </c>
      <c r="J2926" s="7">
        <v>4.1459999999999999</v>
      </c>
      <c r="K2926" s="7">
        <v>3.2570000000000001</v>
      </c>
      <c r="L2926" s="7">
        <v>2.8340000000000001</v>
      </c>
      <c r="M2926" s="7">
        <v>3.1179999999999999</v>
      </c>
      <c r="N2926" s="7">
        <v>4.0679999999999996</v>
      </c>
      <c r="O2926" s="7">
        <v>4.2320000000000002</v>
      </c>
      <c r="P2926" s="7">
        <v>5.1310000000000002</v>
      </c>
      <c r="Q2926" s="7">
        <v>6.0650000000000004</v>
      </c>
      <c r="R2926" s="7">
        <v>6.2290000000000001</v>
      </c>
      <c r="S2926" s="7">
        <f t="shared" si="45"/>
        <v>4.6669166666666664</v>
      </c>
    </row>
    <row r="2927" spans="1:19">
      <c r="A2927" s="5" t="str">
        <f>B2927&amp;"-"&amp;COUNTIF($B$2:B2927,B2927)</f>
        <v>PARANÁ-141</v>
      </c>
      <c r="B2927" s="5" t="s">
        <v>1921</v>
      </c>
      <c r="C2927" s="5" t="s">
        <v>2000</v>
      </c>
      <c r="D2927" s="6">
        <v>-501936</v>
      </c>
      <c r="E2927" s="6">
        <v>-238483</v>
      </c>
      <c r="F2927" s="7">
        <v>4.806</v>
      </c>
      <c r="G2927" s="7">
        <v>5.7160000000000002</v>
      </c>
      <c r="H2927" s="7">
        <v>5.7030000000000003</v>
      </c>
      <c r="I2927" s="7">
        <v>5.1150000000000002</v>
      </c>
      <c r="J2927" s="7">
        <v>4.4889999999999999</v>
      </c>
      <c r="K2927" s="7">
        <v>3.5779999999999998</v>
      </c>
      <c r="L2927" s="7">
        <v>3.1970000000000001</v>
      </c>
      <c r="M2927" s="7">
        <v>3.4540000000000002</v>
      </c>
      <c r="N2927" s="7">
        <v>4.4409999999999998</v>
      </c>
      <c r="O2927" s="7">
        <v>4.6139999999999999</v>
      </c>
      <c r="P2927" s="7">
        <v>5.2080000000000002</v>
      </c>
      <c r="Q2927" s="7">
        <v>5.9169999999999998</v>
      </c>
      <c r="R2927" s="7">
        <v>6.2409999999999997</v>
      </c>
      <c r="S2927" s="7">
        <f t="shared" si="45"/>
        <v>4.8060833333333326</v>
      </c>
    </row>
    <row r="2928" spans="1:19">
      <c r="A2928" s="5" t="str">
        <f>B2928&amp;"-"&amp;COUNTIF($B$2:B2928,B2928)</f>
        <v>PARANÁ-142</v>
      </c>
      <c r="B2928" s="5" t="s">
        <v>1921</v>
      </c>
      <c r="C2928" s="5" t="s">
        <v>2001</v>
      </c>
      <c r="D2928" s="6">
        <v>-530151</v>
      </c>
      <c r="E2928" s="6">
        <v>-251118</v>
      </c>
      <c r="F2928" s="7">
        <v>4.7220000000000004</v>
      </c>
      <c r="G2928" s="7">
        <v>6.2</v>
      </c>
      <c r="H2928" s="7">
        <v>5.5430000000000001</v>
      </c>
      <c r="I2928" s="7">
        <v>5.1239999999999997</v>
      </c>
      <c r="J2928" s="7">
        <v>4.2990000000000004</v>
      </c>
      <c r="K2928" s="7">
        <v>3.3330000000000002</v>
      </c>
      <c r="L2928" s="7">
        <v>2.9860000000000002</v>
      </c>
      <c r="M2928" s="7">
        <v>3.2130000000000001</v>
      </c>
      <c r="N2928" s="7">
        <v>4.2320000000000002</v>
      </c>
      <c r="O2928" s="7">
        <v>4.3780000000000001</v>
      </c>
      <c r="P2928" s="7">
        <v>5.1669999999999998</v>
      </c>
      <c r="Q2928" s="7">
        <v>5.9329999999999998</v>
      </c>
      <c r="R2928" s="7">
        <v>6.2519999999999998</v>
      </c>
      <c r="S2928" s="7">
        <f t="shared" si="45"/>
        <v>4.7216666666666676</v>
      </c>
    </row>
    <row r="2929" spans="1:19">
      <c r="A2929" s="5" t="str">
        <f>B2929&amp;"-"&amp;COUNTIF($B$2:B2929,B2929)</f>
        <v>PARANÁ-143</v>
      </c>
      <c r="B2929" s="5" t="s">
        <v>1921</v>
      </c>
      <c r="C2929" s="5" t="s">
        <v>5387</v>
      </c>
      <c r="D2929" s="6">
        <v>-510527</v>
      </c>
      <c r="E2929" s="6">
        <v>-232664</v>
      </c>
      <c r="F2929" s="7">
        <v>4.91</v>
      </c>
      <c r="G2929" s="7">
        <v>5.8650000000000002</v>
      </c>
      <c r="H2929" s="7">
        <v>5.7350000000000003</v>
      </c>
      <c r="I2929" s="7">
        <v>5.2569999999999997</v>
      </c>
      <c r="J2929" s="7">
        <v>4.6520000000000001</v>
      </c>
      <c r="K2929" s="7">
        <v>3.665</v>
      </c>
      <c r="L2929" s="7">
        <v>3.3740000000000001</v>
      </c>
      <c r="M2929" s="7">
        <v>3.5859999999999999</v>
      </c>
      <c r="N2929" s="7">
        <v>4.5350000000000001</v>
      </c>
      <c r="O2929" s="7">
        <v>4.7140000000000004</v>
      </c>
      <c r="P2929" s="7">
        <v>5.2839999999999998</v>
      </c>
      <c r="Q2929" s="7">
        <v>5.9889999999999999</v>
      </c>
      <c r="R2929" s="7">
        <v>6.2610000000000001</v>
      </c>
      <c r="S2929" s="7">
        <f t="shared" si="45"/>
        <v>4.9097499999999998</v>
      </c>
    </row>
    <row r="2930" spans="1:19">
      <c r="A2930" s="5" t="str">
        <f>B2930&amp;"-"&amp;COUNTIF($B$2:B2930,B2930)</f>
        <v>PARANÁ-144</v>
      </c>
      <c r="B2930" s="5" t="s">
        <v>1921</v>
      </c>
      <c r="C2930" s="5" t="s">
        <v>2002</v>
      </c>
      <c r="D2930" s="6">
        <v>-536154</v>
      </c>
      <c r="E2930" s="6">
        <v>-233948</v>
      </c>
      <c r="F2930" s="7">
        <v>4.95</v>
      </c>
      <c r="G2930" s="7">
        <v>6.1660000000000004</v>
      </c>
      <c r="H2930" s="7">
        <v>5.97</v>
      </c>
      <c r="I2930" s="7">
        <v>5.44</v>
      </c>
      <c r="J2930" s="7">
        <v>4.5259999999999998</v>
      </c>
      <c r="K2930" s="7">
        <v>3.5870000000000002</v>
      </c>
      <c r="L2930" s="7">
        <v>3.2109999999999999</v>
      </c>
      <c r="M2930" s="7">
        <v>3.4129999999999998</v>
      </c>
      <c r="N2930" s="7">
        <v>4.3360000000000003</v>
      </c>
      <c r="O2930" s="7">
        <v>4.6059999999999999</v>
      </c>
      <c r="P2930" s="7">
        <v>5.4249999999999998</v>
      </c>
      <c r="Q2930" s="7">
        <v>6.1589999999999998</v>
      </c>
      <c r="R2930" s="7">
        <v>6.5640000000000001</v>
      </c>
      <c r="S2930" s="7">
        <f t="shared" si="45"/>
        <v>4.9502499999999996</v>
      </c>
    </row>
    <row r="2931" spans="1:19">
      <c r="A2931" s="5" t="str">
        <f>B2931&amp;"-"&amp;COUNTIF($B$2:B2931,B2931)</f>
        <v>PARANÁ-145</v>
      </c>
      <c r="B2931" s="5" t="s">
        <v>1921</v>
      </c>
      <c r="C2931" s="5" t="s">
        <v>4715</v>
      </c>
      <c r="D2931" s="6">
        <v>-51826</v>
      </c>
      <c r="E2931" s="6">
        <v>-231954</v>
      </c>
      <c r="F2931" s="7">
        <v>4.9660000000000002</v>
      </c>
      <c r="G2931" s="7">
        <v>5.98</v>
      </c>
      <c r="H2931" s="7">
        <v>5.915</v>
      </c>
      <c r="I2931" s="7">
        <v>5.3540000000000001</v>
      </c>
      <c r="J2931" s="7">
        <v>4.6210000000000004</v>
      </c>
      <c r="K2931" s="7">
        <v>3.68</v>
      </c>
      <c r="L2931" s="7">
        <v>3.3620000000000001</v>
      </c>
      <c r="M2931" s="7">
        <v>3.5569999999999999</v>
      </c>
      <c r="N2931" s="7">
        <v>4.5060000000000002</v>
      </c>
      <c r="O2931" s="7">
        <v>4.6980000000000004</v>
      </c>
      <c r="P2931" s="7">
        <v>5.4260000000000002</v>
      </c>
      <c r="Q2931" s="7">
        <v>6.0940000000000003</v>
      </c>
      <c r="R2931" s="7">
        <v>6.3949999999999996</v>
      </c>
      <c r="S2931" s="7">
        <f t="shared" si="45"/>
        <v>4.9656666666666673</v>
      </c>
    </row>
    <row r="2932" spans="1:19">
      <c r="A2932" s="5" t="str">
        <f>B2932&amp;"-"&amp;COUNTIF($B$2:B2932,B2932)</f>
        <v>PARANÁ-146</v>
      </c>
      <c r="B2932" s="5" t="s">
        <v>1921</v>
      </c>
      <c r="C2932" s="5" t="s">
        <v>615</v>
      </c>
      <c r="D2932" s="6">
        <v>-530832</v>
      </c>
      <c r="E2932" s="6">
        <v>-247157</v>
      </c>
      <c r="F2932" s="7">
        <v>4.8220000000000001</v>
      </c>
      <c r="G2932" s="7">
        <v>6.258</v>
      </c>
      <c r="H2932" s="7">
        <v>5.6050000000000004</v>
      </c>
      <c r="I2932" s="7">
        <v>5.2960000000000003</v>
      </c>
      <c r="J2932" s="7">
        <v>4.4130000000000003</v>
      </c>
      <c r="K2932" s="7">
        <v>3.4780000000000002</v>
      </c>
      <c r="L2932" s="7">
        <v>3.0339999999999998</v>
      </c>
      <c r="M2932" s="7">
        <v>3.24</v>
      </c>
      <c r="N2932" s="7">
        <v>4.2409999999999997</v>
      </c>
      <c r="O2932" s="7">
        <v>4.4770000000000003</v>
      </c>
      <c r="P2932" s="7">
        <v>5.274</v>
      </c>
      <c r="Q2932" s="7">
        <v>6.1059999999999999</v>
      </c>
      <c r="R2932" s="7">
        <v>6.4470000000000001</v>
      </c>
      <c r="S2932" s="7">
        <f t="shared" si="45"/>
        <v>4.8224166666666672</v>
      </c>
    </row>
    <row r="2933" spans="1:19">
      <c r="A2933" s="5" t="str">
        <f>B2933&amp;"-"&amp;COUNTIF($B$2:B2933,B2933)</f>
        <v>PARANÁ-147</v>
      </c>
      <c r="B2933" s="5" t="s">
        <v>1921</v>
      </c>
      <c r="C2933" s="5" t="s">
        <v>4860</v>
      </c>
      <c r="D2933" s="6">
        <v>-507537</v>
      </c>
      <c r="E2933" s="6">
        <v>-244485</v>
      </c>
      <c r="F2933" s="7">
        <v>4.68</v>
      </c>
      <c r="G2933" s="7">
        <v>5.7030000000000003</v>
      </c>
      <c r="H2933" s="7">
        <v>5.5170000000000003</v>
      </c>
      <c r="I2933" s="7">
        <v>5.0430000000000001</v>
      </c>
      <c r="J2933" s="7">
        <v>4.375</v>
      </c>
      <c r="K2933" s="7">
        <v>3.419</v>
      </c>
      <c r="L2933" s="7">
        <v>3.008</v>
      </c>
      <c r="M2933" s="7">
        <v>3.3170000000000002</v>
      </c>
      <c r="N2933" s="7">
        <v>4.3159999999999998</v>
      </c>
      <c r="O2933" s="7">
        <v>4.4530000000000003</v>
      </c>
      <c r="P2933" s="7">
        <v>5.0549999999999997</v>
      </c>
      <c r="Q2933" s="7">
        <v>5.8559999999999999</v>
      </c>
      <c r="R2933" s="7">
        <v>6.0960000000000001</v>
      </c>
      <c r="S2933" s="7">
        <f t="shared" si="45"/>
        <v>4.6798333333333337</v>
      </c>
    </row>
    <row r="2934" spans="1:19">
      <c r="A2934" s="5" t="str">
        <f>B2934&amp;"-"&amp;COUNTIF($B$2:B2934,B2934)</f>
        <v>PARANÁ-148</v>
      </c>
      <c r="B2934" s="5" t="s">
        <v>1921</v>
      </c>
      <c r="C2934" s="5" t="s">
        <v>2003</v>
      </c>
      <c r="D2934" s="6">
        <v>-505993</v>
      </c>
      <c r="E2934" s="6">
        <v>-25229</v>
      </c>
      <c r="F2934" s="7">
        <v>4.4459999999999997</v>
      </c>
      <c r="G2934" s="7">
        <v>5.61</v>
      </c>
      <c r="H2934" s="7">
        <v>5.4029999999999996</v>
      </c>
      <c r="I2934" s="7">
        <v>4.7869999999999999</v>
      </c>
      <c r="J2934" s="7">
        <v>4.0010000000000003</v>
      </c>
      <c r="K2934" s="7">
        <v>3.165</v>
      </c>
      <c r="L2934" s="7">
        <v>2.7949999999999999</v>
      </c>
      <c r="M2934" s="7">
        <v>3.056</v>
      </c>
      <c r="N2934" s="7">
        <v>4.0549999999999997</v>
      </c>
      <c r="O2934" s="7">
        <v>4.1859999999999999</v>
      </c>
      <c r="P2934" s="7">
        <v>4.7850000000000001</v>
      </c>
      <c r="Q2934" s="7">
        <v>5.6340000000000003</v>
      </c>
      <c r="R2934" s="7">
        <v>5.8730000000000002</v>
      </c>
      <c r="S2934" s="7">
        <f t="shared" si="45"/>
        <v>4.4458333333333337</v>
      </c>
    </row>
    <row r="2935" spans="1:19">
      <c r="A2935" s="5" t="str">
        <f>B2935&amp;"-"&amp;COUNTIF($B$2:B2935,B2935)</f>
        <v>PARANÁ-149</v>
      </c>
      <c r="B2935" s="5" t="s">
        <v>1921</v>
      </c>
      <c r="C2935" s="5" t="s">
        <v>5659</v>
      </c>
      <c r="D2935" s="6">
        <v>-510774</v>
      </c>
      <c r="E2935" s="6">
        <v>-255709</v>
      </c>
      <c r="F2935" s="7">
        <v>4.2439999999999998</v>
      </c>
      <c r="G2935" s="7">
        <v>5.3479999999999999</v>
      </c>
      <c r="H2935" s="7">
        <v>5.0650000000000004</v>
      </c>
      <c r="I2935" s="7">
        <v>4.5279999999999996</v>
      </c>
      <c r="J2935" s="7">
        <v>3.7629999999999999</v>
      </c>
      <c r="K2935" s="7">
        <v>3.012</v>
      </c>
      <c r="L2935" s="7">
        <v>2.6869999999999998</v>
      </c>
      <c r="M2935" s="7">
        <v>2.923</v>
      </c>
      <c r="N2935" s="7">
        <v>3.956</v>
      </c>
      <c r="O2935" s="7">
        <v>4.032</v>
      </c>
      <c r="P2935" s="7">
        <v>4.5670000000000002</v>
      </c>
      <c r="Q2935" s="7">
        <v>5.4610000000000003</v>
      </c>
      <c r="R2935" s="7">
        <v>5.5810000000000004</v>
      </c>
      <c r="S2935" s="7">
        <f t="shared" si="45"/>
        <v>4.2435833333333335</v>
      </c>
    </row>
    <row r="2936" spans="1:19">
      <c r="A2936" s="5" t="str">
        <f>B2936&amp;"-"&amp;COUNTIF($B$2:B2936,B2936)</f>
        <v>PARANÁ-150</v>
      </c>
      <c r="B2936" s="5" t="s">
        <v>1921</v>
      </c>
      <c r="C2936" s="5" t="s">
        <v>5660</v>
      </c>
      <c r="D2936" s="6">
        <v>-521999</v>
      </c>
      <c r="E2936" s="6">
        <v>-227514</v>
      </c>
      <c r="F2936" s="7">
        <v>5.0250000000000004</v>
      </c>
      <c r="G2936" s="7">
        <v>5.9729999999999999</v>
      </c>
      <c r="H2936" s="7">
        <v>5.9660000000000002</v>
      </c>
      <c r="I2936" s="7">
        <v>5.4489999999999998</v>
      </c>
      <c r="J2936" s="7">
        <v>4.6870000000000003</v>
      </c>
      <c r="K2936" s="7">
        <v>3.7450000000000001</v>
      </c>
      <c r="L2936" s="7">
        <v>3.4220000000000002</v>
      </c>
      <c r="M2936" s="7">
        <v>3.609</v>
      </c>
      <c r="N2936" s="7">
        <v>4.5549999999999997</v>
      </c>
      <c r="O2936" s="7">
        <v>4.76</v>
      </c>
      <c r="P2936" s="7">
        <v>5.48</v>
      </c>
      <c r="Q2936" s="7">
        <v>6.1959999999999997</v>
      </c>
      <c r="R2936" s="7">
        <v>6.4539999999999997</v>
      </c>
      <c r="S2936" s="7">
        <f t="shared" si="45"/>
        <v>5.0246666666666666</v>
      </c>
    </row>
    <row r="2937" spans="1:19">
      <c r="A2937" s="5" t="str">
        <f>B2937&amp;"-"&amp;COUNTIF($B$2:B2937,B2937)</f>
        <v>PARANÁ-151</v>
      </c>
      <c r="B2937" s="5" t="s">
        <v>1921</v>
      </c>
      <c r="C2937" s="5" t="s">
        <v>5130</v>
      </c>
      <c r="D2937" s="6">
        <v>-526993</v>
      </c>
      <c r="E2937" s="6">
        <v>-234767</v>
      </c>
      <c r="F2937" s="7">
        <v>4.9340000000000002</v>
      </c>
      <c r="G2937" s="7">
        <v>6.0129999999999999</v>
      </c>
      <c r="H2937" s="7">
        <v>5.8789999999999996</v>
      </c>
      <c r="I2937" s="7">
        <v>5.4340000000000002</v>
      </c>
      <c r="J2937" s="7">
        <v>4.5410000000000004</v>
      </c>
      <c r="K2937" s="7">
        <v>3.6070000000000002</v>
      </c>
      <c r="L2937" s="7">
        <v>3.2469999999999999</v>
      </c>
      <c r="M2937" s="7">
        <v>3.4380000000000002</v>
      </c>
      <c r="N2937" s="7">
        <v>4.4180000000000001</v>
      </c>
      <c r="O2937" s="7">
        <v>4.6239999999999997</v>
      </c>
      <c r="P2937" s="7">
        <v>5.3979999999999997</v>
      </c>
      <c r="Q2937" s="7">
        <v>6.14</v>
      </c>
      <c r="R2937" s="7">
        <v>6.4640000000000004</v>
      </c>
      <c r="S2937" s="7">
        <f t="shared" si="45"/>
        <v>4.9335833333333339</v>
      </c>
    </row>
    <row r="2938" spans="1:19">
      <c r="A2938" s="5" t="str">
        <f>B2938&amp;"-"&amp;COUNTIF($B$2:B2938,B2938)</f>
        <v>PARANÁ-152</v>
      </c>
      <c r="B2938" s="5" t="s">
        <v>1921</v>
      </c>
      <c r="C2938" s="5" t="s">
        <v>2004</v>
      </c>
      <c r="D2938" s="6">
        <v>-505798</v>
      </c>
      <c r="E2938" s="6">
        <v>-250242</v>
      </c>
      <c r="F2938" s="7">
        <v>4.5229999999999997</v>
      </c>
      <c r="G2938" s="7">
        <v>5.67</v>
      </c>
      <c r="H2938" s="7">
        <v>5.4240000000000004</v>
      </c>
      <c r="I2938" s="7">
        <v>4.8730000000000002</v>
      </c>
      <c r="J2938" s="7">
        <v>4.1159999999999997</v>
      </c>
      <c r="K2938" s="7">
        <v>3.278</v>
      </c>
      <c r="L2938" s="7">
        <v>2.88</v>
      </c>
      <c r="M2938" s="7">
        <v>3.1309999999999998</v>
      </c>
      <c r="N2938" s="7">
        <v>4.1150000000000002</v>
      </c>
      <c r="O2938" s="7">
        <v>4.28</v>
      </c>
      <c r="P2938" s="7">
        <v>4.9000000000000004</v>
      </c>
      <c r="Q2938" s="7">
        <v>5.7110000000000003</v>
      </c>
      <c r="R2938" s="7">
        <v>5.9009999999999998</v>
      </c>
      <c r="S2938" s="7">
        <f t="shared" si="45"/>
        <v>4.52325</v>
      </c>
    </row>
    <row r="2939" spans="1:19">
      <c r="A2939" s="5" t="str">
        <f>B2939&amp;"-"&amp;COUNTIF($B$2:B2939,B2939)</f>
        <v>PARANÁ-153</v>
      </c>
      <c r="B2939" s="5" t="s">
        <v>1921</v>
      </c>
      <c r="C2939" s="5" t="s">
        <v>5388</v>
      </c>
      <c r="D2939" s="6">
        <v>-537065</v>
      </c>
      <c r="E2939" s="6">
        <v>-240088</v>
      </c>
      <c r="F2939" s="7">
        <v>4.8719999999999999</v>
      </c>
      <c r="G2939" s="7">
        <v>6.2119999999999997</v>
      </c>
      <c r="H2939" s="7">
        <v>5.8250000000000002</v>
      </c>
      <c r="I2939" s="7">
        <v>5.33</v>
      </c>
      <c r="J2939" s="7">
        <v>4.4109999999999996</v>
      </c>
      <c r="K2939" s="7">
        <v>3.4769999999999999</v>
      </c>
      <c r="L2939" s="7">
        <v>3.0950000000000002</v>
      </c>
      <c r="M2939" s="7">
        <v>3.2690000000000001</v>
      </c>
      <c r="N2939" s="7">
        <v>4.29</v>
      </c>
      <c r="O2939" s="7">
        <v>4.5359999999999996</v>
      </c>
      <c r="P2939" s="7">
        <v>5.3520000000000003</v>
      </c>
      <c r="Q2939" s="7">
        <v>6.16</v>
      </c>
      <c r="R2939" s="7">
        <v>6.5129999999999999</v>
      </c>
      <c r="S2939" s="7">
        <f t="shared" si="45"/>
        <v>4.8724999999999996</v>
      </c>
    </row>
    <row r="2940" spans="1:19">
      <c r="A2940" s="5" t="str">
        <f>B2940&amp;"-"&amp;COUNTIF($B$2:B2940,B2940)</f>
        <v>PARANÁ-154</v>
      </c>
      <c r="B2940" s="5" t="s">
        <v>1921</v>
      </c>
      <c r="C2940" s="5" t="s">
        <v>2005</v>
      </c>
      <c r="D2940" s="6">
        <v>-533532</v>
      </c>
      <c r="E2940" s="6">
        <v>-244266</v>
      </c>
      <c r="F2940" s="7">
        <v>4.8440000000000003</v>
      </c>
      <c r="G2940" s="7">
        <v>6.2560000000000002</v>
      </c>
      <c r="H2940" s="7">
        <v>5.7169999999999996</v>
      </c>
      <c r="I2940" s="7">
        <v>5.2839999999999998</v>
      </c>
      <c r="J2940" s="7">
        <v>4.3920000000000003</v>
      </c>
      <c r="K2940" s="7">
        <v>3.4729999999999999</v>
      </c>
      <c r="L2940" s="7">
        <v>3.0550000000000002</v>
      </c>
      <c r="M2940" s="7">
        <v>3.2559999999999998</v>
      </c>
      <c r="N2940" s="7">
        <v>4.274</v>
      </c>
      <c r="O2940" s="7">
        <v>4.5339999999999998</v>
      </c>
      <c r="P2940" s="7">
        <v>5.3170000000000002</v>
      </c>
      <c r="Q2940" s="7">
        <v>6.0949999999999998</v>
      </c>
      <c r="R2940" s="7">
        <v>6.4690000000000003</v>
      </c>
      <c r="S2940" s="7">
        <f t="shared" si="45"/>
        <v>4.8434999999999997</v>
      </c>
    </row>
    <row r="2941" spans="1:19">
      <c r="A2941" s="5" t="str">
        <f>B2941&amp;"-"&amp;COUNTIF($B$2:B2941,B2941)</f>
        <v>PARANÁ-155</v>
      </c>
      <c r="B2941" s="5" t="s">
        <v>1921</v>
      </c>
      <c r="C2941" s="5" t="s">
        <v>2006</v>
      </c>
      <c r="D2941" s="6">
        <v>-506497</v>
      </c>
      <c r="E2941" s="6">
        <v>-254701</v>
      </c>
      <c r="F2941" s="7">
        <v>4.3109999999999999</v>
      </c>
      <c r="G2941" s="7">
        <v>5.5410000000000004</v>
      </c>
      <c r="H2941" s="7">
        <v>5.25</v>
      </c>
      <c r="I2941" s="7">
        <v>4.5819999999999999</v>
      </c>
      <c r="J2941" s="7">
        <v>3.798</v>
      </c>
      <c r="K2941" s="7">
        <v>3.0609999999999999</v>
      </c>
      <c r="L2941" s="7">
        <v>2.673</v>
      </c>
      <c r="M2941" s="7">
        <v>2.9350000000000001</v>
      </c>
      <c r="N2941" s="7">
        <v>3.9460000000000002</v>
      </c>
      <c r="O2941" s="7">
        <v>4.0510000000000002</v>
      </c>
      <c r="P2941" s="7">
        <v>4.6230000000000002</v>
      </c>
      <c r="Q2941" s="7">
        <v>5.5709999999999997</v>
      </c>
      <c r="R2941" s="7">
        <v>5.7009999999999996</v>
      </c>
      <c r="S2941" s="7">
        <f t="shared" si="45"/>
        <v>4.3109999999999999</v>
      </c>
    </row>
    <row r="2942" spans="1:19">
      <c r="A2942" s="5" t="str">
        <f>B2942&amp;"-"&amp;COUNTIF($B$2:B2942,B2942)</f>
        <v>PARANÁ-156</v>
      </c>
      <c r="B2942" s="5" t="s">
        <v>1921</v>
      </c>
      <c r="C2942" s="5" t="s">
        <v>2007</v>
      </c>
      <c r="D2942" s="6">
        <v>-521016</v>
      </c>
      <c r="E2942" s="6">
        <v>-244258</v>
      </c>
      <c r="F2942" s="7">
        <v>4.8449999999999998</v>
      </c>
      <c r="G2942" s="7">
        <v>6.1130000000000004</v>
      </c>
      <c r="H2942" s="7">
        <v>5.7249999999999996</v>
      </c>
      <c r="I2942" s="7">
        <v>5.242</v>
      </c>
      <c r="J2942" s="7">
        <v>4.5019999999999998</v>
      </c>
      <c r="K2942" s="7">
        <v>3.5179999999999998</v>
      </c>
      <c r="L2942" s="7">
        <v>3.113</v>
      </c>
      <c r="M2942" s="7">
        <v>3.3380000000000001</v>
      </c>
      <c r="N2942" s="7">
        <v>4.3280000000000003</v>
      </c>
      <c r="O2942" s="7">
        <v>4.5430000000000001</v>
      </c>
      <c r="P2942" s="7">
        <v>5.2519999999999998</v>
      </c>
      <c r="Q2942" s="7">
        <v>6.1349999999999998</v>
      </c>
      <c r="R2942" s="7">
        <v>6.3390000000000004</v>
      </c>
      <c r="S2942" s="7">
        <f t="shared" si="45"/>
        <v>4.8456666666666672</v>
      </c>
    </row>
    <row r="2943" spans="1:19">
      <c r="A2943" s="5" t="str">
        <f>B2943&amp;"-"&amp;COUNTIF($B$2:B2943,B2943)</f>
        <v>PARANÁ-157</v>
      </c>
      <c r="B2943" s="5" t="s">
        <v>1921</v>
      </c>
      <c r="C2943" s="5" t="s">
        <v>4861</v>
      </c>
      <c r="D2943" s="6">
        <v>-528869</v>
      </c>
      <c r="E2943" s="6">
        <v>-227309</v>
      </c>
      <c r="F2943" s="7">
        <v>5.0410000000000004</v>
      </c>
      <c r="G2943" s="7">
        <v>6.0880000000000001</v>
      </c>
      <c r="H2943" s="7">
        <v>6.0519999999999996</v>
      </c>
      <c r="I2943" s="7">
        <v>5.4610000000000003</v>
      </c>
      <c r="J2943" s="7">
        <v>4.6559999999999997</v>
      </c>
      <c r="K2943" s="7">
        <v>3.742</v>
      </c>
      <c r="L2943" s="7">
        <v>3.4140000000000001</v>
      </c>
      <c r="M2943" s="7">
        <v>3.5910000000000002</v>
      </c>
      <c r="N2943" s="7">
        <v>4.5060000000000002</v>
      </c>
      <c r="O2943" s="7">
        <v>4.7779999999999996</v>
      </c>
      <c r="P2943" s="7">
        <v>5.4480000000000004</v>
      </c>
      <c r="Q2943" s="7">
        <v>6.19</v>
      </c>
      <c r="R2943" s="7">
        <v>6.5670000000000002</v>
      </c>
      <c r="S2943" s="7">
        <f t="shared" si="45"/>
        <v>5.0410833333333329</v>
      </c>
    </row>
    <row r="2944" spans="1:19">
      <c r="A2944" s="5" t="str">
        <f>B2944&amp;"-"&amp;COUNTIF($B$2:B2944,B2944)</f>
        <v>PARANÁ-158</v>
      </c>
      <c r="B2944" s="5" t="s">
        <v>1921</v>
      </c>
      <c r="C2944" s="5" t="s">
        <v>4415</v>
      </c>
      <c r="D2944" s="6">
        <v>-519678</v>
      </c>
      <c r="E2944" s="6">
        <v>-226187</v>
      </c>
      <c r="F2944" s="7">
        <v>5.0460000000000003</v>
      </c>
      <c r="G2944" s="7">
        <v>6.0110000000000001</v>
      </c>
      <c r="H2944" s="7">
        <v>5.9969999999999999</v>
      </c>
      <c r="I2944" s="7">
        <v>5.492</v>
      </c>
      <c r="J2944" s="7">
        <v>4.7430000000000003</v>
      </c>
      <c r="K2944" s="7">
        <v>3.7709999999999999</v>
      </c>
      <c r="L2944" s="7">
        <v>3.4609999999999999</v>
      </c>
      <c r="M2944" s="7">
        <v>3.6469999999999998</v>
      </c>
      <c r="N2944" s="7">
        <v>4.5970000000000004</v>
      </c>
      <c r="O2944" s="7">
        <v>4.7530000000000001</v>
      </c>
      <c r="P2944" s="7">
        <v>5.4809999999999999</v>
      </c>
      <c r="Q2944" s="7">
        <v>6.1369999999999996</v>
      </c>
      <c r="R2944" s="7">
        <v>6.4619999999999997</v>
      </c>
      <c r="S2944" s="7">
        <f t="shared" si="45"/>
        <v>5.0460000000000003</v>
      </c>
    </row>
    <row r="2945" spans="1:19">
      <c r="A2945" s="5" t="str">
        <f>B2945&amp;"-"&amp;COUNTIF($B$2:B2945,B2945)</f>
        <v>PARANÁ-159</v>
      </c>
      <c r="B2945" s="5" t="s">
        <v>1921</v>
      </c>
      <c r="C2945" s="5" t="s">
        <v>4993</v>
      </c>
      <c r="D2945" s="6">
        <v>-543006</v>
      </c>
      <c r="E2945" s="6">
        <v>-251371</v>
      </c>
      <c r="F2945" s="7">
        <v>4.819</v>
      </c>
      <c r="G2945" s="7">
        <v>6.4189999999999996</v>
      </c>
      <c r="H2945" s="7">
        <v>5.9329999999999998</v>
      </c>
      <c r="I2945" s="7">
        <v>5.3849999999999998</v>
      </c>
      <c r="J2945" s="7">
        <v>4.2560000000000002</v>
      </c>
      <c r="K2945" s="7">
        <v>3.298</v>
      </c>
      <c r="L2945" s="7">
        <v>2.8780000000000001</v>
      </c>
      <c r="M2945" s="7">
        <v>3.0819999999999999</v>
      </c>
      <c r="N2945" s="7">
        <v>4.0549999999999997</v>
      </c>
      <c r="O2945" s="7">
        <v>4.3170000000000002</v>
      </c>
      <c r="P2945" s="7">
        <v>5.2960000000000003</v>
      </c>
      <c r="Q2945" s="7">
        <v>6.1879999999999997</v>
      </c>
      <c r="R2945" s="7">
        <v>6.7169999999999996</v>
      </c>
      <c r="S2945" s="7">
        <f t="shared" si="45"/>
        <v>4.8186666666666671</v>
      </c>
    </row>
    <row r="2946" spans="1:19">
      <c r="A2946" s="5" t="str">
        <f>B2946&amp;"-"&amp;COUNTIF($B$2:B2946,B2946)</f>
        <v>PARANÁ-160</v>
      </c>
      <c r="B2946" s="5" t="s">
        <v>1921</v>
      </c>
      <c r="C2946" s="5" t="s">
        <v>4278</v>
      </c>
      <c r="D2946" s="6">
        <v>-519917</v>
      </c>
      <c r="E2946" s="6">
        <v>-236605</v>
      </c>
      <c r="F2946" s="7">
        <v>4.8769999999999998</v>
      </c>
      <c r="G2946" s="7">
        <v>6.0389999999999997</v>
      </c>
      <c r="H2946" s="7">
        <v>5.7060000000000004</v>
      </c>
      <c r="I2946" s="7">
        <v>5.2149999999999999</v>
      </c>
      <c r="J2946" s="7">
        <v>4.5599999999999996</v>
      </c>
      <c r="K2946" s="7">
        <v>3.6080000000000001</v>
      </c>
      <c r="L2946" s="7">
        <v>3.2610000000000001</v>
      </c>
      <c r="M2946" s="7">
        <v>3.4540000000000002</v>
      </c>
      <c r="N2946" s="7">
        <v>4.3540000000000001</v>
      </c>
      <c r="O2946" s="7">
        <v>4.6050000000000004</v>
      </c>
      <c r="P2946" s="7">
        <v>5.27</v>
      </c>
      <c r="Q2946" s="7">
        <v>6.0570000000000004</v>
      </c>
      <c r="R2946" s="7">
        <v>6.3979999999999997</v>
      </c>
      <c r="S2946" s="7">
        <f t="shared" si="45"/>
        <v>4.8772500000000001</v>
      </c>
    </row>
    <row r="2947" spans="1:19">
      <c r="A2947" s="5" t="str">
        <f>B2947&amp;"-"&amp;COUNTIF($B$2:B2947,B2947)</f>
        <v>PARANÁ-161</v>
      </c>
      <c r="B2947" s="5" t="s">
        <v>1921</v>
      </c>
      <c r="C2947" s="5" t="s">
        <v>5661</v>
      </c>
      <c r="D2947" s="6">
        <v>-504059</v>
      </c>
      <c r="E2947" s="6">
        <v>-23018</v>
      </c>
      <c r="F2947" s="7">
        <v>4.9640000000000004</v>
      </c>
      <c r="G2947" s="7">
        <v>5.9210000000000003</v>
      </c>
      <c r="H2947" s="7">
        <v>5.8849999999999998</v>
      </c>
      <c r="I2947" s="7">
        <v>5.2770000000000001</v>
      </c>
      <c r="J2947" s="7">
        <v>4.657</v>
      </c>
      <c r="K2947" s="7">
        <v>3.7309999999999999</v>
      </c>
      <c r="L2947" s="7">
        <v>3.3980000000000001</v>
      </c>
      <c r="M2947" s="7">
        <v>3.6070000000000002</v>
      </c>
      <c r="N2947" s="7">
        <v>4.57</v>
      </c>
      <c r="O2947" s="7">
        <v>4.7080000000000002</v>
      </c>
      <c r="P2947" s="7">
        <v>5.4020000000000001</v>
      </c>
      <c r="Q2947" s="7">
        <v>5.9980000000000002</v>
      </c>
      <c r="R2947" s="7">
        <v>6.41</v>
      </c>
      <c r="S2947" s="7">
        <f t="shared" ref="S2947:S3010" si="46">(G2947+H2947+I2947+J2947+K2947+L2947+M2947+N2947+O2947+P2947+Q2947+R2947)/12</f>
        <v>4.9636666666666676</v>
      </c>
    </row>
    <row r="2948" spans="1:19">
      <c r="A2948" s="5" t="str">
        <f>B2948&amp;"-"&amp;COUNTIF($B$2:B2948,B2948)</f>
        <v>PARANÁ-162</v>
      </c>
      <c r="B2948" s="5" t="s">
        <v>1921</v>
      </c>
      <c r="C2948" s="5" t="s">
        <v>2008</v>
      </c>
      <c r="D2948" s="6">
        <v>-528143</v>
      </c>
      <c r="E2948" s="6">
        <v>-259625</v>
      </c>
      <c r="F2948" s="7">
        <v>4.7469999999999999</v>
      </c>
      <c r="G2948" s="7">
        <v>6.2549999999999999</v>
      </c>
      <c r="H2948" s="7">
        <v>5.7089999999999996</v>
      </c>
      <c r="I2948" s="7">
        <v>5.2560000000000002</v>
      </c>
      <c r="J2948" s="7">
        <v>4.2690000000000001</v>
      </c>
      <c r="K2948" s="7">
        <v>3.298</v>
      </c>
      <c r="L2948" s="7">
        <v>2.8170000000000002</v>
      </c>
      <c r="M2948" s="7">
        <v>3.1040000000000001</v>
      </c>
      <c r="N2948" s="7">
        <v>4.0999999999999996</v>
      </c>
      <c r="O2948" s="7">
        <v>4.2779999999999996</v>
      </c>
      <c r="P2948" s="7">
        <v>5.234</v>
      </c>
      <c r="Q2948" s="7">
        <v>6.2119999999999997</v>
      </c>
      <c r="R2948" s="7">
        <v>6.4329999999999998</v>
      </c>
      <c r="S2948" s="7">
        <f t="shared" si="46"/>
        <v>4.7470833333333333</v>
      </c>
    </row>
    <row r="2949" spans="1:19">
      <c r="A2949" s="5" t="str">
        <f>B2949&amp;"-"&amp;COUNTIF($B$2:B2949,B2949)</f>
        <v>PARANÁ-163</v>
      </c>
      <c r="B2949" s="5" t="s">
        <v>1921</v>
      </c>
      <c r="C2949" s="5" t="s">
        <v>4716</v>
      </c>
      <c r="D2949" s="6">
        <v>-493458</v>
      </c>
      <c r="E2949" s="6">
        <v>-252197</v>
      </c>
      <c r="F2949" s="7">
        <v>4.26</v>
      </c>
      <c r="G2949" s="7">
        <v>5.3810000000000002</v>
      </c>
      <c r="H2949" s="7">
        <v>5.2460000000000004</v>
      </c>
      <c r="I2949" s="7">
        <v>4.649</v>
      </c>
      <c r="J2949" s="7">
        <v>3.855</v>
      </c>
      <c r="K2949" s="7">
        <v>3.07</v>
      </c>
      <c r="L2949" s="7">
        <v>2.7229999999999999</v>
      </c>
      <c r="M2949" s="7">
        <v>2.9369999999999998</v>
      </c>
      <c r="N2949" s="7">
        <v>3.9209999999999998</v>
      </c>
      <c r="O2949" s="7">
        <v>3.9340000000000002</v>
      </c>
      <c r="P2949" s="7">
        <v>4.4640000000000004</v>
      </c>
      <c r="Q2949" s="7">
        <v>5.3280000000000003</v>
      </c>
      <c r="R2949" s="7">
        <v>5.6070000000000002</v>
      </c>
      <c r="S2949" s="7">
        <f t="shared" si="46"/>
        <v>4.2595833333333335</v>
      </c>
    </row>
    <row r="2950" spans="1:19">
      <c r="A2950" s="5" t="str">
        <f>B2950&amp;"-"&amp;COUNTIF($B$2:B2950,B2950)</f>
        <v>PARANÁ-164</v>
      </c>
      <c r="B2950" s="5" t="s">
        <v>1921</v>
      </c>
      <c r="C2950" s="5" t="s">
        <v>2009</v>
      </c>
      <c r="D2950" s="6">
        <v>-508575</v>
      </c>
      <c r="E2950" s="6">
        <v>-250072</v>
      </c>
      <c r="F2950" s="7">
        <v>4.5640000000000001</v>
      </c>
      <c r="G2950" s="7">
        <v>5.7709999999999999</v>
      </c>
      <c r="H2950" s="7">
        <v>5.4619999999999997</v>
      </c>
      <c r="I2950" s="7">
        <v>4.9450000000000003</v>
      </c>
      <c r="J2950" s="7">
        <v>4.133</v>
      </c>
      <c r="K2950" s="7">
        <v>3.2610000000000001</v>
      </c>
      <c r="L2950" s="7">
        <v>2.8650000000000002</v>
      </c>
      <c r="M2950" s="7">
        <v>3.1349999999999998</v>
      </c>
      <c r="N2950" s="7">
        <v>4.1369999999999996</v>
      </c>
      <c r="O2950" s="7">
        <v>4.3010000000000002</v>
      </c>
      <c r="P2950" s="7">
        <v>4.9489999999999998</v>
      </c>
      <c r="Q2950" s="7">
        <v>5.8079999999999998</v>
      </c>
      <c r="R2950" s="7">
        <v>6.0010000000000003</v>
      </c>
      <c r="S2950" s="7">
        <f t="shared" si="46"/>
        <v>4.5639999999999992</v>
      </c>
    </row>
    <row r="2951" spans="1:19">
      <c r="A2951" s="5" t="str">
        <f>B2951&amp;"-"&amp;COUNTIF($B$2:B2951,B2951)</f>
        <v>PARANÁ-165</v>
      </c>
      <c r="B2951" s="5" t="s">
        <v>1921</v>
      </c>
      <c r="C2951" s="5" t="s">
        <v>5389</v>
      </c>
      <c r="D2951" s="6">
        <v>-516759</v>
      </c>
      <c r="E2951" s="6">
        <v>-24249</v>
      </c>
      <c r="F2951" s="7">
        <v>4.8710000000000004</v>
      </c>
      <c r="G2951" s="7">
        <v>6.0359999999999996</v>
      </c>
      <c r="H2951" s="7">
        <v>5.7779999999999996</v>
      </c>
      <c r="I2951" s="7">
        <v>5.2770000000000001</v>
      </c>
      <c r="J2951" s="7">
        <v>4.5819999999999999</v>
      </c>
      <c r="K2951" s="7">
        <v>3.5310000000000001</v>
      </c>
      <c r="L2951" s="7">
        <v>3.16</v>
      </c>
      <c r="M2951" s="7">
        <v>3.3860000000000001</v>
      </c>
      <c r="N2951" s="7">
        <v>4.391</v>
      </c>
      <c r="O2951" s="7">
        <v>4.5620000000000003</v>
      </c>
      <c r="P2951" s="7">
        <v>5.2629999999999999</v>
      </c>
      <c r="Q2951" s="7">
        <v>6.101</v>
      </c>
      <c r="R2951" s="7">
        <v>6.3840000000000003</v>
      </c>
      <c r="S2951" s="7">
        <f t="shared" si="46"/>
        <v>4.8709166666666661</v>
      </c>
    </row>
    <row r="2952" spans="1:19">
      <c r="A2952" s="5" t="str">
        <f>B2952&amp;"-"&amp;COUNTIF($B$2:B2952,B2952)</f>
        <v>PARANÁ-166</v>
      </c>
      <c r="B2952" s="5" t="s">
        <v>1921</v>
      </c>
      <c r="C2952" s="5" t="s">
        <v>4416</v>
      </c>
      <c r="D2952" s="6">
        <v>-533691</v>
      </c>
      <c r="E2952" s="6">
        <v>-234077</v>
      </c>
      <c r="F2952" s="7">
        <v>4.9279999999999999</v>
      </c>
      <c r="G2952" s="7">
        <v>6.0359999999999996</v>
      </c>
      <c r="H2952" s="7">
        <v>5.8680000000000003</v>
      </c>
      <c r="I2952" s="7">
        <v>5.3730000000000002</v>
      </c>
      <c r="J2952" s="7">
        <v>4.5209999999999999</v>
      </c>
      <c r="K2952" s="7">
        <v>3.59</v>
      </c>
      <c r="L2952" s="7">
        <v>3.2250000000000001</v>
      </c>
      <c r="M2952" s="7">
        <v>3.4289999999999998</v>
      </c>
      <c r="N2952" s="7">
        <v>4.3819999999999997</v>
      </c>
      <c r="O2952" s="7">
        <v>4.6189999999999998</v>
      </c>
      <c r="P2952" s="7">
        <v>5.4290000000000003</v>
      </c>
      <c r="Q2952" s="7">
        <v>6.1669999999999998</v>
      </c>
      <c r="R2952" s="7">
        <v>6.5010000000000003</v>
      </c>
      <c r="S2952" s="7">
        <f t="shared" si="46"/>
        <v>4.9283333333333337</v>
      </c>
    </row>
    <row r="2953" spans="1:19">
      <c r="A2953" s="5" t="str">
        <f>B2953&amp;"-"&amp;COUNTIF($B$2:B2953,B2953)</f>
        <v>PARANÁ-167</v>
      </c>
      <c r="B2953" s="5" t="s">
        <v>1921</v>
      </c>
      <c r="C2953" s="5" t="s">
        <v>2010</v>
      </c>
      <c r="D2953" s="6">
        <v>-522207</v>
      </c>
      <c r="E2953" s="6">
        <v>-236192</v>
      </c>
      <c r="F2953" s="7">
        <v>4.891</v>
      </c>
      <c r="G2953" s="7">
        <v>6.0839999999999996</v>
      </c>
      <c r="H2953" s="7">
        <v>5.68</v>
      </c>
      <c r="I2953" s="7">
        <v>5.2169999999999996</v>
      </c>
      <c r="J2953" s="7">
        <v>4.593</v>
      </c>
      <c r="K2953" s="7">
        <v>3.6389999999999998</v>
      </c>
      <c r="L2953" s="7">
        <v>3.2440000000000002</v>
      </c>
      <c r="M2953" s="7">
        <v>3.45</v>
      </c>
      <c r="N2953" s="7">
        <v>4.3410000000000002</v>
      </c>
      <c r="O2953" s="7">
        <v>4.63</v>
      </c>
      <c r="P2953" s="7">
        <v>5.2809999999999997</v>
      </c>
      <c r="Q2953" s="7">
        <v>6.0469999999999997</v>
      </c>
      <c r="R2953" s="7">
        <v>6.484</v>
      </c>
      <c r="S2953" s="7">
        <f t="shared" si="46"/>
        <v>4.8908333333333331</v>
      </c>
    </row>
    <row r="2954" spans="1:19">
      <c r="A2954" s="5" t="str">
        <f>B2954&amp;"-"&amp;COUNTIF($B$2:B2954,B2954)</f>
        <v>PARANÁ-168</v>
      </c>
      <c r="B2954" s="5" t="s">
        <v>1921</v>
      </c>
      <c r="C2954" s="5" t="s">
        <v>2011</v>
      </c>
      <c r="D2954" s="6">
        <v>-500733</v>
      </c>
      <c r="E2954" s="6">
        <v>-23744</v>
      </c>
      <c r="F2954" s="7">
        <v>4.851</v>
      </c>
      <c r="G2954" s="7">
        <v>5.7629999999999999</v>
      </c>
      <c r="H2954" s="7">
        <v>5.8029999999999999</v>
      </c>
      <c r="I2954" s="7">
        <v>5.1619999999999999</v>
      </c>
      <c r="J2954" s="7">
        <v>4.516</v>
      </c>
      <c r="K2954" s="7">
        <v>3.6110000000000002</v>
      </c>
      <c r="L2954" s="7">
        <v>3.2189999999999999</v>
      </c>
      <c r="M2954" s="7">
        <v>3.4849999999999999</v>
      </c>
      <c r="N2954" s="7">
        <v>4.4589999999999996</v>
      </c>
      <c r="O2954" s="7">
        <v>4.6429999999999998</v>
      </c>
      <c r="P2954" s="7">
        <v>5.2629999999999999</v>
      </c>
      <c r="Q2954" s="7">
        <v>5.968</v>
      </c>
      <c r="R2954" s="7">
        <v>6.3220000000000001</v>
      </c>
      <c r="S2954" s="7">
        <f t="shared" si="46"/>
        <v>4.8511666666666668</v>
      </c>
    </row>
    <row r="2955" spans="1:19">
      <c r="A2955" s="5" t="str">
        <f>B2955&amp;"-"&amp;COUNTIF($B$2:B2955,B2955)</f>
        <v>PARANÁ-169</v>
      </c>
      <c r="B2955" s="5" t="s">
        <v>1921</v>
      </c>
      <c r="C2955" s="5" t="s">
        <v>2012</v>
      </c>
      <c r="D2955" s="6">
        <v>-499743</v>
      </c>
      <c r="E2955" s="6">
        <v>-231596</v>
      </c>
      <c r="F2955" s="7">
        <v>4.9420000000000002</v>
      </c>
      <c r="G2955" s="7">
        <v>5.7709999999999999</v>
      </c>
      <c r="H2955" s="7">
        <v>5.8170000000000002</v>
      </c>
      <c r="I2955" s="7">
        <v>5.2619999999999996</v>
      </c>
      <c r="J2955" s="7">
        <v>4.6719999999999997</v>
      </c>
      <c r="K2955" s="7">
        <v>3.6859999999999999</v>
      </c>
      <c r="L2955" s="7">
        <v>3.3820000000000001</v>
      </c>
      <c r="M2955" s="7">
        <v>3.617</v>
      </c>
      <c r="N2955" s="7">
        <v>4.5890000000000004</v>
      </c>
      <c r="O2955" s="7">
        <v>4.7320000000000002</v>
      </c>
      <c r="P2955" s="7">
        <v>5.4160000000000004</v>
      </c>
      <c r="Q2955" s="7">
        <v>5.9690000000000003</v>
      </c>
      <c r="R2955" s="7">
        <v>6.3879999999999999</v>
      </c>
      <c r="S2955" s="7">
        <f t="shared" si="46"/>
        <v>4.9417499999999999</v>
      </c>
    </row>
    <row r="2956" spans="1:19">
      <c r="A2956" s="5" t="str">
        <f>B2956&amp;"-"&amp;COUNTIF($B$2:B2956,B2956)</f>
        <v>PARANÁ-170</v>
      </c>
      <c r="B2956" s="5" t="s">
        <v>1921</v>
      </c>
      <c r="C2956" s="5" t="s">
        <v>5390</v>
      </c>
      <c r="D2956" s="6">
        <v>-515346</v>
      </c>
      <c r="E2956" s="6">
        <v>-231109</v>
      </c>
      <c r="F2956" s="7">
        <v>5</v>
      </c>
      <c r="G2956" s="7">
        <v>5.9119999999999999</v>
      </c>
      <c r="H2956" s="7">
        <v>5.9169999999999998</v>
      </c>
      <c r="I2956" s="7">
        <v>5.4180000000000001</v>
      </c>
      <c r="J2956" s="7">
        <v>4.742</v>
      </c>
      <c r="K2956" s="7">
        <v>3.68</v>
      </c>
      <c r="L2956" s="7">
        <v>3.4329999999999998</v>
      </c>
      <c r="M2956" s="7">
        <v>3.605</v>
      </c>
      <c r="N2956" s="7">
        <v>4.5369999999999999</v>
      </c>
      <c r="O2956" s="7">
        <v>4.7640000000000002</v>
      </c>
      <c r="P2956" s="7">
        <v>5.4640000000000004</v>
      </c>
      <c r="Q2956" s="7">
        <v>6.1550000000000002</v>
      </c>
      <c r="R2956" s="7">
        <v>6.3760000000000003</v>
      </c>
      <c r="S2956" s="7">
        <f t="shared" si="46"/>
        <v>5.0002500000000003</v>
      </c>
    </row>
    <row r="2957" spans="1:19">
      <c r="A2957" s="5" t="str">
        <f>B2957&amp;"-"&amp;COUNTIF($B$2:B2957,B2957)</f>
        <v>PARANÁ-171</v>
      </c>
      <c r="B2957" s="5" t="s">
        <v>1921</v>
      </c>
      <c r="C2957" s="5" t="s">
        <v>2013</v>
      </c>
      <c r="D2957" s="6">
        <v>-497059</v>
      </c>
      <c r="E2957" s="6">
        <v>-24251</v>
      </c>
      <c r="F2957" s="7">
        <v>4.6109999999999998</v>
      </c>
      <c r="G2957" s="7">
        <v>5.49</v>
      </c>
      <c r="H2957" s="7">
        <v>5.4980000000000002</v>
      </c>
      <c r="I2957" s="7">
        <v>4.8289999999999997</v>
      </c>
      <c r="J2957" s="7">
        <v>4.2560000000000002</v>
      </c>
      <c r="K2957" s="7">
        <v>3.4289999999999998</v>
      </c>
      <c r="L2957" s="7">
        <v>3.0819999999999999</v>
      </c>
      <c r="M2957" s="7">
        <v>3.3279999999999998</v>
      </c>
      <c r="N2957" s="7">
        <v>4.3049999999999997</v>
      </c>
      <c r="O2957" s="7">
        <v>4.4560000000000004</v>
      </c>
      <c r="P2957" s="7">
        <v>4.9930000000000003</v>
      </c>
      <c r="Q2957" s="7">
        <v>5.6820000000000004</v>
      </c>
      <c r="R2957" s="7">
        <v>5.9850000000000003</v>
      </c>
      <c r="S2957" s="7">
        <f t="shared" si="46"/>
        <v>4.6110833333333341</v>
      </c>
    </row>
    <row r="2958" spans="1:19">
      <c r="A2958" s="5" t="str">
        <f>B2958&amp;"-"&amp;COUNTIF($B$2:B2958,B2958)</f>
        <v>PARANÁ-172</v>
      </c>
      <c r="B2958" s="5" t="s">
        <v>1921</v>
      </c>
      <c r="C2958" s="5" t="s">
        <v>2014</v>
      </c>
      <c r="D2958" s="6">
        <v>-516453</v>
      </c>
      <c r="E2958" s="6">
        <v>-236016</v>
      </c>
      <c r="F2958" s="7">
        <v>4.8579999999999997</v>
      </c>
      <c r="G2958" s="7">
        <v>5.77</v>
      </c>
      <c r="H2958" s="7">
        <v>5.7279999999999998</v>
      </c>
      <c r="I2958" s="7">
        <v>5.2409999999999997</v>
      </c>
      <c r="J2958" s="7">
        <v>4.5540000000000003</v>
      </c>
      <c r="K2958" s="7">
        <v>3.5859999999999999</v>
      </c>
      <c r="L2958" s="7">
        <v>3.2919999999999998</v>
      </c>
      <c r="M2958" s="7">
        <v>3.5030000000000001</v>
      </c>
      <c r="N2958" s="7">
        <v>4.4779999999999998</v>
      </c>
      <c r="O2958" s="7">
        <v>4.6440000000000001</v>
      </c>
      <c r="P2958" s="7">
        <v>5.3029999999999999</v>
      </c>
      <c r="Q2958" s="7">
        <v>5.9790000000000001</v>
      </c>
      <c r="R2958" s="7">
        <v>6.2220000000000004</v>
      </c>
      <c r="S2958" s="7">
        <f t="shared" si="46"/>
        <v>4.8583333333333334</v>
      </c>
    </row>
    <row r="2959" spans="1:19">
      <c r="A2959" s="5" t="str">
        <f>B2959&amp;"-"&amp;COUNTIF($B$2:B2959,B2959)</f>
        <v>PARANÁ-173</v>
      </c>
      <c r="B2959" s="5" t="s">
        <v>1921</v>
      </c>
      <c r="C2959" s="5" t="s">
        <v>5171</v>
      </c>
      <c r="D2959" s="6">
        <v>-527788</v>
      </c>
      <c r="E2959" s="6">
        <v>-241406</v>
      </c>
      <c r="F2959" s="7">
        <v>4.875</v>
      </c>
      <c r="G2959" s="7">
        <v>6.1849999999999996</v>
      </c>
      <c r="H2959" s="7">
        <v>5.7069999999999999</v>
      </c>
      <c r="I2959" s="7">
        <v>5.2759999999999998</v>
      </c>
      <c r="J2959" s="7">
        <v>4.4690000000000003</v>
      </c>
      <c r="K2959" s="7">
        <v>3.5409999999999999</v>
      </c>
      <c r="L2959" s="7">
        <v>3.1280000000000001</v>
      </c>
      <c r="M2959" s="7">
        <v>3.3690000000000002</v>
      </c>
      <c r="N2959" s="7">
        <v>4.3140000000000001</v>
      </c>
      <c r="O2959" s="7">
        <v>4.5629999999999997</v>
      </c>
      <c r="P2959" s="7">
        <v>5.3520000000000003</v>
      </c>
      <c r="Q2959" s="7">
        <v>6.101</v>
      </c>
      <c r="R2959" s="7">
        <v>6.4960000000000004</v>
      </c>
      <c r="S2959" s="7">
        <f t="shared" si="46"/>
        <v>4.8750833333333343</v>
      </c>
    </row>
    <row r="2960" spans="1:19">
      <c r="A2960" s="5" t="str">
        <f>B2960&amp;"-"&amp;COUNTIF($B$2:B2960,B2960)</f>
        <v>PARANÁ-174</v>
      </c>
      <c r="B2960" s="5" t="s">
        <v>1921</v>
      </c>
      <c r="C2960" s="5" t="s">
        <v>2015</v>
      </c>
      <c r="D2960" s="6">
        <v>-501426</v>
      </c>
      <c r="E2960" s="6">
        <v>-238147</v>
      </c>
      <c r="F2960" s="7">
        <v>4.806</v>
      </c>
      <c r="G2960" s="7">
        <v>5.7160000000000002</v>
      </c>
      <c r="H2960" s="7">
        <v>5.7030000000000003</v>
      </c>
      <c r="I2960" s="7">
        <v>5.1150000000000002</v>
      </c>
      <c r="J2960" s="7">
        <v>4.4889999999999999</v>
      </c>
      <c r="K2960" s="7">
        <v>3.5779999999999998</v>
      </c>
      <c r="L2960" s="7">
        <v>3.1970000000000001</v>
      </c>
      <c r="M2960" s="7">
        <v>3.4540000000000002</v>
      </c>
      <c r="N2960" s="7">
        <v>4.4409999999999998</v>
      </c>
      <c r="O2960" s="7">
        <v>4.6139999999999999</v>
      </c>
      <c r="P2960" s="7">
        <v>5.2080000000000002</v>
      </c>
      <c r="Q2960" s="7">
        <v>5.9169999999999998</v>
      </c>
      <c r="R2960" s="7">
        <v>6.2409999999999997</v>
      </c>
      <c r="S2960" s="7">
        <f t="shared" si="46"/>
        <v>4.8060833333333326</v>
      </c>
    </row>
    <row r="2961" spans="1:19">
      <c r="A2961" s="5" t="str">
        <f>B2961&amp;"-"&amp;COUNTIF($B$2:B2961,B2961)</f>
        <v>PARANÁ-175</v>
      </c>
      <c r="B2961" s="5" t="s">
        <v>1921</v>
      </c>
      <c r="C2961" s="5" t="s">
        <v>263</v>
      </c>
      <c r="D2961" s="6">
        <v>-525562</v>
      </c>
      <c r="E2961" s="6">
        <v>-234697</v>
      </c>
      <c r="F2961" s="7">
        <v>4.9290000000000003</v>
      </c>
      <c r="G2961" s="7">
        <v>6.0549999999999997</v>
      </c>
      <c r="H2961" s="7">
        <v>5.8410000000000002</v>
      </c>
      <c r="I2961" s="7">
        <v>5.319</v>
      </c>
      <c r="J2961" s="7">
        <v>4.5570000000000004</v>
      </c>
      <c r="K2961" s="7">
        <v>3.6139999999999999</v>
      </c>
      <c r="L2961" s="7">
        <v>3.2549999999999999</v>
      </c>
      <c r="M2961" s="7">
        <v>3.4769999999999999</v>
      </c>
      <c r="N2961" s="7">
        <v>4.4000000000000004</v>
      </c>
      <c r="O2961" s="7">
        <v>4.6470000000000002</v>
      </c>
      <c r="P2961" s="7">
        <v>5.3769999999999998</v>
      </c>
      <c r="Q2961" s="7">
        <v>6.1189999999999998</v>
      </c>
      <c r="R2961" s="7">
        <v>6.4859999999999998</v>
      </c>
      <c r="S2961" s="7">
        <f t="shared" si="46"/>
        <v>4.9289166666666659</v>
      </c>
    </row>
    <row r="2962" spans="1:19">
      <c r="A2962" s="5" t="str">
        <f>B2962&amp;"-"&amp;COUNTIF($B$2:B2962,B2962)</f>
        <v>PARANÁ-176</v>
      </c>
      <c r="B2962" s="5" t="s">
        <v>1921</v>
      </c>
      <c r="C2962" s="5" t="s">
        <v>2016</v>
      </c>
      <c r="D2962" s="6">
        <v>-516906</v>
      </c>
      <c r="E2962" s="6">
        <v>-241814</v>
      </c>
      <c r="F2962" s="7">
        <v>4.8710000000000004</v>
      </c>
      <c r="G2962" s="7">
        <v>6.0359999999999996</v>
      </c>
      <c r="H2962" s="7">
        <v>5.7779999999999996</v>
      </c>
      <c r="I2962" s="7">
        <v>5.2770000000000001</v>
      </c>
      <c r="J2962" s="7">
        <v>4.5819999999999999</v>
      </c>
      <c r="K2962" s="7">
        <v>3.5310000000000001</v>
      </c>
      <c r="L2962" s="7">
        <v>3.16</v>
      </c>
      <c r="M2962" s="7">
        <v>3.3860000000000001</v>
      </c>
      <c r="N2962" s="7">
        <v>4.391</v>
      </c>
      <c r="O2962" s="7">
        <v>4.5620000000000003</v>
      </c>
      <c r="P2962" s="7">
        <v>5.2629999999999999</v>
      </c>
      <c r="Q2962" s="7">
        <v>6.101</v>
      </c>
      <c r="R2962" s="7">
        <v>6.3840000000000003</v>
      </c>
      <c r="S2962" s="7">
        <f t="shared" si="46"/>
        <v>4.8709166666666661</v>
      </c>
    </row>
    <row r="2963" spans="1:19">
      <c r="A2963" s="5" t="str">
        <f>B2963&amp;"-"&amp;COUNTIF($B$2:B2963,B2963)</f>
        <v>PARANÁ-177</v>
      </c>
      <c r="B2963" s="5" t="s">
        <v>1921</v>
      </c>
      <c r="C2963" s="5" t="s">
        <v>2017</v>
      </c>
      <c r="D2963" s="6">
        <v>-520374</v>
      </c>
      <c r="E2963" s="6">
        <v>-225521</v>
      </c>
      <c r="F2963" s="7">
        <v>5.0419999999999998</v>
      </c>
      <c r="G2963" s="7">
        <v>5.992</v>
      </c>
      <c r="H2963" s="7">
        <v>5.97</v>
      </c>
      <c r="I2963" s="7">
        <v>5.4850000000000003</v>
      </c>
      <c r="J2963" s="7">
        <v>4.7169999999999996</v>
      </c>
      <c r="K2963" s="7">
        <v>3.7709999999999999</v>
      </c>
      <c r="L2963" s="7">
        <v>3.4649999999999999</v>
      </c>
      <c r="M2963" s="7">
        <v>3.649</v>
      </c>
      <c r="N2963" s="7">
        <v>4.5960000000000001</v>
      </c>
      <c r="O2963" s="7">
        <v>4.7640000000000002</v>
      </c>
      <c r="P2963" s="7">
        <v>5.4859999999999998</v>
      </c>
      <c r="Q2963" s="7">
        <v>6.1470000000000002</v>
      </c>
      <c r="R2963" s="7">
        <v>6.4649999999999999</v>
      </c>
      <c r="S2963" s="7">
        <f t="shared" si="46"/>
        <v>5.0422499999999992</v>
      </c>
    </row>
    <row r="2964" spans="1:19">
      <c r="A2964" s="5" t="str">
        <f>B2964&amp;"-"&amp;COUNTIF($B$2:B2964,B2964)</f>
        <v>PARANÁ-178</v>
      </c>
      <c r="B2964" s="5" t="s">
        <v>1921</v>
      </c>
      <c r="C2964" s="5" t="s">
        <v>2018</v>
      </c>
      <c r="D2964" s="6">
        <v>-509782</v>
      </c>
      <c r="E2964" s="6">
        <v>-232583</v>
      </c>
      <c r="F2964" s="7">
        <v>4.9279999999999999</v>
      </c>
      <c r="G2964" s="7">
        <v>5.9279999999999999</v>
      </c>
      <c r="H2964" s="7">
        <v>5.78</v>
      </c>
      <c r="I2964" s="7">
        <v>5.2830000000000004</v>
      </c>
      <c r="J2964" s="7">
        <v>4.6459999999999999</v>
      </c>
      <c r="K2964" s="7">
        <v>3.6960000000000002</v>
      </c>
      <c r="L2964" s="7">
        <v>3.3719999999999999</v>
      </c>
      <c r="M2964" s="7">
        <v>3.577</v>
      </c>
      <c r="N2964" s="7">
        <v>4.5469999999999997</v>
      </c>
      <c r="O2964" s="7">
        <v>4.694</v>
      </c>
      <c r="P2964" s="7">
        <v>5.31</v>
      </c>
      <c r="Q2964" s="7">
        <v>5.9809999999999999</v>
      </c>
      <c r="R2964" s="7">
        <v>6.3209999999999997</v>
      </c>
      <c r="S2964" s="7">
        <f t="shared" si="46"/>
        <v>4.9279166666666674</v>
      </c>
    </row>
    <row r="2965" spans="1:19">
      <c r="A2965" s="5" t="str">
        <f>B2965&amp;"-"&amp;COUNTIF($B$2:B2965,B2965)</f>
        <v>PARANÁ-179</v>
      </c>
      <c r="B2965" s="5" t="s">
        <v>1921</v>
      </c>
      <c r="C2965" s="5" t="s">
        <v>2019</v>
      </c>
      <c r="D2965" s="6">
        <v>-533854</v>
      </c>
      <c r="E2965" s="6">
        <v>-243844</v>
      </c>
      <c r="F2965" s="7">
        <v>4.8440000000000003</v>
      </c>
      <c r="G2965" s="7">
        <v>6.2560000000000002</v>
      </c>
      <c r="H2965" s="7">
        <v>5.7169999999999996</v>
      </c>
      <c r="I2965" s="7">
        <v>5.2839999999999998</v>
      </c>
      <c r="J2965" s="7">
        <v>4.3920000000000003</v>
      </c>
      <c r="K2965" s="7">
        <v>3.4729999999999999</v>
      </c>
      <c r="L2965" s="7">
        <v>3.0550000000000002</v>
      </c>
      <c r="M2965" s="7">
        <v>3.2559999999999998</v>
      </c>
      <c r="N2965" s="7">
        <v>4.274</v>
      </c>
      <c r="O2965" s="7">
        <v>4.5339999999999998</v>
      </c>
      <c r="P2965" s="7">
        <v>5.3170000000000002</v>
      </c>
      <c r="Q2965" s="7">
        <v>6.0949999999999998</v>
      </c>
      <c r="R2965" s="7">
        <v>6.4690000000000003</v>
      </c>
      <c r="S2965" s="7">
        <f t="shared" si="46"/>
        <v>4.8434999999999997</v>
      </c>
    </row>
    <row r="2966" spans="1:19">
      <c r="A2966" s="5" t="str">
        <f>B2966&amp;"-"&amp;COUNTIF($B$2:B2966,B2966)</f>
        <v>PARANÁ-180</v>
      </c>
      <c r="B2966" s="5" t="s">
        <v>1921</v>
      </c>
      <c r="C2966" s="5" t="s">
        <v>5662</v>
      </c>
      <c r="D2966" s="6">
        <v>-499239</v>
      </c>
      <c r="E2966" s="6">
        <v>-23503</v>
      </c>
      <c r="F2966" s="7">
        <v>4.8879999999999999</v>
      </c>
      <c r="G2966" s="7">
        <v>5.7720000000000002</v>
      </c>
      <c r="H2966" s="7">
        <v>5.79</v>
      </c>
      <c r="I2966" s="7">
        <v>5.2220000000000004</v>
      </c>
      <c r="J2966" s="7">
        <v>4.5890000000000004</v>
      </c>
      <c r="K2966" s="7">
        <v>3.625</v>
      </c>
      <c r="L2966" s="7">
        <v>3.2789999999999999</v>
      </c>
      <c r="M2966" s="7">
        <v>3.5129999999999999</v>
      </c>
      <c r="N2966" s="7">
        <v>4.5229999999999997</v>
      </c>
      <c r="O2966" s="7">
        <v>4.6550000000000002</v>
      </c>
      <c r="P2966" s="7">
        <v>5.3230000000000004</v>
      </c>
      <c r="Q2966" s="7">
        <v>5.9850000000000003</v>
      </c>
      <c r="R2966" s="7">
        <v>6.3849999999999998</v>
      </c>
      <c r="S2966" s="7">
        <f t="shared" si="46"/>
        <v>4.8884166666666671</v>
      </c>
    </row>
    <row r="2967" spans="1:19">
      <c r="A2967" s="5" t="str">
        <f>B2967&amp;"-"&amp;COUNTIF($B$2:B2967,B2967)</f>
        <v>PARANÁ-181</v>
      </c>
      <c r="B2967" s="5" t="s">
        <v>1921</v>
      </c>
      <c r="C2967" s="5" t="s">
        <v>2020</v>
      </c>
      <c r="D2967" s="5" t="s">
        <v>2021</v>
      </c>
      <c r="E2967" s="6">
        <v>-234361</v>
      </c>
      <c r="F2967" s="7">
        <v>4.8840000000000003</v>
      </c>
      <c r="G2967" s="7">
        <v>5.7569999999999997</v>
      </c>
      <c r="H2967" s="7">
        <v>5.7939999999999996</v>
      </c>
      <c r="I2967" s="7">
        <v>5.141</v>
      </c>
      <c r="J2967" s="7">
        <v>4.5910000000000002</v>
      </c>
      <c r="K2967" s="7">
        <v>3.6720000000000002</v>
      </c>
      <c r="L2967" s="7">
        <v>3.3050000000000002</v>
      </c>
      <c r="M2967" s="7">
        <v>3.5459999999999998</v>
      </c>
      <c r="N2967" s="7">
        <v>4.5309999999999997</v>
      </c>
      <c r="O2967" s="7">
        <v>4.6840000000000002</v>
      </c>
      <c r="P2967" s="7">
        <v>5.3259999999999996</v>
      </c>
      <c r="Q2967" s="7">
        <v>5.9489999999999998</v>
      </c>
      <c r="R2967" s="7">
        <v>6.3159999999999998</v>
      </c>
      <c r="S2967" s="7">
        <f t="shared" si="46"/>
        <v>4.8843333333333332</v>
      </c>
    </row>
    <row r="2968" spans="1:19">
      <c r="A2968" s="5" t="str">
        <f>B2968&amp;"-"&amp;COUNTIF($B$2:B2968,B2968)</f>
        <v>PARANÁ-182</v>
      </c>
      <c r="B2968" s="5" t="s">
        <v>1921</v>
      </c>
      <c r="C2968" s="5" t="s">
        <v>2022</v>
      </c>
      <c r="D2968" s="6">
        <v>-528418</v>
      </c>
      <c r="E2968" s="6">
        <v>-244213</v>
      </c>
      <c r="F2968" s="7">
        <v>4.8129999999999997</v>
      </c>
      <c r="G2968" s="7">
        <v>6.2220000000000004</v>
      </c>
      <c r="H2968" s="7">
        <v>5.6280000000000001</v>
      </c>
      <c r="I2968" s="7">
        <v>5.1509999999999998</v>
      </c>
      <c r="J2968" s="7">
        <v>4.444</v>
      </c>
      <c r="K2968" s="7">
        <v>3.492</v>
      </c>
      <c r="L2968" s="7">
        <v>3.077</v>
      </c>
      <c r="M2968" s="7">
        <v>3.286</v>
      </c>
      <c r="N2968" s="7">
        <v>4.2169999999999996</v>
      </c>
      <c r="O2968" s="7">
        <v>4.4800000000000004</v>
      </c>
      <c r="P2968" s="7">
        <v>5.2469999999999999</v>
      </c>
      <c r="Q2968" s="7">
        <v>6.0250000000000004</v>
      </c>
      <c r="R2968" s="7">
        <v>6.4809999999999999</v>
      </c>
      <c r="S2968" s="7">
        <f t="shared" si="46"/>
        <v>4.8125</v>
      </c>
    </row>
    <row r="2969" spans="1:19">
      <c r="A2969" s="5" t="str">
        <f>B2969&amp;"-"&amp;COUNTIF($B$2:B2969,B2969)</f>
        <v>PARANÁ-183</v>
      </c>
      <c r="B2969" s="5" t="s">
        <v>1921</v>
      </c>
      <c r="C2969" s="5" t="s">
        <v>440</v>
      </c>
      <c r="D2969" s="6">
        <v>-524697</v>
      </c>
      <c r="E2969" s="6">
        <v>-236224</v>
      </c>
      <c r="F2969" s="7">
        <v>4.9130000000000003</v>
      </c>
      <c r="G2969" s="7">
        <v>6.0469999999999997</v>
      </c>
      <c r="H2969" s="7">
        <v>5.83</v>
      </c>
      <c r="I2969" s="7">
        <v>5.3360000000000003</v>
      </c>
      <c r="J2969" s="7">
        <v>4.5529999999999999</v>
      </c>
      <c r="K2969" s="7">
        <v>3.6280000000000001</v>
      </c>
      <c r="L2969" s="7">
        <v>3.2429999999999999</v>
      </c>
      <c r="M2969" s="7">
        <v>3.4660000000000002</v>
      </c>
      <c r="N2969" s="7">
        <v>4.3630000000000004</v>
      </c>
      <c r="O2969" s="7">
        <v>4.6120000000000001</v>
      </c>
      <c r="P2969" s="7">
        <v>5.343</v>
      </c>
      <c r="Q2969" s="7">
        <v>6.1020000000000003</v>
      </c>
      <c r="R2969" s="7">
        <v>6.43</v>
      </c>
      <c r="S2969" s="7">
        <f t="shared" si="46"/>
        <v>4.9127500000000008</v>
      </c>
    </row>
    <row r="2970" spans="1:19">
      <c r="A2970" s="5" t="str">
        <f>B2970&amp;"-"&amp;COUNTIF($B$2:B2970,B2970)</f>
        <v>PARANÁ-184</v>
      </c>
      <c r="B2970" s="5" t="s">
        <v>1921</v>
      </c>
      <c r="C2970" s="5" t="s">
        <v>4417</v>
      </c>
      <c r="D2970" s="6">
        <v>-516691</v>
      </c>
      <c r="E2970" s="6">
        <v>-238193</v>
      </c>
      <c r="F2970" s="7">
        <v>4.843</v>
      </c>
      <c r="G2970" s="7">
        <v>5.85</v>
      </c>
      <c r="H2970" s="7">
        <v>5.7130000000000001</v>
      </c>
      <c r="I2970" s="7">
        <v>5.2270000000000003</v>
      </c>
      <c r="J2970" s="7">
        <v>4.5259999999999998</v>
      </c>
      <c r="K2970" s="7">
        <v>3.5609999999999999</v>
      </c>
      <c r="L2970" s="7">
        <v>3.222</v>
      </c>
      <c r="M2970" s="7">
        <v>3.45</v>
      </c>
      <c r="N2970" s="7">
        <v>4.4420000000000002</v>
      </c>
      <c r="O2970" s="7">
        <v>4.6050000000000004</v>
      </c>
      <c r="P2970" s="7">
        <v>5.2569999999999997</v>
      </c>
      <c r="Q2970" s="7">
        <v>5.9889999999999999</v>
      </c>
      <c r="R2970" s="7">
        <v>6.2789999999999999</v>
      </c>
      <c r="S2970" s="7">
        <f t="shared" si="46"/>
        <v>4.8434166666666663</v>
      </c>
    </row>
    <row r="2971" spans="1:19">
      <c r="A2971" s="5" t="str">
        <f>B2971&amp;"-"&amp;COUNTIF($B$2:B2971,B2971)</f>
        <v>PARANÁ-185</v>
      </c>
      <c r="B2971" s="5" t="s">
        <v>1921</v>
      </c>
      <c r="C2971" s="5" t="s">
        <v>2023</v>
      </c>
      <c r="D2971" s="6">
        <v>-497172</v>
      </c>
      <c r="E2971" s="6">
        <v>-257676</v>
      </c>
      <c r="F2971" s="7">
        <v>4.2080000000000002</v>
      </c>
      <c r="G2971" s="7">
        <v>5.3570000000000002</v>
      </c>
      <c r="H2971" s="7">
        <v>5.1280000000000001</v>
      </c>
      <c r="I2971" s="7">
        <v>4.5369999999999999</v>
      </c>
      <c r="J2971" s="7">
        <v>3.742</v>
      </c>
      <c r="K2971" s="7">
        <v>3</v>
      </c>
      <c r="L2971" s="7">
        <v>2.6659999999999999</v>
      </c>
      <c r="M2971" s="7">
        <v>2.8559999999999999</v>
      </c>
      <c r="N2971" s="7">
        <v>3.8639999999999999</v>
      </c>
      <c r="O2971" s="7">
        <v>3.89</v>
      </c>
      <c r="P2971" s="7">
        <v>4.4660000000000002</v>
      </c>
      <c r="Q2971" s="7">
        <v>5.3449999999999998</v>
      </c>
      <c r="R2971" s="7">
        <v>5.6369999999999996</v>
      </c>
      <c r="S2971" s="7">
        <f t="shared" si="46"/>
        <v>4.2073333333333336</v>
      </c>
    </row>
    <row r="2972" spans="1:19">
      <c r="A2972" s="5" t="str">
        <f>B2972&amp;"-"&amp;COUNTIF($B$2:B2972,B2972)</f>
        <v>PARANÁ-186</v>
      </c>
      <c r="B2972" s="5" t="s">
        <v>1921</v>
      </c>
      <c r="C2972" s="5" t="s">
        <v>1429</v>
      </c>
      <c r="D2972" s="6">
        <v>-524705</v>
      </c>
      <c r="E2972" s="6">
        <v>-248866</v>
      </c>
      <c r="F2972" s="7">
        <v>4.7990000000000004</v>
      </c>
      <c r="G2972" s="7">
        <v>6.2030000000000003</v>
      </c>
      <c r="H2972" s="7">
        <v>5.633</v>
      </c>
      <c r="I2972" s="7">
        <v>5.2720000000000002</v>
      </c>
      <c r="J2972" s="7">
        <v>4.4139999999999997</v>
      </c>
      <c r="K2972" s="7">
        <v>3.42</v>
      </c>
      <c r="L2972" s="7">
        <v>3.0270000000000001</v>
      </c>
      <c r="M2972" s="7">
        <v>3.2509999999999999</v>
      </c>
      <c r="N2972" s="7">
        <v>4.2569999999999997</v>
      </c>
      <c r="O2972" s="7">
        <v>4.4429999999999996</v>
      </c>
      <c r="P2972" s="7">
        <v>5.2489999999999997</v>
      </c>
      <c r="Q2972" s="7">
        <v>6.0960000000000001</v>
      </c>
      <c r="R2972" s="7">
        <v>6.3259999999999996</v>
      </c>
      <c r="S2972" s="7">
        <f t="shared" si="46"/>
        <v>4.7992499999999998</v>
      </c>
    </row>
    <row r="2973" spans="1:19">
      <c r="A2973" s="5" t="str">
        <f>B2973&amp;"-"&amp;COUNTIF($B$2:B2973,B2973)</f>
        <v>PARANÁ-187</v>
      </c>
      <c r="B2973" s="5" t="s">
        <v>1921</v>
      </c>
      <c r="C2973" s="5" t="s">
        <v>2024</v>
      </c>
      <c r="D2973" s="6">
        <v>-524113</v>
      </c>
      <c r="E2973" s="6">
        <v>-254081</v>
      </c>
      <c r="F2973" s="7">
        <v>4.7210000000000001</v>
      </c>
      <c r="G2973" s="7">
        <v>6.1180000000000003</v>
      </c>
      <c r="H2973" s="7">
        <v>5.6040000000000001</v>
      </c>
      <c r="I2973" s="7">
        <v>5.1829999999999998</v>
      </c>
      <c r="J2973" s="7">
        <v>4.2720000000000002</v>
      </c>
      <c r="K2973" s="7">
        <v>3.32</v>
      </c>
      <c r="L2973" s="7">
        <v>2.9540000000000002</v>
      </c>
      <c r="M2973" s="7">
        <v>3.19</v>
      </c>
      <c r="N2973" s="7">
        <v>4.1740000000000004</v>
      </c>
      <c r="O2973" s="7">
        <v>4.3499999999999996</v>
      </c>
      <c r="P2973" s="7">
        <v>5.1950000000000003</v>
      </c>
      <c r="Q2973" s="7">
        <v>6.0590000000000002</v>
      </c>
      <c r="R2973" s="7">
        <v>6.2290000000000001</v>
      </c>
      <c r="S2973" s="7">
        <f t="shared" si="46"/>
        <v>4.7206666666666672</v>
      </c>
    </row>
    <row r="2974" spans="1:19">
      <c r="A2974" s="5" t="str">
        <f>B2974&amp;"-"&amp;COUNTIF($B$2:B2974,B2974)</f>
        <v>PARANÁ-188</v>
      </c>
      <c r="B2974" s="5" t="s">
        <v>1921</v>
      </c>
      <c r="C2974" s="5" t="s">
        <v>5172</v>
      </c>
      <c r="D2974" s="6">
        <v>-507509</v>
      </c>
      <c r="E2974" s="5" t="s">
        <v>2025</v>
      </c>
      <c r="F2974" s="7">
        <v>4.9909999999999997</v>
      </c>
      <c r="G2974" s="7">
        <v>6.0060000000000002</v>
      </c>
      <c r="H2974" s="7">
        <v>5.9610000000000003</v>
      </c>
      <c r="I2974" s="7">
        <v>5.31</v>
      </c>
      <c r="J2974" s="7">
        <v>4.63</v>
      </c>
      <c r="K2974" s="7">
        <v>3.742</v>
      </c>
      <c r="L2974" s="7">
        <v>3.4249999999999998</v>
      </c>
      <c r="M2974" s="7">
        <v>3.6269999999999998</v>
      </c>
      <c r="N2974" s="7">
        <v>4.5860000000000003</v>
      </c>
      <c r="O2974" s="7">
        <v>4.7309999999999999</v>
      </c>
      <c r="P2974" s="7">
        <v>5.4279999999999999</v>
      </c>
      <c r="Q2974" s="7">
        <v>6.0490000000000004</v>
      </c>
      <c r="R2974" s="7">
        <v>6.4029999999999996</v>
      </c>
      <c r="S2974" s="7">
        <f t="shared" si="46"/>
        <v>4.9914999999999994</v>
      </c>
    </row>
    <row r="2975" spans="1:19">
      <c r="A2975" s="5" t="str">
        <f>B2975&amp;"-"&amp;COUNTIF($B$2:B2975,B2975)</f>
        <v>PARANÁ-189</v>
      </c>
      <c r="B2975" s="5" t="s">
        <v>1921</v>
      </c>
      <c r="C2975" s="5" t="s">
        <v>5173</v>
      </c>
      <c r="D2975" s="6">
        <v>-516511</v>
      </c>
      <c r="E2975" s="6">
        <v>-241104</v>
      </c>
      <c r="F2975" s="7">
        <v>4.891</v>
      </c>
      <c r="G2975" s="7">
        <v>6.056</v>
      </c>
      <c r="H2975" s="7">
        <v>5.782</v>
      </c>
      <c r="I2975" s="7">
        <v>5.28</v>
      </c>
      <c r="J2975" s="7">
        <v>4.577</v>
      </c>
      <c r="K2975" s="7">
        <v>3.552</v>
      </c>
      <c r="L2975" s="7">
        <v>3.2080000000000002</v>
      </c>
      <c r="M2975" s="7">
        <v>3.4119999999999999</v>
      </c>
      <c r="N2975" s="7">
        <v>4.3890000000000002</v>
      </c>
      <c r="O2975" s="7">
        <v>4.5730000000000004</v>
      </c>
      <c r="P2975" s="7">
        <v>5.3</v>
      </c>
      <c r="Q2975" s="7">
        <v>6.125</v>
      </c>
      <c r="R2975" s="7">
        <v>6.4329999999999998</v>
      </c>
      <c r="S2975" s="7">
        <f t="shared" si="46"/>
        <v>4.8905833333333328</v>
      </c>
    </row>
    <row r="2976" spans="1:19">
      <c r="A2976" s="5" t="str">
        <f>B2976&amp;"-"&amp;COUNTIF($B$2:B2976,B2976)</f>
        <v>PARANÁ-190</v>
      </c>
      <c r="B2976" s="5" t="s">
        <v>1921</v>
      </c>
      <c r="C2976" s="5" t="s">
        <v>2026</v>
      </c>
      <c r="D2976" s="6">
        <v>-535737</v>
      </c>
      <c r="E2976" s="6">
        <v>-252601</v>
      </c>
      <c r="F2976" s="7">
        <v>4.6959999999999997</v>
      </c>
      <c r="G2976" s="7">
        <v>6.1310000000000002</v>
      </c>
      <c r="H2976" s="7">
        <v>5.6280000000000001</v>
      </c>
      <c r="I2976" s="7">
        <v>5.1289999999999996</v>
      </c>
      <c r="J2976" s="7">
        <v>4.2279999999999998</v>
      </c>
      <c r="K2976" s="7">
        <v>3.2919999999999998</v>
      </c>
      <c r="L2976" s="7">
        <v>2.88</v>
      </c>
      <c r="M2976" s="7">
        <v>3.1150000000000002</v>
      </c>
      <c r="N2976" s="7">
        <v>4.1429999999999998</v>
      </c>
      <c r="O2976" s="7">
        <v>4.3049999999999997</v>
      </c>
      <c r="P2976" s="7">
        <v>5.202</v>
      </c>
      <c r="Q2976" s="7">
        <v>6</v>
      </c>
      <c r="R2976" s="7">
        <v>6.2969999999999997</v>
      </c>
      <c r="S2976" s="7">
        <f t="shared" si="46"/>
        <v>4.6958333333333329</v>
      </c>
    </row>
    <row r="2977" spans="1:19">
      <c r="A2977" s="5" t="str">
        <f>B2977&amp;"-"&amp;COUNTIF($B$2:B2977,B2977)</f>
        <v>PARANÁ-191</v>
      </c>
      <c r="B2977" s="5" t="s">
        <v>1921</v>
      </c>
      <c r="C2977" s="5" t="s">
        <v>2027</v>
      </c>
      <c r="D2977" s="6">
        <v>-531367</v>
      </c>
      <c r="E2977" s="6">
        <v>-229237</v>
      </c>
      <c r="F2977" s="7">
        <v>4.9939999999999998</v>
      </c>
      <c r="G2977" s="7">
        <v>5.9649999999999999</v>
      </c>
      <c r="H2977" s="7">
        <v>5.9480000000000004</v>
      </c>
      <c r="I2977" s="7">
        <v>5.4180000000000001</v>
      </c>
      <c r="J2977" s="7">
        <v>4.6470000000000002</v>
      </c>
      <c r="K2977" s="7">
        <v>3.6960000000000002</v>
      </c>
      <c r="L2977" s="7">
        <v>3.3610000000000002</v>
      </c>
      <c r="M2977" s="7">
        <v>3.5459999999999998</v>
      </c>
      <c r="N2977" s="7">
        <v>4.4779999999999998</v>
      </c>
      <c r="O2977" s="7">
        <v>4.7450000000000001</v>
      </c>
      <c r="P2977" s="7">
        <v>5.4489999999999998</v>
      </c>
      <c r="Q2977" s="7">
        <v>6.1710000000000003</v>
      </c>
      <c r="R2977" s="7">
        <v>6.5049999999999999</v>
      </c>
      <c r="S2977" s="7">
        <f t="shared" si="46"/>
        <v>4.9940833333333332</v>
      </c>
    </row>
    <row r="2978" spans="1:19">
      <c r="A2978" s="5" t="str">
        <f>B2978&amp;"-"&amp;COUNTIF($B$2:B2978,B2978)</f>
        <v>PARANÁ-192</v>
      </c>
      <c r="B2978" s="5" t="s">
        <v>1921</v>
      </c>
      <c r="C2978" s="5" t="s">
        <v>2028</v>
      </c>
      <c r="D2978" s="6">
        <v>-519529</v>
      </c>
      <c r="E2978" s="6">
        <v>-230062</v>
      </c>
      <c r="F2978" s="7">
        <v>5.0010000000000003</v>
      </c>
      <c r="G2978" s="7">
        <v>5.9720000000000004</v>
      </c>
      <c r="H2978" s="7">
        <v>5.9359999999999999</v>
      </c>
      <c r="I2978" s="7">
        <v>5.4020000000000001</v>
      </c>
      <c r="J2978" s="7">
        <v>4.6680000000000001</v>
      </c>
      <c r="K2978" s="7">
        <v>3.722</v>
      </c>
      <c r="L2978" s="7">
        <v>3.4009999999999998</v>
      </c>
      <c r="M2978" s="7">
        <v>3.589</v>
      </c>
      <c r="N2978" s="7">
        <v>4.5380000000000003</v>
      </c>
      <c r="O2978" s="7">
        <v>4.7430000000000003</v>
      </c>
      <c r="P2978" s="7">
        <v>5.4660000000000002</v>
      </c>
      <c r="Q2978" s="7">
        <v>6.1639999999999997</v>
      </c>
      <c r="R2978" s="7">
        <v>6.4050000000000002</v>
      </c>
      <c r="S2978" s="7">
        <f t="shared" si="46"/>
        <v>5.0005000000000015</v>
      </c>
    </row>
    <row r="2979" spans="1:19">
      <c r="A2979" s="5" t="str">
        <f>B2979&amp;"-"&amp;COUNTIF($B$2:B2979,B2979)</f>
        <v>PARANÁ-193</v>
      </c>
      <c r="B2979" s="5" t="s">
        <v>1921</v>
      </c>
      <c r="C2979" s="5" t="s">
        <v>2029</v>
      </c>
      <c r="D2979" s="6">
        <v>-511695</v>
      </c>
      <c r="E2979" s="6">
        <v>-233044</v>
      </c>
      <c r="F2979" s="7">
        <v>4.9000000000000004</v>
      </c>
      <c r="G2979" s="7">
        <v>5.84</v>
      </c>
      <c r="H2979" s="7">
        <v>5.7140000000000004</v>
      </c>
      <c r="I2979" s="7">
        <v>5.2569999999999997</v>
      </c>
      <c r="J2979" s="7">
        <v>4.625</v>
      </c>
      <c r="K2979" s="7">
        <v>3.6549999999999998</v>
      </c>
      <c r="L2979" s="7">
        <v>3.371</v>
      </c>
      <c r="M2979" s="7">
        <v>3.5840000000000001</v>
      </c>
      <c r="N2979" s="7">
        <v>4.5350000000000001</v>
      </c>
      <c r="O2979" s="7">
        <v>4.6980000000000004</v>
      </c>
      <c r="P2979" s="7">
        <v>5.2629999999999999</v>
      </c>
      <c r="Q2979" s="7">
        <v>6.0030000000000001</v>
      </c>
      <c r="R2979" s="7">
        <v>6.2610000000000001</v>
      </c>
      <c r="S2979" s="7">
        <f t="shared" si="46"/>
        <v>4.9005000000000001</v>
      </c>
    </row>
    <row r="2980" spans="1:19">
      <c r="A2980" s="5" t="str">
        <f>B2980&amp;"-"&amp;COUNTIF($B$2:B2980,B2980)</f>
        <v>PARANÁ-194</v>
      </c>
      <c r="B2980" s="5" t="s">
        <v>1921</v>
      </c>
      <c r="C2980" s="5" t="s">
        <v>2030</v>
      </c>
      <c r="D2980" s="6">
        <v>-522695</v>
      </c>
      <c r="E2980" s="6">
        <v>-242857</v>
      </c>
      <c r="F2980" s="7">
        <v>4.8179999999999996</v>
      </c>
      <c r="G2980" s="7">
        <v>6.0609999999999999</v>
      </c>
      <c r="H2980" s="7">
        <v>5.6769999999999996</v>
      </c>
      <c r="I2980" s="7">
        <v>5.157</v>
      </c>
      <c r="J2980" s="7">
        <v>4.4569999999999999</v>
      </c>
      <c r="K2980" s="7">
        <v>3.4990000000000001</v>
      </c>
      <c r="L2980" s="7">
        <v>3.097</v>
      </c>
      <c r="M2980" s="7">
        <v>3.3559999999999999</v>
      </c>
      <c r="N2980" s="7">
        <v>4.3090000000000002</v>
      </c>
      <c r="O2980" s="7">
        <v>4.5110000000000001</v>
      </c>
      <c r="P2980" s="7">
        <v>5.2080000000000002</v>
      </c>
      <c r="Q2980" s="7">
        <v>6.0830000000000002</v>
      </c>
      <c r="R2980" s="7">
        <v>6.4029999999999996</v>
      </c>
      <c r="S2980" s="7">
        <f t="shared" si="46"/>
        <v>4.8181666666666665</v>
      </c>
    </row>
    <row r="2981" spans="1:19">
      <c r="A2981" s="5" t="str">
        <f>B2981&amp;"-"&amp;COUNTIF($B$2:B2981,B2981)</f>
        <v>PARANÁ-195</v>
      </c>
      <c r="B2981" s="5" t="s">
        <v>1921</v>
      </c>
      <c r="C2981" s="5" t="s">
        <v>2031</v>
      </c>
      <c r="D2981" s="6">
        <v>-517372</v>
      </c>
      <c r="E2981" s="6">
        <v>-240825</v>
      </c>
      <c r="F2981" s="7">
        <v>4.891</v>
      </c>
      <c r="G2981" s="7">
        <v>6.0910000000000002</v>
      </c>
      <c r="H2981" s="7">
        <v>5.7990000000000004</v>
      </c>
      <c r="I2981" s="7">
        <v>5.306</v>
      </c>
      <c r="J2981" s="7">
        <v>4.585</v>
      </c>
      <c r="K2981" s="7">
        <v>3.5630000000000002</v>
      </c>
      <c r="L2981" s="7">
        <v>3.19</v>
      </c>
      <c r="M2981" s="7">
        <v>3.4140000000000001</v>
      </c>
      <c r="N2981" s="7">
        <v>4.3899999999999997</v>
      </c>
      <c r="O2981" s="7">
        <v>4.5780000000000003</v>
      </c>
      <c r="P2981" s="7">
        <v>5.2690000000000001</v>
      </c>
      <c r="Q2981" s="7">
        <v>6.0960000000000001</v>
      </c>
      <c r="R2981" s="7">
        <v>6.4130000000000003</v>
      </c>
      <c r="S2981" s="7">
        <f t="shared" si="46"/>
        <v>4.8911666666666669</v>
      </c>
    </row>
    <row r="2982" spans="1:19">
      <c r="A2982" s="5" t="str">
        <f>B2982&amp;"-"&amp;COUNTIF($B$2:B2982,B2982)</f>
        <v>PARANÁ-196</v>
      </c>
      <c r="B2982" s="5" t="s">
        <v>1921</v>
      </c>
      <c r="C2982" s="5" t="s">
        <v>5174</v>
      </c>
      <c r="D2982" s="6">
        <v>-516605</v>
      </c>
      <c r="E2982" s="6">
        <v>-227555</v>
      </c>
      <c r="F2982" s="7">
        <v>5.0529999999999999</v>
      </c>
      <c r="G2982" s="7">
        <v>5.9809999999999999</v>
      </c>
      <c r="H2982" s="7">
        <v>6.0129999999999999</v>
      </c>
      <c r="I2982" s="7">
        <v>5.4969999999999999</v>
      </c>
      <c r="J2982" s="7">
        <v>4.7450000000000001</v>
      </c>
      <c r="K2982" s="7">
        <v>3.758</v>
      </c>
      <c r="L2982" s="7">
        <v>3.448</v>
      </c>
      <c r="M2982" s="7">
        <v>3.6739999999999999</v>
      </c>
      <c r="N2982" s="7">
        <v>4.5960000000000001</v>
      </c>
      <c r="O2982" s="7">
        <v>4.7889999999999997</v>
      </c>
      <c r="P2982" s="7">
        <v>5.52</v>
      </c>
      <c r="Q2982" s="7">
        <v>6.1479999999999997</v>
      </c>
      <c r="R2982" s="7">
        <v>6.4749999999999996</v>
      </c>
      <c r="S2982" s="7">
        <f t="shared" si="46"/>
        <v>5.0536666666666665</v>
      </c>
    </row>
    <row r="2983" spans="1:19">
      <c r="A2983" s="5" t="str">
        <f>B2983&amp;"-"&amp;COUNTIF($B$2:B2983,B2983)</f>
        <v>PARANÁ-197</v>
      </c>
      <c r="B2983" s="5" t="s">
        <v>1921</v>
      </c>
      <c r="C2983" s="5" t="s">
        <v>2032</v>
      </c>
      <c r="D2983" s="6">
        <v>-508178</v>
      </c>
      <c r="E2983" s="6">
        <v>-258811</v>
      </c>
      <c r="F2983" s="7">
        <v>4.0890000000000004</v>
      </c>
      <c r="G2983" s="7">
        <v>5.25</v>
      </c>
      <c r="H2983" s="7">
        <v>4.9669999999999996</v>
      </c>
      <c r="I2983" s="7">
        <v>4.45</v>
      </c>
      <c r="J2983" s="7">
        <v>3.57</v>
      </c>
      <c r="K2983" s="7">
        <v>2.871</v>
      </c>
      <c r="L2983" s="7">
        <v>2.512</v>
      </c>
      <c r="M2983" s="7">
        <v>2.7349999999999999</v>
      </c>
      <c r="N2983" s="7">
        <v>3.7450000000000001</v>
      </c>
      <c r="O2983" s="7">
        <v>3.827</v>
      </c>
      <c r="P2983" s="7">
        <v>4.3259999999999996</v>
      </c>
      <c r="Q2983" s="7">
        <v>5.3220000000000001</v>
      </c>
      <c r="R2983" s="7">
        <v>5.492</v>
      </c>
      <c r="S2983" s="7">
        <f t="shared" si="46"/>
        <v>4.088916666666667</v>
      </c>
    </row>
    <row r="2984" spans="1:19">
      <c r="A2984" s="5" t="str">
        <f>B2984&amp;"-"&amp;COUNTIF($B$2:B2984,B2984)</f>
        <v>PARANÁ-198</v>
      </c>
      <c r="B2984" s="5" t="s">
        <v>1921</v>
      </c>
      <c r="C2984" s="5" t="s">
        <v>5302</v>
      </c>
      <c r="D2984" s="6">
        <v>-525276</v>
      </c>
      <c r="E2984" s="6">
        <v>-243174</v>
      </c>
      <c r="F2984" s="7">
        <v>4.8330000000000002</v>
      </c>
      <c r="G2984" s="7">
        <v>6.2119999999999997</v>
      </c>
      <c r="H2984" s="7">
        <v>5.6669999999999998</v>
      </c>
      <c r="I2984" s="7">
        <v>5.1660000000000004</v>
      </c>
      <c r="J2984" s="7">
        <v>4.4029999999999996</v>
      </c>
      <c r="K2984" s="7">
        <v>3.5150000000000001</v>
      </c>
      <c r="L2984" s="7">
        <v>3.1480000000000001</v>
      </c>
      <c r="M2984" s="7">
        <v>3.3660000000000001</v>
      </c>
      <c r="N2984" s="7">
        <v>4.258</v>
      </c>
      <c r="O2984" s="7">
        <v>4.5030000000000001</v>
      </c>
      <c r="P2984" s="7">
        <v>5.274</v>
      </c>
      <c r="Q2984" s="7">
        <v>6.0129999999999999</v>
      </c>
      <c r="R2984" s="7">
        <v>6.4749999999999996</v>
      </c>
      <c r="S2984" s="7">
        <f t="shared" si="46"/>
        <v>4.833333333333333</v>
      </c>
    </row>
    <row r="2985" spans="1:19">
      <c r="A2985" s="5" t="str">
        <f>B2985&amp;"-"&amp;COUNTIF($B$2:B2985,B2985)</f>
        <v>PARANÁ-199</v>
      </c>
      <c r="B2985" s="5" t="s">
        <v>1921</v>
      </c>
      <c r="C2985" s="5" t="s">
        <v>4717</v>
      </c>
      <c r="D2985" s="6">
        <v>-520948</v>
      </c>
      <c r="E2985" s="6">
        <v>-233462</v>
      </c>
      <c r="F2985" s="7">
        <v>4.9219999999999997</v>
      </c>
      <c r="G2985" s="7">
        <v>5.8940000000000001</v>
      </c>
      <c r="H2985" s="7">
        <v>5.8259999999999996</v>
      </c>
      <c r="I2985" s="7">
        <v>5.2960000000000003</v>
      </c>
      <c r="J2985" s="7">
        <v>4.5960000000000001</v>
      </c>
      <c r="K2985" s="7">
        <v>3.6419999999999999</v>
      </c>
      <c r="L2985" s="7">
        <v>3.3439999999999999</v>
      </c>
      <c r="M2985" s="7">
        <v>3.5379999999999998</v>
      </c>
      <c r="N2985" s="7">
        <v>4.4829999999999997</v>
      </c>
      <c r="O2985" s="7">
        <v>4.68</v>
      </c>
      <c r="P2985" s="7">
        <v>5.3719999999999999</v>
      </c>
      <c r="Q2985" s="7">
        <v>6.0460000000000003</v>
      </c>
      <c r="R2985" s="7">
        <v>6.3470000000000004</v>
      </c>
      <c r="S2985" s="7">
        <f t="shared" si="46"/>
        <v>4.9219999999999997</v>
      </c>
    </row>
    <row r="2986" spans="1:19">
      <c r="A2986" s="5" t="str">
        <f>B2986&amp;"-"&amp;COUNTIF($B$2:B2986,B2986)</f>
        <v>PARANÁ-200</v>
      </c>
      <c r="B2986" s="5" t="s">
        <v>1921</v>
      </c>
      <c r="C2986" s="5" t="s">
        <v>2033</v>
      </c>
      <c r="D2986" s="6">
        <v>-516715</v>
      </c>
      <c r="E2986" s="6">
        <v>-235451</v>
      </c>
      <c r="F2986" s="7">
        <v>4.8920000000000003</v>
      </c>
      <c r="G2986" s="7">
        <v>5.8220000000000001</v>
      </c>
      <c r="H2986" s="7">
        <v>5.7560000000000002</v>
      </c>
      <c r="I2986" s="7">
        <v>5.3</v>
      </c>
      <c r="J2986" s="7">
        <v>4.601</v>
      </c>
      <c r="K2986" s="7">
        <v>3.6259999999999999</v>
      </c>
      <c r="L2986" s="7">
        <v>3.298</v>
      </c>
      <c r="M2986" s="7">
        <v>3.5219999999999998</v>
      </c>
      <c r="N2986" s="7">
        <v>4.4930000000000003</v>
      </c>
      <c r="O2986" s="7">
        <v>4.6669999999999998</v>
      </c>
      <c r="P2986" s="7">
        <v>5.3520000000000003</v>
      </c>
      <c r="Q2986" s="7">
        <v>5.9980000000000002</v>
      </c>
      <c r="R2986" s="7">
        <v>6.2709999999999999</v>
      </c>
      <c r="S2986" s="7">
        <f t="shared" si="46"/>
        <v>4.8921666666666663</v>
      </c>
    </row>
    <row r="2987" spans="1:19">
      <c r="A2987" s="5" t="str">
        <f>B2987&amp;"-"&amp;COUNTIF($B$2:B2987,B2987)</f>
        <v>PARANÁ-201</v>
      </c>
      <c r="B2987" s="5" t="s">
        <v>1921</v>
      </c>
      <c r="C2987" s="5" t="s">
        <v>2034</v>
      </c>
      <c r="D2987" s="6">
        <v>-493286</v>
      </c>
      <c r="E2987" s="6">
        <v>-257775</v>
      </c>
      <c r="F2987" s="7">
        <v>4.1639999999999997</v>
      </c>
      <c r="G2987" s="7">
        <v>5.3920000000000003</v>
      </c>
      <c r="H2987" s="7">
        <v>5.0949999999999998</v>
      </c>
      <c r="I2987" s="7">
        <v>4.4930000000000003</v>
      </c>
      <c r="J2987" s="7">
        <v>3.726</v>
      </c>
      <c r="K2987" s="7">
        <v>3.0009999999999999</v>
      </c>
      <c r="L2987" s="7">
        <v>2.66</v>
      </c>
      <c r="M2987" s="7">
        <v>2.8380000000000001</v>
      </c>
      <c r="N2987" s="7">
        <v>3.7869999999999999</v>
      </c>
      <c r="O2987" s="7">
        <v>3.7970000000000002</v>
      </c>
      <c r="P2987" s="7">
        <v>4.3620000000000001</v>
      </c>
      <c r="Q2987" s="7">
        <v>5.23</v>
      </c>
      <c r="R2987" s="7">
        <v>5.5880000000000001</v>
      </c>
      <c r="S2987" s="7">
        <f t="shared" si="46"/>
        <v>4.1640833333333331</v>
      </c>
    </row>
    <row r="2988" spans="1:19">
      <c r="A2988" s="5" t="str">
        <f>B2988&amp;"-"&amp;COUNTIF($B$2:B2988,B2988)</f>
        <v>PARANÁ-202</v>
      </c>
      <c r="B2988" s="5" t="s">
        <v>1921</v>
      </c>
      <c r="C2988" s="5" t="s">
        <v>5175</v>
      </c>
      <c r="D2988" s="6">
        <v>-533157</v>
      </c>
      <c r="E2988" s="6">
        <v>-261484</v>
      </c>
      <c r="F2988" s="7">
        <v>4.7220000000000004</v>
      </c>
      <c r="G2988" s="7">
        <v>6.26</v>
      </c>
      <c r="H2988" s="7">
        <v>5.7720000000000002</v>
      </c>
      <c r="I2988" s="7">
        <v>5.2169999999999996</v>
      </c>
      <c r="J2988" s="7">
        <v>4.21</v>
      </c>
      <c r="K2988" s="7">
        <v>3.234</v>
      </c>
      <c r="L2988" s="7">
        <v>2.8130000000000002</v>
      </c>
      <c r="M2988" s="7">
        <v>3.0979999999999999</v>
      </c>
      <c r="N2988" s="7">
        <v>4.0640000000000001</v>
      </c>
      <c r="O2988" s="7">
        <v>4.2699999999999996</v>
      </c>
      <c r="P2988" s="7">
        <v>5.2089999999999996</v>
      </c>
      <c r="Q2988" s="7">
        <v>6.1289999999999996</v>
      </c>
      <c r="R2988" s="7">
        <v>6.3849999999999998</v>
      </c>
      <c r="S2988" s="7">
        <f t="shared" si="46"/>
        <v>4.7217499999999992</v>
      </c>
    </row>
    <row r="2989" spans="1:19">
      <c r="A2989" s="5" t="str">
        <f>B2989&amp;"-"&amp;COUNTIF($B$2:B2989,B2989)</f>
        <v>PARANÁ-203</v>
      </c>
      <c r="B2989" s="5" t="s">
        <v>1921</v>
      </c>
      <c r="C2989" s="5" t="s">
        <v>2035</v>
      </c>
      <c r="D2989" s="6">
        <v>-521747</v>
      </c>
      <c r="E2989" s="6">
        <v>-259426</v>
      </c>
      <c r="F2989" s="7">
        <v>4.7140000000000004</v>
      </c>
      <c r="G2989" s="7">
        <v>6.1950000000000003</v>
      </c>
      <c r="H2989" s="7">
        <v>5.69</v>
      </c>
      <c r="I2989" s="7">
        <v>5.2229999999999999</v>
      </c>
      <c r="J2989" s="7">
        <v>4.2329999999999997</v>
      </c>
      <c r="K2989" s="7">
        <v>3.2589999999999999</v>
      </c>
      <c r="L2989" s="7">
        <v>2.8439999999999999</v>
      </c>
      <c r="M2989" s="7">
        <v>3.0859999999999999</v>
      </c>
      <c r="N2989" s="7">
        <v>4.0979999999999999</v>
      </c>
      <c r="O2989" s="7">
        <v>4.2439999999999998</v>
      </c>
      <c r="P2989" s="7">
        <v>5.2039999999999997</v>
      </c>
      <c r="Q2989" s="7">
        <v>6.1369999999999996</v>
      </c>
      <c r="R2989" s="7">
        <v>6.351</v>
      </c>
      <c r="S2989" s="7">
        <f t="shared" si="46"/>
        <v>4.7136666666666667</v>
      </c>
    </row>
    <row r="2990" spans="1:19">
      <c r="A2990" s="5" t="str">
        <f>B2990&amp;"-"&amp;COUNTIF($B$2:B2990,B2990)</f>
        <v>PARANÁ-204</v>
      </c>
      <c r="B2990" s="5" t="s">
        <v>1921</v>
      </c>
      <c r="C2990" s="5" t="s">
        <v>2036</v>
      </c>
      <c r="D2990" s="6">
        <v>-516663</v>
      </c>
      <c r="E2990" s="6">
        <v>-245148</v>
      </c>
      <c r="F2990" s="7">
        <v>4.7910000000000004</v>
      </c>
      <c r="G2990" s="7">
        <v>6.01</v>
      </c>
      <c r="H2990" s="7">
        <v>5.7069999999999999</v>
      </c>
      <c r="I2990" s="7">
        <v>5.1310000000000002</v>
      </c>
      <c r="J2990" s="7">
        <v>4.45</v>
      </c>
      <c r="K2990" s="7">
        <v>3.4830000000000001</v>
      </c>
      <c r="L2990" s="7">
        <v>3.0880000000000001</v>
      </c>
      <c r="M2990" s="7">
        <v>3.3340000000000001</v>
      </c>
      <c r="N2990" s="7">
        <v>4.33</v>
      </c>
      <c r="O2990" s="7">
        <v>4.5209999999999999</v>
      </c>
      <c r="P2990" s="7">
        <v>5.1890000000000001</v>
      </c>
      <c r="Q2990" s="7">
        <v>6.0179999999999998</v>
      </c>
      <c r="R2990" s="7">
        <v>6.2389999999999999</v>
      </c>
      <c r="S2990" s="7">
        <f t="shared" si="46"/>
        <v>4.791666666666667</v>
      </c>
    </row>
    <row r="2991" spans="1:19">
      <c r="A2991" s="5" t="str">
        <f>B2991&amp;"-"&amp;COUNTIF($B$2:B2991,B2991)</f>
        <v>PARANÁ-205</v>
      </c>
      <c r="B2991" s="5" t="s">
        <v>1921</v>
      </c>
      <c r="C2991" s="5" t="s">
        <v>4994</v>
      </c>
      <c r="D2991" s="6">
        <v>-540566</v>
      </c>
      <c r="E2991" s="6">
        <v>-245584</v>
      </c>
      <c r="F2991" s="7">
        <v>4.806</v>
      </c>
      <c r="G2991" s="7">
        <v>6.2309999999999999</v>
      </c>
      <c r="H2991" s="7">
        <v>5.7210000000000001</v>
      </c>
      <c r="I2991" s="7">
        <v>5.2770000000000001</v>
      </c>
      <c r="J2991" s="7">
        <v>4.3120000000000003</v>
      </c>
      <c r="K2991" s="7">
        <v>3.375</v>
      </c>
      <c r="L2991" s="7">
        <v>2.9870000000000001</v>
      </c>
      <c r="M2991" s="7">
        <v>3.1920000000000002</v>
      </c>
      <c r="N2991" s="7">
        <v>4.1779999999999999</v>
      </c>
      <c r="O2991" s="7">
        <v>4.444</v>
      </c>
      <c r="P2991" s="7">
        <v>5.2859999999999996</v>
      </c>
      <c r="Q2991" s="7">
        <v>6.1310000000000002</v>
      </c>
      <c r="R2991" s="7">
        <v>6.5410000000000004</v>
      </c>
      <c r="S2991" s="7">
        <f t="shared" si="46"/>
        <v>4.8062499999999995</v>
      </c>
    </row>
    <row r="2992" spans="1:19">
      <c r="A2992" s="5" t="str">
        <f>B2992&amp;"-"&amp;COUNTIF($B$2:B2992,B2992)</f>
        <v>PARANÁ-206</v>
      </c>
      <c r="B2992" s="5" t="s">
        <v>1921</v>
      </c>
      <c r="C2992" s="5" t="s">
        <v>2037</v>
      </c>
      <c r="D2992" s="6">
        <v>-532058</v>
      </c>
      <c r="E2992" s="6">
        <v>-236162</v>
      </c>
      <c r="F2992" s="7">
        <v>4.9169999999999998</v>
      </c>
      <c r="G2992" s="7">
        <v>6.077</v>
      </c>
      <c r="H2992" s="7">
        <v>5.87</v>
      </c>
      <c r="I2992" s="7">
        <v>5.367</v>
      </c>
      <c r="J2992" s="7">
        <v>4.532</v>
      </c>
      <c r="K2992" s="7">
        <v>3.5659999999999998</v>
      </c>
      <c r="L2992" s="7">
        <v>3.1859999999999999</v>
      </c>
      <c r="M2992" s="7">
        <v>3.4</v>
      </c>
      <c r="N2992" s="7">
        <v>4.3730000000000002</v>
      </c>
      <c r="O2992" s="7">
        <v>4.5949999999999998</v>
      </c>
      <c r="P2992" s="7">
        <v>5.4139999999999997</v>
      </c>
      <c r="Q2992" s="7">
        <v>6.15</v>
      </c>
      <c r="R2992" s="7">
        <v>6.4790000000000001</v>
      </c>
      <c r="S2992" s="7">
        <f t="shared" si="46"/>
        <v>4.9174166666666661</v>
      </c>
    </row>
    <row r="2993" spans="1:19">
      <c r="A2993" s="5" t="str">
        <f>B2993&amp;"-"&amp;COUNTIF($B$2:B2993,B2993)</f>
        <v>PARANÁ-207</v>
      </c>
      <c r="B2993" s="5" t="s">
        <v>1921</v>
      </c>
      <c r="C2993" s="5" t="s">
        <v>5176</v>
      </c>
      <c r="D2993" s="6">
        <v>-525502</v>
      </c>
      <c r="E2993" s="6">
        <v>-263515</v>
      </c>
      <c r="F2993" s="7">
        <v>4.6639999999999997</v>
      </c>
      <c r="G2993" s="7">
        <v>6.1779999999999999</v>
      </c>
      <c r="H2993" s="7">
        <v>5.6379999999999999</v>
      </c>
      <c r="I2993" s="7">
        <v>5.1100000000000003</v>
      </c>
      <c r="J2993" s="7">
        <v>4.1769999999999996</v>
      </c>
      <c r="K2993" s="7">
        <v>3.2509999999999999</v>
      </c>
      <c r="L2993" s="7">
        <v>2.7879999999999998</v>
      </c>
      <c r="M2993" s="7">
        <v>3.0779999999999998</v>
      </c>
      <c r="N2993" s="7">
        <v>4.0229999999999997</v>
      </c>
      <c r="O2993" s="7">
        <v>4.181</v>
      </c>
      <c r="P2993" s="7">
        <v>5.1360000000000001</v>
      </c>
      <c r="Q2993" s="7">
        <v>6.0990000000000002</v>
      </c>
      <c r="R2993" s="7">
        <v>6.306</v>
      </c>
      <c r="S2993" s="7">
        <f t="shared" si="46"/>
        <v>4.6637499999999994</v>
      </c>
    </row>
    <row r="2994" spans="1:19">
      <c r="A2994" s="5" t="str">
        <f>B2994&amp;"-"&amp;COUNTIF($B$2:B2994,B2994)</f>
        <v>PARANÁ-208</v>
      </c>
      <c r="B2994" s="5" t="s">
        <v>1921</v>
      </c>
      <c r="C2994" s="5" t="s">
        <v>2038</v>
      </c>
      <c r="D2994" s="6">
        <v>-517932</v>
      </c>
      <c r="E2994" s="6">
        <v>-234848</v>
      </c>
      <c r="F2994" s="7">
        <v>4.8879999999999999</v>
      </c>
      <c r="G2994" s="7">
        <v>5.8259999999999996</v>
      </c>
      <c r="H2994" s="7">
        <v>5.8109999999999999</v>
      </c>
      <c r="I2994" s="7">
        <v>5.2679999999999998</v>
      </c>
      <c r="J2994" s="7">
        <v>4.5789999999999997</v>
      </c>
      <c r="K2994" s="7">
        <v>3.6219999999999999</v>
      </c>
      <c r="L2994" s="7">
        <v>3.3029999999999999</v>
      </c>
      <c r="M2994" s="7">
        <v>3.52</v>
      </c>
      <c r="N2994" s="7">
        <v>4.4649999999999999</v>
      </c>
      <c r="O2994" s="7">
        <v>4.6619999999999999</v>
      </c>
      <c r="P2994" s="7">
        <v>5.327</v>
      </c>
      <c r="Q2994" s="7">
        <v>5.9859999999999998</v>
      </c>
      <c r="R2994" s="7">
        <v>6.2930000000000001</v>
      </c>
      <c r="S2994" s="7">
        <f t="shared" si="46"/>
        <v>4.8884999999999996</v>
      </c>
    </row>
    <row r="2995" spans="1:19">
      <c r="A2995" s="5" t="str">
        <f>B2995&amp;"-"&amp;COUNTIF($B$2:B2995,B2995)</f>
        <v>PARANÁ-209</v>
      </c>
      <c r="B2995" s="5" t="s">
        <v>1921</v>
      </c>
      <c r="C2995" s="5" t="s">
        <v>4995</v>
      </c>
      <c r="D2995" s="6">
        <v>-513142</v>
      </c>
      <c r="E2995" s="6">
        <v>-23743</v>
      </c>
      <c r="F2995" s="7">
        <v>4.8419999999999996</v>
      </c>
      <c r="G2995" s="7">
        <v>5.87</v>
      </c>
      <c r="H2995" s="7">
        <v>5.6369999999999996</v>
      </c>
      <c r="I2995" s="7">
        <v>5.2539999999999996</v>
      </c>
      <c r="J2995" s="7">
        <v>4.5650000000000004</v>
      </c>
      <c r="K2995" s="7">
        <v>3.573</v>
      </c>
      <c r="L2995" s="7">
        <v>3.2490000000000001</v>
      </c>
      <c r="M2995" s="7">
        <v>3.468</v>
      </c>
      <c r="N2995" s="7">
        <v>4.45</v>
      </c>
      <c r="O2995" s="7">
        <v>4.6150000000000002</v>
      </c>
      <c r="P2995" s="7">
        <v>5.2439999999999998</v>
      </c>
      <c r="Q2995" s="7">
        <v>5.9560000000000004</v>
      </c>
      <c r="R2995" s="7">
        <v>6.218</v>
      </c>
      <c r="S2995" s="7">
        <f t="shared" si="46"/>
        <v>4.8415833333333333</v>
      </c>
    </row>
    <row r="2996" spans="1:19">
      <c r="A2996" s="5" t="str">
        <f>B2996&amp;"-"&amp;COUNTIF($B$2:B2996,B2996)</f>
        <v>PARANÁ-210</v>
      </c>
      <c r="B2996" s="5" t="s">
        <v>1921</v>
      </c>
      <c r="C2996" s="5" t="s">
        <v>2039</v>
      </c>
      <c r="D2996" s="6">
        <v>-530407</v>
      </c>
      <c r="E2996" s="6">
        <v>-22734</v>
      </c>
      <c r="F2996" s="7">
        <v>5.0359999999999996</v>
      </c>
      <c r="G2996" s="7">
        <v>6.0990000000000002</v>
      </c>
      <c r="H2996" s="7">
        <v>6.0460000000000003</v>
      </c>
      <c r="I2996" s="7">
        <v>5.508</v>
      </c>
      <c r="J2996" s="7">
        <v>4.6900000000000004</v>
      </c>
      <c r="K2996" s="7">
        <v>3.722</v>
      </c>
      <c r="L2996" s="7">
        <v>3.3780000000000001</v>
      </c>
      <c r="M2996" s="7">
        <v>3.5680000000000001</v>
      </c>
      <c r="N2996" s="7">
        <v>4.4569999999999999</v>
      </c>
      <c r="O2996" s="7">
        <v>4.7549999999999999</v>
      </c>
      <c r="P2996" s="7">
        <v>5.4569999999999999</v>
      </c>
      <c r="Q2996" s="7">
        <v>6.1909999999999998</v>
      </c>
      <c r="R2996" s="7">
        <v>6.5609999999999999</v>
      </c>
      <c r="S2996" s="7">
        <f t="shared" si="46"/>
        <v>5.0360000000000005</v>
      </c>
    </row>
    <row r="2997" spans="1:19">
      <c r="A2997" s="5" t="str">
        <f>B2997&amp;"-"&amp;COUNTIF($B$2:B2997,B2997)</f>
        <v>PARANÁ-211</v>
      </c>
      <c r="B2997" s="5" t="s">
        <v>1921</v>
      </c>
      <c r="C2997" s="5" t="s">
        <v>2040</v>
      </c>
      <c r="D2997" s="6">
        <v>-531437</v>
      </c>
      <c r="E2997" s="6">
        <v>-240094</v>
      </c>
      <c r="F2997" s="7">
        <v>4.8890000000000002</v>
      </c>
      <c r="G2997" s="7">
        <v>6.1059999999999999</v>
      </c>
      <c r="H2997" s="7">
        <v>5.819</v>
      </c>
      <c r="I2997" s="7">
        <v>5.37</v>
      </c>
      <c r="J2997" s="7">
        <v>4.4870000000000001</v>
      </c>
      <c r="K2997" s="7">
        <v>3.5369999999999999</v>
      </c>
      <c r="L2997" s="7">
        <v>3.1240000000000001</v>
      </c>
      <c r="M2997" s="7">
        <v>3.3220000000000001</v>
      </c>
      <c r="N2997" s="7">
        <v>4.3049999999999997</v>
      </c>
      <c r="O2997" s="7">
        <v>4.5599999999999996</v>
      </c>
      <c r="P2997" s="7">
        <v>5.3860000000000001</v>
      </c>
      <c r="Q2997" s="7">
        <v>6.157</v>
      </c>
      <c r="R2997" s="7">
        <v>6.4989999999999997</v>
      </c>
      <c r="S2997" s="7">
        <f t="shared" si="46"/>
        <v>4.889333333333334</v>
      </c>
    </row>
    <row r="2998" spans="1:19">
      <c r="A2998" s="5" t="str">
        <f>B2998&amp;"-"&amp;COUNTIF($B$2:B2998,B2998)</f>
        <v>PARANÁ-212</v>
      </c>
      <c r="B2998" s="5" t="s">
        <v>1921</v>
      </c>
      <c r="C2998" s="5" t="s">
        <v>5663</v>
      </c>
      <c r="D2998" s="6">
        <v>-519337</v>
      </c>
      <c r="E2998" s="6">
        <v>-23421</v>
      </c>
      <c r="F2998" s="7">
        <v>4.8899999999999997</v>
      </c>
      <c r="G2998" s="7">
        <v>5.8879999999999999</v>
      </c>
      <c r="H2998" s="7">
        <v>5.7919999999999998</v>
      </c>
      <c r="I2998" s="7">
        <v>5.2190000000000003</v>
      </c>
      <c r="J2998" s="7">
        <v>4.5439999999999996</v>
      </c>
      <c r="K2998" s="7">
        <v>3.6360000000000001</v>
      </c>
      <c r="L2998" s="7">
        <v>3.3330000000000002</v>
      </c>
      <c r="M2998" s="7">
        <v>3.5289999999999999</v>
      </c>
      <c r="N2998" s="7">
        <v>4.4509999999999996</v>
      </c>
      <c r="O2998" s="7">
        <v>4.6829999999999998</v>
      </c>
      <c r="P2998" s="7">
        <v>5.3109999999999999</v>
      </c>
      <c r="Q2998" s="7">
        <v>5.9690000000000003</v>
      </c>
      <c r="R2998" s="7">
        <v>6.327</v>
      </c>
      <c r="S2998" s="7">
        <f t="shared" si="46"/>
        <v>4.8901666666666666</v>
      </c>
    </row>
    <row r="2999" spans="1:19">
      <c r="A2999" s="5" t="str">
        <f>B2999&amp;"-"&amp;COUNTIF($B$2:B2999,B2999)</f>
        <v>PARANÁ-213</v>
      </c>
      <c r="B2999" s="5" t="s">
        <v>1921</v>
      </c>
      <c r="C2999" s="5" t="s">
        <v>5664</v>
      </c>
      <c r="D2999" s="6">
        <v>-538291</v>
      </c>
      <c r="E2999" s="6">
        <v>-244204</v>
      </c>
      <c r="F2999" s="7">
        <v>4.8339999999999996</v>
      </c>
      <c r="G2999" s="7">
        <v>6.1719999999999997</v>
      </c>
      <c r="H2999" s="7">
        <v>5.6580000000000004</v>
      </c>
      <c r="I2999" s="7">
        <v>5.274</v>
      </c>
      <c r="J2999" s="7">
        <v>4.4020000000000001</v>
      </c>
      <c r="K2999" s="7">
        <v>3.4359999999999999</v>
      </c>
      <c r="L2999" s="7">
        <v>3.0449999999999999</v>
      </c>
      <c r="M2999" s="7">
        <v>3.234</v>
      </c>
      <c r="N2999" s="7">
        <v>4.2240000000000002</v>
      </c>
      <c r="O2999" s="7">
        <v>4.5220000000000002</v>
      </c>
      <c r="P2999" s="7">
        <v>5.3220000000000001</v>
      </c>
      <c r="Q2999" s="7">
        <v>6.1520000000000001</v>
      </c>
      <c r="R2999" s="7">
        <v>6.5640000000000001</v>
      </c>
      <c r="S2999" s="7">
        <f t="shared" si="46"/>
        <v>4.8337500000000011</v>
      </c>
    </row>
    <row r="3000" spans="1:19">
      <c r="A3000" s="5" t="str">
        <f>B3000&amp;"-"&amp;COUNTIF($B$2:B3000,B3000)</f>
        <v>PARANÁ-214</v>
      </c>
      <c r="B3000" s="5" t="s">
        <v>1921</v>
      </c>
      <c r="C3000" s="5" t="s">
        <v>2041</v>
      </c>
      <c r="D3000" s="6">
        <v>-530272</v>
      </c>
      <c r="E3000" s="6">
        <v>-261477</v>
      </c>
      <c r="F3000" s="7">
        <v>4.7030000000000003</v>
      </c>
      <c r="G3000" s="7">
        <v>6.21</v>
      </c>
      <c r="H3000" s="7">
        <v>5.657</v>
      </c>
      <c r="I3000" s="7">
        <v>5.181</v>
      </c>
      <c r="J3000" s="7">
        <v>4.1980000000000004</v>
      </c>
      <c r="K3000" s="7">
        <v>3.2669999999999999</v>
      </c>
      <c r="L3000" s="7">
        <v>2.8130000000000002</v>
      </c>
      <c r="M3000" s="7">
        <v>3.109</v>
      </c>
      <c r="N3000" s="7">
        <v>4.0679999999999996</v>
      </c>
      <c r="O3000" s="7">
        <v>4.2649999999999997</v>
      </c>
      <c r="P3000" s="7">
        <v>5.2069999999999999</v>
      </c>
      <c r="Q3000" s="7">
        <v>6.09</v>
      </c>
      <c r="R3000" s="7">
        <v>6.3659999999999997</v>
      </c>
      <c r="S3000" s="7">
        <f t="shared" si="46"/>
        <v>4.7025833333333331</v>
      </c>
    </row>
    <row r="3001" spans="1:19">
      <c r="A3001" s="5" t="str">
        <f>B3001&amp;"-"&amp;COUNTIF($B$2:B3001,B3001)</f>
        <v>PARANÁ-215</v>
      </c>
      <c r="B3001" s="5" t="s">
        <v>1921</v>
      </c>
      <c r="C3001" s="5" t="s">
        <v>2042</v>
      </c>
      <c r="D3001" s="6">
        <v>-522501</v>
      </c>
      <c r="E3001" s="6">
        <v>-251125</v>
      </c>
      <c r="F3001" s="7">
        <v>4.7670000000000003</v>
      </c>
      <c r="G3001" s="7">
        <v>6.0990000000000002</v>
      </c>
      <c r="H3001" s="7">
        <v>5.6269999999999998</v>
      </c>
      <c r="I3001" s="7">
        <v>5.234</v>
      </c>
      <c r="J3001" s="7">
        <v>4.3879999999999999</v>
      </c>
      <c r="K3001" s="7">
        <v>3.383</v>
      </c>
      <c r="L3001" s="7">
        <v>2.9860000000000002</v>
      </c>
      <c r="M3001" s="7">
        <v>3.24</v>
      </c>
      <c r="N3001" s="7">
        <v>4.242</v>
      </c>
      <c r="O3001" s="7">
        <v>4.4160000000000004</v>
      </c>
      <c r="P3001" s="7">
        <v>5.2409999999999997</v>
      </c>
      <c r="Q3001" s="7">
        <v>6.0730000000000004</v>
      </c>
      <c r="R3001" s="7">
        <v>6.2750000000000004</v>
      </c>
      <c r="S3001" s="7">
        <f t="shared" si="46"/>
        <v>4.7669999999999995</v>
      </c>
    </row>
    <row r="3002" spans="1:19">
      <c r="A3002" s="5" t="str">
        <f>B3002&amp;"-"&amp;COUNTIF($B$2:B3002,B3002)</f>
        <v>PARANÁ-216</v>
      </c>
      <c r="B3002" s="5" t="s">
        <v>1921</v>
      </c>
      <c r="C3002" s="5" t="s">
        <v>2043</v>
      </c>
      <c r="D3002" s="6">
        <v>-516408</v>
      </c>
      <c r="E3002" s="6">
        <v>-237062</v>
      </c>
      <c r="F3002" s="7">
        <v>4.8410000000000002</v>
      </c>
      <c r="G3002" s="7">
        <v>5.8079999999999998</v>
      </c>
      <c r="H3002" s="7">
        <v>5.7069999999999999</v>
      </c>
      <c r="I3002" s="7">
        <v>5.2060000000000004</v>
      </c>
      <c r="J3002" s="7">
        <v>4.5330000000000004</v>
      </c>
      <c r="K3002" s="7">
        <v>3.5609999999999999</v>
      </c>
      <c r="L3002" s="7">
        <v>3.2450000000000001</v>
      </c>
      <c r="M3002" s="7">
        <v>3.4729999999999999</v>
      </c>
      <c r="N3002" s="7">
        <v>4.4619999999999997</v>
      </c>
      <c r="O3002" s="7">
        <v>4.6289999999999996</v>
      </c>
      <c r="P3002" s="7">
        <v>5.2809999999999997</v>
      </c>
      <c r="Q3002" s="7">
        <v>5.9409999999999998</v>
      </c>
      <c r="R3002" s="7">
        <v>6.2439999999999998</v>
      </c>
      <c r="S3002" s="7">
        <f t="shared" si="46"/>
        <v>4.8408333333333333</v>
      </c>
    </row>
    <row r="3003" spans="1:19">
      <c r="A3003" s="5" t="str">
        <f>B3003&amp;"-"&amp;COUNTIF($B$2:B3003,B3003)</f>
        <v>PARANÁ-217</v>
      </c>
      <c r="B3003" s="5" t="s">
        <v>1921</v>
      </c>
      <c r="C3003" s="5" t="s">
        <v>4996</v>
      </c>
      <c r="D3003" s="6">
        <v>-539939</v>
      </c>
      <c r="E3003" s="5" t="s">
        <v>2044</v>
      </c>
      <c r="F3003" s="7">
        <v>4.734</v>
      </c>
      <c r="G3003" s="7">
        <v>6.218</v>
      </c>
      <c r="H3003" s="7">
        <v>5.766</v>
      </c>
      <c r="I3003" s="7">
        <v>5.1470000000000002</v>
      </c>
      <c r="J3003" s="7">
        <v>4.1959999999999997</v>
      </c>
      <c r="K3003" s="7">
        <v>3.3029999999999999</v>
      </c>
      <c r="L3003" s="7">
        <v>2.8879999999999999</v>
      </c>
      <c r="M3003" s="7">
        <v>3.1110000000000002</v>
      </c>
      <c r="N3003" s="7">
        <v>4.1340000000000003</v>
      </c>
      <c r="O3003" s="7">
        <v>4.3380000000000001</v>
      </c>
      <c r="P3003" s="7">
        <v>5.2460000000000004</v>
      </c>
      <c r="Q3003" s="7">
        <v>6.0149999999999997</v>
      </c>
      <c r="R3003" s="7">
        <v>6.4420000000000002</v>
      </c>
      <c r="S3003" s="7">
        <f t="shared" si="46"/>
        <v>4.7336666666666671</v>
      </c>
    </row>
    <row r="3004" spans="1:19">
      <c r="A3004" s="5" t="str">
        <f>B3004&amp;"-"&amp;COUNTIF($B$2:B3004,B3004)</f>
        <v>PARANÁ-218</v>
      </c>
      <c r="B3004" s="5" t="s">
        <v>1921</v>
      </c>
      <c r="C3004" s="5" t="s">
        <v>2045</v>
      </c>
      <c r="D3004" s="6">
        <v>-485494</v>
      </c>
      <c r="E3004" s="6">
        <v>-258241</v>
      </c>
      <c r="F3004" s="7">
        <v>3.8450000000000002</v>
      </c>
      <c r="G3004" s="7">
        <v>5.2709999999999999</v>
      </c>
      <c r="H3004" s="7">
        <v>5.0599999999999996</v>
      </c>
      <c r="I3004" s="7">
        <v>4.3369999999999997</v>
      </c>
      <c r="J3004" s="7">
        <v>3.5840000000000001</v>
      </c>
      <c r="K3004" s="7">
        <v>2.931</v>
      </c>
      <c r="L3004" s="7">
        <v>2.4590000000000001</v>
      </c>
      <c r="M3004" s="7">
        <v>2.5030000000000001</v>
      </c>
      <c r="N3004" s="7">
        <v>3.1749999999999998</v>
      </c>
      <c r="O3004" s="7">
        <v>3.1930000000000001</v>
      </c>
      <c r="P3004" s="7">
        <v>3.722</v>
      </c>
      <c r="Q3004" s="7">
        <v>4.7450000000000001</v>
      </c>
      <c r="R3004" s="7">
        <v>5.1550000000000002</v>
      </c>
      <c r="S3004" s="7">
        <f t="shared" si="46"/>
        <v>3.844583333333333</v>
      </c>
    </row>
    <row r="3005" spans="1:19">
      <c r="A3005" s="5" t="str">
        <f>B3005&amp;"-"&amp;COUNTIF($B$2:B3005,B3005)</f>
        <v>PARANÁ-219</v>
      </c>
      <c r="B3005" s="5" t="s">
        <v>1921</v>
      </c>
      <c r="C3005" s="5" t="s">
        <v>2046</v>
      </c>
      <c r="D3005" s="6">
        <v>-521459</v>
      </c>
      <c r="E3005" s="5" t="s">
        <v>2047</v>
      </c>
      <c r="F3005" s="7">
        <v>4.7939999999999996</v>
      </c>
      <c r="G3005" s="7">
        <v>6.1289999999999996</v>
      </c>
      <c r="H3005" s="7">
        <v>5.665</v>
      </c>
      <c r="I3005" s="7">
        <v>5.1660000000000004</v>
      </c>
      <c r="J3005" s="7">
        <v>4.4470000000000001</v>
      </c>
      <c r="K3005" s="7">
        <v>3.4529999999999998</v>
      </c>
      <c r="L3005" s="7">
        <v>3.0630000000000002</v>
      </c>
      <c r="M3005" s="7">
        <v>3.2970000000000002</v>
      </c>
      <c r="N3005" s="7">
        <v>4.2830000000000004</v>
      </c>
      <c r="O3005" s="7">
        <v>4.4530000000000003</v>
      </c>
      <c r="P3005" s="7">
        <v>5.2350000000000003</v>
      </c>
      <c r="Q3005" s="7">
        <v>6.0519999999999996</v>
      </c>
      <c r="R3005" s="7">
        <v>6.2839999999999998</v>
      </c>
      <c r="S3005" s="7">
        <f t="shared" si="46"/>
        <v>4.793916666666667</v>
      </c>
    </row>
    <row r="3006" spans="1:19">
      <c r="A3006" s="5" t="str">
        <f>B3006&amp;"-"&amp;COUNTIF($B$2:B3006,B3006)</f>
        <v>PARANÁ-220</v>
      </c>
      <c r="B3006" s="5" t="s">
        <v>1921</v>
      </c>
      <c r="C3006" s="5" t="s">
        <v>5665</v>
      </c>
      <c r="D3006" s="6">
        <v>-512282</v>
      </c>
      <c r="E3006" s="6">
        <v>-238992</v>
      </c>
      <c r="F3006" s="7">
        <v>4.7759999999999998</v>
      </c>
      <c r="G3006" s="7">
        <v>5.7590000000000003</v>
      </c>
      <c r="H3006" s="7">
        <v>5.5750000000000002</v>
      </c>
      <c r="I3006" s="7">
        <v>5.1120000000000001</v>
      </c>
      <c r="J3006" s="7">
        <v>4.4569999999999999</v>
      </c>
      <c r="K3006" s="7">
        <v>3.528</v>
      </c>
      <c r="L3006" s="7">
        <v>3.24</v>
      </c>
      <c r="M3006" s="7">
        <v>3.47</v>
      </c>
      <c r="N3006" s="7">
        <v>4.43</v>
      </c>
      <c r="O3006" s="7">
        <v>4.5410000000000004</v>
      </c>
      <c r="P3006" s="7">
        <v>5.1959999999999997</v>
      </c>
      <c r="Q3006" s="7">
        <v>5.843</v>
      </c>
      <c r="R3006" s="7">
        <v>6.1630000000000003</v>
      </c>
      <c r="S3006" s="7">
        <f t="shared" si="46"/>
        <v>4.7761666666666658</v>
      </c>
    </row>
    <row r="3007" spans="1:19">
      <c r="A3007" s="5" t="str">
        <f>B3007&amp;"-"&amp;COUNTIF($B$2:B3007,B3007)</f>
        <v>PARANÁ-221</v>
      </c>
      <c r="B3007" s="5" t="s">
        <v>1921</v>
      </c>
      <c r="C3007" s="5" t="s">
        <v>2048</v>
      </c>
      <c r="D3007" s="6">
        <v>-540948</v>
      </c>
      <c r="E3007" s="6">
        <v>-252981</v>
      </c>
      <c r="F3007" s="7">
        <v>4.7290000000000001</v>
      </c>
      <c r="G3007" s="7">
        <v>6.2480000000000002</v>
      </c>
      <c r="H3007" s="7">
        <v>5.7539999999999996</v>
      </c>
      <c r="I3007" s="7">
        <v>5.1879999999999997</v>
      </c>
      <c r="J3007" s="7">
        <v>4.21</v>
      </c>
      <c r="K3007" s="7">
        <v>3.258</v>
      </c>
      <c r="L3007" s="7">
        <v>2.8620000000000001</v>
      </c>
      <c r="M3007" s="7">
        <v>3.0859999999999999</v>
      </c>
      <c r="N3007" s="7">
        <v>4.069</v>
      </c>
      <c r="O3007" s="7">
        <v>4.3179999999999996</v>
      </c>
      <c r="P3007" s="7">
        <v>5.2549999999999999</v>
      </c>
      <c r="Q3007" s="7">
        <v>6.0439999999999996</v>
      </c>
      <c r="R3007" s="7">
        <v>6.4569999999999999</v>
      </c>
      <c r="S3007" s="7">
        <f t="shared" si="46"/>
        <v>4.7290833333333326</v>
      </c>
    </row>
    <row r="3008" spans="1:19">
      <c r="A3008" s="5" t="str">
        <f>B3008&amp;"-"&amp;COUNTIF($B$2:B3008,B3008)</f>
        <v>PARANÁ-222</v>
      </c>
      <c r="B3008" s="5" t="s">
        <v>1921</v>
      </c>
      <c r="C3008" s="5" t="s">
        <v>2049</v>
      </c>
      <c r="D3008" s="6">
        <v>-541623</v>
      </c>
      <c r="E3008" s="6">
        <v>-244543</v>
      </c>
      <c r="F3008" s="7">
        <v>4.8159999999999998</v>
      </c>
      <c r="G3008" s="7">
        <v>6.25</v>
      </c>
      <c r="H3008" s="7">
        <v>5.7649999999999997</v>
      </c>
      <c r="I3008" s="7">
        <v>5.3239999999999998</v>
      </c>
      <c r="J3008" s="7">
        <v>4.3259999999999996</v>
      </c>
      <c r="K3008" s="7">
        <v>3.3780000000000001</v>
      </c>
      <c r="L3008" s="7">
        <v>2.9870000000000001</v>
      </c>
      <c r="M3008" s="7">
        <v>3.1749999999999998</v>
      </c>
      <c r="N3008" s="7">
        <v>4.1689999999999996</v>
      </c>
      <c r="O3008" s="7">
        <v>4.4710000000000001</v>
      </c>
      <c r="P3008" s="7">
        <v>5.2969999999999997</v>
      </c>
      <c r="Q3008" s="7">
        <v>6.1239999999999997</v>
      </c>
      <c r="R3008" s="7">
        <v>6.532</v>
      </c>
      <c r="S3008" s="7">
        <f t="shared" si="46"/>
        <v>4.8165000000000004</v>
      </c>
    </row>
    <row r="3009" spans="1:19">
      <c r="A3009" s="5" t="str">
        <f>B3009&amp;"-"&amp;COUNTIF($B$2:B3009,B3009)</f>
        <v>PARANÁ-223</v>
      </c>
      <c r="B3009" s="5" t="s">
        <v>1921</v>
      </c>
      <c r="C3009" s="5" t="s">
        <v>945</v>
      </c>
      <c r="D3009" s="6">
        <v>-527765</v>
      </c>
      <c r="E3009" s="6">
        <v>-232554</v>
      </c>
      <c r="F3009" s="7">
        <v>4.9480000000000004</v>
      </c>
      <c r="G3009" s="7">
        <v>6.02</v>
      </c>
      <c r="H3009" s="7">
        <v>5.8730000000000002</v>
      </c>
      <c r="I3009" s="7">
        <v>5.4</v>
      </c>
      <c r="J3009" s="7">
        <v>4.569</v>
      </c>
      <c r="K3009" s="7">
        <v>3.629</v>
      </c>
      <c r="L3009" s="7">
        <v>3.2709999999999999</v>
      </c>
      <c r="M3009" s="7">
        <v>3.4769999999999999</v>
      </c>
      <c r="N3009" s="7">
        <v>4.4530000000000003</v>
      </c>
      <c r="O3009" s="7">
        <v>4.6639999999999997</v>
      </c>
      <c r="P3009" s="7">
        <v>5.4240000000000004</v>
      </c>
      <c r="Q3009" s="7">
        <v>6.1509999999999998</v>
      </c>
      <c r="R3009" s="7">
        <v>6.4379999999999997</v>
      </c>
      <c r="S3009" s="7">
        <f t="shared" si="46"/>
        <v>4.9474166666666664</v>
      </c>
    </row>
    <row r="3010" spans="1:19">
      <c r="A3010" s="5" t="str">
        <f>B3010&amp;"-"&amp;COUNTIF($B$2:B3010,B3010)</f>
        <v>PARANÁ-224</v>
      </c>
      <c r="B3010" s="5" t="s">
        <v>1921</v>
      </c>
      <c r="C3010" s="5" t="s">
        <v>2050</v>
      </c>
      <c r="D3010" s="6">
        <v>-51485</v>
      </c>
      <c r="E3010" s="6">
        <v>-229661</v>
      </c>
      <c r="F3010" s="7">
        <v>5.0090000000000003</v>
      </c>
      <c r="G3010" s="7">
        <v>5.9059999999999997</v>
      </c>
      <c r="H3010" s="7">
        <v>5.9050000000000002</v>
      </c>
      <c r="I3010" s="7">
        <v>5.4029999999999996</v>
      </c>
      <c r="J3010" s="7">
        <v>4.7270000000000003</v>
      </c>
      <c r="K3010" s="7">
        <v>3.7120000000000002</v>
      </c>
      <c r="L3010" s="7">
        <v>3.4249999999999998</v>
      </c>
      <c r="M3010" s="7">
        <v>3.6549999999999998</v>
      </c>
      <c r="N3010" s="7">
        <v>4.585</v>
      </c>
      <c r="O3010" s="7">
        <v>4.7670000000000003</v>
      </c>
      <c r="P3010" s="7">
        <v>5.4539999999999997</v>
      </c>
      <c r="Q3010" s="7">
        <v>6.1719999999999997</v>
      </c>
      <c r="R3010" s="7">
        <v>6.3920000000000003</v>
      </c>
      <c r="S3010" s="7">
        <f t="shared" si="46"/>
        <v>5.0085833333333332</v>
      </c>
    </row>
    <row r="3011" spans="1:19">
      <c r="A3011" s="5" t="str">
        <f>B3011&amp;"-"&amp;COUNTIF($B$2:B3011,B3011)</f>
        <v>PARANÁ-225</v>
      </c>
      <c r="B3011" s="5" t="s">
        <v>1921</v>
      </c>
      <c r="C3011" s="5" t="s">
        <v>2051</v>
      </c>
      <c r="D3011" s="6">
        <v>-542481</v>
      </c>
      <c r="E3011" s="6">
        <v>-250923</v>
      </c>
      <c r="F3011" s="7">
        <v>4.7919999999999998</v>
      </c>
      <c r="G3011" s="7">
        <v>6.3109999999999999</v>
      </c>
      <c r="H3011" s="7">
        <v>5.806</v>
      </c>
      <c r="I3011" s="7">
        <v>5.3239999999999998</v>
      </c>
      <c r="J3011" s="7">
        <v>4.2640000000000002</v>
      </c>
      <c r="K3011" s="7">
        <v>3.3</v>
      </c>
      <c r="L3011" s="7">
        <v>2.8980000000000001</v>
      </c>
      <c r="M3011" s="7">
        <v>3.0939999999999999</v>
      </c>
      <c r="N3011" s="7">
        <v>4.0789999999999997</v>
      </c>
      <c r="O3011" s="7">
        <v>4.3609999999999998</v>
      </c>
      <c r="P3011" s="7">
        <v>5.2770000000000001</v>
      </c>
      <c r="Q3011" s="7">
        <v>6.1619999999999999</v>
      </c>
      <c r="R3011" s="7">
        <v>6.6319999999999997</v>
      </c>
      <c r="S3011" s="7">
        <f t="shared" ref="S3011:S3074" si="47">(G3011+H3011+I3011+J3011+K3011+L3011+M3011+N3011+O3011+P3011+Q3011+R3011)/12</f>
        <v>4.7923333333333327</v>
      </c>
    </row>
    <row r="3012" spans="1:19">
      <c r="A3012" s="5" t="str">
        <f>B3012&amp;"-"&amp;COUNTIF($B$2:B3012,B3012)</f>
        <v>PARANÁ-226</v>
      </c>
      <c r="B3012" s="5" t="s">
        <v>1921</v>
      </c>
      <c r="C3012" s="5" t="s">
        <v>2052</v>
      </c>
      <c r="D3012" s="6">
        <v>-530061</v>
      </c>
      <c r="E3012" s="6">
        <v>-240531</v>
      </c>
      <c r="F3012" s="7">
        <v>4.8849999999999998</v>
      </c>
      <c r="G3012" s="7">
        <v>6.1849999999999996</v>
      </c>
      <c r="H3012" s="7">
        <v>5.827</v>
      </c>
      <c r="I3012" s="7">
        <v>5.327</v>
      </c>
      <c r="J3012" s="7">
        <v>4.4749999999999996</v>
      </c>
      <c r="K3012" s="7">
        <v>3.512</v>
      </c>
      <c r="L3012" s="7">
        <v>3.1110000000000002</v>
      </c>
      <c r="M3012" s="7">
        <v>3.327</v>
      </c>
      <c r="N3012" s="7">
        <v>4.2960000000000003</v>
      </c>
      <c r="O3012" s="7">
        <v>4.548</v>
      </c>
      <c r="P3012" s="7">
        <v>5.3819999999999997</v>
      </c>
      <c r="Q3012" s="7">
        <v>6.1470000000000002</v>
      </c>
      <c r="R3012" s="7">
        <v>6.484</v>
      </c>
      <c r="S3012" s="7">
        <f t="shared" si="47"/>
        <v>4.8850833333333332</v>
      </c>
    </row>
    <row r="3013" spans="1:19">
      <c r="A3013" s="5" t="str">
        <f>B3013&amp;"-"&amp;COUNTIF($B$2:B3013,B3013)</f>
        <v>PARANÁ-227</v>
      </c>
      <c r="B3013" s="5" t="s">
        <v>1921</v>
      </c>
      <c r="C3013" s="5" t="s">
        <v>2053</v>
      </c>
      <c r="D3013" s="6">
        <v>-48835</v>
      </c>
      <c r="E3013" s="6">
        <v>-254748</v>
      </c>
      <c r="F3013" s="7">
        <v>3.7850000000000001</v>
      </c>
      <c r="G3013" s="7">
        <v>4.9980000000000002</v>
      </c>
      <c r="H3013" s="7">
        <v>4.8490000000000002</v>
      </c>
      <c r="I3013" s="7">
        <v>4.18</v>
      </c>
      <c r="J3013" s="7">
        <v>3.5350000000000001</v>
      </c>
      <c r="K3013" s="7">
        <v>2.9289999999999998</v>
      </c>
      <c r="L3013" s="7">
        <v>2.5569999999999999</v>
      </c>
      <c r="M3013" s="7">
        <v>2.6230000000000002</v>
      </c>
      <c r="N3013" s="7">
        <v>3.3479999999999999</v>
      </c>
      <c r="O3013" s="7">
        <v>3.1819999999999999</v>
      </c>
      <c r="P3013" s="7">
        <v>3.66</v>
      </c>
      <c r="Q3013" s="7">
        <v>4.5570000000000004</v>
      </c>
      <c r="R3013" s="7">
        <v>4.9969999999999999</v>
      </c>
      <c r="S3013" s="7">
        <f t="shared" si="47"/>
        <v>3.7845833333333339</v>
      </c>
    </row>
    <row r="3014" spans="1:19">
      <c r="A3014" s="5" t="str">
        <f>B3014&amp;"-"&amp;COUNTIF($B$2:B3014,B3014)</f>
        <v>PARANÁ-228</v>
      </c>
      <c r="B3014" s="5" t="s">
        <v>1921</v>
      </c>
      <c r="C3014" s="5" t="s">
        <v>2054</v>
      </c>
      <c r="D3014" s="6">
        <v>-517736</v>
      </c>
      <c r="E3014" s="6">
        <v>-231465</v>
      </c>
      <c r="F3014" s="7">
        <v>4.9850000000000003</v>
      </c>
      <c r="G3014" s="7">
        <v>5.97</v>
      </c>
      <c r="H3014" s="7">
        <v>5.9080000000000004</v>
      </c>
      <c r="I3014" s="7">
        <v>5.3890000000000002</v>
      </c>
      <c r="J3014" s="7">
        <v>4.657</v>
      </c>
      <c r="K3014" s="7">
        <v>3.6829999999999998</v>
      </c>
      <c r="L3014" s="7">
        <v>3.4079999999999999</v>
      </c>
      <c r="M3014" s="7">
        <v>3.5859999999999999</v>
      </c>
      <c r="N3014" s="7">
        <v>4.5209999999999999</v>
      </c>
      <c r="O3014" s="7">
        <v>4.7309999999999999</v>
      </c>
      <c r="P3014" s="7">
        <v>5.4349999999999996</v>
      </c>
      <c r="Q3014" s="7">
        <v>6.1189999999999998</v>
      </c>
      <c r="R3014" s="7">
        <v>6.4160000000000004</v>
      </c>
      <c r="S3014" s="7">
        <f t="shared" si="47"/>
        <v>4.9852500000000006</v>
      </c>
    </row>
    <row r="3015" spans="1:19">
      <c r="A3015" s="5" t="str">
        <f>B3015&amp;"-"&amp;COUNTIF($B$2:B3015,B3015)</f>
        <v>PARANÁ-229</v>
      </c>
      <c r="B3015" s="5" t="s">
        <v>1921</v>
      </c>
      <c r="C3015" s="5" t="s">
        <v>4718</v>
      </c>
      <c r="D3015" s="6">
        <v>-517982</v>
      </c>
      <c r="E3015" s="6">
        <v>-229134</v>
      </c>
      <c r="F3015" s="7">
        <v>5.0350000000000001</v>
      </c>
      <c r="G3015" s="7">
        <v>5.9790000000000001</v>
      </c>
      <c r="H3015" s="7">
        <v>5.9660000000000002</v>
      </c>
      <c r="I3015" s="7">
        <v>5.4509999999999996</v>
      </c>
      <c r="J3015" s="7">
        <v>4.71</v>
      </c>
      <c r="K3015" s="7">
        <v>3.7360000000000002</v>
      </c>
      <c r="L3015" s="7">
        <v>3.4449999999999998</v>
      </c>
      <c r="M3015" s="7">
        <v>3.64</v>
      </c>
      <c r="N3015" s="7">
        <v>4.5869999999999997</v>
      </c>
      <c r="O3015" s="7">
        <v>4.774</v>
      </c>
      <c r="P3015" s="7">
        <v>5.508</v>
      </c>
      <c r="Q3015" s="7">
        <v>6.1840000000000002</v>
      </c>
      <c r="R3015" s="7">
        <v>6.4450000000000003</v>
      </c>
      <c r="S3015" s="7">
        <f t="shared" si="47"/>
        <v>5.0354166666666664</v>
      </c>
    </row>
    <row r="3016" spans="1:19">
      <c r="A3016" s="5" t="str">
        <f>B3016&amp;"-"&amp;COUNTIF($B$2:B3016,B3016)</f>
        <v>PARANÁ-230</v>
      </c>
      <c r="B3016" s="5" t="s">
        <v>1921</v>
      </c>
      <c r="C3016" s="5" t="s">
        <v>4719</v>
      </c>
      <c r="D3016" s="6">
        <v>-526037</v>
      </c>
      <c r="E3016" s="6">
        <v>-231767</v>
      </c>
      <c r="F3016" s="7">
        <v>4.9489999999999998</v>
      </c>
      <c r="G3016" s="7">
        <v>5.984</v>
      </c>
      <c r="H3016" s="7">
        <v>5.8460000000000001</v>
      </c>
      <c r="I3016" s="7">
        <v>5.3810000000000002</v>
      </c>
      <c r="J3016" s="7">
        <v>4.6260000000000003</v>
      </c>
      <c r="K3016" s="7">
        <v>3.625</v>
      </c>
      <c r="L3016" s="7">
        <v>3.2989999999999999</v>
      </c>
      <c r="M3016" s="7">
        <v>3.5089999999999999</v>
      </c>
      <c r="N3016" s="7">
        <v>4.4539999999999997</v>
      </c>
      <c r="O3016" s="7">
        <v>4.6849999999999996</v>
      </c>
      <c r="P3016" s="7">
        <v>5.4340000000000002</v>
      </c>
      <c r="Q3016" s="7">
        <v>6.133</v>
      </c>
      <c r="R3016" s="7">
        <v>6.4109999999999996</v>
      </c>
      <c r="S3016" s="7">
        <f t="shared" si="47"/>
        <v>4.9489166666666664</v>
      </c>
    </row>
    <row r="3017" spans="1:19">
      <c r="A3017" s="5" t="str">
        <f>B3017&amp;"-"&amp;COUNTIF($B$2:B3017,B3017)</f>
        <v>PARANÁ-231</v>
      </c>
      <c r="B3017" s="5" t="s">
        <v>1921</v>
      </c>
      <c r="C3017" s="5" t="s">
        <v>4418</v>
      </c>
      <c r="D3017" s="6">
        <v>-507172</v>
      </c>
      <c r="E3017" s="6">
        <v>-233312</v>
      </c>
      <c r="F3017" s="7">
        <v>4.9320000000000004</v>
      </c>
      <c r="G3017" s="7">
        <v>5.8970000000000002</v>
      </c>
      <c r="H3017" s="7">
        <v>5.8220000000000001</v>
      </c>
      <c r="I3017" s="7">
        <v>5.2690000000000001</v>
      </c>
      <c r="J3017" s="7">
        <v>4.6109999999999998</v>
      </c>
      <c r="K3017" s="7">
        <v>3.6930000000000001</v>
      </c>
      <c r="L3017" s="7">
        <v>3.3820000000000001</v>
      </c>
      <c r="M3017" s="7">
        <v>3.581</v>
      </c>
      <c r="N3017" s="7">
        <v>4.5279999999999996</v>
      </c>
      <c r="O3017" s="7">
        <v>4.7160000000000002</v>
      </c>
      <c r="P3017" s="7">
        <v>5.3449999999999998</v>
      </c>
      <c r="Q3017" s="7">
        <v>6.008</v>
      </c>
      <c r="R3017" s="7">
        <v>6.3319999999999999</v>
      </c>
      <c r="S3017" s="7">
        <f t="shared" si="47"/>
        <v>4.9320000000000004</v>
      </c>
    </row>
    <row r="3018" spans="1:19">
      <c r="A3018" s="5" t="str">
        <f>B3018&amp;"-"&amp;COUNTIF($B$2:B3018,B3018)</f>
        <v>PARANÁ-232</v>
      </c>
      <c r="B3018" s="5" t="s">
        <v>1921</v>
      </c>
      <c r="C3018" s="5" t="s">
        <v>840</v>
      </c>
      <c r="D3018" s="6">
        <v>-532579</v>
      </c>
      <c r="E3018" s="6">
        <v>-245293</v>
      </c>
      <c r="F3018" s="7">
        <v>4.8289999999999997</v>
      </c>
      <c r="G3018" s="7">
        <v>6.3339999999999996</v>
      </c>
      <c r="H3018" s="7">
        <v>5.6440000000000001</v>
      </c>
      <c r="I3018" s="7">
        <v>5.258</v>
      </c>
      <c r="J3018" s="7">
        <v>4.3890000000000002</v>
      </c>
      <c r="K3018" s="7">
        <v>3.4769999999999999</v>
      </c>
      <c r="L3018" s="7">
        <v>3.0539999999999998</v>
      </c>
      <c r="M3018" s="7">
        <v>3.2559999999999998</v>
      </c>
      <c r="N3018" s="7">
        <v>4.2430000000000003</v>
      </c>
      <c r="O3018" s="7">
        <v>4.4989999999999997</v>
      </c>
      <c r="P3018" s="7">
        <v>5.2880000000000003</v>
      </c>
      <c r="Q3018" s="7">
        <v>6.06</v>
      </c>
      <c r="R3018" s="7">
        <v>6.4450000000000003</v>
      </c>
      <c r="S3018" s="7">
        <f t="shared" si="47"/>
        <v>4.8289166666666672</v>
      </c>
    </row>
    <row r="3019" spans="1:19">
      <c r="A3019" s="5" t="str">
        <f>B3019&amp;"-"&amp;COUNTIF($B$2:B3019,B3019)</f>
        <v>PARANÁ-233</v>
      </c>
      <c r="B3019" s="5" t="s">
        <v>1921</v>
      </c>
      <c r="C3019" s="5" t="s">
        <v>2055</v>
      </c>
      <c r="D3019" s="6">
        <v>-525665</v>
      </c>
      <c r="E3019" s="6">
        <v>-246728</v>
      </c>
      <c r="F3019" s="7">
        <v>4.7889999999999997</v>
      </c>
      <c r="G3019" s="7">
        <v>6.2729999999999997</v>
      </c>
      <c r="H3019" s="7">
        <v>5.5890000000000004</v>
      </c>
      <c r="I3019" s="7">
        <v>5.1879999999999997</v>
      </c>
      <c r="J3019" s="7">
        <v>4.4180000000000001</v>
      </c>
      <c r="K3019" s="7">
        <v>3.4569999999999999</v>
      </c>
      <c r="L3019" s="7">
        <v>3.04</v>
      </c>
      <c r="M3019" s="7">
        <v>3.26</v>
      </c>
      <c r="N3019" s="7">
        <v>4.2530000000000001</v>
      </c>
      <c r="O3019" s="7">
        <v>4.4379999999999997</v>
      </c>
      <c r="P3019" s="7">
        <v>5.1849999999999996</v>
      </c>
      <c r="Q3019" s="7">
        <v>6.0039999999999996</v>
      </c>
      <c r="R3019" s="7">
        <v>6.3620000000000001</v>
      </c>
      <c r="S3019" s="7">
        <f t="shared" si="47"/>
        <v>4.7889166666666672</v>
      </c>
    </row>
    <row r="3020" spans="1:19">
      <c r="A3020" s="5" t="str">
        <f>B3020&amp;"-"&amp;COUNTIF($B$2:B3020,B3020)</f>
        <v>PARANÁ-234</v>
      </c>
      <c r="B3020" s="5" t="s">
        <v>1921</v>
      </c>
      <c r="C3020" s="5" t="s">
        <v>4720</v>
      </c>
      <c r="D3020" s="6">
        <v>-522036</v>
      </c>
      <c r="E3020" s="6">
        <v>-231825</v>
      </c>
      <c r="F3020" s="7">
        <v>4.9550000000000001</v>
      </c>
      <c r="G3020" s="7">
        <v>5.9359999999999999</v>
      </c>
      <c r="H3020" s="7">
        <v>5.883</v>
      </c>
      <c r="I3020" s="7">
        <v>5.4119999999999999</v>
      </c>
      <c r="J3020" s="7">
        <v>4.6260000000000003</v>
      </c>
      <c r="K3020" s="7">
        <v>3.6389999999999998</v>
      </c>
      <c r="L3020" s="7">
        <v>3.3239999999999998</v>
      </c>
      <c r="M3020" s="7">
        <v>3.5379999999999998</v>
      </c>
      <c r="N3020" s="7">
        <v>4.4660000000000002</v>
      </c>
      <c r="O3020" s="7">
        <v>4.7</v>
      </c>
      <c r="P3020" s="7">
        <v>5.4359999999999999</v>
      </c>
      <c r="Q3020" s="7">
        <v>6.1379999999999999</v>
      </c>
      <c r="R3020" s="7">
        <v>6.3650000000000002</v>
      </c>
      <c r="S3020" s="7">
        <f t="shared" si="47"/>
        <v>4.9552500000000004</v>
      </c>
    </row>
    <row r="3021" spans="1:19">
      <c r="A3021" s="5" t="str">
        <f>B3021&amp;"-"&amp;COUNTIF($B$2:B3021,B3021)</f>
        <v>PARANÁ-235</v>
      </c>
      <c r="B3021" s="5" t="s">
        <v>1921</v>
      </c>
      <c r="C3021" s="5" t="s">
        <v>4721</v>
      </c>
      <c r="D3021" s="6">
        <v>-532657</v>
      </c>
      <c r="E3021" s="6">
        <v>-259065</v>
      </c>
      <c r="F3021" s="7">
        <v>4.7590000000000003</v>
      </c>
      <c r="G3021" s="7">
        <v>6.3</v>
      </c>
      <c r="H3021" s="7">
        <v>5.7549999999999999</v>
      </c>
      <c r="I3021" s="7">
        <v>5.24</v>
      </c>
      <c r="J3021" s="7">
        <v>4.2489999999999997</v>
      </c>
      <c r="K3021" s="7">
        <v>3.2850000000000001</v>
      </c>
      <c r="L3021" s="7">
        <v>2.8439999999999999</v>
      </c>
      <c r="M3021" s="7">
        <v>3.1349999999999998</v>
      </c>
      <c r="N3021" s="7">
        <v>4.1040000000000001</v>
      </c>
      <c r="O3021" s="7">
        <v>4.2859999999999996</v>
      </c>
      <c r="P3021" s="7">
        <v>5.266</v>
      </c>
      <c r="Q3021" s="7">
        <v>6.1630000000000003</v>
      </c>
      <c r="R3021" s="7">
        <v>6.4749999999999996</v>
      </c>
      <c r="S3021" s="7">
        <f t="shared" si="47"/>
        <v>4.7584999999999997</v>
      </c>
    </row>
    <row r="3022" spans="1:19">
      <c r="A3022" s="5" t="str">
        <f>B3022&amp;"-"&amp;COUNTIF($B$2:B3022,B3022)</f>
        <v>PARANÁ-236</v>
      </c>
      <c r="B3022" s="5" t="s">
        <v>1921</v>
      </c>
      <c r="C3022" s="5" t="s">
        <v>5473</v>
      </c>
      <c r="D3022" s="6">
        <v>-505639</v>
      </c>
      <c r="E3022" s="6">
        <v>-23432</v>
      </c>
      <c r="F3022" s="7">
        <v>4.9109999999999996</v>
      </c>
      <c r="G3022" s="7">
        <v>5.8789999999999996</v>
      </c>
      <c r="H3022" s="7">
        <v>5.8159999999999998</v>
      </c>
      <c r="I3022" s="7">
        <v>5.2089999999999996</v>
      </c>
      <c r="J3022" s="7">
        <v>4.5780000000000003</v>
      </c>
      <c r="K3022" s="7">
        <v>3.657</v>
      </c>
      <c r="L3022" s="7">
        <v>3.343</v>
      </c>
      <c r="M3022" s="7">
        <v>3.5579999999999998</v>
      </c>
      <c r="N3022" s="7">
        <v>4.5359999999999996</v>
      </c>
      <c r="O3022" s="7">
        <v>4.6870000000000003</v>
      </c>
      <c r="P3022" s="7">
        <v>5.3029999999999999</v>
      </c>
      <c r="Q3022" s="7">
        <v>5.9980000000000002</v>
      </c>
      <c r="R3022" s="7">
        <v>6.3650000000000002</v>
      </c>
      <c r="S3022" s="7">
        <f t="shared" si="47"/>
        <v>4.9107499999999993</v>
      </c>
    </row>
    <row r="3023" spans="1:19">
      <c r="A3023" s="5" t="str">
        <f>B3023&amp;"-"&amp;COUNTIF($B$2:B3023,B3023)</f>
        <v>PARANÁ-237</v>
      </c>
      <c r="B3023" s="5" t="s">
        <v>1921</v>
      </c>
      <c r="C3023" s="5" t="s">
        <v>2056</v>
      </c>
      <c r="D3023" s="6">
        <v>-525451</v>
      </c>
      <c r="E3023" s="6">
        <v>-253058</v>
      </c>
      <c r="F3023" s="7">
        <v>4.718</v>
      </c>
      <c r="G3023" s="7">
        <v>6.1289999999999996</v>
      </c>
      <c r="H3023" s="7">
        <v>5.5469999999999997</v>
      </c>
      <c r="I3023" s="7">
        <v>5.1879999999999997</v>
      </c>
      <c r="J3023" s="7">
        <v>4.3040000000000003</v>
      </c>
      <c r="K3023" s="7">
        <v>3.3109999999999999</v>
      </c>
      <c r="L3023" s="7">
        <v>2.9409999999999998</v>
      </c>
      <c r="M3023" s="7">
        <v>3.1760000000000002</v>
      </c>
      <c r="N3023" s="7">
        <v>4.1900000000000004</v>
      </c>
      <c r="O3023" s="7">
        <v>4.3449999999999998</v>
      </c>
      <c r="P3023" s="7">
        <v>5.2169999999999996</v>
      </c>
      <c r="Q3023" s="7">
        <v>6.0369999999999999</v>
      </c>
      <c r="R3023" s="7">
        <v>6.2370000000000001</v>
      </c>
      <c r="S3023" s="7">
        <f t="shared" si="47"/>
        <v>4.7184999999999997</v>
      </c>
    </row>
    <row r="3024" spans="1:19">
      <c r="A3024" s="5" t="str">
        <f>B3024&amp;"-"&amp;COUNTIF($B$2:B3024,B3024)</f>
        <v>PARANÁ-238</v>
      </c>
      <c r="B3024" s="5" t="s">
        <v>1921</v>
      </c>
      <c r="C3024" s="5" t="s">
        <v>2057</v>
      </c>
      <c r="D3024" s="6">
        <v>-529872</v>
      </c>
      <c r="E3024" s="6">
        <v>-227644</v>
      </c>
      <c r="F3024" s="7">
        <v>5.0129999999999999</v>
      </c>
      <c r="G3024" s="7">
        <v>6.0490000000000004</v>
      </c>
      <c r="H3024" s="7">
        <v>5.9779999999999998</v>
      </c>
      <c r="I3024" s="7">
        <v>5.43</v>
      </c>
      <c r="J3024" s="7">
        <v>4.6379999999999999</v>
      </c>
      <c r="K3024" s="7">
        <v>3.702</v>
      </c>
      <c r="L3024" s="7">
        <v>3.3839999999999999</v>
      </c>
      <c r="M3024" s="7">
        <v>3.5630000000000002</v>
      </c>
      <c r="N3024" s="7">
        <v>4.492</v>
      </c>
      <c r="O3024" s="7">
        <v>4.766</v>
      </c>
      <c r="P3024" s="7">
        <v>5.44</v>
      </c>
      <c r="Q3024" s="7">
        <v>6.1950000000000003</v>
      </c>
      <c r="R3024" s="7">
        <v>6.5220000000000002</v>
      </c>
      <c r="S3024" s="7">
        <f t="shared" si="47"/>
        <v>5.0132499999999993</v>
      </c>
    </row>
    <row r="3025" spans="1:19">
      <c r="A3025" s="5" t="str">
        <f>B3025&amp;"-"&amp;COUNTIF($B$2:B3025,B3025)</f>
        <v>PARANÁ-239</v>
      </c>
      <c r="B3025" s="5" t="s">
        <v>1921</v>
      </c>
      <c r="C3025" s="5" t="s">
        <v>1045</v>
      </c>
      <c r="D3025" s="6">
        <v>-530902</v>
      </c>
      <c r="E3025" s="6">
        <v>-234707</v>
      </c>
      <c r="F3025" s="7">
        <v>4.9340000000000002</v>
      </c>
      <c r="G3025" s="7">
        <v>6.0490000000000004</v>
      </c>
      <c r="H3025" s="7">
        <v>5.8490000000000002</v>
      </c>
      <c r="I3025" s="7">
        <v>5.3710000000000004</v>
      </c>
      <c r="J3025" s="7">
        <v>4.5720000000000001</v>
      </c>
      <c r="K3025" s="7">
        <v>3.613</v>
      </c>
      <c r="L3025" s="7">
        <v>3.2229999999999999</v>
      </c>
      <c r="M3025" s="7">
        <v>3.4420000000000002</v>
      </c>
      <c r="N3025" s="7">
        <v>4.4109999999999996</v>
      </c>
      <c r="O3025" s="7">
        <v>4.6230000000000002</v>
      </c>
      <c r="P3025" s="7">
        <v>5.4180000000000001</v>
      </c>
      <c r="Q3025" s="7">
        <v>6.1260000000000003</v>
      </c>
      <c r="R3025" s="7">
        <v>6.5069999999999997</v>
      </c>
      <c r="S3025" s="7">
        <f t="shared" si="47"/>
        <v>4.9336666666666664</v>
      </c>
    </row>
    <row r="3026" spans="1:19">
      <c r="A3026" s="5" t="str">
        <f>B3026&amp;"-"&amp;COUNTIF($B$2:B3026,B3026)</f>
        <v>PARANÁ-240</v>
      </c>
      <c r="B3026" s="5" t="s">
        <v>1921</v>
      </c>
      <c r="C3026" s="5" t="s">
        <v>4722</v>
      </c>
      <c r="D3026" s="6">
        <v>-533473</v>
      </c>
      <c r="E3026" s="6">
        <v>-256314</v>
      </c>
      <c r="F3026" s="7">
        <v>4.76</v>
      </c>
      <c r="G3026" s="7">
        <v>6.3550000000000004</v>
      </c>
      <c r="H3026" s="7">
        <v>5.8079999999999998</v>
      </c>
      <c r="I3026" s="7">
        <v>5.2750000000000004</v>
      </c>
      <c r="J3026" s="7">
        <v>4.2539999999999996</v>
      </c>
      <c r="K3026" s="7">
        <v>3.2770000000000001</v>
      </c>
      <c r="L3026" s="7">
        <v>2.843</v>
      </c>
      <c r="M3026" s="7">
        <v>3.081</v>
      </c>
      <c r="N3026" s="7">
        <v>4.0739999999999998</v>
      </c>
      <c r="O3026" s="7">
        <v>4.2320000000000002</v>
      </c>
      <c r="P3026" s="7">
        <v>5.2750000000000004</v>
      </c>
      <c r="Q3026" s="7">
        <v>6.1529999999999996</v>
      </c>
      <c r="R3026" s="7">
        <v>6.4880000000000004</v>
      </c>
      <c r="S3026" s="7">
        <f t="shared" si="47"/>
        <v>4.7595833333333326</v>
      </c>
    </row>
    <row r="3027" spans="1:19">
      <c r="A3027" s="5" t="str">
        <f>B3027&amp;"-"&amp;COUNTIF($B$2:B3027,B3027)</f>
        <v>PARANÁ-241</v>
      </c>
      <c r="B3027" s="5" t="s">
        <v>1921</v>
      </c>
      <c r="C3027" s="5" t="s">
        <v>5666</v>
      </c>
      <c r="D3027" s="6">
        <v>-507593</v>
      </c>
      <c r="E3027" s="6">
        <v>-235935</v>
      </c>
      <c r="F3027" s="7">
        <v>4.87</v>
      </c>
      <c r="G3027" s="7">
        <v>5.8490000000000002</v>
      </c>
      <c r="H3027" s="7">
        <v>5.7409999999999997</v>
      </c>
      <c r="I3027" s="7">
        <v>5.1859999999999999</v>
      </c>
      <c r="J3027" s="7">
        <v>4.569</v>
      </c>
      <c r="K3027" s="7">
        <v>3.6389999999999998</v>
      </c>
      <c r="L3027" s="7">
        <v>3.3279999999999998</v>
      </c>
      <c r="M3027" s="7">
        <v>3.5270000000000001</v>
      </c>
      <c r="N3027" s="7">
        <v>4.4969999999999999</v>
      </c>
      <c r="O3027" s="7">
        <v>4.6580000000000004</v>
      </c>
      <c r="P3027" s="7">
        <v>5.2569999999999997</v>
      </c>
      <c r="Q3027" s="7">
        <v>5.9340000000000002</v>
      </c>
      <c r="R3027" s="7">
        <v>6.2539999999999996</v>
      </c>
      <c r="S3027" s="7">
        <f t="shared" si="47"/>
        <v>4.8699166666666658</v>
      </c>
    </row>
    <row r="3028" spans="1:19">
      <c r="A3028" s="5" t="str">
        <f>B3028&amp;"-"&amp;COUNTIF($B$2:B3028,B3028)</f>
        <v>PARANÁ-242</v>
      </c>
      <c r="B3028" s="5" t="s">
        <v>1921</v>
      </c>
      <c r="C3028" s="5" t="s">
        <v>2058</v>
      </c>
      <c r="D3028" s="6">
        <v>-539557</v>
      </c>
      <c r="E3028" s="6">
        <v>-244698</v>
      </c>
      <c r="F3028" s="7">
        <v>4.8150000000000004</v>
      </c>
      <c r="G3028" s="7">
        <v>6.202</v>
      </c>
      <c r="H3028" s="7">
        <v>5.6689999999999996</v>
      </c>
      <c r="I3028" s="7">
        <v>5.2859999999999996</v>
      </c>
      <c r="J3028" s="7">
        <v>4.3529999999999998</v>
      </c>
      <c r="K3028" s="7">
        <v>3.403</v>
      </c>
      <c r="L3028" s="7">
        <v>3</v>
      </c>
      <c r="M3028" s="7">
        <v>3.2080000000000002</v>
      </c>
      <c r="N3028" s="7">
        <v>4.2030000000000003</v>
      </c>
      <c r="O3028" s="7">
        <v>4.4749999999999996</v>
      </c>
      <c r="P3028" s="7">
        <v>5.29</v>
      </c>
      <c r="Q3028" s="7">
        <v>6.14</v>
      </c>
      <c r="R3028" s="7">
        <v>6.5519999999999996</v>
      </c>
      <c r="S3028" s="7">
        <f t="shared" si="47"/>
        <v>4.8150833333333329</v>
      </c>
    </row>
    <row r="3029" spans="1:19">
      <c r="A3029" s="5" t="str">
        <f>B3029&amp;"-"&amp;COUNTIF($B$2:B3029,B3029)</f>
        <v>PARANÁ-243</v>
      </c>
      <c r="B3029" s="5" t="s">
        <v>1921</v>
      </c>
      <c r="C3029" s="5" t="s">
        <v>2059</v>
      </c>
      <c r="D3029" s="6">
        <v>-519458</v>
      </c>
      <c r="E3029" s="6">
        <v>-244384</v>
      </c>
      <c r="F3029" s="7">
        <v>4.8689999999999998</v>
      </c>
      <c r="G3029" s="7">
        <v>6.1159999999999997</v>
      </c>
      <c r="H3029" s="7">
        <v>5.75</v>
      </c>
      <c r="I3029" s="7">
        <v>5.2930000000000001</v>
      </c>
      <c r="J3029" s="7">
        <v>4.5460000000000003</v>
      </c>
      <c r="K3029" s="7">
        <v>3.5179999999999998</v>
      </c>
      <c r="L3029" s="7">
        <v>3.1320000000000001</v>
      </c>
      <c r="M3029" s="7">
        <v>3.3439999999999999</v>
      </c>
      <c r="N3029" s="7">
        <v>4.327</v>
      </c>
      <c r="O3029" s="7">
        <v>4.5640000000000001</v>
      </c>
      <c r="P3029" s="7">
        <v>5.2839999999999998</v>
      </c>
      <c r="Q3029" s="7">
        <v>6.1669999999999998</v>
      </c>
      <c r="R3029" s="7">
        <v>6.3869999999999996</v>
      </c>
      <c r="S3029" s="7">
        <f t="shared" si="47"/>
        <v>4.8690000000000007</v>
      </c>
    </row>
    <row r="3030" spans="1:19">
      <c r="A3030" s="5" t="str">
        <f>B3030&amp;"-"&amp;COUNTIF($B$2:B3030,B3030)</f>
        <v>PARANÁ-244</v>
      </c>
      <c r="B3030" s="5" t="s">
        <v>1921</v>
      </c>
      <c r="C3030" s="5" t="s">
        <v>2060</v>
      </c>
      <c r="D3030" s="6">
        <v>-515083</v>
      </c>
      <c r="E3030" s="6">
        <v>-237635</v>
      </c>
      <c r="F3030" s="7">
        <v>4.8520000000000003</v>
      </c>
      <c r="G3030" s="7">
        <v>5.827</v>
      </c>
      <c r="H3030" s="7">
        <v>5.73</v>
      </c>
      <c r="I3030" s="7">
        <v>5.2640000000000002</v>
      </c>
      <c r="J3030" s="7">
        <v>4.5659999999999998</v>
      </c>
      <c r="K3030" s="7">
        <v>3.5649999999999999</v>
      </c>
      <c r="L3030" s="7">
        <v>3.2480000000000002</v>
      </c>
      <c r="M3030" s="7">
        <v>3.46</v>
      </c>
      <c r="N3030" s="7">
        <v>4.4669999999999996</v>
      </c>
      <c r="O3030" s="7">
        <v>4.6059999999999999</v>
      </c>
      <c r="P3030" s="7">
        <v>5.26</v>
      </c>
      <c r="Q3030" s="7">
        <v>5.9870000000000001</v>
      </c>
      <c r="R3030" s="7">
        <v>6.24</v>
      </c>
      <c r="S3030" s="7">
        <f t="shared" si="47"/>
        <v>4.8516666666666675</v>
      </c>
    </row>
    <row r="3031" spans="1:19">
      <c r="A3031" s="5" t="str">
        <f>B3031&amp;"-"&amp;COUNTIF($B$2:B3031,B3031)</f>
        <v>PARANÁ-245</v>
      </c>
      <c r="B3031" s="5" t="s">
        <v>1921</v>
      </c>
      <c r="C3031" s="5" t="s">
        <v>2061</v>
      </c>
      <c r="D3031" s="6">
        <v>-509274</v>
      </c>
      <c r="E3031" s="6">
        <v>-24212</v>
      </c>
      <c r="F3031" s="7">
        <v>4.6760000000000002</v>
      </c>
      <c r="G3031" s="7">
        <v>5.6449999999999996</v>
      </c>
      <c r="H3031" s="7">
        <v>5.4649999999999999</v>
      </c>
      <c r="I3031" s="7">
        <v>5.0190000000000001</v>
      </c>
      <c r="J3031" s="7">
        <v>4.4160000000000004</v>
      </c>
      <c r="K3031" s="7">
        <v>3.464</v>
      </c>
      <c r="L3031" s="7">
        <v>3.0649999999999999</v>
      </c>
      <c r="M3031" s="7">
        <v>3.33</v>
      </c>
      <c r="N3031" s="7">
        <v>4.3360000000000003</v>
      </c>
      <c r="O3031" s="7">
        <v>4.4690000000000003</v>
      </c>
      <c r="P3031" s="7">
        <v>5.0739999999999998</v>
      </c>
      <c r="Q3031" s="7">
        <v>5.8170000000000002</v>
      </c>
      <c r="R3031" s="7">
        <v>6.0129999999999999</v>
      </c>
      <c r="S3031" s="7">
        <f t="shared" si="47"/>
        <v>4.6760833333333327</v>
      </c>
    </row>
    <row r="3032" spans="1:19">
      <c r="A3032" s="5" t="str">
        <f>B3032&amp;"-"&amp;COUNTIF($B$2:B3032,B3032)</f>
        <v>PARANÁ-246</v>
      </c>
      <c r="B3032" s="5" t="s">
        <v>1921</v>
      </c>
      <c r="C3032" s="5" t="s">
        <v>2062</v>
      </c>
      <c r="D3032" s="6">
        <v>-521968</v>
      </c>
      <c r="E3032" s="6">
        <v>-234058</v>
      </c>
      <c r="F3032" s="7">
        <v>4.9130000000000003</v>
      </c>
      <c r="G3032" s="7">
        <v>5.8819999999999997</v>
      </c>
      <c r="H3032" s="7">
        <v>5.8769999999999998</v>
      </c>
      <c r="I3032" s="7">
        <v>5.3049999999999997</v>
      </c>
      <c r="J3032" s="7">
        <v>4.5780000000000003</v>
      </c>
      <c r="K3032" s="7">
        <v>3.625</v>
      </c>
      <c r="L3032" s="7">
        <v>3.294</v>
      </c>
      <c r="M3032" s="7">
        <v>3.4940000000000002</v>
      </c>
      <c r="N3032" s="7">
        <v>4.4569999999999999</v>
      </c>
      <c r="O3032" s="7">
        <v>4.6619999999999999</v>
      </c>
      <c r="P3032" s="7">
        <v>5.3739999999999997</v>
      </c>
      <c r="Q3032" s="7">
        <v>6.0590000000000002</v>
      </c>
      <c r="R3032" s="7">
        <v>6.3490000000000002</v>
      </c>
      <c r="S3032" s="7">
        <f t="shared" si="47"/>
        <v>4.9130000000000003</v>
      </c>
    </row>
    <row r="3033" spans="1:19">
      <c r="A3033" s="5" t="str">
        <f>B3033&amp;"-"&amp;COUNTIF($B$2:B3033,B3033)</f>
        <v>PARANÁ-247</v>
      </c>
      <c r="B3033" s="5" t="s">
        <v>1921</v>
      </c>
      <c r="C3033" s="5" t="s">
        <v>2063</v>
      </c>
      <c r="D3033" s="6">
        <v>-539048</v>
      </c>
      <c r="E3033" s="6">
        <v>-247937</v>
      </c>
      <c r="F3033" s="7">
        <v>4.7869999999999999</v>
      </c>
      <c r="G3033" s="7">
        <v>6.2750000000000004</v>
      </c>
      <c r="H3033" s="7">
        <v>5.7009999999999996</v>
      </c>
      <c r="I3033" s="7">
        <v>5.2869999999999999</v>
      </c>
      <c r="J3033" s="7">
        <v>4.2640000000000002</v>
      </c>
      <c r="K3033" s="7">
        <v>3.3359999999999999</v>
      </c>
      <c r="L3033" s="7">
        <v>2.9580000000000002</v>
      </c>
      <c r="M3033" s="7">
        <v>3.165</v>
      </c>
      <c r="N3033" s="7">
        <v>4.1760000000000002</v>
      </c>
      <c r="O3033" s="7">
        <v>4.3899999999999997</v>
      </c>
      <c r="P3033" s="7">
        <v>5.27</v>
      </c>
      <c r="Q3033" s="7">
        <v>6.12</v>
      </c>
      <c r="R3033" s="7">
        <v>6.5039999999999996</v>
      </c>
      <c r="S3033" s="7">
        <f t="shared" si="47"/>
        <v>4.7871666666666668</v>
      </c>
    </row>
    <row r="3034" spans="1:19">
      <c r="A3034" s="5" t="str">
        <f>B3034&amp;"-"&amp;COUNTIF($B$2:B3034,B3034)</f>
        <v>PARANÁ-248</v>
      </c>
      <c r="B3034" s="5" t="s">
        <v>1921</v>
      </c>
      <c r="C3034" s="5" t="s">
        <v>4419</v>
      </c>
      <c r="D3034" s="6">
        <v>-536838</v>
      </c>
      <c r="E3034" s="6">
        <v>-238044</v>
      </c>
      <c r="F3034" s="7">
        <v>4.8879999999999999</v>
      </c>
      <c r="G3034" s="7">
        <v>6.09</v>
      </c>
      <c r="H3034" s="7">
        <v>5.8789999999999996</v>
      </c>
      <c r="I3034" s="7">
        <v>5.3419999999999996</v>
      </c>
      <c r="J3034" s="7">
        <v>4.4770000000000003</v>
      </c>
      <c r="K3034" s="7">
        <v>3.4990000000000001</v>
      </c>
      <c r="L3034" s="7">
        <v>3.1379999999999999</v>
      </c>
      <c r="M3034" s="7">
        <v>3.339</v>
      </c>
      <c r="N3034" s="7">
        <v>4.3250000000000002</v>
      </c>
      <c r="O3034" s="7">
        <v>4.5759999999999996</v>
      </c>
      <c r="P3034" s="7">
        <v>5.3630000000000004</v>
      </c>
      <c r="Q3034" s="7">
        <v>6.1479999999999997</v>
      </c>
      <c r="R3034" s="7">
        <v>6.48</v>
      </c>
      <c r="S3034" s="7">
        <f t="shared" si="47"/>
        <v>4.8880000000000008</v>
      </c>
    </row>
    <row r="3035" spans="1:19">
      <c r="A3035" s="5" t="str">
        <f>B3035&amp;"-"&amp;COUNTIF($B$2:B3035,B3035)</f>
        <v>PARANÁ-249</v>
      </c>
      <c r="B3035" s="5" t="s">
        <v>1921</v>
      </c>
      <c r="C3035" s="5" t="s">
        <v>4420</v>
      </c>
      <c r="D3035" s="6">
        <v>-537452</v>
      </c>
      <c r="E3035" s="6">
        <v>-258214</v>
      </c>
      <c r="F3035" s="7">
        <v>4.782</v>
      </c>
      <c r="G3035" s="7">
        <v>6.39</v>
      </c>
      <c r="H3035" s="7">
        <v>5.91</v>
      </c>
      <c r="I3035" s="7">
        <v>5.2880000000000003</v>
      </c>
      <c r="J3035" s="7">
        <v>4.2649999999999997</v>
      </c>
      <c r="K3035" s="7">
        <v>3.2959999999999998</v>
      </c>
      <c r="L3035" s="7">
        <v>2.8340000000000001</v>
      </c>
      <c r="M3035" s="7">
        <v>3.1080000000000001</v>
      </c>
      <c r="N3035" s="7">
        <v>4.0629999999999997</v>
      </c>
      <c r="O3035" s="7">
        <v>4.258</v>
      </c>
      <c r="P3035" s="7">
        <v>5.2779999999999996</v>
      </c>
      <c r="Q3035" s="7">
        <v>6.1849999999999996</v>
      </c>
      <c r="R3035" s="7">
        <v>6.5049999999999999</v>
      </c>
      <c r="S3035" s="7">
        <f t="shared" si="47"/>
        <v>4.7816666666666672</v>
      </c>
    </row>
    <row r="3036" spans="1:19">
      <c r="A3036" s="5" t="str">
        <f>B3036&amp;"-"&amp;COUNTIF($B$2:B3036,B3036)</f>
        <v>PARANÁ-250</v>
      </c>
      <c r="B3036" s="5" t="s">
        <v>1921</v>
      </c>
      <c r="C3036" s="5" t="s">
        <v>4723</v>
      </c>
      <c r="D3036" s="6">
        <v>-520464</v>
      </c>
      <c r="E3036" s="6">
        <v>-23456</v>
      </c>
      <c r="F3036" s="7">
        <v>4.88</v>
      </c>
      <c r="G3036" s="7">
        <v>5.9160000000000004</v>
      </c>
      <c r="H3036" s="7">
        <v>5.7709999999999999</v>
      </c>
      <c r="I3036" s="7">
        <v>5.2309999999999999</v>
      </c>
      <c r="J3036" s="7">
        <v>4.5380000000000003</v>
      </c>
      <c r="K3036" s="7">
        <v>3.6219999999999999</v>
      </c>
      <c r="L3036" s="7">
        <v>3.2679999999999998</v>
      </c>
      <c r="M3036" s="7">
        <v>3.4980000000000002</v>
      </c>
      <c r="N3036" s="7">
        <v>4.3970000000000002</v>
      </c>
      <c r="O3036" s="7">
        <v>4.649</v>
      </c>
      <c r="P3036" s="7">
        <v>5.3140000000000001</v>
      </c>
      <c r="Q3036" s="7">
        <v>6.0149999999999997</v>
      </c>
      <c r="R3036" s="7">
        <v>6.343</v>
      </c>
      <c r="S3036" s="7">
        <f t="shared" si="47"/>
        <v>4.8801666666666668</v>
      </c>
    </row>
    <row r="3037" spans="1:19">
      <c r="A3037" s="5" t="str">
        <f>B3037&amp;"-"&amp;COUNTIF($B$2:B3037,B3037)</f>
        <v>PARANÁ-251</v>
      </c>
      <c r="B3037" s="5" t="s">
        <v>1921</v>
      </c>
      <c r="C3037" s="5" t="s">
        <v>2064</v>
      </c>
      <c r="D3037" s="6">
        <v>-519893</v>
      </c>
      <c r="E3037" s="6">
        <v>-264843</v>
      </c>
      <c r="F3037" s="7">
        <v>4.5709999999999997</v>
      </c>
      <c r="G3037" s="7">
        <v>5.9279999999999999</v>
      </c>
      <c r="H3037" s="7">
        <v>5.484</v>
      </c>
      <c r="I3037" s="7">
        <v>5.0039999999999996</v>
      </c>
      <c r="J3037" s="7">
        <v>4.1109999999999998</v>
      </c>
      <c r="K3037" s="7">
        <v>3.1680000000000001</v>
      </c>
      <c r="L3037" s="7">
        <v>2.7610000000000001</v>
      </c>
      <c r="M3037" s="7">
        <v>3.032</v>
      </c>
      <c r="N3037" s="7">
        <v>3.9750000000000001</v>
      </c>
      <c r="O3037" s="7">
        <v>4.1449999999999996</v>
      </c>
      <c r="P3037" s="7">
        <v>5.024</v>
      </c>
      <c r="Q3037" s="7">
        <v>6.0380000000000003</v>
      </c>
      <c r="R3037" s="7">
        <v>6.1829999999999998</v>
      </c>
      <c r="S3037" s="7">
        <f t="shared" si="47"/>
        <v>4.5710833333333323</v>
      </c>
    </row>
    <row r="3038" spans="1:19">
      <c r="A3038" s="5" t="str">
        <f>B3038&amp;"-"&amp;COUNTIF($B$2:B3038,B3038)</f>
        <v>PARANÁ-252</v>
      </c>
      <c r="B3038" s="5" t="s">
        <v>1921</v>
      </c>
      <c r="C3038" s="5" t="s">
        <v>2065</v>
      </c>
      <c r="D3038" s="6">
        <v>-500075</v>
      </c>
      <c r="E3038" s="6">
        <v>-254262</v>
      </c>
      <c r="F3038" s="7">
        <v>4.3719999999999999</v>
      </c>
      <c r="G3038" s="7">
        <v>5.5730000000000004</v>
      </c>
      <c r="H3038" s="7">
        <v>5.33</v>
      </c>
      <c r="I3038" s="7">
        <v>4.6879999999999997</v>
      </c>
      <c r="J3038" s="7">
        <v>3.9220000000000002</v>
      </c>
      <c r="K3038" s="7">
        <v>3.1190000000000002</v>
      </c>
      <c r="L3038" s="7">
        <v>2.7930000000000001</v>
      </c>
      <c r="M3038" s="7">
        <v>2.9980000000000002</v>
      </c>
      <c r="N3038" s="7">
        <v>4.0019999999999998</v>
      </c>
      <c r="O3038" s="7">
        <v>4.0750000000000002</v>
      </c>
      <c r="P3038" s="7">
        <v>4.67</v>
      </c>
      <c r="Q3038" s="7">
        <v>5.5229999999999997</v>
      </c>
      <c r="R3038" s="7">
        <v>5.774</v>
      </c>
      <c r="S3038" s="7">
        <f t="shared" si="47"/>
        <v>4.3722500000000011</v>
      </c>
    </row>
    <row r="3039" spans="1:19">
      <c r="A3039" s="5" t="str">
        <f>B3039&amp;"-"&amp;COUNTIF($B$2:B3039,B3039)</f>
        <v>PARANÁ-253</v>
      </c>
      <c r="B3039" s="5" t="s">
        <v>1921</v>
      </c>
      <c r="C3039" s="5" t="s">
        <v>2066</v>
      </c>
      <c r="D3039" s="6">
        <v>-522033</v>
      </c>
      <c r="E3039" s="6">
        <v>-248858</v>
      </c>
      <c r="F3039" s="7">
        <v>4.7750000000000004</v>
      </c>
      <c r="G3039" s="7">
        <v>6.093</v>
      </c>
      <c r="H3039" s="7">
        <v>5.6189999999999998</v>
      </c>
      <c r="I3039" s="7">
        <v>5.2149999999999999</v>
      </c>
      <c r="J3039" s="7">
        <v>4.4000000000000004</v>
      </c>
      <c r="K3039" s="7">
        <v>3.4020000000000001</v>
      </c>
      <c r="L3039" s="7">
        <v>3.028</v>
      </c>
      <c r="M3039" s="7">
        <v>3.2570000000000001</v>
      </c>
      <c r="N3039" s="7">
        <v>4.2320000000000002</v>
      </c>
      <c r="O3039" s="7">
        <v>4.4359999999999999</v>
      </c>
      <c r="P3039" s="7">
        <v>5.234</v>
      </c>
      <c r="Q3039" s="7">
        <v>6.0890000000000004</v>
      </c>
      <c r="R3039" s="7">
        <v>6.2889999999999997</v>
      </c>
      <c r="S3039" s="7">
        <f t="shared" si="47"/>
        <v>4.7745000000000006</v>
      </c>
    </row>
    <row r="3040" spans="1:19">
      <c r="A3040" s="5" t="str">
        <f>B3040&amp;"-"&amp;COUNTIF($B$2:B3040,B3040)</f>
        <v>PARANÁ-254</v>
      </c>
      <c r="B3040" s="5" t="s">
        <v>1921</v>
      </c>
      <c r="C3040" s="5" t="s">
        <v>2067</v>
      </c>
      <c r="D3040" s="6">
        <v>-538409</v>
      </c>
      <c r="E3040" s="6">
        <v>-242872</v>
      </c>
      <c r="F3040" s="7">
        <v>4.8479999999999999</v>
      </c>
      <c r="G3040" s="7">
        <v>6.18</v>
      </c>
      <c r="H3040" s="7">
        <v>5.734</v>
      </c>
      <c r="I3040" s="7">
        <v>5.3109999999999999</v>
      </c>
      <c r="J3040" s="7">
        <v>4.4000000000000004</v>
      </c>
      <c r="K3040" s="7">
        <v>3.4449999999999998</v>
      </c>
      <c r="L3040" s="7">
        <v>3.0790000000000002</v>
      </c>
      <c r="M3040" s="7">
        <v>3.2360000000000002</v>
      </c>
      <c r="N3040" s="7">
        <v>4.2350000000000003</v>
      </c>
      <c r="O3040" s="7">
        <v>4.5410000000000004</v>
      </c>
      <c r="P3040" s="7">
        <v>5.3120000000000003</v>
      </c>
      <c r="Q3040" s="7">
        <v>6.1479999999999997</v>
      </c>
      <c r="R3040" s="7">
        <v>6.5519999999999996</v>
      </c>
      <c r="S3040" s="7">
        <f t="shared" si="47"/>
        <v>4.8477499999999996</v>
      </c>
    </row>
    <row r="3041" spans="1:19">
      <c r="A3041" s="5" t="str">
        <f>B3041&amp;"-"&amp;COUNTIF($B$2:B3041,B3041)</f>
        <v>PARANÁ-255</v>
      </c>
      <c r="B3041" s="5" t="s">
        <v>1921</v>
      </c>
      <c r="C3041" s="5" t="s">
        <v>2068</v>
      </c>
      <c r="D3041" s="6">
        <v>-526059</v>
      </c>
      <c r="E3041" s="6">
        <v>-232829</v>
      </c>
      <c r="F3041" s="7">
        <v>4.944</v>
      </c>
      <c r="G3041" s="7">
        <v>6.016</v>
      </c>
      <c r="H3041" s="7">
        <v>5.8520000000000003</v>
      </c>
      <c r="I3041" s="7">
        <v>5.3710000000000004</v>
      </c>
      <c r="J3041" s="7">
        <v>4.6050000000000004</v>
      </c>
      <c r="K3041" s="7">
        <v>3.6139999999999999</v>
      </c>
      <c r="L3041" s="7">
        <v>3.266</v>
      </c>
      <c r="M3041" s="7">
        <v>3.4910000000000001</v>
      </c>
      <c r="N3041" s="7">
        <v>4.4450000000000003</v>
      </c>
      <c r="O3041" s="7">
        <v>4.6630000000000003</v>
      </c>
      <c r="P3041" s="7">
        <v>5.4349999999999996</v>
      </c>
      <c r="Q3041" s="7">
        <v>6.1360000000000001</v>
      </c>
      <c r="R3041" s="7">
        <v>6.4320000000000004</v>
      </c>
      <c r="S3041" s="7">
        <f t="shared" si="47"/>
        <v>4.9438333333333349</v>
      </c>
    </row>
    <row r="3042" spans="1:19">
      <c r="A3042" s="5" t="str">
        <f>B3042&amp;"-"&amp;COUNTIF($B$2:B3042,B3042)</f>
        <v>PARANÁ-256</v>
      </c>
      <c r="B3042" s="5" t="s">
        <v>1921</v>
      </c>
      <c r="C3042" s="5" t="s">
        <v>2069</v>
      </c>
      <c r="D3042" s="6">
        <v>-521554</v>
      </c>
      <c r="E3042" s="6">
        <v>-229302</v>
      </c>
      <c r="F3042" s="7">
        <v>4.9989999999999997</v>
      </c>
      <c r="G3042" s="7">
        <v>5.9370000000000003</v>
      </c>
      <c r="H3042" s="7">
        <v>5.8739999999999997</v>
      </c>
      <c r="I3042" s="7">
        <v>5.3959999999999999</v>
      </c>
      <c r="J3042" s="7">
        <v>4.6820000000000004</v>
      </c>
      <c r="K3042" s="7">
        <v>3.718</v>
      </c>
      <c r="L3042" s="7">
        <v>3.4239999999999999</v>
      </c>
      <c r="M3042" s="7">
        <v>3.6030000000000002</v>
      </c>
      <c r="N3042" s="7">
        <v>4.5529999999999999</v>
      </c>
      <c r="O3042" s="7">
        <v>4.758</v>
      </c>
      <c r="P3042" s="7">
        <v>5.4560000000000004</v>
      </c>
      <c r="Q3042" s="7">
        <v>6.1689999999999996</v>
      </c>
      <c r="R3042" s="7">
        <v>6.4160000000000004</v>
      </c>
      <c r="S3042" s="7">
        <f t="shared" si="47"/>
        <v>4.9988333333333337</v>
      </c>
    </row>
    <row r="3043" spans="1:19">
      <c r="A3043" s="5" t="str">
        <f>B3043&amp;"-"&amp;COUNTIF($B$2:B3043,B3043)</f>
        <v>PARANÁ-257</v>
      </c>
      <c r="B3043" s="5" t="s">
        <v>1921</v>
      </c>
      <c r="C3043" s="5" t="s">
        <v>5667</v>
      </c>
      <c r="D3043" s="6">
        <v>-485229</v>
      </c>
      <c r="E3043" s="6">
        <v>-255166</v>
      </c>
      <c r="F3043" s="7">
        <v>3.9039999999999999</v>
      </c>
      <c r="G3043" s="7">
        <v>5.2930000000000001</v>
      </c>
      <c r="H3043" s="7">
        <v>5.19</v>
      </c>
      <c r="I3043" s="7">
        <v>4.3719999999999999</v>
      </c>
      <c r="J3043" s="7">
        <v>3.6280000000000001</v>
      </c>
      <c r="K3043" s="7">
        <v>2.98</v>
      </c>
      <c r="L3043" s="7">
        <v>2.5350000000000001</v>
      </c>
      <c r="M3043" s="7">
        <v>2.54</v>
      </c>
      <c r="N3043" s="7">
        <v>3.2450000000000001</v>
      </c>
      <c r="O3043" s="7">
        <v>3.2240000000000002</v>
      </c>
      <c r="P3043" s="7">
        <v>3.75</v>
      </c>
      <c r="Q3043" s="7">
        <v>4.7910000000000004</v>
      </c>
      <c r="R3043" s="7">
        <v>5.3010000000000002</v>
      </c>
      <c r="S3043" s="7">
        <f t="shared" si="47"/>
        <v>3.9040833333333338</v>
      </c>
    </row>
    <row r="3044" spans="1:19">
      <c r="A3044" s="5" t="str">
        <f>B3044&amp;"-"&amp;COUNTIF($B$2:B3044,B3044)</f>
        <v>PARANÁ-258</v>
      </c>
      <c r="B3044" s="5" t="s">
        <v>1921</v>
      </c>
      <c r="C3044" s="5" t="s">
        <v>2070</v>
      </c>
      <c r="D3044" s="6">
        <v>-520839</v>
      </c>
      <c r="E3044" s="6">
        <v>-226563</v>
      </c>
      <c r="F3044" s="7">
        <v>5.0369999999999999</v>
      </c>
      <c r="G3044" s="7">
        <v>5.9770000000000003</v>
      </c>
      <c r="H3044" s="7">
        <v>5.9560000000000004</v>
      </c>
      <c r="I3044" s="7">
        <v>5.4610000000000003</v>
      </c>
      <c r="J3044" s="7">
        <v>4.7069999999999999</v>
      </c>
      <c r="K3044" s="7">
        <v>3.778</v>
      </c>
      <c r="L3044" s="7">
        <v>3.4460000000000002</v>
      </c>
      <c r="M3044" s="7">
        <v>3.6429999999999998</v>
      </c>
      <c r="N3044" s="7">
        <v>4.6100000000000003</v>
      </c>
      <c r="O3044" s="7">
        <v>4.7809999999999997</v>
      </c>
      <c r="P3044" s="7">
        <v>5.4710000000000001</v>
      </c>
      <c r="Q3044" s="7">
        <v>6.1689999999999996</v>
      </c>
      <c r="R3044" s="7">
        <v>6.4480000000000004</v>
      </c>
      <c r="S3044" s="7">
        <f t="shared" si="47"/>
        <v>5.0372499999999993</v>
      </c>
    </row>
    <row r="3045" spans="1:19">
      <c r="A3045" s="5" t="str">
        <f>B3045&amp;"-"&amp;COUNTIF($B$2:B3045,B3045)</f>
        <v>PARANÁ-259</v>
      </c>
      <c r="B3045" s="5" t="s">
        <v>1921</v>
      </c>
      <c r="C3045" s="5" t="s">
        <v>2071</v>
      </c>
      <c r="D3045" s="6">
        <v>-524622</v>
      </c>
      <c r="E3045" s="6">
        <v>-230821</v>
      </c>
      <c r="F3045" s="7">
        <v>4.9710000000000001</v>
      </c>
      <c r="G3045" s="7">
        <v>5.9960000000000004</v>
      </c>
      <c r="H3045" s="7">
        <v>5.8680000000000003</v>
      </c>
      <c r="I3045" s="7">
        <v>5.3869999999999996</v>
      </c>
      <c r="J3045" s="7">
        <v>4.6159999999999997</v>
      </c>
      <c r="K3045" s="7">
        <v>3.6509999999999998</v>
      </c>
      <c r="L3045" s="7">
        <v>3.3450000000000002</v>
      </c>
      <c r="M3045" s="7">
        <v>3.552</v>
      </c>
      <c r="N3045" s="7">
        <v>4.4829999999999997</v>
      </c>
      <c r="O3045" s="7">
        <v>4.7240000000000002</v>
      </c>
      <c r="P3045" s="7">
        <v>5.4420000000000002</v>
      </c>
      <c r="Q3045" s="7">
        <v>6.165</v>
      </c>
      <c r="R3045" s="7">
        <v>6.4210000000000003</v>
      </c>
      <c r="S3045" s="7">
        <f t="shared" si="47"/>
        <v>4.9708333333333332</v>
      </c>
    </row>
    <row r="3046" spans="1:19">
      <c r="A3046" s="5" t="str">
        <f>B3046&amp;"-"&amp;COUNTIF($B$2:B3046,B3046)</f>
        <v>PARANÁ-260</v>
      </c>
      <c r="B3046" s="5" t="s">
        <v>1921</v>
      </c>
      <c r="C3046" s="5" t="s">
        <v>2072</v>
      </c>
      <c r="D3046" s="6">
        <v>-542286</v>
      </c>
      <c r="E3046" s="6">
        <v>-246251</v>
      </c>
      <c r="F3046" s="7">
        <v>4.8120000000000003</v>
      </c>
      <c r="G3046" s="7">
        <v>6.2990000000000004</v>
      </c>
      <c r="H3046" s="7">
        <v>5.8639999999999999</v>
      </c>
      <c r="I3046" s="7">
        <v>5.343</v>
      </c>
      <c r="J3046" s="7">
        <v>4.3310000000000004</v>
      </c>
      <c r="K3046" s="7">
        <v>3.33</v>
      </c>
      <c r="L3046" s="7">
        <v>2.9329999999999998</v>
      </c>
      <c r="M3046" s="7">
        <v>3.1320000000000001</v>
      </c>
      <c r="N3046" s="7">
        <v>4.117</v>
      </c>
      <c r="O3046" s="7">
        <v>4.3899999999999997</v>
      </c>
      <c r="P3046" s="7">
        <v>5.3040000000000003</v>
      </c>
      <c r="Q3046" s="7">
        <v>6.1349999999999998</v>
      </c>
      <c r="R3046" s="7">
        <v>6.57</v>
      </c>
      <c r="S3046" s="7">
        <f t="shared" si="47"/>
        <v>4.812333333333334</v>
      </c>
    </row>
    <row r="3047" spans="1:19">
      <c r="A3047" s="5" t="str">
        <f>B3047&amp;"-"&amp;COUNTIF($B$2:B3047,B3047)</f>
        <v>PARANÁ-261</v>
      </c>
      <c r="B3047" s="5" t="s">
        <v>1921</v>
      </c>
      <c r="C3047" s="5" t="s">
        <v>2073</v>
      </c>
      <c r="D3047" s="6">
        <v>-526711</v>
      </c>
      <c r="E3047" s="6">
        <v>-262297</v>
      </c>
      <c r="F3047" s="7">
        <v>4.6900000000000004</v>
      </c>
      <c r="G3047" s="7">
        <v>6.2720000000000002</v>
      </c>
      <c r="H3047" s="7">
        <v>5.6470000000000002</v>
      </c>
      <c r="I3047" s="7">
        <v>5.173</v>
      </c>
      <c r="J3047" s="7">
        <v>4.1879999999999997</v>
      </c>
      <c r="K3047" s="7">
        <v>3.2509999999999999</v>
      </c>
      <c r="L3047" s="7">
        <v>2.8239999999999998</v>
      </c>
      <c r="M3047" s="7">
        <v>3.0819999999999999</v>
      </c>
      <c r="N3047" s="7">
        <v>4.085</v>
      </c>
      <c r="O3047" s="7">
        <v>4.2060000000000004</v>
      </c>
      <c r="P3047" s="7">
        <v>5.1580000000000004</v>
      </c>
      <c r="Q3047" s="7">
        <v>6.0629999999999997</v>
      </c>
      <c r="R3047" s="7">
        <v>6.335</v>
      </c>
      <c r="S3047" s="7">
        <f t="shared" si="47"/>
        <v>4.6903333333333341</v>
      </c>
    </row>
    <row r="3048" spans="1:19">
      <c r="A3048" s="5" t="str">
        <f>B3048&amp;"-"&amp;COUNTIF($B$2:B3048,B3048)</f>
        <v>PARANÁ-262</v>
      </c>
      <c r="B3048" s="5" t="s">
        <v>1921</v>
      </c>
      <c r="C3048" s="5" t="s">
        <v>2074</v>
      </c>
      <c r="D3048" s="6">
        <v>-509314</v>
      </c>
      <c r="E3048" s="6">
        <v>-26211</v>
      </c>
      <c r="F3048" s="7">
        <v>4.09</v>
      </c>
      <c r="G3048" s="7">
        <v>5.32</v>
      </c>
      <c r="H3048" s="7">
        <v>5.0579999999999998</v>
      </c>
      <c r="I3048" s="7">
        <v>4.5590000000000002</v>
      </c>
      <c r="J3048" s="7">
        <v>3.5289999999999999</v>
      </c>
      <c r="K3048" s="7">
        <v>2.85</v>
      </c>
      <c r="L3048" s="7">
        <v>2.4009999999999998</v>
      </c>
      <c r="M3048" s="7">
        <v>2.6190000000000002</v>
      </c>
      <c r="N3048" s="7">
        <v>3.6429999999999998</v>
      </c>
      <c r="O3048" s="7">
        <v>3.7749999999999999</v>
      </c>
      <c r="P3048" s="7">
        <v>4.4059999999999997</v>
      </c>
      <c r="Q3048" s="7">
        <v>5.3609999999999998</v>
      </c>
      <c r="R3048" s="7">
        <v>5.5640000000000001</v>
      </c>
      <c r="S3048" s="7">
        <f t="shared" si="47"/>
        <v>4.090416666666667</v>
      </c>
    </row>
    <row r="3049" spans="1:19">
      <c r="A3049" s="5" t="str">
        <f>B3049&amp;"-"&amp;COUNTIF($B$2:B3049,B3049)</f>
        <v>PARANÁ-263</v>
      </c>
      <c r="B3049" s="5" t="s">
        <v>1921</v>
      </c>
      <c r="C3049" s="5" t="s">
        <v>2075</v>
      </c>
      <c r="D3049" s="6">
        <v>-508309</v>
      </c>
      <c r="E3049" s="6">
        <v>-26047</v>
      </c>
      <c r="F3049" s="7">
        <v>4.0579999999999998</v>
      </c>
      <c r="G3049" s="7">
        <v>5.2039999999999997</v>
      </c>
      <c r="H3049" s="7">
        <v>4.9269999999999996</v>
      </c>
      <c r="I3049" s="7">
        <v>4.4669999999999996</v>
      </c>
      <c r="J3049" s="7">
        <v>3.5209999999999999</v>
      </c>
      <c r="K3049" s="7">
        <v>2.843</v>
      </c>
      <c r="L3049" s="7">
        <v>2.4630000000000001</v>
      </c>
      <c r="M3049" s="7">
        <v>2.681</v>
      </c>
      <c r="N3049" s="7">
        <v>3.6859999999999999</v>
      </c>
      <c r="O3049" s="7">
        <v>3.798</v>
      </c>
      <c r="P3049" s="7">
        <v>4.3079999999999998</v>
      </c>
      <c r="Q3049" s="7">
        <v>5.3140000000000001</v>
      </c>
      <c r="R3049" s="7">
        <v>5.48</v>
      </c>
      <c r="S3049" s="7">
        <f t="shared" si="47"/>
        <v>4.057666666666667</v>
      </c>
    </row>
    <row r="3050" spans="1:19">
      <c r="A3050" s="5" t="str">
        <f>B3050&amp;"-"&amp;COUNTIF($B$2:B3050,B3050)</f>
        <v>PARANÁ-264</v>
      </c>
      <c r="B3050" s="5" t="s">
        <v>1921</v>
      </c>
      <c r="C3050" s="5" t="s">
        <v>2076</v>
      </c>
      <c r="D3050" s="6">
        <v>-523435</v>
      </c>
      <c r="E3050" s="6">
        <v>-239145</v>
      </c>
      <c r="F3050" s="7">
        <v>4.8860000000000001</v>
      </c>
      <c r="G3050" s="7">
        <v>6.0830000000000002</v>
      </c>
      <c r="H3050" s="7">
        <v>5.7549999999999999</v>
      </c>
      <c r="I3050" s="7">
        <v>5.2610000000000001</v>
      </c>
      <c r="J3050" s="7">
        <v>4.5670000000000002</v>
      </c>
      <c r="K3050" s="7">
        <v>3.6040000000000001</v>
      </c>
      <c r="L3050" s="7">
        <v>3.1840000000000002</v>
      </c>
      <c r="M3050" s="7">
        <v>3.399</v>
      </c>
      <c r="N3050" s="7">
        <v>4.3319999999999999</v>
      </c>
      <c r="O3050" s="7">
        <v>4.59</v>
      </c>
      <c r="P3050" s="7">
        <v>5.2709999999999999</v>
      </c>
      <c r="Q3050" s="7">
        <v>6.109</v>
      </c>
      <c r="R3050" s="7">
        <v>6.4770000000000003</v>
      </c>
      <c r="S3050" s="7">
        <f t="shared" si="47"/>
        <v>4.8860000000000001</v>
      </c>
    </row>
    <row r="3051" spans="1:19">
      <c r="A3051" s="5" t="str">
        <f>B3051&amp;"-"&amp;COUNTIF($B$2:B3051,B3051)</f>
        <v>PARANÁ-265</v>
      </c>
      <c r="B3051" s="5" t="s">
        <v>1921</v>
      </c>
      <c r="C3051" s="5" t="s">
        <v>2077</v>
      </c>
      <c r="D3051" s="6">
        <v>-534103</v>
      </c>
      <c r="E3051" s="6">
        <v>-238953</v>
      </c>
      <c r="F3051" s="7">
        <v>4.8899999999999997</v>
      </c>
      <c r="G3051" s="7">
        <v>6.1349999999999998</v>
      </c>
      <c r="H3051" s="7">
        <v>5.851</v>
      </c>
      <c r="I3051" s="7">
        <v>5.3390000000000004</v>
      </c>
      <c r="J3051" s="7">
        <v>4.4690000000000003</v>
      </c>
      <c r="K3051" s="7">
        <v>3.5270000000000001</v>
      </c>
      <c r="L3051" s="7">
        <v>3.117</v>
      </c>
      <c r="M3051" s="7">
        <v>3.335</v>
      </c>
      <c r="N3051" s="7">
        <v>4.319</v>
      </c>
      <c r="O3051" s="7">
        <v>4.5579999999999998</v>
      </c>
      <c r="P3051" s="7">
        <v>5.3559999999999999</v>
      </c>
      <c r="Q3051" s="7">
        <v>6.1779999999999999</v>
      </c>
      <c r="R3051" s="7">
        <v>6.49</v>
      </c>
      <c r="S3051" s="7">
        <f t="shared" si="47"/>
        <v>4.8895000000000008</v>
      </c>
    </row>
    <row r="3052" spans="1:19">
      <c r="A3052" s="5" t="str">
        <f>B3052&amp;"-"&amp;COUNTIF($B$2:B3052,B3052)</f>
        <v>PARANÁ-266</v>
      </c>
      <c r="B3052" s="5" t="s">
        <v>1921</v>
      </c>
      <c r="C3052" s="5" t="s">
        <v>5303</v>
      </c>
      <c r="D3052" s="6">
        <v>-49434</v>
      </c>
      <c r="E3052" s="6">
        <v>-260969</v>
      </c>
      <c r="F3052" s="7">
        <v>4.1219999999999999</v>
      </c>
      <c r="G3052" s="7">
        <v>5.3609999999999998</v>
      </c>
      <c r="H3052" s="7">
        <v>5.0780000000000003</v>
      </c>
      <c r="I3052" s="7">
        <v>4.4980000000000002</v>
      </c>
      <c r="J3052" s="7">
        <v>3.6869999999999998</v>
      </c>
      <c r="K3052" s="7">
        <v>2.9529999999999998</v>
      </c>
      <c r="L3052" s="7">
        <v>2.6070000000000002</v>
      </c>
      <c r="M3052" s="7">
        <v>2.8130000000000002</v>
      </c>
      <c r="N3052" s="7">
        <v>3.7080000000000002</v>
      </c>
      <c r="O3052" s="7">
        <v>3.7440000000000002</v>
      </c>
      <c r="P3052" s="7">
        <v>4.298</v>
      </c>
      <c r="Q3052" s="7">
        <v>5.1929999999999996</v>
      </c>
      <c r="R3052" s="7">
        <v>5.5270000000000001</v>
      </c>
      <c r="S3052" s="7">
        <f t="shared" si="47"/>
        <v>4.1222500000000002</v>
      </c>
    </row>
    <row r="3053" spans="1:19">
      <c r="A3053" s="5" t="str">
        <f>B3053&amp;"-"&amp;COUNTIF($B$2:B3053,B3053)</f>
        <v>PARANÁ-267</v>
      </c>
      <c r="B3053" s="5" t="s">
        <v>1921</v>
      </c>
      <c r="C3053" s="5" t="s">
        <v>4080</v>
      </c>
      <c r="D3053" s="6">
        <v>-51654</v>
      </c>
      <c r="E3053" s="6">
        <v>-256949</v>
      </c>
      <c r="F3053" s="7">
        <v>4.593</v>
      </c>
      <c r="G3053" s="7">
        <v>5.9050000000000002</v>
      </c>
      <c r="H3053" s="7">
        <v>5.4180000000000001</v>
      </c>
      <c r="I3053" s="7">
        <v>5.0359999999999996</v>
      </c>
      <c r="J3053" s="7">
        <v>4.0869999999999997</v>
      </c>
      <c r="K3053" s="7">
        <v>3.2189999999999999</v>
      </c>
      <c r="L3053" s="7">
        <v>2.8690000000000002</v>
      </c>
      <c r="M3053" s="7">
        <v>3.1019999999999999</v>
      </c>
      <c r="N3053" s="7">
        <v>4.1109999999999998</v>
      </c>
      <c r="O3053" s="7">
        <v>4.2869999999999999</v>
      </c>
      <c r="P3053" s="7">
        <v>5.08</v>
      </c>
      <c r="Q3053" s="7">
        <v>5.8630000000000004</v>
      </c>
      <c r="R3053" s="7">
        <v>6.1369999999999996</v>
      </c>
      <c r="S3053" s="7">
        <f t="shared" si="47"/>
        <v>4.5928333333333331</v>
      </c>
    </row>
    <row r="3054" spans="1:19">
      <c r="A3054" s="5" t="str">
        <f>B3054&amp;"-"&amp;COUNTIF($B$2:B3054,B3054)</f>
        <v>PARANÁ-268</v>
      </c>
      <c r="B3054" s="5" t="s">
        <v>1921</v>
      </c>
      <c r="C3054" s="5" t="s">
        <v>2078</v>
      </c>
      <c r="D3054" s="6">
        <v>-491931</v>
      </c>
      <c r="E3054" s="6">
        <v>-254434</v>
      </c>
      <c r="F3054" s="7">
        <v>4.1760000000000002</v>
      </c>
      <c r="G3054" s="7">
        <v>5.3090000000000002</v>
      </c>
      <c r="H3054" s="7">
        <v>5.149</v>
      </c>
      <c r="I3054" s="7">
        <v>4.4989999999999997</v>
      </c>
      <c r="J3054" s="7">
        <v>3.7709999999999999</v>
      </c>
      <c r="K3054" s="7">
        <v>3.0390000000000001</v>
      </c>
      <c r="L3054" s="7">
        <v>2.7280000000000002</v>
      </c>
      <c r="M3054" s="7">
        <v>2.89</v>
      </c>
      <c r="N3054" s="7">
        <v>3.83</v>
      </c>
      <c r="O3054" s="7">
        <v>3.794</v>
      </c>
      <c r="P3054" s="7">
        <v>4.3410000000000002</v>
      </c>
      <c r="Q3054" s="7">
        <v>5.2080000000000002</v>
      </c>
      <c r="R3054" s="7">
        <v>5.5590000000000002</v>
      </c>
      <c r="S3054" s="7">
        <f t="shared" si="47"/>
        <v>4.1764166666666664</v>
      </c>
    </row>
    <row r="3055" spans="1:19">
      <c r="A3055" s="5" t="str">
        <f>B3055&amp;"-"&amp;COUNTIF($B$2:B3055,B3055)</f>
        <v>PARANÁ-269</v>
      </c>
      <c r="B3055" s="5" t="s">
        <v>1921</v>
      </c>
      <c r="C3055" s="5" t="s">
        <v>4081</v>
      </c>
      <c r="D3055" s="6">
        <v>-534824</v>
      </c>
      <c r="E3055" s="6">
        <v>-260329</v>
      </c>
      <c r="F3055" s="7">
        <v>4.7569999999999997</v>
      </c>
      <c r="G3055" s="7">
        <v>6.3819999999999997</v>
      </c>
      <c r="H3055" s="7">
        <v>5.8330000000000002</v>
      </c>
      <c r="I3055" s="7">
        <v>5.2430000000000003</v>
      </c>
      <c r="J3055" s="7">
        <v>4.22</v>
      </c>
      <c r="K3055" s="7">
        <v>3.2719999999999998</v>
      </c>
      <c r="L3055" s="7">
        <v>2.8439999999999999</v>
      </c>
      <c r="M3055" s="7">
        <v>3.1150000000000002</v>
      </c>
      <c r="N3055" s="7">
        <v>4.0629999999999997</v>
      </c>
      <c r="O3055" s="7">
        <v>4.2699999999999996</v>
      </c>
      <c r="P3055" s="7">
        <v>5.2439999999999998</v>
      </c>
      <c r="Q3055" s="7">
        <v>6.1369999999999996</v>
      </c>
      <c r="R3055" s="7">
        <v>6.4660000000000002</v>
      </c>
      <c r="S3055" s="7">
        <f t="shared" si="47"/>
        <v>4.7574166666666668</v>
      </c>
    </row>
    <row r="3056" spans="1:19">
      <c r="A3056" s="5" t="str">
        <f>B3056&amp;"-"&amp;COUNTIF($B$2:B3056,B3056)</f>
        <v>PARANÁ-270</v>
      </c>
      <c r="B3056" s="5" t="s">
        <v>1921</v>
      </c>
      <c r="C3056" s="5" t="s">
        <v>4082</v>
      </c>
      <c r="D3056" s="6">
        <v>-500559</v>
      </c>
      <c r="E3056" s="6">
        <v>-23793</v>
      </c>
      <c r="F3056" s="7">
        <v>4.8230000000000004</v>
      </c>
      <c r="G3056" s="7">
        <v>5.72</v>
      </c>
      <c r="H3056" s="7">
        <v>5.742</v>
      </c>
      <c r="I3056" s="7">
        <v>5.1260000000000003</v>
      </c>
      <c r="J3056" s="7">
        <v>4.5039999999999996</v>
      </c>
      <c r="K3056" s="7">
        <v>3.5819999999999999</v>
      </c>
      <c r="L3056" s="7">
        <v>3.1930000000000001</v>
      </c>
      <c r="M3056" s="7">
        <v>3.4540000000000002</v>
      </c>
      <c r="N3056" s="7">
        <v>4.4279999999999999</v>
      </c>
      <c r="O3056" s="7">
        <v>4.625</v>
      </c>
      <c r="P3056" s="7">
        <v>5.2450000000000001</v>
      </c>
      <c r="Q3056" s="7">
        <v>5.9610000000000003</v>
      </c>
      <c r="R3056" s="7">
        <v>6.2939999999999996</v>
      </c>
      <c r="S3056" s="7">
        <f t="shared" si="47"/>
        <v>4.8228333333333326</v>
      </c>
    </row>
    <row r="3057" spans="1:19">
      <c r="A3057" s="5" t="str">
        <f>B3057&amp;"-"&amp;COUNTIF($B$2:B3057,B3057)</f>
        <v>PARANÁ-271</v>
      </c>
      <c r="B3057" s="5" t="s">
        <v>1921</v>
      </c>
      <c r="C3057" s="5" t="s">
        <v>2079</v>
      </c>
      <c r="D3057" s="6">
        <v>-499437</v>
      </c>
      <c r="E3057" s="6">
        <v>-245311</v>
      </c>
      <c r="F3057" s="7">
        <v>4.5279999999999996</v>
      </c>
      <c r="G3057" s="7">
        <v>5.4160000000000004</v>
      </c>
      <c r="H3057" s="7">
        <v>5.3819999999999997</v>
      </c>
      <c r="I3057" s="7">
        <v>4.7530000000000001</v>
      </c>
      <c r="J3057" s="7">
        <v>4.1820000000000004</v>
      </c>
      <c r="K3057" s="7">
        <v>3.3540000000000001</v>
      </c>
      <c r="L3057" s="7">
        <v>2.996</v>
      </c>
      <c r="M3057" s="7">
        <v>3.2320000000000002</v>
      </c>
      <c r="N3057" s="7">
        <v>4.2430000000000003</v>
      </c>
      <c r="O3057" s="7">
        <v>4.3680000000000003</v>
      </c>
      <c r="P3057" s="7">
        <v>4.9080000000000004</v>
      </c>
      <c r="Q3057" s="7">
        <v>5.6340000000000003</v>
      </c>
      <c r="R3057" s="7">
        <v>5.87</v>
      </c>
      <c r="S3057" s="7">
        <f t="shared" si="47"/>
        <v>4.5281666666666665</v>
      </c>
    </row>
    <row r="3058" spans="1:19">
      <c r="A3058" s="5" t="str">
        <f>B3058&amp;"-"&amp;COUNTIF($B$2:B3058,B3058)</f>
        <v>PARANÁ-272</v>
      </c>
      <c r="B3058" s="5" t="s">
        <v>1921</v>
      </c>
      <c r="C3058" s="5" t="s">
        <v>2080</v>
      </c>
      <c r="D3058" s="6">
        <v>-490628</v>
      </c>
      <c r="E3058" s="6">
        <v>-254426</v>
      </c>
      <c r="F3058" s="7">
        <v>4.165</v>
      </c>
      <c r="G3058" s="7">
        <v>5.319</v>
      </c>
      <c r="H3058" s="7">
        <v>5.141</v>
      </c>
      <c r="I3058" s="7">
        <v>4.4870000000000001</v>
      </c>
      <c r="J3058" s="7">
        <v>3.734</v>
      </c>
      <c r="K3058" s="7">
        <v>3.0379999999999998</v>
      </c>
      <c r="L3058" s="7">
        <v>2.7109999999999999</v>
      </c>
      <c r="M3058" s="7">
        <v>2.8769999999999998</v>
      </c>
      <c r="N3058" s="7">
        <v>3.798</v>
      </c>
      <c r="O3058" s="7">
        <v>3.7850000000000001</v>
      </c>
      <c r="P3058" s="7">
        <v>4.3579999999999997</v>
      </c>
      <c r="Q3058" s="7">
        <v>5.1879999999999997</v>
      </c>
      <c r="R3058" s="7">
        <v>5.5469999999999997</v>
      </c>
      <c r="S3058" s="7">
        <f t="shared" si="47"/>
        <v>4.1652499999999995</v>
      </c>
    </row>
    <row r="3059" spans="1:19">
      <c r="A3059" s="5" t="str">
        <f>B3059&amp;"-"&amp;COUNTIF($B$2:B3059,B3059)</f>
        <v>PARANÁ-273</v>
      </c>
      <c r="B3059" s="5" t="s">
        <v>1921</v>
      </c>
      <c r="C3059" s="5" t="s">
        <v>2081</v>
      </c>
      <c r="D3059" s="6">
        <v>-517601</v>
      </c>
      <c r="E3059" s="6">
        <v>-247592</v>
      </c>
      <c r="F3059" s="7">
        <v>4.67</v>
      </c>
      <c r="G3059" s="7">
        <v>5.7549999999999999</v>
      </c>
      <c r="H3059" s="7">
        <v>5.52</v>
      </c>
      <c r="I3059" s="7">
        <v>5.0369999999999999</v>
      </c>
      <c r="J3059" s="7">
        <v>4.2939999999999996</v>
      </c>
      <c r="K3059" s="7">
        <v>3.3780000000000001</v>
      </c>
      <c r="L3059" s="7">
        <v>2.964</v>
      </c>
      <c r="M3059" s="7">
        <v>3.2909999999999999</v>
      </c>
      <c r="N3059" s="7">
        <v>4.2430000000000003</v>
      </c>
      <c r="O3059" s="7">
        <v>4.4409999999999998</v>
      </c>
      <c r="P3059" s="7">
        <v>5.1079999999999997</v>
      </c>
      <c r="Q3059" s="7">
        <v>5.9279999999999999</v>
      </c>
      <c r="R3059" s="7">
        <v>6.077</v>
      </c>
      <c r="S3059" s="7">
        <f t="shared" si="47"/>
        <v>4.6696666666666662</v>
      </c>
    </row>
    <row r="3060" spans="1:19">
      <c r="A3060" s="5" t="str">
        <f>B3060&amp;"-"&amp;COUNTIF($B$2:B3060,B3060)</f>
        <v>PARANÁ-274</v>
      </c>
      <c r="B3060" s="5" t="s">
        <v>1921</v>
      </c>
      <c r="C3060" s="5" t="s">
        <v>2082</v>
      </c>
      <c r="D3060" s="6">
        <v>-515877</v>
      </c>
      <c r="E3060" s="6">
        <v>-232286</v>
      </c>
      <c r="F3060" s="7">
        <v>4.9560000000000004</v>
      </c>
      <c r="G3060" s="7">
        <v>5.9210000000000003</v>
      </c>
      <c r="H3060" s="7">
        <v>5.8419999999999996</v>
      </c>
      <c r="I3060" s="7">
        <v>5.3280000000000003</v>
      </c>
      <c r="J3060" s="7">
        <v>4.6749999999999998</v>
      </c>
      <c r="K3060" s="7">
        <v>3.677</v>
      </c>
      <c r="L3060" s="7">
        <v>3.3980000000000001</v>
      </c>
      <c r="M3060" s="7">
        <v>3.5830000000000002</v>
      </c>
      <c r="N3060" s="7">
        <v>4.5110000000000001</v>
      </c>
      <c r="O3060" s="7">
        <v>4.7030000000000003</v>
      </c>
      <c r="P3060" s="7">
        <v>5.4</v>
      </c>
      <c r="Q3060" s="7">
        <v>6.0670000000000002</v>
      </c>
      <c r="R3060" s="7">
        <v>6.3650000000000002</v>
      </c>
      <c r="S3060" s="7">
        <f t="shared" si="47"/>
        <v>4.9558333333333335</v>
      </c>
    </row>
    <row r="3061" spans="1:19">
      <c r="A3061" s="5" t="str">
        <f>B3061&amp;"-"&amp;COUNTIF($B$2:B3061,B3061)</f>
        <v>PARANÁ-275</v>
      </c>
      <c r="B3061" s="5" t="s">
        <v>1921</v>
      </c>
      <c r="C3061" s="5" t="s">
        <v>5668</v>
      </c>
      <c r="D3061" s="6">
        <v>-529167</v>
      </c>
      <c r="E3061" s="6">
        <v>-230106</v>
      </c>
      <c r="F3061" s="7">
        <v>4.968</v>
      </c>
      <c r="G3061" s="7">
        <v>5.9450000000000003</v>
      </c>
      <c r="H3061" s="7">
        <v>5.9119999999999999</v>
      </c>
      <c r="I3061" s="7">
        <v>5.407</v>
      </c>
      <c r="J3061" s="7">
        <v>4.6230000000000002</v>
      </c>
      <c r="K3061" s="7">
        <v>3.6589999999999998</v>
      </c>
      <c r="L3061" s="7">
        <v>3.3260000000000001</v>
      </c>
      <c r="M3061" s="7">
        <v>3.5209999999999999</v>
      </c>
      <c r="N3061" s="7">
        <v>4.4800000000000004</v>
      </c>
      <c r="O3061" s="7">
        <v>4.718</v>
      </c>
      <c r="P3061" s="7">
        <v>5.415</v>
      </c>
      <c r="Q3061" s="7">
        <v>6.165</v>
      </c>
      <c r="R3061" s="7">
        <v>6.4470000000000001</v>
      </c>
      <c r="S3061" s="7">
        <f t="shared" si="47"/>
        <v>4.9681666666666677</v>
      </c>
    </row>
    <row r="3062" spans="1:19">
      <c r="A3062" s="5" t="str">
        <f>B3062&amp;"-"&amp;COUNTIF($B$2:B3062,B3062)</f>
        <v>PARANÁ-276</v>
      </c>
      <c r="B3062" s="5" t="s">
        <v>1921</v>
      </c>
      <c r="C3062" s="5" t="s">
        <v>498</v>
      </c>
      <c r="D3062" s="6">
        <v>-537647</v>
      </c>
      <c r="E3062" s="6">
        <v>-257216</v>
      </c>
      <c r="F3062" s="7">
        <v>4.7679999999999998</v>
      </c>
      <c r="G3062" s="7">
        <v>6.359</v>
      </c>
      <c r="H3062" s="7">
        <v>5.875</v>
      </c>
      <c r="I3062" s="7">
        <v>5.3049999999999997</v>
      </c>
      <c r="J3062" s="7">
        <v>4.25</v>
      </c>
      <c r="K3062" s="7">
        <v>3.2789999999999999</v>
      </c>
      <c r="L3062" s="7">
        <v>2.823</v>
      </c>
      <c r="M3062" s="7">
        <v>3.0819999999999999</v>
      </c>
      <c r="N3062" s="7">
        <v>4.0590000000000002</v>
      </c>
      <c r="O3062" s="7">
        <v>4.2530000000000001</v>
      </c>
      <c r="P3062" s="7">
        <v>5.2779999999999996</v>
      </c>
      <c r="Q3062" s="7">
        <v>6.149</v>
      </c>
      <c r="R3062" s="7">
        <v>6.4989999999999997</v>
      </c>
      <c r="S3062" s="7">
        <f t="shared" si="47"/>
        <v>4.7675833333333335</v>
      </c>
    </row>
    <row r="3063" spans="1:19">
      <c r="A3063" s="5" t="str">
        <f>B3063&amp;"-"&amp;COUNTIF($B$2:B3063,B3063)</f>
        <v>PARANÁ-277</v>
      </c>
      <c r="B3063" s="5" t="s">
        <v>1921</v>
      </c>
      <c r="C3063" s="5" t="s">
        <v>2083</v>
      </c>
      <c r="D3063" s="6">
        <v>-501672</v>
      </c>
      <c r="E3063" s="6">
        <v>-250921</v>
      </c>
      <c r="F3063" s="7">
        <v>4.49</v>
      </c>
      <c r="G3063" s="7">
        <v>5.6029999999999998</v>
      </c>
      <c r="H3063" s="7">
        <v>5.3789999999999996</v>
      </c>
      <c r="I3063" s="7">
        <v>4.7679999999999998</v>
      </c>
      <c r="J3063" s="7">
        <v>4.0999999999999996</v>
      </c>
      <c r="K3063" s="7">
        <v>3.2690000000000001</v>
      </c>
      <c r="L3063" s="7">
        <v>2.9039999999999999</v>
      </c>
      <c r="M3063" s="7">
        <v>3.101</v>
      </c>
      <c r="N3063" s="7">
        <v>4.0949999999999998</v>
      </c>
      <c r="O3063" s="7">
        <v>4.2539999999999996</v>
      </c>
      <c r="P3063" s="7">
        <v>4.8600000000000003</v>
      </c>
      <c r="Q3063" s="7">
        <v>5.6520000000000001</v>
      </c>
      <c r="R3063" s="7">
        <v>5.8929999999999998</v>
      </c>
      <c r="S3063" s="7">
        <f t="shared" si="47"/>
        <v>4.4898333333333333</v>
      </c>
    </row>
    <row r="3064" spans="1:19">
      <c r="A3064" s="5" t="str">
        <f>B3064&amp;"-"&amp;COUNTIF($B$2:B3064,B3064)</f>
        <v>PARANÁ-278</v>
      </c>
      <c r="B3064" s="5" t="s">
        <v>1921</v>
      </c>
      <c r="C3064" s="5" t="s">
        <v>5669</v>
      </c>
      <c r="D3064" s="6">
        <v>-485115</v>
      </c>
      <c r="E3064" s="6">
        <v>-25674</v>
      </c>
      <c r="F3064" s="7">
        <v>3.802</v>
      </c>
      <c r="G3064" s="7">
        <v>5.12</v>
      </c>
      <c r="H3064" s="7">
        <v>5.032</v>
      </c>
      <c r="I3064" s="7">
        <v>4.266</v>
      </c>
      <c r="J3064" s="7">
        <v>3.5270000000000001</v>
      </c>
      <c r="K3064" s="7">
        <v>2.931</v>
      </c>
      <c r="L3064" s="7">
        <v>2.4689999999999999</v>
      </c>
      <c r="M3064" s="7">
        <v>2.512</v>
      </c>
      <c r="N3064" s="7">
        <v>3.2</v>
      </c>
      <c r="O3064" s="7">
        <v>3.157</v>
      </c>
      <c r="P3064" s="7">
        <v>3.6659999999999999</v>
      </c>
      <c r="Q3064" s="7">
        <v>4.6310000000000002</v>
      </c>
      <c r="R3064" s="7">
        <v>5.117</v>
      </c>
      <c r="S3064" s="7">
        <f t="shared" si="47"/>
        <v>3.8023333333333329</v>
      </c>
    </row>
    <row r="3065" spans="1:19">
      <c r="A3065" s="5" t="str">
        <f>B3065&amp;"-"&amp;COUNTIF($B$2:B3065,B3065)</f>
        <v>PARANÁ-279</v>
      </c>
      <c r="B3065" s="5" t="s">
        <v>1921</v>
      </c>
      <c r="C3065" s="5" t="s">
        <v>2084</v>
      </c>
      <c r="D3065" s="6">
        <v>-513799</v>
      </c>
      <c r="E3065" s="6">
        <v>-227542</v>
      </c>
      <c r="F3065" s="7">
        <v>5.0330000000000004</v>
      </c>
      <c r="G3065" s="7">
        <v>5.9649999999999999</v>
      </c>
      <c r="H3065" s="7">
        <v>5.9509999999999996</v>
      </c>
      <c r="I3065" s="7">
        <v>5.4660000000000002</v>
      </c>
      <c r="J3065" s="7">
        <v>4.774</v>
      </c>
      <c r="K3065" s="7">
        <v>3.7519999999999998</v>
      </c>
      <c r="L3065" s="7">
        <v>3.423</v>
      </c>
      <c r="M3065" s="7">
        <v>3.65</v>
      </c>
      <c r="N3065" s="7">
        <v>4.5880000000000001</v>
      </c>
      <c r="O3065" s="7">
        <v>4.7160000000000002</v>
      </c>
      <c r="P3065" s="7">
        <v>5.4749999999999996</v>
      </c>
      <c r="Q3065" s="7">
        <v>6.157</v>
      </c>
      <c r="R3065" s="7">
        <v>6.4729999999999999</v>
      </c>
      <c r="S3065" s="7">
        <f t="shared" si="47"/>
        <v>5.0324999999999998</v>
      </c>
    </row>
    <row r="3066" spans="1:19">
      <c r="A3066" s="5" t="str">
        <f>B3066&amp;"-"&amp;COUNTIF($B$2:B3066,B3066)</f>
        <v>PARANÁ-280</v>
      </c>
      <c r="B3066" s="5" t="s">
        <v>1921</v>
      </c>
      <c r="C3066" s="5" t="s">
        <v>2085</v>
      </c>
      <c r="D3066" s="6">
        <v>-49895</v>
      </c>
      <c r="E3066" s="6">
        <v>-255405</v>
      </c>
      <c r="F3066" s="7">
        <v>4.3099999999999996</v>
      </c>
      <c r="G3066" s="7">
        <v>5.46</v>
      </c>
      <c r="H3066" s="7">
        <v>5.2539999999999996</v>
      </c>
      <c r="I3066" s="7">
        <v>4.6719999999999997</v>
      </c>
      <c r="J3066" s="7">
        <v>3.8639999999999999</v>
      </c>
      <c r="K3066" s="7">
        <v>3.052</v>
      </c>
      <c r="L3066" s="7">
        <v>2.7879999999999998</v>
      </c>
      <c r="M3066" s="7">
        <v>2.9620000000000002</v>
      </c>
      <c r="N3066" s="7">
        <v>3.968</v>
      </c>
      <c r="O3066" s="7">
        <v>4.0110000000000001</v>
      </c>
      <c r="P3066" s="7">
        <v>4.593</v>
      </c>
      <c r="Q3066" s="7">
        <v>5.3879999999999999</v>
      </c>
      <c r="R3066" s="7">
        <v>5.7030000000000003</v>
      </c>
      <c r="S3066" s="7">
        <f t="shared" si="47"/>
        <v>4.3095833333333333</v>
      </c>
    </row>
    <row r="3067" spans="1:19">
      <c r="A3067" s="5" t="str">
        <f>B3067&amp;"-"&amp;COUNTIF($B$2:B3067,B3067)</f>
        <v>PARANÁ-281</v>
      </c>
      <c r="B3067" s="5" t="s">
        <v>1921</v>
      </c>
      <c r="C3067" s="5" t="s">
        <v>2086</v>
      </c>
      <c r="D3067" s="6">
        <v>-524072</v>
      </c>
      <c r="E3067" s="6">
        <v>-255482</v>
      </c>
      <c r="F3067" s="7">
        <v>4.7009999999999996</v>
      </c>
      <c r="G3067" s="7">
        <v>6.1040000000000001</v>
      </c>
      <c r="H3067" s="7">
        <v>5.6070000000000002</v>
      </c>
      <c r="I3067" s="7">
        <v>5.165</v>
      </c>
      <c r="J3067" s="7">
        <v>4.2549999999999999</v>
      </c>
      <c r="K3067" s="7">
        <v>3.298</v>
      </c>
      <c r="L3067" s="7">
        <v>2.9119999999999999</v>
      </c>
      <c r="M3067" s="7">
        <v>3.1579999999999999</v>
      </c>
      <c r="N3067" s="7">
        <v>4.13</v>
      </c>
      <c r="O3067" s="7">
        <v>4.3239999999999998</v>
      </c>
      <c r="P3067" s="7">
        <v>5.17</v>
      </c>
      <c r="Q3067" s="7">
        <v>6.0629999999999997</v>
      </c>
      <c r="R3067" s="7">
        <v>6.2249999999999996</v>
      </c>
      <c r="S3067" s="7">
        <f t="shared" si="47"/>
        <v>4.7009166666666671</v>
      </c>
    </row>
    <row r="3068" spans="1:19">
      <c r="A3068" s="5" t="str">
        <f>B3068&amp;"-"&amp;COUNTIF($B$2:B3068,B3068)</f>
        <v>PARANÁ-282</v>
      </c>
      <c r="B3068" s="5" t="s">
        <v>1921</v>
      </c>
      <c r="C3068" s="5" t="s">
        <v>2087</v>
      </c>
      <c r="D3068" s="6">
        <v>-532682</v>
      </c>
      <c r="E3068" s="6">
        <v>-227752</v>
      </c>
      <c r="F3068" s="7">
        <v>4.9950000000000001</v>
      </c>
      <c r="G3068" s="7">
        <v>6.0289999999999999</v>
      </c>
      <c r="H3068" s="7">
        <v>5.9880000000000004</v>
      </c>
      <c r="I3068" s="7">
        <v>5.4690000000000003</v>
      </c>
      <c r="J3068" s="7">
        <v>4.6639999999999997</v>
      </c>
      <c r="K3068" s="7">
        <v>3.69</v>
      </c>
      <c r="L3068" s="7">
        <v>3.3530000000000002</v>
      </c>
      <c r="M3068" s="7">
        <v>3.52</v>
      </c>
      <c r="N3068" s="7">
        <v>4.4249999999999998</v>
      </c>
      <c r="O3068" s="7">
        <v>4.694</v>
      </c>
      <c r="P3068" s="7">
        <v>5.4359999999999999</v>
      </c>
      <c r="Q3068" s="7">
        <v>6.1479999999999997</v>
      </c>
      <c r="R3068" s="7">
        <v>6.5279999999999996</v>
      </c>
      <c r="S3068" s="7">
        <f t="shared" si="47"/>
        <v>4.995333333333333</v>
      </c>
    </row>
    <row r="3069" spans="1:19">
      <c r="A3069" s="5" t="str">
        <f>B3069&amp;"-"&amp;COUNTIF($B$2:B3069,B3069)</f>
        <v>PARANÁ-283</v>
      </c>
      <c r="B3069" s="5" t="s">
        <v>1921</v>
      </c>
      <c r="C3069" s="5" t="s">
        <v>5177</v>
      </c>
      <c r="D3069" s="6">
        <v>-512314</v>
      </c>
      <c r="E3069" s="6">
        <v>-261679</v>
      </c>
      <c r="F3069" s="7">
        <v>4.2309999999999999</v>
      </c>
      <c r="G3069" s="7">
        <v>5.5490000000000004</v>
      </c>
      <c r="H3069" s="7">
        <v>5.2220000000000004</v>
      </c>
      <c r="I3069" s="7">
        <v>4.6580000000000004</v>
      </c>
      <c r="J3069" s="7">
        <v>3.6749999999999998</v>
      </c>
      <c r="K3069" s="7">
        <v>2.9039999999999999</v>
      </c>
      <c r="L3069" s="7">
        <v>2.4590000000000001</v>
      </c>
      <c r="M3069" s="7">
        <v>2.6850000000000001</v>
      </c>
      <c r="N3069" s="7">
        <v>3.7509999999999999</v>
      </c>
      <c r="O3069" s="7">
        <v>3.8879999999999999</v>
      </c>
      <c r="P3069" s="7">
        <v>4.5739999999999998</v>
      </c>
      <c r="Q3069" s="7">
        <v>5.5890000000000004</v>
      </c>
      <c r="R3069" s="7">
        <v>5.8140000000000001</v>
      </c>
      <c r="S3069" s="7">
        <f t="shared" si="47"/>
        <v>4.230666666666667</v>
      </c>
    </row>
    <row r="3070" spans="1:19">
      <c r="A3070" s="5" t="str">
        <f>B3070&amp;"-"&amp;COUNTIF($B$2:B3070,B3070)</f>
        <v>PARANÁ-284</v>
      </c>
      <c r="B3070" s="5" t="s">
        <v>1921</v>
      </c>
      <c r="C3070" s="5" t="s">
        <v>2088</v>
      </c>
      <c r="D3070" s="6">
        <v>-514433</v>
      </c>
      <c r="E3070" s="6">
        <v>-230362</v>
      </c>
      <c r="F3070" s="7">
        <v>5.0090000000000003</v>
      </c>
      <c r="G3070" s="7">
        <v>5.9059999999999997</v>
      </c>
      <c r="H3070" s="7">
        <v>5.9050000000000002</v>
      </c>
      <c r="I3070" s="7">
        <v>5.4029999999999996</v>
      </c>
      <c r="J3070" s="7">
        <v>4.7270000000000003</v>
      </c>
      <c r="K3070" s="7">
        <v>3.7120000000000002</v>
      </c>
      <c r="L3070" s="7">
        <v>3.4249999999999998</v>
      </c>
      <c r="M3070" s="7">
        <v>3.6549999999999998</v>
      </c>
      <c r="N3070" s="7">
        <v>4.585</v>
      </c>
      <c r="O3070" s="7">
        <v>4.7670000000000003</v>
      </c>
      <c r="P3070" s="7">
        <v>5.4539999999999997</v>
      </c>
      <c r="Q3070" s="7">
        <v>6.1719999999999997</v>
      </c>
      <c r="R3070" s="7">
        <v>6.3920000000000003</v>
      </c>
      <c r="S3070" s="7">
        <f t="shared" si="47"/>
        <v>5.0085833333333332</v>
      </c>
    </row>
    <row r="3071" spans="1:19">
      <c r="A3071" s="5" t="str">
        <f>B3071&amp;"-"&amp;COUNTIF($B$2:B3071,B3071)</f>
        <v>PARANÁ-285</v>
      </c>
      <c r="B3071" s="5" t="s">
        <v>1921</v>
      </c>
      <c r="C3071" s="5" t="s">
        <v>2089</v>
      </c>
      <c r="D3071" s="6">
        <v>-537416</v>
      </c>
      <c r="E3071" s="6">
        <v>-260224</v>
      </c>
      <c r="F3071" s="7">
        <v>4.7510000000000003</v>
      </c>
      <c r="G3071" s="7">
        <v>6.4219999999999997</v>
      </c>
      <c r="H3071" s="7">
        <v>5.8719999999999999</v>
      </c>
      <c r="I3071" s="7">
        <v>5.218</v>
      </c>
      <c r="J3071" s="7">
        <v>4.1970000000000001</v>
      </c>
      <c r="K3071" s="7">
        <v>3.2650000000000001</v>
      </c>
      <c r="L3071" s="7">
        <v>2.8050000000000002</v>
      </c>
      <c r="M3071" s="7">
        <v>3.097</v>
      </c>
      <c r="N3071" s="7">
        <v>4.0289999999999999</v>
      </c>
      <c r="O3071" s="7">
        <v>4.2370000000000001</v>
      </c>
      <c r="P3071" s="7">
        <v>5.2359999999999998</v>
      </c>
      <c r="Q3071" s="7">
        <v>6.1230000000000002</v>
      </c>
      <c r="R3071" s="7">
        <v>6.5129999999999999</v>
      </c>
      <c r="S3071" s="7">
        <f t="shared" si="47"/>
        <v>4.7511666666666663</v>
      </c>
    </row>
    <row r="3072" spans="1:19">
      <c r="A3072" s="5" t="str">
        <f>B3072&amp;"-"&amp;COUNTIF($B$2:B3072,B3072)</f>
        <v>PARANÁ-286</v>
      </c>
      <c r="B3072" s="5" t="s">
        <v>1921</v>
      </c>
      <c r="C3072" s="5" t="s">
        <v>2090</v>
      </c>
      <c r="D3072" s="6">
        <v>-52154</v>
      </c>
      <c r="E3072" s="6">
        <v>-232787</v>
      </c>
      <c r="F3072" s="7">
        <v>4.9390000000000001</v>
      </c>
      <c r="G3072" s="7">
        <v>5.9</v>
      </c>
      <c r="H3072" s="7">
        <v>5.8620000000000001</v>
      </c>
      <c r="I3072" s="7">
        <v>5.3630000000000004</v>
      </c>
      <c r="J3072" s="7">
        <v>4.6120000000000001</v>
      </c>
      <c r="K3072" s="7">
        <v>3.6389999999999998</v>
      </c>
      <c r="L3072" s="7">
        <v>3.32</v>
      </c>
      <c r="M3072" s="7">
        <v>3.5350000000000001</v>
      </c>
      <c r="N3072" s="7">
        <v>4.4909999999999997</v>
      </c>
      <c r="O3072" s="7">
        <v>4.6840000000000002</v>
      </c>
      <c r="P3072" s="7">
        <v>5.407</v>
      </c>
      <c r="Q3072" s="7">
        <v>6.0960000000000001</v>
      </c>
      <c r="R3072" s="7">
        <v>6.3550000000000004</v>
      </c>
      <c r="S3072" s="7">
        <f t="shared" si="47"/>
        <v>4.9386666666666672</v>
      </c>
    </row>
    <row r="3073" spans="1:19">
      <c r="A3073" s="5" t="str">
        <f>B3073&amp;"-"&amp;COUNTIF($B$2:B3073,B3073)</f>
        <v>PARANÁ-287</v>
      </c>
      <c r="B3073" s="5" t="s">
        <v>1921</v>
      </c>
      <c r="C3073" s="5" t="s">
        <v>2091</v>
      </c>
      <c r="D3073" s="6">
        <v>-510279</v>
      </c>
      <c r="E3073" s="6">
        <v>-22851</v>
      </c>
      <c r="F3073" s="7">
        <v>5.0380000000000003</v>
      </c>
      <c r="G3073" s="7">
        <v>6.0579999999999998</v>
      </c>
      <c r="H3073" s="7">
        <v>5.976</v>
      </c>
      <c r="I3073" s="7">
        <v>5.3879999999999999</v>
      </c>
      <c r="J3073" s="7">
        <v>4.76</v>
      </c>
      <c r="K3073" s="7">
        <v>3.7589999999999999</v>
      </c>
      <c r="L3073" s="7">
        <v>3.4449999999999998</v>
      </c>
      <c r="M3073" s="7">
        <v>3.66</v>
      </c>
      <c r="N3073" s="7">
        <v>4.556</v>
      </c>
      <c r="O3073" s="7">
        <v>4.7060000000000004</v>
      </c>
      <c r="P3073" s="7">
        <v>5.47</v>
      </c>
      <c r="Q3073" s="7">
        <v>6.1440000000000001</v>
      </c>
      <c r="R3073" s="7">
        <v>6.5369999999999999</v>
      </c>
      <c r="S3073" s="7">
        <f t="shared" si="47"/>
        <v>5.0382499999999988</v>
      </c>
    </row>
    <row r="3074" spans="1:19">
      <c r="A3074" s="5" t="str">
        <f>B3074&amp;"-"&amp;COUNTIF($B$2:B3074,B3074)</f>
        <v>PARANÁ-288</v>
      </c>
      <c r="B3074" s="5" t="s">
        <v>1921</v>
      </c>
      <c r="C3074" s="5" t="s">
        <v>5178</v>
      </c>
      <c r="D3074" s="6">
        <v>-509758</v>
      </c>
      <c r="E3074" s="6">
        <v>-252116</v>
      </c>
      <c r="F3074" s="7">
        <v>4.4580000000000002</v>
      </c>
      <c r="G3074" s="7">
        <v>5.7169999999999996</v>
      </c>
      <c r="H3074" s="7">
        <v>5.4</v>
      </c>
      <c r="I3074" s="7">
        <v>4.78</v>
      </c>
      <c r="J3074" s="7">
        <v>4.0119999999999996</v>
      </c>
      <c r="K3074" s="7">
        <v>3.1829999999999998</v>
      </c>
      <c r="L3074" s="7">
        <v>2.7629999999999999</v>
      </c>
      <c r="M3074" s="7">
        <v>3.0390000000000001</v>
      </c>
      <c r="N3074" s="7">
        <v>4.0179999999999998</v>
      </c>
      <c r="O3074" s="7">
        <v>4.1980000000000004</v>
      </c>
      <c r="P3074" s="7">
        <v>4.8070000000000004</v>
      </c>
      <c r="Q3074" s="7">
        <v>5.6740000000000004</v>
      </c>
      <c r="R3074" s="7">
        <v>5.9119999999999999</v>
      </c>
      <c r="S3074" s="7">
        <f t="shared" si="47"/>
        <v>4.4585833333333342</v>
      </c>
    </row>
    <row r="3075" spans="1:19">
      <c r="A3075" s="5" t="str">
        <f>B3075&amp;"-"&amp;COUNTIF($B$2:B3075,B3075)</f>
        <v>PARANÁ-289</v>
      </c>
      <c r="B3075" s="5" t="s">
        <v>1921</v>
      </c>
      <c r="C3075" s="5" t="s">
        <v>5670</v>
      </c>
      <c r="D3075" s="6">
        <v>-530763</v>
      </c>
      <c r="E3075" s="6">
        <v>-24278</v>
      </c>
      <c r="F3075" s="7">
        <v>4.8449999999999998</v>
      </c>
      <c r="G3075" s="7">
        <v>6.2389999999999999</v>
      </c>
      <c r="H3075" s="7">
        <v>5.73</v>
      </c>
      <c r="I3075" s="7">
        <v>5.2329999999999997</v>
      </c>
      <c r="J3075" s="7">
        <v>4.4489999999999998</v>
      </c>
      <c r="K3075" s="7">
        <v>3.4950000000000001</v>
      </c>
      <c r="L3075" s="7">
        <v>3.07</v>
      </c>
      <c r="M3075" s="7">
        <v>3.274</v>
      </c>
      <c r="N3075" s="7">
        <v>4.2380000000000004</v>
      </c>
      <c r="O3075" s="7">
        <v>4.5049999999999999</v>
      </c>
      <c r="P3075" s="7">
        <v>5.3170000000000002</v>
      </c>
      <c r="Q3075" s="7">
        <v>6.0819999999999999</v>
      </c>
      <c r="R3075" s="7">
        <v>6.5069999999999997</v>
      </c>
      <c r="S3075" s="7">
        <f t="shared" ref="S3075:S3138" si="48">(G3075+H3075+I3075+J3075+K3075+L3075+M3075+N3075+O3075+P3075+Q3075+R3075)/12</f>
        <v>4.8449166666666672</v>
      </c>
    </row>
    <row r="3076" spans="1:19">
      <c r="A3076" s="5" t="str">
        <f>B3076&amp;"-"&amp;COUNTIF($B$2:B3076,B3076)</f>
        <v>PARANÁ-290</v>
      </c>
      <c r="B3076" s="5" t="s">
        <v>1921</v>
      </c>
      <c r="C3076" s="5" t="s">
        <v>5671</v>
      </c>
      <c r="D3076" s="6">
        <v>-499164</v>
      </c>
      <c r="E3076" s="6">
        <v>-235675</v>
      </c>
      <c r="F3076" s="7">
        <v>4.8689999999999998</v>
      </c>
      <c r="G3076" s="7">
        <v>5.7640000000000002</v>
      </c>
      <c r="H3076" s="7">
        <v>5.8</v>
      </c>
      <c r="I3076" s="7">
        <v>5.2009999999999996</v>
      </c>
      <c r="J3076" s="7">
        <v>4.5339999999999998</v>
      </c>
      <c r="K3076" s="7">
        <v>3.609</v>
      </c>
      <c r="L3076" s="7">
        <v>3.2519999999999998</v>
      </c>
      <c r="M3076" s="7">
        <v>3.4929999999999999</v>
      </c>
      <c r="N3076" s="7">
        <v>4.508</v>
      </c>
      <c r="O3076" s="7">
        <v>4.6680000000000001</v>
      </c>
      <c r="P3076" s="7">
        <v>5.3049999999999997</v>
      </c>
      <c r="Q3076" s="7">
        <v>5.9569999999999999</v>
      </c>
      <c r="R3076" s="7">
        <v>6.3369999999999997</v>
      </c>
      <c r="S3076" s="7">
        <f t="shared" si="48"/>
        <v>4.8689999999999998</v>
      </c>
    </row>
    <row r="3077" spans="1:19">
      <c r="A3077" s="5" t="str">
        <f>B3077&amp;"-"&amp;COUNTIF($B$2:B3077,B3077)</f>
        <v>PARANÁ-291</v>
      </c>
      <c r="B3077" s="5" t="s">
        <v>1921</v>
      </c>
      <c r="C3077" s="5" t="s">
        <v>2092</v>
      </c>
      <c r="D3077" s="6">
        <v>-490767</v>
      </c>
      <c r="E3077" s="6">
        <v>-253678</v>
      </c>
      <c r="F3077" s="7">
        <v>4.165</v>
      </c>
      <c r="G3077" s="7">
        <v>5.319</v>
      </c>
      <c r="H3077" s="7">
        <v>5.141</v>
      </c>
      <c r="I3077" s="7">
        <v>4.4870000000000001</v>
      </c>
      <c r="J3077" s="7">
        <v>3.734</v>
      </c>
      <c r="K3077" s="7">
        <v>3.0379999999999998</v>
      </c>
      <c r="L3077" s="7">
        <v>2.7109999999999999</v>
      </c>
      <c r="M3077" s="7">
        <v>2.8769999999999998</v>
      </c>
      <c r="N3077" s="7">
        <v>3.798</v>
      </c>
      <c r="O3077" s="7">
        <v>3.7850000000000001</v>
      </c>
      <c r="P3077" s="7">
        <v>4.3579999999999997</v>
      </c>
      <c r="Q3077" s="7">
        <v>5.1879999999999997</v>
      </c>
      <c r="R3077" s="7">
        <v>5.5469999999999997</v>
      </c>
      <c r="S3077" s="7">
        <f t="shared" si="48"/>
        <v>4.1652499999999995</v>
      </c>
    </row>
    <row r="3078" spans="1:19">
      <c r="A3078" s="5" t="str">
        <f>B3078&amp;"-"&amp;COUNTIF($B$2:B3078,B3078)</f>
        <v>PARANÁ-292</v>
      </c>
      <c r="B3078" s="5" t="s">
        <v>1921</v>
      </c>
      <c r="C3078" s="5" t="s">
        <v>2093</v>
      </c>
      <c r="D3078" s="6">
        <v>-539763</v>
      </c>
      <c r="E3078" s="6">
        <v>-245756</v>
      </c>
      <c r="F3078" s="7">
        <v>4.8029999999999999</v>
      </c>
      <c r="G3078" s="7">
        <v>6.19</v>
      </c>
      <c r="H3078" s="7">
        <v>5.64</v>
      </c>
      <c r="I3078" s="7">
        <v>5.28</v>
      </c>
      <c r="J3078" s="7">
        <v>4.32</v>
      </c>
      <c r="K3078" s="7">
        <v>3.4</v>
      </c>
      <c r="L3078" s="7">
        <v>2.988</v>
      </c>
      <c r="M3078" s="7">
        <v>3.214</v>
      </c>
      <c r="N3078" s="7">
        <v>4.1870000000000003</v>
      </c>
      <c r="O3078" s="7">
        <v>4.4459999999999997</v>
      </c>
      <c r="P3078" s="7">
        <v>5.2969999999999997</v>
      </c>
      <c r="Q3078" s="7">
        <v>6.1429999999999998</v>
      </c>
      <c r="R3078" s="7">
        <v>6.5289999999999999</v>
      </c>
      <c r="S3078" s="7">
        <f t="shared" si="48"/>
        <v>4.8028333333333322</v>
      </c>
    </row>
    <row r="3079" spans="1:19">
      <c r="A3079" s="5" t="str">
        <f>B3079&amp;"-"&amp;COUNTIF($B$2:B3079,B3079)</f>
        <v>PARANÁ-293</v>
      </c>
      <c r="B3079" s="5" t="s">
        <v>1921</v>
      </c>
      <c r="C3079" s="5" t="s">
        <v>4724</v>
      </c>
      <c r="D3079" s="6">
        <v>-529107</v>
      </c>
      <c r="E3079" s="6">
        <v>-254496</v>
      </c>
      <c r="F3079" s="7">
        <v>4.7389999999999999</v>
      </c>
      <c r="G3079" s="7">
        <v>6.266</v>
      </c>
      <c r="H3079" s="7">
        <v>5.665</v>
      </c>
      <c r="I3079" s="7">
        <v>5.2110000000000003</v>
      </c>
      <c r="J3079" s="7">
        <v>4.3</v>
      </c>
      <c r="K3079" s="7">
        <v>3.3069999999999999</v>
      </c>
      <c r="L3079" s="7">
        <v>2.8969999999999998</v>
      </c>
      <c r="M3079" s="7">
        <v>3.1259999999999999</v>
      </c>
      <c r="N3079" s="7">
        <v>4.1369999999999996</v>
      </c>
      <c r="O3079" s="7">
        <v>4.3120000000000003</v>
      </c>
      <c r="P3079" s="7">
        <v>5.2210000000000001</v>
      </c>
      <c r="Q3079" s="7">
        <v>6.0949999999999998</v>
      </c>
      <c r="R3079" s="7">
        <v>6.3289999999999997</v>
      </c>
      <c r="S3079" s="7">
        <f t="shared" si="48"/>
        <v>4.738833333333333</v>
      </c>
    </row>
    <row r="3080" spans="1:19">
      <c r="A3080" s="5" t="str">
        <f>B3080&amp;"-"&amp;COUNTIF($B$2:B3080,B3080)</f>
        <v>PARANÁ-294</v>
      </c>
      <c r="B3080" s="5" t="s">
        <v>1921</v>
      </c>
      <c r="C3080" s="5" t="s">
        <v>5304</v>
      </c>
      <c r="D3080" s="6">
        <v>-534835</v>
      </c>
      <c r="E3080" s="6">
        <v>-230842</v>
      </c>
      <c r="F3080" s="7">
        <v>4.95</v>
      </c>
      <c r="G3080" s="7">
        <v>6.0119999999999996</v>
      </c>
      <c r="H3080" s="7">
        <v>5.87</v>
      </c>
      <c r="I3080" s="7">
        <v>5.4530000000000003</v>
      </c>
      <c r="J3080" s="7">
        <v>4.5839999999999996</v>
      </c>
      <c r="K3080" s="7">
        <v>3.6619999999999999</v>
      </c>
      <c r="L3080" s="7">
        <v>3.2669999999999999</v>
      </c>
      <c r="M3080" s="7">
        <v>3.472</v>
      </c>
      <c r="N3080" s="7">
        <v>4.3840000000000003</v>
      </c>
      <c r="O3080" s="7">
        <v>4.6440000000000001</v>
      </c>
      <c r="P3080" s="7">
        <v>5.4450000000000003</v>
      </c>
      <c r="Q3080" s="7">
        <v>6.1239999999999997</v>
      </c>
      <c r="R3080" s="7">
        <v>6.484</v>
      </c>
      <c r="S3080" s="7">
        <f t="shared" si="48"/>
        <v>4.9500833333333336</v>
      </c>
    </row>
    <row r="3081" spans="1:19">
      <c r="A3081" s="5" t="str">
        <f>B3081&amp;"-"&amp;COUNTIF($B$2:B3081,B3081)</f>
        <v>PARANÁ-295</v>
      </c>
      <c r="B3081" s="5" t="s">
        <v>1921</v>
      </c>
      <c r="C3081" s="5" t="s">
        <v>2094</v>
      </c>
      <c r="D3081" s="6">
        <v>-521313</v>
      </c>
      <c r="E3081" s="6">
        <v>-238537</v>
      </c>
      <c r="F3081" s="7">
        <v>4.9009999999999998</v>
      </c>
      <c r="G3081" s="7">
        <v>6.0910000000000002</v>
      </c>
      <c r="H3081" s="7">
        <v>5.782</v>
      </c>
      <c r="I3081" s="7">
        <v>5.2869999999999999</v>
      </c>
      <c r="J3081" s="7">
        <v>4.5780000000000003</v>
      </c>
      <c r="K3081" s="7">
        <v>3.6059999999999999</v>
      </c>
      <c r="L3081" s="7">
        <v>3.2210000000000001</v>
      </c>
      <c r="M3081" s="7">
        <v>3.427</v>
      </c>
      <c r="N3081" s="7">
        <v>4.3440000000000003</v>
      </c>
      <c r="O3081" s="7">
        <v>4.5960000000000001</v>
      </c>
      <c r="P3081" s="7">
        <v>5.2649999999999997</v>
      </c>
      <c r="Q3081" s="7">
        <v>6.1459999999999999</v>
      </c>
      <c r="R3081" s="7">
        <v>6.47</v>
      </c>
      <c r="S3081" s="7">
        <f t="shared" si="48"/>
        <v>4.9010833333333332</v>
      </c>
    </row>
    <row r="3082" spans="1:19">
      <c r="A3082" s="5" t="str">
        <f>B3082&amp;"-"&amp;COUNTIF($B$2:B3082,B3082)</f>
        <v>PARANÁ-296</v>
      </c>
      <c r="B3082" s="5" t="s">
        <v>1921</v>
      </c>
      <c r="C3082" s="5" t="s">
        <v>2095</v>
      </c>
      <c r="D3082" s="6">
        <v>-494978</v>
      </c>
      <c r="E3082" s="6">
        <v>-258739</v>
      </c>
      <c r="F3082" s="7">
        <v>4.165</v>
      </c>
      <c r="G3082" s="7">
        <v>5.423</v>
      </c>
      <c r="H3082" s="7">
        <v>5.1159999999999997</v>
      </c>
      <c r="I3082" s="7">
        <v>4.5</v>
      </c>
      <c r="J3082" s="7">
        <v>3.7069999999999999</v>
      </c>
      <c r="K3082" s="7">
        <v>2.98</v>
      </c>
      <c r="L3082" s="7">
        <v>2.6280000000000001</v>
      </c>
      <c r="M3082" s="7">
        <v>2.8370000000000002</v>
      </c>
      <c r="N3082" s="7">
        <v>3.774</v>
      </c>
      <c r="O3082" s="7">
        <v>3.7959999999999998</v>
      </c>
      <c r="P3082" s="7">
        <v>4.3760000000000003</v>
      </c>
      <c r="Q3082" s="7">
        <v>5.2670000000000003</v>
      </c>
      <c r="R3082" s="7">
        <v>5.5789999999999997</v>
      </c>
      <c r="S3082" s="7">
        <f t="shared" si="48"/>
        <v>4.1652500000000003</v>
      </c>
    </row>
    <row r="3083" spans="1:19">
      <c r="A3083" s="5" t="str">
        <f>B3083&amp;"-"&amp;COUNTIF($B$2:B3083,B3083)</f>
        <v>PARANÁ-297</v>
      </c>
      <c r="B3083" s="5" t="s">
        <v>1921</v>
      </c>
      <c r="C3083" s="5" t="s">
        <v>4997</v>
      </c>
      <c r="D3083" s="6">
        <v>-540235</v>
      </c>
      <c r="E3083" s="6">
        <v>-251199</v>
      </c>
      <c r="F3083" s="7">
        <v>4.7779999999999996</v>
      </c>
      <c r="G3083" s="7">
        <v>6.2370000000000001</v>
      </c>
      <c r="H3083" s="7">
        <v>5.8049999999999997</v>
      </c>
      <c r="I3083" s="7">
        <v>5.2610000000000001</v>
      </c>
      <c r="J3083" s="7">
        <v>4.2590000000000003</v>
      </c>
      <c r="K3083" s="7">
        <v>3.2970000000000002</v>
      </c>
      <c r="L3083" s="7">
        <v>2.9180000000000001</v>
      </c>
      <c r="M3083" s="7">
        <v>3.1429999999999998</v>
      </c>
      <c r="N3083" s="7">
        <v>4.1500000000000004</v>
      </c>
      <c r="O3083" s="7">
        <v>4.383</v>
      </c>
      <c r="P3083" s="7">
        <v>5.2889999999999997</v>
      </c>
      <c r="Q3083" s="7">
        <v>6.1130000000000004</v>
      </c>
      <c r="R3083" s="7">
        <v>6.4880000000000004</v>
      </c>
      <c r="S3083" s="7">
        <f t="shared" si="48"/>
        <v>4.7785833333333336</v>
      </c>
    </row>
    <row r="3084" spans="1:19">
      <c r="A3084" s="5" t="str">
        <f>B3084&amp;"-"&amp;COUNTIF($B$2:B3084,B3084)</f>
        <v>PARANÁ-298</v>
      </c>
      <c r="B3084" s="5" t="s">
        <v>1921</v>
      </c>
      <c r="C3084" s="5" t="s">
        <v>2096</v>
      </c>
      <c r="D3084" s="6">
        <v>-509149</v>
      </c>
      <c r="E3084" s="6">
        <v>-230681</v>
      </c>
      <c r="F3084" s="7">
        <v>4.9660000000000002</v>
      </c>
      <c r="G3084" s="7">
        <v>5.9889999999999999</v>
      </c>
      <c r="H3084" s="7">
        <v>5.8979999999999997</v>
      </c>
      <c r="I3084" s="7">
        <v>5.3150000000000004</v>
      </c>
      <c r="J3084" s="7">
        <v>4.6440000000000001</v>
      </c>
      <c r="K3084" s="7">
        <v>3.734</v>
      </c>
      <c r="L3084" s="7">
        <v>3.3980000000000001</v>
      </c>
      <c r="M3084" s="7">
        <v>3.5960000000000001</v>
      </c>
      <c r="N3084" s="7">
        <v>4.532</v>
      </c>
      <c r="O3084" s="7">
        <v>4.6760000000000002</v>
      </c>
      <c r="P3084" s="7">
        <v>5.3929999999999998</v>
      </c>
      <c r="Q3084" s="7">
        <v>6.016</v>
      </c>
      <c r="R3084" s="7">
        <v>6.4029999999999996</v>
      </c>
      <c r="S3084" s="7">
        <f t="shared" si="48"/>
        <v>4.9661666666666671</v>
      </c>
    </row>
    <row r="3085" spans="1:19">
      <c r="A3085" s="5" t="str">
        <f>B3085&amp;"-"&amp;COUNTIF($B$2:B3085,B3085)</f>
        <v>PARANÁ-299</v>
      </c>
      <c r="B3085" s="5" t="s">
        <v>1921</v>
      </c>
      <c r="C3085" s="5" t="s">
        <v>2097</v>
      </c>
      <c r="D3085" s="6">
        <v>-529503</v>
      </c>
      <c r="E3085" s="6">
        <v>-24304</v>
      </c>
      <c r="F3085" s="7">
        <v>4.8499999999999996</v>
      </c>
      <c r="G3085" s="7">
        <v>6.202</v>
      </c>
      <c r="H3085" s="7">
        <v>5.742</v>
      </c>
      <c r="I3085" s="7">
        <v>5.2329999999999997</v>
      </c>
      <c r="J3085" s="7">
        <v>4.47</v>
      </c>
      <c r="K3085" s="7">
        <v>3.4990000000000001</v>
      </c>
      <c r="L3085" s="7">
        <v>3.0960000000000001</v>
      </c>
      <c r="M3085" s="7">
        <v>3.3029999999999999</v>
      </c>
      <c r="N3085" s="7">
        <v>4.2480000000000002</v>
      </c>
      <c r="O3085" s="7">
        <v>4.5119999999999996</v>
      </c>
      <c r="P3085" s="7">
        <v>5.319</v>
      </c>
      <c r="Q3085" s="7">
        <v>6.101</v>
      </c>
      <c r="R3085" s="7">
        <v>6.4749999999999996</v>
      </c>
      <c r="S3085" s="7">
        <f t="shared" si="48"/>
        <v>4.8500000000000005</v>
      </c>
    </row>
    <row r="3086" spans="1:19">
      <c r="A3086" s="5" t="str">
        <f>B3086&amp;"-"&amp;COUNTIF($B$2:B3086,B3086)</f>
        <v>PARANÁ-300</v>
      </c>
      <c r="B3086" s="5" t="s">
        <v>1921</v>
      </c>
      <c r="C3086" s="5" t="s">
        <v>2098</v>
      </c>
      <c r="D3086" s="6">
        <v>-535265</v>
      </c>
      <c r="E3086" s="6">
        <v>-257716</v>
      </c>
      <c r="F3086" s="7">
        <v>4.7859999999999996</v>
      </c>
      <c r="G3086" s="7">
        <v>6.4180000000000001</v>
      </c>
      <c r="H3086" s="7">
        <v>5.8819999999999997</v>
      </c>
      <c r="I3086" s="7">
        <v>5.3070000000000004</v>
      </c>
      <c r="J3086" s="7">
        <v>4.2460000000000004</v>
      </c>
      <c r="K3086" s="7">
        <v>3.3159999999999998</v>
      </c>
      <c r="L3086" s="7">
        <v>2.85</v>
      </c>
      <c r="M3086" s="7">
        <v>3.1030000000000002</v>
      </c>
      <c r="N3086" s="7">
        <v>4.0709999999999997</v>
      </c>
      <c r="O3086" s="7">
        <v>4.2629999999999999</v>
      </c>
      <c r="P3086" s="7">
        <v>5.2919999999999998</v>
      </c>
      <c r="Q3086" s="7">
        <v>6.1760000000000002</v>
      </c>
      <c r="R3086" s="7">
        <v>6.51</v>
      </c>
      <c r="S3086" s="7">
        <f t="shared" si="48"/>
        <v>4.7861666666666673</v>
      </c>
    </row>
    <row r="3087" spans="1:19">
      <c r="A3087" s="5" t="str">
        <f>B3087&amp;"-"&amp;COUNTIF($B$2:B3087,B3087)</f>
        <v>PARANÁ-301</v>
      </c>
      <c r="B3087" s="5" t="s">
        <v>1921</v>
      </c>
      <c r="C3087" s="5" t="s">
        <v>4725</v>
      </c>
      <c r="D3087" s="6">
        <v>-506882</v>
      </c>
      <c r="E3087" s="6">
        <v>-256237</v>
      </c>
      <c r="F3087" s="7">
        <v>4.2530000000000001</v>
      </c>
      <c r="G3087" s="7">
        <v>5.5019999999999998</v>
      </c>
      <c r="H3087" s="7">
        <v>5.165</v>
      </c>
      <c r="I3087" s="7">
        <v>4.5460000000000003</v>
      </c>
      <c r="J3087" s="7">
        <v>3.7429999999999999</v>
      </c>
      <c r="K3087" s="7">
        <v>3.0209999999999999</v>
      </c>
      <c r="L3087" s="7">
        <v>2.6030000000000002</v>
      </c>
      <c r="M3087" s="7">
        <v>2.895</v>
      </c>
      <c r="N3087" s="7">
        <v>3.8929999999999998</v>
      </c>
      <c r="O3087" s="7">
        <v>3.97</v>
      </c>
      <c r="P3087" s="7">
        <v>4.5659999999999998</v>
      </c>
      <c r="Q3087" s="7">
        <v>5.5060000000000002</v>
      </c>
      <c r="R3087" s="7">
        <v>5.6289999999999996</v>
      </c>
      <c r="S3087" s="7">
        <f t="shared" si="48"/>
        <v>4.2532500000000004</v>
      </c>
    </row>
    <row r="3088" spans="1:19">
      <c r="A3088" s="5" t="str">
        <f>B3088&amp;"-"&amp;COUNTIF($B$2:B3088,B3088)</f>
        <v>PARANÁ-302</v>
      </c>
      <c r="B3088" s="5" t="s">
        <v>1921</v>
      </c>
      <c r="C3088" s="5" t="s">
        <v>4726</v>
      </c>
      <c r="D3088" s="6">
        <v>-529708</v>
      </c>
      <c r="E3088" s="6">
        <v>-261593</v>
      </c>
      <c r="F3088" s="7">
        <v>4.6950000000000003</v>
      </c>
      <c r="G3088" s="7">
        <v>6.1929999999999996</v>
      </c>
      <c r="H3088" s="7">
        <v>5.681</v>
      </c>
      <c r="I3088" s="7">
        <v>5.1719999999999997</v>
      </c>
      <c r="J3088" s="7">
        <v>4.2069999999999999</v>
      </c>
      <c r="K3088" s="7">
        <v>3.27</v>
      </c>
      <c r="L3088" s="7">
        <v>2.8239999999999998</v>
      </c>
      <c r="M3088" s="7">
        <v>3.089</v>
      </c>
      <c r="N3088" s="7">
        <v>4.0490000000000004</v>
      </c>
      <c r="O3088" s="7">
        <v>4.242</v>
      </c>
      <c r="P3088" s="7">
        <v>5.1929999999999996</v>
      </c>
      <c r="Q3088" s="7">
        <v>6.0949999999999998</v>
      </c>
      <c r="R3088" s="7">
        <v>6.3259999999999996</v>
      </c>
      <c r="S3088" s="7">
        <f t="shared" si="48"/>
        <v>4.6950833333333328</v>
      </c>
    </row>
    <row r="3089" spans="1:19">
      <c r="A3089" s="5" t="str">
        <f>B3089&amp;"-"&amp;COUNTIF($B$2:B3089,B3089)</f>
        <v>PARANÁ-303</v>
      </c>
      <c r="B3089" s="5" t="s">
        <v>1921</v>
      </c>
      <c r="C3089" s="5" t="s">
        <v>2099</v>
      </c>
      <c r="D3089" s="6">
        <v>-50847</v>
      </c>
      <c r="E3089" s="6">
        <v>-246496</v>
      </c>
      <c r="F3089" s="7">
        <v>4.6689999999999996</v>
      </c>
      <c r="G3089" s="7">
        <v>5.726</v>
      </c>
      <c r="H3089" s="7">
        <v>5.5419999999999998</v>
      </c>
      <c r="I3089" s="7">
        <v>5.05</v>
      </c>
      <c r="J3089" s="7">
        <v>4.3120000000000003</v>
      </c>
      <c r="K3089" s="7">
        <v>3.3780000000000001</v>
      </c>
      <c r="L3089" s="7">
        <v>3.01</v>
      </c>
      <c r="M3089" s="7">
        <v>3.2749999999999999</v>
      </c>
      <c r="N3089" s="7">
        <v>4.2709999999999999</v>
      </c>
      <c r="O3089" s="7">
        <v>4.444</v>
      </c>
      <c r="P3089" s="7">
        <v>5.077</v>
      </c>
      <c r="Q3089" s="7">
        <v>5.8710000000000004</v>
      </c>
      <c r="R3089" s="7">
        <v>6.0709999999999997</v>
      </c>
      <c r="S3089" s="7">
        <f t="shared" si="48"/>
        <v>4.668916666666667</v>
      </c>
    </row>
    <row r="3090" spans="1:19">
      <c r="A3090" s="5" t="str">
        <f>B3090&amp;"-"&amp;COUNTIF($B$2:B3090,B3090)</f>
        <v>PARANÁ-304</v>
      </c>
      <c r="B3090" s="5" t="s">
        <v>1921</v>
      </c>
      <c r="C3090" s="5" t="s">
        <v>4727</v>
      </c>
      <c r="D3090" s="6">
        <v>-520277</v>
      </c>
      <c r="E3090" s="6">
        <v>-258324</v>
      </c>
      <c r="F3090" s="7">
        <v>4.6920000000000002</v>
      </c>
      <c r="G3090" s="7">
        <v>6.1630000000000003</v>
      </c>
      <c r="H3090" s="7">
        <v>5.5949999999999998</v>
      </c>
      <c r="I3090" s="7">
        <v>5.2</v>
      </c>
      <c r="J3090" s="7">
        <v>4.234</v>
      </c>
      <c r="K3090" s="7">
        <v>3.2789999999999999</v>
      </c>
      <c r="L3090" s="7">
        <v>2.8690000000000002</v>
      </c>
      <c r="M3090" s="7">
        <v>3.0990000000000002</v>
      </c>
      <c r="N3090" s="7">
        <v>4.1079999999999997</v>
      </c>
      <c r="O3090" s="7">
        <v>4.2569999999999997</v>
      </c>
      <c r="P3090" s="7">
        <v>5.1950000000000003</v>
      </c>
      <c r="Q3090" s="7">
        <v>6.0250000000000004</v>
      </c>
      <c r="R3090" s="7">
        <v>6.2770000000000001</v>
      </c>
      <c r="S3090" s="7">
        <f t="shared" si="48"/>
        <v>4.6917499999999999</v>
      </c>
    </row>
    <row r="3091" spans="1:19">
      <c r="A3091" s="5" t="str">
        <f>B3091&amp;"-"&amp;COUNTIF($B$2:B3091,B3091)</f>
        <v>PARANÁ-305</v>
      </c>
      <c r="B3091" s="5" t="s">
        <v>1921</v>
      </c>
      <c r="C3091" s="5" t="s">
        <v>4083</v>
      </c>
      <c r="D3091" s="6">
        <v>-497579</v>
      </c>
      <c r="E3091" s="6">
        <v>-23194</v>
      </c>
      <c r="F3091" s="7">
        <v>4.9269999999999996</v>
      </c>
      <c r="G3091" s="7">
        <v>5.7149999999999999</v>
      </c>
      <c r="H3091" s="7">
        <v>5.8369999999999997</v>
      </c>
      <c r="I3091" s="7">
        <v>5.2839999999999998</v>
      </c>
      <c r="J3091" s="7">
        <v>4.665</v>
      </c>
      <c r="K3091" s="7">
        <v>3.681</v>
      </c>
      <c r="L3091" s="7">
        <v>3.355</v>
      </c>
      <c r="M3091" s="7">
        <v>3.573</v>
      </c>
      <c r="N3091" s="7">
        <v>4.5650000000000004</v>
      </c>
      <c r="O3091" s="7">
        <v>4.6929999999999996</v>
      </c>
      <c r="P3091" s="7">
        <v>5.4050000000000002</v>
      </c>
      <c r="Q3091" s="7">
        <v>5.9980000000000002</v>
      </c>
      <c r="R3091" s="7">
        <v>6.351</v>
      </c>
      <c r="S3091" s="7">
        <f t="shared" si="48"/>
        <v>4.9268333333333327</v>
      </c>
    </row>
    <row r="3092" spans="1:19">
      <c r="A3092" s="5" t="str">
        <f>B3092&amp;"-"&amp;COUNTIF($B$2:B3092,B3092)</f>
        <v>PARANÁ-306</v>
      </c>
      <c r="B3092" s="5" t="s">
        <v>1921</v>
      </c>
      <c r="C3092" s="5" t="s">
        <v>4084</v>
      </c>
      <c r="D3092" s="6">
        <v>-503569</v>
      </c>
      <c r="E3092" s="6">
        <v>-23408</v>
      </c>
      <c r="F3092" s="7">
        <v>4.9039999999999999</v>
      </c>
      <c r="G3092" s="7">
        <v>5.8220000000000001</v>
      </c>
      <c r="H3092" s="7">
        <v>5.79</v>
      </c>
      <c r="I3092" s="7">
        <v>5.1769999999999996</v>
      </c>
      <c r="J3092" s="7">
        <v>4.6059999999999999</v>
      </c>
      <c r="K3092" s="7">
        <v>3.6840000000000002</v>
      </c>
      <c r="L3092" s="7">
        <v>3.3330000000000002</v>
      </c>
      <c r="M3092" s="7">
        <v>3.55</v>
      </c>
      <c r="N3092" s="7">
        <v>4.5469999999999997</v>
      </c>
      <c r="O3092" s="7">
        <v>4.6959999999999997</v>
      </c>
      <c r="P3092" s="7">
        <v>5.3460000000000001</v>
      </c>
      <c r="Q3092" s="7">
        <v>5.9610000000000003</v>
      </c>
      <c r="R3092" s="7">
        <v>6.3390000000000004</v>
      </c>
      <c r="S3092" s="7">
        <f t="shared" si="48"/>
        <v>4.9042500000000002</v>
      </c>
    </row>
    <row r="3093" spans="1:19">
      <c r="A3093" s="5" t="str">
        <f>B3093&amp;"-"&amp;COUNTIF($B$2:B3093,B3093)</f>
        <v>PARANÁ-307</v>
      </c>
      <c r="B3093" s="5" t="s">
        <v>1921</v>
      </c>
      <c r="C3093" s="5" t="s">
        <v>2100</v>
      </c>
      <c r="D3093" s="6">
        <v>-50799</v>
      </c>
      <c r="E3093" s="6">
        <v>-257311</v>
      </c>
      <c r="F3093" s="7">
        <v>4.2030000000000003</v>
      </c>
      <c r="G3093" s="7">
        <v>5.4470000000000001</v>
      </c>
      <c r="H3093" s="7">
        <v>5.1630000000000003</v>
      </c>
      <c r="I3093" s="7">
        <v>4.5170000000000003</v>
      </c>
      <c r="J3093" s="7">
        <v>3.677</v>
      </c>
      <c r="K3093" s="7">
        <v>2.956</v>
      </c>
      <c r="L3093" s="7">
        <v>2.569</v>
      </c>
      <c r="M3093" s="7">
        <v>2.851</v>
      </c>
      <c r="N3093" s="7">
        <v>3.8359999999999999</v>
      </c>
      <c r="O3093" s="7">
        <v>3.92</v>
      </c>
      <c r="P3093" s="7">
        <v>4.4809999999999999</v>
      </c>
      <c r="Q3093" s="7">
        <v>5.4279999999999999</v>
      </c>
      <c r="R3093" s="7">
        <v>5.5860000000000003</v>
      </c>
      <c r="S3093" s="7">
        <f t="shared" si="48"/>
        <v>4.2025833333333322</v>
      </c>
    </row>
    <row r="3094" spans="1:19">
      <c r="A3094" s="5" t="str">
        <f>B3094&amp;"-"&amp;COUNTIF($B$2:B3094,B3094)</f>
        <v>PARANÁ-308</v>
      </c>
      <c r="B3094" s="5" t="s">
        <v>1921</v>
      </c>
      <c r="C3094" s="5" t="s">
        <v>2101</v>
      </c>
      <c r="D3094" s="6">
        <v>-514127</v>
      </c>
      <c r="E3094" s="6">
        <v>-237611</v>
      </c>
      <c r="F3094" s="7">
        <v>4.8529999999999998</v>
      </c>
      <c r="G3094" s="7">
        <v>5.835</v>
      </c>
      <c r="H3094" s="7">
        <v>5.71</v>
      </c>
      <c r="I3094" s="7">
        <v>5.2770000000000001</v>
      </c>
      <c r="J3094" s="7">
        <v>4.5670000000000002</v>
      </c>
      <c r="K3094" s="7">
        <v>3.5630000000000002</v>
      </c>
      <c r="L3094" s="7">
        <v>3.2480000000000002</v>
      </c>
      <c r="M3094" s="7">
        <v>3.4540000000000002</v>
      </c>
      <c r="N3094" s="7">
        <v>4.4450000000000003</v>
      </c>
      <c r="O3094" s="7">
        <v>4.609</v>
      </c>
      <c r="P3094" s="7">
        <v>5.2640000000000002</v>
      </c>
      <c r="Q3094" s="7">
        <v>5.99</v>
      </c>
      <c r="R3094" s="7">
        <v>6.2750000000000004</v>
      </c>
      <c r="S3094" s="7">
        <f t="shared" si="48"/>
        <v>4.8530833333333341</v>
      </c>
    </row>
    <row r="3095" spans="1:19">
      <c r="A3095" s="5" t="str">
        <f>B3095&amp;"-"&amp;COUNTIF($B$2:B3095,B3095)</f>
        <v>PARANÁ-309</v>
      </c>
      <c r="B3095" s="5" t="s">
        <v>1921</v>
      </c>
      <c r="C3095" s="5" t="s">
        <v>4728</v>
      </c>
      <c r="D3095" s="6">
        <v>-525296</v>
      </c>
      <c r="E3095" s="6">
        <v>-254879</v>
      </c>
      <c r="F3095" s="7">
        <v>4.6989999999999998</v>
      </c>
      <c r="G3095" s="7">
        <v>6.1</v>
      </c>
      <c r="H3095" s="7">
        <v>5.6029999999999998</v>
      </c>
      <c r="I3095" s="7">
        <v>5.1829999999999998</v>
      </c>
      <c r="J3095" s="7">
        <v>4.2720000000000002</v>
      </c>
      <c r="K3095" s="7">
        <v>3.2959999999999998</v>
      </c>
      <c r="L3095" s="7">
        <v>2.903</v>
      </c>
      <c r="M3095" s="7">
        <v>3.141</v>
      </c>
      <c r="N3095" s="7">
        <v>4.1079999999999997</v>
      </c>
      <c r="O3095" s="7">
        <v>4.3019999999999996</v>
      </c>
      <c r="P3095" s="7">
        <v>5.1760000000000002</v>
      </c>
      <c r="Q3095" s="7">
        <v>6.0720000000000001</v>
      </c>
      <c r="R3095" s="7">
        <v>6.226</v>
      </c>
      <c r="S3095" s="7">
        <f t="shared" si="48"/>
        <v>4.6985000000000001</v>
      </c>
    </row>
    <row r="3096" spans="1:19">
      <c r="A3096" s="5" t="str">
        <f>B3096&amp;"-"&amp;COUNTIF($B$2:B3096,B3096)</f>
        <v>PARANÁ-310</v>
      </c>
      <c r="B3096" s="5" t="s">
        <v>1921</v>
      </c>
      <c r="C3096" s="5" t="s">
        <v>2102</v>
      </c>
      <c r="D3096" s="6">
        <v>-513191</v>
      </c>
      <c r="E3096" s="6">
        <v>-243249</v>
      </c>
      <c r="F3096" s="7">
        <v>4.8280000000000003</v>
      </c>
      <c r="G3096" s="7">
        <v>5.9560000000000004</v>
      </c>
      <c r="H3096" s="7">
        <v>5.71</v>
      </c>
      <c r="I3096" s="7">
        <v>5.2240000000000002</v>
      </c>
      <c r="J3096" s="7">
        <v>4.5129999999999999</v>
      </c>
      <c r="K3096" s="7">
        <v>3.5129999999999999</v>
      </c>
      <c r="L3096" s="7">
        <v>3.097</v>
      </c>
      <c r="M3096" s="7">
        <v>3.359</v>
      </c>
      <c r="N3096" s="7">
        <v>4.3609999999999998</v>
      </c>
      <c r="O3096" s="7">
        <v>4.5419999999999998</v>
      </c>
      <c r="P3096" s="7">
        <v>5.2549999999999999</v>
      </c>
      <c r="Q3096" s="7">
        <v>6.0789999999999997</v>
      </c>
      <c r="R3096" s="7">
        <v>6.3289999999999997</v>
      </c>
      <c r="S3096" s="7">
        <f t="shared" si="48"/>
        <v>4.8281666666666672</v>
      </c>
    </row>
    <row r="3097" spans="1:19">
      <c r="A3097" s="5" t="str">
        <f>B3097&amp;"-"&amp;COUNTIF($B$2:B3097,B3097)</f>
        <v>PARANÁ-311</v>
      </c>
      <c r="B3097" s="5" t="s">
        <v>1921</v>
      </c>
      <c r="C3097" s="5" t="s">
        <v>2103</v>
      </c>
      <c r="D3097" s="6">
        <v>-49312</v>
      </c>
      <c r="E3097" s="6">
        <v>-251897</v>
      </c>
      <c r="F3097" s="7">
        <v>4.26</v>
      </c>
      <c r="G3097" s="7">
        <v>5.3810000000000002</v>
      </c>
      <c r="H3097" s="7">
        <v>5.2460000000000004</v>
      </c>
      <c r="I3097" s="7">
        <v>4.649</v>
      </c>
      <c r="J3097" s="7">
        <v>3.855</v>
      </c>
      <c r="K3097" s="7">
        <v>3.07</v>
      </c>
      <c r="L3097" s="7">
        <v>2.7229999999999999</v>
      </c>
      <c r="M3097" s="7">
        <v>2.9369999999999998</v>
      </c>
      <c r="N3097" s="7">
        <v>3.9209999999999998</v>
      </c>
      <c r="O3097" s="7">
        <v>3.9340000000000002</v>
      </c>
      <c r="P3097" s="7">
        <v>4.4640000000000004</v>
      </c>
      <c r="Q3097" s="7">
        <v>5.3280000000000003</v>
      </c>
      <c r="R3097" s="7">
        <v>5.6070000000000002</v>
      </c>
      <c r="S3097" s="7">
        <f t="shared" si="48"/>
        <v>4.2595833333333335</v>
      </c>
    </row>
    <row r="3098" spans="1:19">
      <c r="A3098" s="5" t="str">
        <f>B3098&amp;"-"&amp;COUNTIF($B$2:B3098,B3098)</f>
        <v>PARANÁ-312</v>
      </c>
      <c r="B3098" s="5" t="s">
        <v>1921</v>
      </c>
      <c r="C3098" s="5" t="s">
        <v>1115</v>
      </c>
      <c r="D3098" s="6">
        <v>-497987</v>
      </c>
      <c r="E3098" s="6">
        <v>-260955</v>
      </c>
      <c r="F3098" s="7">
        <v>4.1390000000000002</v>
      </c>
      <c r="G3098" s="7">
        <v>5.444</v>
      </c>
      <c r="H3098" s="7">
        <v>5.117</v>
      </c>
      <c r="I3098" s="7">
        <v>4.5339999999999998</v>
      </c>
      <c r="J3098" s="7">
        <v>3.645</v>
      </c>
      <c r="K3098" s="7">
        <v>2.9</v>
      </c>
      <c r="L3098" s="7">
        <v>2.5089999999999999</v>
      </c>
      <c r="M3098" s="7">
        <v>2.7679999999999998</v>
      </c>
      <c r="N3098" s="7">
        <v>3.7210000000000001</v>
      </c>
      <c r="O3098" s="7">
        <v>3.76</v>
      </c>
      <c r="P3098" s="7">
        <v>4.3890000000000002</v>
      </c>
      <c r="Q3098" s="7">
        <v>5.274</v>
      </c>
      <c r="R3098" s="7">
        <v>5.6029999999999998</v>
      </c>
      <c r="S3098" s="7">
        <f t="shared" si="48"/>
        <v>4.1386666666666665</v>
      </c>
    </row>
    <row r="3099" spans="1:19">
      <c r="A3099" s="5" t="str">
        <f>B3099&amp;"-"&amp;COUNTIF($B$2:B3099,B3099)</f>
        <v>PARANÁ-313</v>
      </c>
      <c r="B3099" s="5" t="s">
        <v>1921</v>
      </c>
      <c r="C3099" s="5" t="s">
        <v>4998</v>
      </c>
      <c r="D3099" s="6">
        <v>-513664</v>
      </c>
      <c r="E3099" s="6">
        <v>-233106</v>
      </c>
      <c r="F3099" s="7">
        <v>4.899</v>
      </c>
      <c r="G3099" s="7">
        <v>5.8529999999999998</v>
      </c>
      <c r="H3099" s="7">
        <v>5.7590000000000003</v>
      </c>
      <c r="I3099" s="7">
        <v>5.2009999999999996</v>
      </c>
      <c r="J3099" s="7">
        <v>4.6070000000000002</v>
      </c>
      <c r="K3099" s="7">
        <v>3.6459999999999999</v>
      </c>
      <c r="L3099" s="7">
        <v>3.3780000000000001</v>
      </c>
      <c r="M3099" s="7">
        <v>3.601</v>
      </c>
      <c r="N3099" s="7">
        <v>4.5199999999999996</v>
      </c>
      <c r="O3099" s="7">
        <v>4.6950000000000003</v>
      </c>
      <c r="P3099" s="7">
        <v>5.3</v>
      </c>
      <c r="Q3099" s="7">
        <v>5.968</v>
      </c>
      <c r="R3099" s="7">
        <v>6.2569999999999997</v>
      </c>
      <c r="S3099" s="7">
        <f t="shared" si="48"/>
        <v>4.8987499999999988</v>
      </c>
    </row>
    <row r="3100" spans="1:19">
      <c r="A3100" s="5" t="str">
        <f>B3100&amp;"-"&amp;COUNTIF($B$2:B3100,B3100)</f>
        <v>PARANÁ-314</v>
      </c>
      <c r="B3100" s="5" t="s">
        <v>1921</v>
      </c>
      <c r="C3100" s="5" t="s">
        <v>2104</v>
      </c>
      <c r="D3100" s="6">
        <v>-52272</v>
      </c>
      <c r="E3100" s="6">
        <v>-245963</v>
      </c>
      <c r="F3100" s="7">
        <v>4.7889999999999997</v>
      </c>
      <c r="G3100" s="7">
        <v>6.173</v>
      </c>
      <c r="H3100" s="7">
        <v>5.6459999999999999</v>
      </c>
      <c r="I3100" s="7">
        <v>5.1879999999999997</v>
      </c>
      <c r="J3100" s="7">
        <v>4.407</v>
      </c>
      <c r="K3100" s="7">
        <v>3.4710000000000001</v>
      </c>
      <c r="L3100" s="7">
        <v>3.07</v>
      </c>
      <c r="M3100" s="7">
        <v>3.3079999999999998</v>
      </c>
      <c r="N3100" s="7">
        <v>4.2960000000000003</v>
      </c>
      <c r="O3100" s="7">
        <v>4.45</v>
      </c>
      <c r="P3100" s="7">
        <v>5.2030000000000003</v>
      </c>
      <c r="Q3100" s="7">
        <v>5.9909999999999997</v>
      </c>
      <c r="R3100" s="7">
        <v>6.2690000000000001</v>
      </c>
      <c r="S3100" s="7">
        <f t="shared" si="48"/>
        <v>4.7893333333333334</v>
      </c>
    </row>
    <row r="3101" spans="1:19">
      <c r="A3101" s="5" t="str">
        <f>B3101&amp;"-"&amp;COUNTIF($B$2:B3101,B3101)</f>
        <v>PARANÁ-315</v>
      </c>
      <c r="B3101" s="5" t="s">
        <v>1921</v>
      </c>
      <c r="C3101" s="5" t="s">
        <v>2105</v>
      </c>
      <c r="D3101" s="6">
        <v>-527663</v>
      </c>
      <c r="E3101" s="6">
        <v>-234124</v>
      </c>
      <c r="F3101" s="7">
        <v>4.9459999999999997</v>
      </c>
      <c r="G3101" s="7">
        <v>6.03</v>
      </c>
      <c r="H3101" s="7">
        <v>5.8849999999999998</v>
      </c>
      <c r="I3101" s="7">
        <v>5.4340000000000002</v>
      </c>
      <c r="J3101" s="7">
        <v>4.57</v>
      </c>
      <c r="K3101" s="7">
        <v>3.625</v>
      </c>
      <c r="L3101" s="7">
        <v>3.254</v>
      </c>
      <c r="M3101" s="7">
        <v>3.4569999999999999</v>
      </c>
      <c r="N3101" s="7">
        <v>4.4340000000000002</v>
      </c>
      <c r="O3101" s="7">
        <v>4.6520000000000001</v>
      </c>
      <c r="P3101" s="7">
        <v>5.4029999999999996</v>
      </c>
      <c r="Q3101" s="7">
        <v>6.1449999999999996</v>
      </c>
      <c r="R3101" s="7">
        <v>6.4619999999999997</v>
      </c>
      <c r="S3101" s="7">
        <f t="shared" si="48"/>
        <v>4.9459166666666663</v>
      </c>
    </row>
    <row r="3102" spans="1:19">
      <c r="A3102" s="5" t="str">
        <f>B3102&amp;"-"&amp;COUNTIF($B$2:B3102,B3102)</f>
        <v>PARANÁ-316</v>
      </c>
      <c r="B3102" s="5" t="s">
        <v>1921</v>
      </c>
      <c r="C3102" s="5" t="s">
        <v>5672</v>
      </c>
      <c r="D3102" s="6">
        <v>-512419</v>
      </c>
      <c r="E3102" s="6">
        <v>-242519</v>
      </c>
      <c r="F3102" s="7">
        <v>4.8529999999999998</v>
      </c>
      <c r="G3102" s="7">
        <v>5.9820000000000002</v>
      </c>
      <c r="H3102" s="7">
        <v>5.694</v>
      </c>
      <c r="I3102" s="7">
        <v>5.2789999999999999</v>
      </c>
      <c r="J3102" s="7">
        <v>4.5369999999999999</v>
      </c>
      <c r="K3102" s="7">
        <v>3.508</v>
      </c>
      <c r="L3102" s="7">
        <v>3.1259999999999999</v>
      </c>
      <c r="M3102" s="7">
        <v>3.3849999999999998</v>
      </c>
      <c r="N3102" s="7">
        <v>4.3760000000000003</v>
      </c>
      <c r="O3102" s="7">
        <v>4.5750000000000002</v>
      </c>
      <c r="P3102" s="7">
        <v>5.2779999999999996</v>
      </c>
      <c r="Q3102" s="7">
        <v>6.1340000000000003</v>
      </c>
      <c r="R3102" s="7">
        <v>6.3609999999999998</v>
      </c>
      <c r="S3102" s="7">
        <f t="shared" si="48"/>
        <v>4.8529166666666663</v>
      </c>
    </row>
    <row r="3103" spans="1:19">
      <c r="A3103" s="5" t="str">
        <f>B3103&amp;"-"&amp;COUNTIF($B$2:B3103,B3103)</f>
        <v>PARANÁ-317</v>
      </c>
      <c r="B3103" s="5" t="s">
        <v>1921</v>
      </c>
      <c r="C3103" s="5" t="s">
        <v>4085</v>
      </c>
      <c r="D3103" s="6">
        <v>-524766</v>
      </c>
      <c r="E3103" s="6">
        <v>-233163</v>
      </c>
      <c r="F3103" s="7">
        <v>4.9400000000000004</v>
      </c>
      <c r="G3103" s="7">
        <v>5.9569999999999999</v>
      </c>
      <c r="H3103" s="7">
        <v>5.8710000000000004</v>
      </c>
      <c r="I3103" s="7">
        <v>5.3719999999999999</v>
      </c>
      <c r="J3103" s="7">
        <v>4.5970000000000004</v>
      </c>
      <c r="K3103" s="7">
        <v>3.6240000000000001</v>
      </c>
      <c r="L3103" s="7">
        <v>3.2749999999999999</v>
      </c>
      <c r="M3103" s="7">
        <v>3.4980000000000002</v>
      </c>
      <c r="N3103" s="7">
        <v>4.4249999999999998</v>
      </c>
      <c r="O3103" s="7">
        <v>4.6760000000000002</v>
      </c>
      <c r="P3103" s="7">
        <v>5.4290000000000003</v>
      </c>
      <c r="Q3103" s="7">
        <v>6.1360000000000001</v>
      </c>
      <c r="R3103" s="7">
        <v>6.4219999999999997</v>
      </c>
      <c r="S3103" s="7">
        <f t="shared" si="48"/>
        <v>4.9401666666666664</v>
      </c>
    </row>
    <row r="3104" spans="1:19">
      <c r="A3104" s="5" t="str">
        <f>B3104&amp;"-"&amp;COUNTIF($B$2:B3104,B3104)</f>
        <v>PARANÁ-318</v>
      </c>
      <c r="B3104" s="5" t="s">
        <v>1921</v>
      </c>
      <c r="C3104" s="5" t="s">
        <v>4566</v>
      </c>
      <c r="D3104" s="6">
        <v>-507416</v>
      </c>
      <c r="E3104" s="6">
        <v>-237233</v>
      </c>
      <c r="F3104" s="7">
        <v>4.8259999999999996</v>
      </c>
      <c r="G3104" s="7">
        <v>5.77</v>
      </c>
      <c r="H3104" s="7">
        <v>5.6479999999999997</v>
      </c>
      <c r="I3104" s="7">
        <v>5.19</v>
      </c>
      <c r="J3104" s="7">
        <v>4.5250000000000004</v>
      </c>
      <c r="K3104" s="7">
        <v>3.5979999999999999</v>
      </c>
      <c r="L3104" s="7">
        <v>3.2709999999999999</v>
      </c>
      <c r="M3104" s="7">
        <v>3.5139999999999998</v>
      </c>
      <c r="N3104" s="7">
        <v>4.4809999999999999</v>
      </c>
      <c r="O3104" s="7">
        <v>4.6470000000000002</v>
      </c>
      <c r="P3104" s="7">
        <v>5.2270000000000003</v>
      </c>
      <c r="Q3104" s="7">
        <v>5.8680000000000003</v>
      </c>
      <c r="R3104" s="7">
        <v>6.1769999999999996</v>
      </c>
      <c r="S3104" s="7">
        <f t="shared" si="48"/>
        <v>4.8263333333333334</v>
      </c>
    </row>
    <row r="3105" spans="1:19">
      <c r="A3105" s="5" t="str">
        <f>B3105&amp;"-"&amp;COUNTIF($B$2:B3105,B3105)</f>
        <v>PARANÁ-319</v>
      </c>
      <c r="B3105" s="5" t="s">
        <v>1921</v>
      </c>
      <c r="C3105" s="5" t="s">
        <v>4086</v>
      </c>
      <c r="D3105" s="6">
        <v>-527257</v>
      </c>
      <c r="E3105" s="6">
        <v>-258218</v>
      </c>
      <c r="F3105" s="7">
        <v>4.7629999999999999</v>
      </c>
      <c r="G3105" s="7">
        <v>6.3390000000000004</v>
      </c>
      <c r="H3105" s="7">
        <v>5.7770000000000001</v>
      </c>
      <c r="I3105" s="7">
        <v>5.2489999999999997</v>
      </c>
      <c r="J3105" s="7">
        <v>4.2549999999999999</v>
      </c>
      <c r="K3105" s="7">
        <v>3.2949999999999999</v>
      </c>
      <c r="L3105" s="7">
        <v>2.867</v>
      </c>
      <c r="M3105" s="7">
        <v>3.1360000000000001</v>
      </c>
      <c r="N3105" s="7">
        <v>4.0960000000000001</v>
      </c>
      <c r="O3105" s="7">
        <v>4.298</v>
      </c>
      <c r="P3105" s="7">
        <v>5.2510000000000003</v>
      </c>
      <c r="Q3105" s="7">
        <v>6.1760000000000002</v>
      </c>
      <c r="R3105" s="7">
        <v>6.4180000000000001</v>
      </c>
      <c r="S3105" s="7">
        <f t="shared" si="48"/>
        <v>4.7630833333333333</v>
      </c>
    </row>
    <row r="3106" spans="1:19">
      <c r="A3106" s="5" t="str">
        <f>B3106&amp;"-"&amp;COUNTIF($B$2:B3106,B3106)</f>
        <v>PARANÁ-320</v>
      </c>
      <c r="B3106" s="5" t="s">
        <v>1921</v>
      </c>
      <c r="C3106" s="5" t="s">
        <v>5673</v>
      </c>
      <c r="D3106" s="6">
        <v>-52337</v>
      </c>
      <c r="E3106" s="6">
        <v>-22852</v>
      </c>
      <c r="F3106" s="7">
        <v>5.0149999999999997</v>
      </c>
      <c r="G3106" s="7">
        <v>5.9989999999999997</v>
      </c>
      <c r="H3106" s="7">
        <v>5.9379999999999997</v>
      </c>
      <c r="I3106" s="7">
        <v>5.4210000000000003</v>
      </c>
      <c r="J3106" s="7">
        <v>4.6639999999999997</v>
      </c>
      <c r="K3106" s="7">
        <v>3.7189999999999999</v>
      </c>
      <c r="L3106" s="7">
        <v>3.3980000000000001</v>
      </c>
      <c r="M3106" s="7">
        <v>3.5859999999999999</v>
      </c>
      <c r="N3106" s="7">
        <v>4.5369999999999999</v>
      </c>
      <c r="O3106" s="7">
        <v>4.7629999999999999</v>
      </c>
      <c r="P3106" s="7">
        <v>5.4820000000000002</v>
      </c>
      <c r="Q3106" s="7">
        <v>6.2009999999999996</v>
      </c>
      <c r="R3106" s="7">
        <v>6.4710000000000001</v>
      </c>
      <c r="S3106" s="7">
        <f t="shared" si="48"/>
        <v>5.0149166666666671</v>
      </c>
    </row>
    <row r="3107" spans="1:19">
      <c r="A3107" s="5" t="str">
        <f>B3107&amp;"-"&amp;COUNTIF($B$2:B3107,B3107)</f>
        <v>PARANÁ-321</v>
      </c>
      <c r="B3107" s="5" t="s">
        <v>1921</v>
      </c>
      <c r="C3107" s="5" t="s">
        <v>4087</v>
      </c>
      <c r="D3107" s="6">
        <v>-51822</v>
      </c>
      <c r="E3107" s="6">
        <v>-239837</v>
      </c>
      <c r="F3107" s="7">
        <v>4.9139999999999997</v>
      </c>
      <c r="G3107" s="7">
        <v>6.173</v>
      </c>
      <c r="H3107" s="7">
        <v>5.8040000000000003</v>
      </c>
      <c r="I3107" s="7">
        <v>5.3339999999999996</v>
      </c>
      <c r="J3107" s="7">
        <v>4.6050000000000004</v>
      </c>
      <c r="K3107" s="7">
        <v>3.5630000000000002</v>
      </c>
      <c r="L3107" s="7">
        <v>3.2050000000000001</v>
      </c>
      <c r="M3107" s="7">
        <v>3.4289999999999998</v>
      </c>
      <c r="N3107" s="7">
        <v>4.3959999999999999</v>
      </c>
      <c r="O3107" s="7">
        <v>4.5970000000000004</v>
      </c>
      <c r="P3107" s="7">
        <v>5.3</v>
      </c>
      <c r="Q3107" s="7">
        <v>6.1180000000000003</v>
      </c>
      <c r="R3107" s="7">
        <v>6.4489999999999998</v>
      </c>
      <c r="S3107" s="7">
        <f t="shared" si="48"/>
        <v>4.9144166666666669</v>
      </c>
    </row>
    <row r="3108" spans="1:19">
      <c r="A3108" s="5" t="str">
        <f>B3108&amp;"-"&amp;COUNTIF($B$2:B3108,B3108)</f>
        <v>PARANÁ-322</v>
      </c>
      <c r="B3108" s="5" t="s">
        <v>1921</v>
      </c>
      <c r="C3108" s="5" t="s">
        <v>4088</v>
      </c>
      <c r="D3108" s="6">
        <v>-502954</v>
      </c>
      <c r="E3108" s="6">
        <v>-256834</v>
      </c>
      <c r="F3108" s="7">
        <v>4.2190000000000003</v>
      </c>
      <c r="G3108" s="7">
        <v>5.415</v>
      </c>
      <c r="H3108" s="7">
        <v>5.1050000000000004</v>
      </c>
      <c r="I3108" s="7">
        <v>4.556</v>
      </c>
      <c r="J3108" s="7">
        <v>3.7120000000000002</v>
      </c>
      <c r="K3108" s="7">
        <v>2.98</v>
      </c>
      <c r="L3108" s="7">
        <v>2.661</v>
      </c>
      <c r="M3108" s="7">
        <v>2.8460000000000001</v>
      </c>
      <c r="N3108" s="7">
        <v>3.86</v>
      </c>
      <c r="O3108" s="7">
        <v>3.931</v>
      </c>
      <c r="P3108" s="7">
        <v>4.5149999999999997</v>
      </c>
      <c r="Q3108" s="7">
        <v>5.4279999999999999</v>
      </c>
      <c r="R3108" s="7">
        <v>5.6130000000000004</v>
      </c>
      <c r="S3108" s="7">
        <f t="shared" si="48"/>
        <v>4.2184999999999997</v>
      </c>
    </row>
    <row r="3109" spans="1:19">
      <c r="A3109" s="5" t="str">
        <f>B3109&amp;"-"&amp;COUNTIF($B$2:B3109,B3109)</f>
        <v>PARANÁ-323</v>
      </c>
      <c r="B3109" s="5" t="s">
        <v>1921</v>
      </c>
      <c r="C3109" s="5" t="s">
        <v>4089</v>
      </c>
      <c r="D3109" s="6">
        <v>-522933</v>
      </c>
      <c r="E3109" s="6">
        <v>-234341</v>
      </c>
      <c r="F3109" s="7">
        <v>4.9080000000000004</v>
      </c>
      <c r="G3109" s="7">
        <v>5.9649999999999999</v>
      </c>
      <c r="H3109" s="7">
        <v>5.8440000000000003</v>
      </c>
      <c r="I3109" s="7">
        <v>5.2839999999999998</v>
      </c>
      <c r="J3109" s="7">
        <v>4.5750000000000002</v>
      </c>
      <c r="K3109" s="7">
        <v>3.633</v>
      </c>
      <c r="L3109" s="7">
        <v>3.282</v>
      </c>
      <c r="M3109" s="7">
        <v>3.492</v>
      </c>
      <c r="N3109" s="7">
        <v>4.38</v>
      </c>
      <c r="O3109" s="7">
        <v>4.657</v>
      </c>
      <c r="P3109" s="7">
        <v>5.3680000000000003</v>
      </c>
      <c r="Q3109" s="7">
        <v>6.0410000000000004</v>
      </c>
      <c r="R3109" s="7">
        <v>6.3710000000000004</v>
      </c>
      <c r="S3109" s="7">
        <f t="shared" si="48"/>
        <v>4.9076666666666666</v>
      </c>
    </row>
    <row r="3110" spans="1:19">
      <c r="A3110" s="5" t="str">
        <f>B3110&amp;"-"&amp;COUNTIF($B$2:B3110,B3110)</f>
        <v>PARANÁ-324</v>
      </c>
      <c r="B3110" s="5" t="s">
        <v>1921</v>
      </c>
      <c r="C3110" s="5" t="s">
        <v>4090</v>
      </c>
      <c r="D3110" s="6">
        <v>-538827</v>
      </c>
      <c r="E3110" s="6">
        <v>-237652</v>
      </c>
      <c r="F3110" s="7">
        <v>4.891</v>
      </c>
      <c r="G3110" s="7">
        <v>6.1829999999999998</v>
      </c>
      <c r="H3110" s="7">
        <v>5.88</v>
      </c>
      <c r="I3110" s="7">
        <v>5.3470000000000004</v>
      </c>
      <c r="J3110" s="7">
        <v>4.45</v>
      </c>
      <c r="K3110" s="7">
        <v>3.5009999999999999</v>
      </c>
      <c r="L3110" s="7">
        <v>3.1219999999999999</v>
      </c>
      <c r="M3110" s="7">
        <v>3.3119999999999998</v>
      </c>
      <c r="N3110" s="7">
        <v>4.3120000000000003</v>
      </c>
      <c r="O3110" s="7">
        <v>4.5750000000000002</v>
      </c>
      <c r="P3110" s="7">
        <v>5.3689999999999998</v>
      </c>
      <c r="Q3110" s="7">
        <v>6.1340000000000003</v>
      </c>
      <c r="R3110" s="7">
        <v>6.5149999999999997</v>
      </c>
      <c r="S3110" s="7">
        <f t="shared" si="48"/>
        <v>4.8916666666666666</v>
      </c>
    </row>
    <row r="3111" spans="1:19">
      <c r="A3111" s="5" t="str">
        <f>B3111&amp;"-"&amp;COUNTIF($B$2:B3111,B3111)</f>
        <v>PARANÁ-325</v>
      </c>
      <c r="B3111" s="5" t="s">
        <v>1921</v>
      </c>
      <c r="C3111" s="5" t="s">
        <v>4091</v>
      </c>
      <c r="D3111" s="6">
        <v>-529135</v>
      </c>
      <c r="E3111" s="6">
        <v>-256995</v>
      </c>
      <c r="F3111" s="7">
        <v>4.75</v>
      </c>
      <c r="G3111" s="7">
        <v>6.3040000000000003</v>
      </c>
      <c r="H3111" s="7">
        <v>5.7350000000000003</v>
      </c>
      <c r="I3111" s="7">
        <v>5.2439999999999998</v>
      </c>
      <c r="J3111" s="7">
        <v>4.2869999999999999</v>
      </c>
      <c r="K3111" s="7">
        <v>3.28</v>
      </c>
      <c r="L3111" s="7">
        <v>2.835</v>
      </c>
      <c r="M3111" s="7">
        <v>3.0790000000000002</v>
      </c>
      <c r="N3111" s="7">
        <v>4.0789999999999997</v>
      </c>
      <c r="O3111" s="7">
        <v>4.2930000000000001</v>
      </c>
      <c r="P3111" s="7">
        <v>5.2519999999999998</v>
      </c>
      <c r="Q3111" s="7">
        <v>6.1879999999999997</v>
      </c>
      <c r="R3111" s="7">
        <v>6.4189999999999996</v>
      </c>
      <c r="S3111" s="7">
        <f t="shared" si="48"/>
        <v>4.7495833333333337</v>
      </c>
    </row>
    <row r="3112" spans="1:19">
      <c r="A3112" s="5" t="str">
        <f>B3112&amp;"-"&amp;COUNTIF($B$2:B3112,B3112)</f>
        <v>PARANÁ-326</v>
      </c>
      <c r="B3112" s="5" t="s">
        <v>1921</v>
      </c>
      <c r="C3112" s="5" t="s">
        <v>4421</v>
      </c>
      <c r="D3112" s="6">
        <v>-496519</v>
      </c>
      <c r="E3112" s="6">
        <v>-23916</v>
      </c>
      <c r="F3112" s="7">
        <v>4.7530000000000001</v>
      </c>
      <c r="G3112" s="7">
        <v>5.6989999999999998</v>
      </c>
      <c r="H3112" s="7">
        <v>5.7089999999999996</v>
      </c>
      <c r="I3112" s="7">
        <v>5.0549999999999997</v>
      </c>
      <c r="J3112" s="7">
        <v>4.4210000000000003</v>
      </c>
      <c r="K3112" s="7">
        <v>3.516</v>
      </c>
      <c r="L3112" s="7">
        <v>3.141</v>
      </c>
      <c r="M3112" s="7">
        <v>3.3740000000000001</v>
      </c>
      <c r="N3112" s="7">
        <v>4.3680000000000003</v>
      </c>
      <c r="O3112" s="7">
        <v>4.5519999999999996</v>
      </c>
      <c r="P3112" s="7">
        <v>5.1459999999999999</v>
      </c>
      <c r="Q3112" s="7">
        <v>5.8520000000000003</v>
      </c>
      <c r="R3112" s="7">
        <v>6.1980000000000004</v>
      </c>
      <c r="S3112" s="7">
        <f t="shared" si="48"/>
        <v>4.7525833333333329</v>
      </c>
    </row>
    <row r="3113" spans="1:19">
      <c r="A3113" s="5" t="str">
        <f>B3113&amp;"-"&amp;COUNTIF($B$2:B3113,B3113)</f>
        <v>PARANÁ-327</v>
      </c>
      <c r="B3113" s="5" t="s">
        <v>1921</v>
      </c>
      <c r="C3113" s="5" t="s">
        <v>4422</v>
      </c>
      <c r="D3113" s="6">
        <v>-540577</v>
      </c>
      <c r="E3113" s="6">
        <v>-248373</v>
      </c>
      <c r="F3113" s="7">
        <v>4.7930000000000001</v>
      </c>
      <c r="G3113" s="7">
        <v>6.26</v>
      </c>
      <c r="H3113" s="7">
        <v>5.7060000000000004</v>
      </c>
      <c r="I3113" s="7">
        <v>5.3330000000000002</v>
      </c>
      <c r="J3113" s="7">
        <v>4.2629999999999999</v>
      </c>
      <c r="K3113" s="7">
        <v>3.319</v>
      </c>
      <c r="L3113" s="7">
        <v>2.9409999999999998</v>
      </c>
      <c r="M3113" s="7">
        <v>3.1579999999999999</v>
      </c>
      <c r="N3113" s="7">
        <v>4.1589999999999998</v>
      </c>
      <c r="O3113" s="7">
        <v>4.4059999999999997</v>
      </c>
      <c r="P3113" s="7">
        <v>5.2949999999999999</v>
      </c>
      <c r="Q3113" s="7">
        <v>6.1449999999999996</v>
      </c>
      <c r="R3113" s="7">
        <v>6.5259999999999998</v>
      </c>
      <c r="S3113" s="7">
        <f t="shared" si="48"/>
        <v>4.792583333333333</v>
      </c>
    </row>
    <row r="3114" spans="1:19">
      <c r="A3114" s="5" t="str">
        <f>B3114&amp;"-"&amp;COUNTIF($B$2:B3114,B3114)</f>
        <v>PARANÁ-328</v>
      </c>
      <c r="B3114" s="5" t="s">
        <v>1921</v>
      </c>
      <c r="C3114" s="5" t="s">
        <v>4423</v>
      </c>
      <c r="D3114" s="6">
        <v>-492035</v>
      </c>
      <c r="E3114" s="6">
        <v>-255318</v>
      </c>
      <c r="F3114" s="7">
        <v>4.2009999999999996</v>
      </c>
      <c r="G3114" s="7">
        <v>5.3419999999999996</v>
      </c>
      <c r="H3114" s="7">
        <v>5.1509999999999998</v>
      </c>
      <c r="I3114" s="7">
        <v>4.4969999999999999</v>
      </c>
      <c r="J3114" s="7">
        <v>3.7930000000000001</v>
      </c>
      <c r="K3114" s="7">
        <v>3.0619999999999998</v>
      </c>
      <c r="L3114" s="7">
        <v>2.7480000000000002</v>
      </c>
      <c r="M3114" s="7">
        <v>2.895</v>
      </c>
      <c r="N3114" s="7">
        <v>3.8519999999999999</v>
      </c>
      <c r="O3114" s="7">
        <v>3.84</v>
      </c>
      <c r="P3114" s="7">
        <v>4.4080000000000004</v>
      </c>
      <c r="Q3114" s="7">
        <v>5.2640000000000002</v>
      </c>
      <c r="R3114" s="7">
        <v>5.5570000000000004</v>
      </c>
      <c r="S3114" s="7">
        <f t="shared" si="48"/>
        <v>4.2007500000000002</v>
      </c>
    </row>
    <row r="3115" spans="1:19">
      <c r="A3115" s="5" t="str">
        <f>B3115&amp;"-"&amp;COUNTIF($B$2:B3115,B3115)</f>
        <v>PARANÁ-329</v>
      </c>
      <c r="B3115" s="5" t="s">
        <v>1921</v>
      </c>
      <c r="C3115" s="5" t="s">
        <v>5674</v>
      </c>
      <c r="D3115" s="6">
        <v>-526458</v>
      </c>
      <c r="E3115" s="6">
        <v>-233946</v>
      </c>
      <c r="F3115" s="7">
        <v>4.9340000000000002</v>
      </c>
      <c r="G3115" s="7">
        <v>6.0380000000000003</v>
      </c>
      <c r="H3115" s="7">
        <v>5.8659999999999997</v>
      </c>
      <c r="I3115" s="7">
        <v>5.37</v>
      </c>
      <c r="J3115" s="7">
        <v>4.5679999999999996</v>
      </c>
      <c r="K3115" s="7">
        <v>3.6019999999999999</v>
      </c>
      <c r="L3115" s="7">
        <v>3.254</v>
      </c>
      <c r="M3115" s="7">
        <v>3.4689999999999999</v>
      </c>
      <c r="N3115" s="7">
        <v>4.4080000000000004</v>
      </c>
      <c r="O3115" s="7">
        <v>4.6459999999999999</v>
      </c>
      <c r="P3115" s="7">
        <v>5.399</v>
      </c>
      <c r="Q3115" s="7">
        <v>6.117</v>
      </c>
      <c r="R3115" s="7">
        <v>6.4720000000000004</v>
      </c>
      <c r="S3115" s="7">
        <f t="shared" si="48"/>
        <v>4.9340833333333336</v>
      </c>
    </row>
    <row r="3116" spans="1:19">
      <c r="A3116" s="5" t="str">
        <f>B3116&amp;"-"&amp;COUNTIF($B$2:B3116,B3116)</f>
        <v>PARANÁ-330</v>
      </c>
      <c r="B3116" s="5" t="s">
        <v>1921</v>
      </c>
      <c r="C3116" s="5" t="s">
        <v>4092</v>
      </c>
      <c r="D3116" s="6">
        <v>-503844</v>
      </c>
      <c r="E3116" s="6">
        <v>-258681</v>
      </c>
      <c r="F3116" s="7">
        <v>4.1479999999999997</v>
      </c>
      <c r="G3116" s="7">
        <v>5.3979999999999997</v>
      </c>
      <c r="H3116" s="7">
        <v>5.0739999999999998</v>
      </c>
      <c r="I3116" s="7">
        <v>4.5170000000000003</v>
      </c>
      <c r="J3116" s="7">
        <v>3.5790000000000002</v>
      </c>
      <c r="K3116" s="7">
        <v>2.9009999999999998</v>
      </c>
      <c r="L3116" s="7">
        <v>2.5169999999999999</v>
      </c>
      <c r="M3116" s="7">
        <v>2.7570000000000001</v>
      </c>
      <c r="N3116" s="7">
        <v>3.7480000000000002</v>
      </c>
      <c r="O3116" s="7">
        <v>3.863</v>
      </c>
      <c r="P3116" s="7">
        <v>4.4740000000000002</v>
      </c>
      <c r="Q3116" s="7">
        <v>5.3869999999999996</v>
      </c>
      <c r="R3116" s="7">
        <v>5.5579999999999998</v>
      </c>
      <c r="S3116" s="7">
        <f t="shared" si="48"/>
        <v>4.1477500000000003</v>
      </c>
    </row>
    <row r="3117" spans="1:19">
      <c r="A3117" s="5" t="str">
        <f>B3117&amp;"-"&amp;COUNTIF($B$2:B3117,B3117)</f>
        <v>PARANÁ-331</v>
      </c>
      <c r="B3117" s="5" t="s">
        <v>1921</v>
      </c>
      <c r="C3117" s="5" t="s">
        <v>4729</v>
      </c>
      <c r="D3117" s="6">
        <v>-54241</v>
      </c>
      <c r="E3117" s="6">
        <v>-253496</v>
      </c>
      <c r="F3117" s="7">
        <v>4.7709999999999999</v>
      </c>
      <c r="G3117" s="7">
        <v>6.3689999999999998</v>
      </c>
      <c r="H3117" s="7">
        <v>5.8040000000000003</v>
      </c>
      <c r="I3117" s="7">
        <v>5.3109999999999999</v>
      </c>
      <c r="J3117" s="7">
        <v>4.2469999999999999</v>
      </c>
      <c r="K3117" s="7">
        <v>3.2759999999999998</v>
      </c>
      <c r="L3117" s="7">
        <v>2.839</v>
      </c>
      <c r="M3117" s="7">
        <v>3.0539999999999998</v>
      </c>
      <c r="N3117" s="7">
        <v>4.024</v>
      </c>
      <c r="O3117" s="7">
        <v>4.3049999999999997</v>
      </c>
      <c r="P3117" s="7">
        <v>5.2510000000000003</v>
      </c>
      <c r="Q3117" s="7">
        <v>6.1360000000000001</v>
      </c>
      <c r="R3117" s="7">
        <v>6.6349999999999998</v>
      </c>
      <c r="S3117" s="7">
        <f t="shared" si="48"/>
        <v>4.7709166666666665</v>
      </c>
    </row>
    <row r="3118" spans="1:19">
      <c r="A3118" s="5" t="str">
        <f>B3118&amp;"-"&amp;COUNTIF($B$2:B3118,B3118)</f>
        <v>PARANÁ-332</v>
      </c>
      <c r="B3118" s="5" t="s">
        <v>1921</v>
      </c>
      <c r="C3118" s="5" t="s">
        <v>4730</v>
      </c>
      <c r="D3118" s="6">
        <v>-538526</v>
      </c>
      <c r="E3118" s="6">
        <v>-249378</v>
      </c>
      <c r="F3118" s="7">
        <v>4.7679999999999998</v>
      </c>
      <c r="G3118" s="7">
        <v>6.2919999999999998</v>
      </c>
      <c r="H3118" s="7">
        <v>5.6779999999999999</v>
      </c>
      <c r="I3118" s="7">
        <v>5.1929999999999996</v>
      </c>
      <c r="J3118" s="7">
        <v>4.2539999999999996</v>
      </c>
      <c r="K3118" s="7">
        <v>3.3290000000000002</v>
      </c>
      <c r="L3118" s="7">
        <v>2.9420000000000002</v>
      </c>
      <c r="M3118" s="7">
        <v>3.1819999999999999</v>
      </c>
      <c r="N3118" s="7">
        <v>4.1849999999999996</v>
      </c>
      <c r="O3118" s="7">
        <v>4.3840000000000003</v>
      </c>
      <c r="P3118" s="7">
        <v>5.22</v>
      </c>
      <c r="Q3118" s="7">
        <v>6.0640000000000001</v>
      </c>
      <c r="R3118" s="7">
        <v>6.4939999999999998</v>
      </c>
      <c r="S3118" s="7">
        <f t="shared" si="48"/>
        <v>4.7680833333333323</v>
      </c>
    </row>
    <row r="3119" spans="1:19">
      <c r="A3119" s="5" t="str">
        <f>B3119&amp;"-"&amp;COUNTIF($B$2:B3119,B3119)</f>
        <v>PARANÁ-333</v>
      </c>
      <c r="B3119" s="5" t="s">
        <v>1921</v>
      </c>
      <c r="C3119" s="5" t="s">
        <v>4093</v>
      </c>
      <c r="D3119" s="6">
        <v>-518572</v>
      </c>
      <c r="E3119" s="6">
        <v>-238639</v>
      </c>
      <c r="F3119" s="7">
        <v>4.8920000000000003</v>
      </c>
      <c r="G3119" s="7">
        <v>6.069</v>
      </c>
      <c r="H3119" s="7">
        <v>5.7919999999999998</v>
      </c>
      <c r="I3119" s="7">
        <v>5.319</v>
      </c>
      <c r="J3119" s="7">
        <v>4.5810000000000004</v>
      </c>
      <c r="K3119" s="7">
        <v>3.5739999999999998</v>
      </c>
      <c r="L3119" s="7">
        <v>3.2069999999999999</v>
      </c>
      <c r="M3119" s="7">
        <v>3.4249999999999998</v>
      </c>
      <c r="N3119" s="7">
        <v>4.4000000000000004</v>
      </c>
      <c r="O3119" s="7">
        <v>4.5789999999999997</v>
      </c>
      <c r="P3119" s="7">
        <v>5.2610000000000001</v>
      </c>
      <c r="Q3119" s="7">
        <v>6.0970000000000004</v>
      </c>
      <c r="R3119" s="7">
        <v>6.3970000000000002</v>
      </c>
      <c r="S3119" s="7">
        <f t="shared" si="48"/>
        <v>4.8917500000000009</v>
      </c>
    </row>
    <row r="3120" spans="1:19">
      <c r="A3120" s="5" t="str">
        <f>B3120&amp;"-"&amp;COUNTIF($B$2:B3120,B3120)</f>
        <v>PARANÁ-334</v>
      </c>
      <c r="B3120" s="5" t="s">
        <v>1921</v>
      </c>
      <c r="C3120" s="5" t="s">
        <v>5675</v>
      </c>
      <c r="D3120" s="6">
        <v>-532225</v>
      </c>
      <c r="E3120" s="6">
        <v>-228243</v>
      </c>
      <c r="F3120" s="7">
        <v>4.9950000000000001</v>
      </c>
      <c r="G3120" s="7">
        <v>6.0289999999999999</v>
      </c>
      <c r="H3120" s="7">
        <v>5.9880000000000004</v>
      </c>
      <c r="I3120" s="7">
        <v>5.4690000000000003</v>
      </c>
      <c r="J3120" s="7">
        <v>4.6639999999999997</v>
      </c>
      <c r="K3120" s="7">
        <v>3.69</v>
      </c>
      <c r="L3120" s="7">
        <v>3.3530000000000002</v>
      </c>
      <c r="M3120" s="7">
        <v>3.52</v>
      </c>
      <c r="N3120" s="7">
        <v>4.4249999999999998</v>
      </c>
      <c r="O3120" s="7">
        <v>4.694</v>
      </c>
      <c r="P3120" s="7">
        <v>5.4359999999999999</v>
      </c>
      <c r="Q3120" s="7">
        <v>6.1479999999999997</v>
      </c>
      <c r="R3120" s="7">
        <v>6.5279999999999996</v>
      </c>
      <c r="S3120" s="7">
        <f t="shared" si="48"/>
        <v>4.995333333333333</v>
      </c>
    </row>
    <row r="3121" spans="1:19">
      <c r="A3121" s="5" t="str">
        <f>B3121&amp;"-"&amp;COUNTIF($B$2:B3121,B3121)</f>
        <v>PARANÁ-335</v>
      </c>
      <c r="B3121" s="5" t="s">
        <v>1921</v>
      </c>
      <c r="C3121" s="5" t="s">
        <v>4094</v>
      </c>
      <c r="D3121" s="6">
        <v>-50763</v>
      </c>
      <c r="E3121" s="6">
        <v>-234661</v>
      </c>
      <c r="F3121" s="7">
        <v>4.8860000000000001</v>
      </c>
      <c r="G3121" s="7">
        <v>5.9059999999999997</v>
      </c>
      <c r="H3121" s="7">
        <v>5.74</v>
      </c>
      <c r="I3121" s="7">
        <v>5.1630000000000003</v>
      </c>
      <c r="J3121" s="7">
        <v>4.5839999999999996</v>
      </c>
      <c r="K3121" s="7">
        <v>3.6440000000000001</v>
      </c>
      <c r="L3121" s="7">
        <v>3.3460000000000001</v>
      </c>
      <c r="M3121" s="7">
        <v>3.5419999999999998</v>
      </c>
      <c r="N3121" s="7">
        <v>4.4960000000000004</v>
      </c>
      <c r="O3121" s="7">
        <v>4.6509999999999998</v>
      </c>
      <c r="P3121" s="7">
        <v>5.2709999999999999</v>
      </c>
      <c r="Q3121" s="7">
        <v>5.9889999999999999</v>
      </c>
      <c r="R3121" s="7">
        <v>6.298</v>
      </c>
      <c r="S3121" s="7">
        <f t="shared" si="48"/>
        <v>4.8858333333333333</v>
      </c>
    </row>
    <row r="3122" spans="1:19">
      <c r="A3122" s="5" t="str">
        <f>B3122&amp;"-"&amp;COUNTIF($B$2:B3122,B3122)</f>
        <v>PARANÁ-336</v>
      </c>
      <c r="B3122" s="5" t="s">
        <v>1921</v>
      </c>
      <c r="C3122" s="5" t="s">
        <v>4424</v>
      </c>
      <c r="D3122" s="6">
        <v>-525906</v>
      </c>
      <c r="E3122" s="6">
        <v>-235354</v>
      </c>
      <c r="F3122" s="7">
        <v>4.9290000000000003</v>
      </c>
      <c r="G3122" s="7">
        <v>6.0549999999999997</v>
      </c>
      <c r="H3122" s="7">
        <v>5.8410000000000002</v>
      </c>
      <c r="I3122" s="7">
        <v>5.319</v>
      </c>
      <c r="J3122" s="7">
        <v>4.5570000000000004</v>
      </c>
      <c r="K3122" s="7">
        <v>3.6139999999999999</v>
      </c>
      <c r="L3122" s="7">
        <v>3.2549999999999999</v>
      </c>
      <c r="M3122" s="7">
        <v>3.4769999999999999</v>
      </c>
      <c r="N3122" s="7">
        <v>4.4000000000000004</v>
      </c>
      <c r="O3122" s="7">
        <v>4.6470000000000002</v>
      </c>
      <c r="P3122" s="7">
        <v>5.3769999999999998</v>
      </c>
      <c r="Q3122" s="7">
        <v>6.1189999999999998</v>
      </c>
      <c r="R3122" s="7">
        <v>6.4859999999999998</v>
      </c>
      <c r="S3122" s="7">
        <f t="shared" si="48"/>
        <v>4.9289166666666659</v>
      </c>
    </row>
    <row r="3123" spans="1:19">
      <c r="A3123" s="5" t="str">
        <f>B3123&amp;"-"&amp;COUNTIF($B$2:B3123,B3123)</f>
        <v>PARANÁ-337</v>
      </c>
      <c r="B3123" s="5" t="s">
        <v>1921</v>
      </c>
      <c r="C3123" s="5" t="s">
        <v>5676</v>
      </c>
      <c r="D3123" s="6">
        <v>-515554</v>
      </c>
      <c r="E3123" s="6">
        <v>-23316</v>
      </c>
      <c r="F3123" s="7">
        <v>4.9279999999999999</v>
      </c>
      <c r="G3123" s="7">
        <v>5.9249999999999998</v>
      </c>
      <c r="H3123" s="7">
        <v>5.7889999999999997</v>
      </c>
      <c r="I3123" s="7">
        <v>5.3010000000000002</v>
      </c>
      <c r="J3123" s="7">
        <v>4.6349999999999998</v>
      </c>
      <c r="K3123" s="7">
        <v>3.6539999999999999</v>
      </c>
      <c r="L3123" s="7">
        <v>3.387</v>
      </c>
      <c r="M3123" s="7">
        <v>3.57</v>
      </c>
      <c r="N3123" s="7">
        <v>4.4909999999999997</v>
      </c>
      <c r="O3123" s="7">
        <v>4.6849999999999996</v>
      </c>
      <c r="P3123" s="7">
        <v>5.3550000000000004</v>
      </c>
      <c r="Q3123" s="7">
        <v>6.0339999999999998</v>
      </c>
      <c r="R3123" s="7">
        <v>6.3129999999999997</v>
      </c>
      <c r="S3123" s="7">
        <f t="shared" si="48"/>
        <v>4.9282500000000002</v>
      </c>
    </row>
    <row r="3124" spans="1:19">
      <c r="A3124" s="5" t="str">
        <f>B3124&amp;"-"&amp;COUNTIF($B$2:B3124,B3124)</f>
        <v>PARANÁ-338</v>
      </c>
      <c r="B3124" s="5" t="s">
        <v>1921</v>
      </c>
      <c r="C3124" s="5" t="s">
        <v>2106</v>
      </c>
      <c r="D3124" s="6">
        <v>-533636</v>
      </c>
      <c r="E3124" s="6">
        <v>-261781</v>
      </c>
      <c r="F3124" s="7">
        <v>4.7110000000000003</v>
      </c>
      <c r="G3124" s="7">
        <v>6.3339999999999996</v>
      </c>
      <c r="H3124" s="7">
        <v>5.7160000000000002</v>
      </c>
      <c r="I3124" s="7">
        <v>5.1630000000000003</v>
      </c>
      <c r="J3124" s="7">
        <v>4.1980000000000004</v>
      </c>
      <c r="K3124" s="7">
        <v>3.2530000000000001</v>
      </c>
      <c r="L3124" s="7">
        <v>2.78</v>
      </c>
      <c r="M3124" s="7">
        <v>3.1</v>
      </c>
      <c r="N3124" s="7">
        <v>4.0289999999999999</v>
      </c>
      <c r="O3124" s="7">
        <v>4.2690000000000001</v>
      </c>
      <c r="P3124" s="7">
        <v>5.2220000000000004</v>
      </c>
      <c r="Q3124" s="7">
        <v>6.1239999999999997</v>
      </c>
      <c r="R3124" s="7">
        <v>6.3380000000000001</v>
      </c>
      <c r="S3124" s="7">
        <f t="shared" si="48"/>
        <v>4.7105000000000006</v>
      </c>
    </row>
    <row r="3125" spans="1:19">
      <c r="A3125" s="5" t="str">
        <f>B3125&amp;"-"&amp;COUNTIF($B$2:B3125,B3125)</f>
        <v>PARANÁ-339</v>
      </c>
      <c r="B3125" s="5" t="s">
        <v>1921</v>
      </c>
      <c r="C3125" s="5" t="s">
        <v>4425</v>
      </c>
      <c r="D3125" s="6">
        <v>-496358</v>
      </c>
      <c r="E3125" s="6">
        <v>-236078</v>
      </c>
      <c r="F3125" s="7">
        <v>4.8369999999999997</v>
      </c>
      <c r="G3125" s="7">
        <v>5.7450000000000001</v>
      </c>
      <c r="H3125" s="7">
        <v>5.8470000000000004</v>
      </c>
      <c r="I3125" s="7">
        <v>5.1970000000000001</v>
      </c>
      <c r="J3125" s="7">
        <v>4.5170000000000003</v>
      </c>
      <c r="K3125" s="7">
        <v>3.5390000000000001</v>
      </c>
      <c r="L3125" s="7">
        <v>3.2029999999999998</v>
      </c>
      <c r="M3125" s="7">
        <v>3.423</v>
      </c>
      <c r="N3125" s="7">
        <v>4.431</v>
      </c>
      <c r="O3125" s="7">
        <v>4.6130000000000004</v>
      </c>
      <c r="P3125" s="7">
        <v>5.2649999999999997</v>
      </c>
      <c r="Q3125" s="7">
        <v>5.9059999999999997</v>
      </c>
      <c r="R3125" s="7">
        <v>6.3579999999999997</v>
      </c>
      <c r="S3125" s="7">
        <f t="shared" si="48"/>
        <v>4.8369999999999997</v>
      </c>
    </row>
    <row r="3126" spans="1:19">
      <c r="A3126" s="5" t="str">
        <f>B3126&amp;"-"&amp;COUNTIF($B$2:B3126,B3126)</f>
        <v>PARANÁ-340</v>
      </c>
      <c r="B3126" s="5" t="s">
        <v>1921</v>
      </c>
      <c r="C3126" s="5" t="s">
        <v>2107</v>
      </c>
      <c r="D3126" s="6">
        <v>-53314</v>
      </c>
      <c r="E3126" s="6">
        <v>-257817</v>
      </c>
      <c r="F3126" s="7">
        <v>4.7850000000000001</v>
      </c>
      <c r="G3126" s="7">
        <v>6.3890000000000002</v>
      </c>
      <c r="H3126" s="7">
        <v>5.8529999999999998</v>
      </c>
      <c r="I3126" s="7">
        <v>5.25</v>
      </c>
      <c r="J3126" s="7">
        <v>4.274</v>
      </c>
      <c r="K3126" s="7">
        <v>3.302</v>
      </c>
      <c r="L3126" s="7">
        <v>2.8570000000000002</v>
      </c>
      <c r="M3126" s="7">
        <v>3.1120000000000001</v>
      </c>
      <c r="N3126" s="7">
        <v>4.1059999999999999</v>
      </c>
      <c r="O3126" s="7">
        <v>4.29</v>
      </c>
      <c r="P3126" s="7">
        <v>5.3</v>
      </c>
      <c r="Q3126" s="7">
        <v>6.173</v>
      </c>
      <c r="R3126" s="7">
        <v>6.5179999999999998</v>
      </c>
      <c r="S3126" s="7">
        <f t="shared" si="48"/>
        <v>4.785333333333333</v>
      </c>
    </row>
    <row r="3127" spans="1:19">
      <c r="A3127" s="5" t="str">
        <f>B3127&amp;"-"&amp;COUNTIF($B$2:B3127,B3127)</f>
        <v>PARANÁ-341</v>
      </c>
      <c r="B3127" s="5" t="s">
        <v>1921</v>
      </c>
      <c r="C3127" s="5" t="s">
        <v>4426</v>
      </c>
      <c r="D3127" s="6">
        <v>-504292</v>
      </c>
      <c r="E3127" s="6">
        <v>-232659</v>
      </c>
      <c r="F3127" s="7">
        <v>4.923</v>
      </c>
      <c r="G3127" s="7">
        <v>5.9180000000000001</v>
      </c>
      <c r="H3127" s="7">
        <v>5.8289999999999997</v>
      </c>
      <c r="I3127" s="7">
        <v>5.1890000000000001</v>
      </c>
      <c r="J3127" s="7">
        <v>4.6040000000000001</v>
      </c>
      <c r="K3127" s="7">
        <v>3.6749999999999998</v>
      </c>
      <c r="L3127" s="7">
        <v>3.359</v>
      </c>
      <c r="M3127" s="7">
        <v>3.5760000000000001</v>
      </c>
      <c r="N3127" s="7">
        <v>4.556</v>
      </c>
      <c r="O3127" s="7">
        <v>4.7190000000000003</v>
      </c>
      <c r="P3127" s="7">
        <v>5.3479999999999999</v>
      </c>
      <c r="Q3127" s="7">
        <v>5.9610000000000003</v>
      </c>
      <c r="R3127" s="7">
        <v>6.3410000000000002</v>
      </c>
      <c r="S3127" s="7">
        <f t="shared" si="48"/>
        <v>4.9229166666666666</v>
      </c>
    </row>
    <row r="3128" spans="1:19">
      <c r="A3128" s="5" t="str">
        <f>B3128&amp;"-"&amp;COUNTIF($B$2:B3128,B3128)</f>
        <v>PARANÁ-342</v>
      </c>
      <c r="B3128" s="5" t="s">
        <v>1921</v>
      </c>
      <c r="C3128" s="5" t="s">
        <v>4095</v>
      </c>
      <c r="D3128" s="6">
        <v>-507839</v>
      </c>
      <c r="E3128" s="6">
        <v>-23517</v>
      </c>
      <c r="F3128" s="7">
        <v>4.8860000000000001</v>
      </c>
      <c r="G3128" s="7">
        <v>5.9059999999999997</v>
      </c>
      <c r="H3128" s="7">
        <v>5.74</v>
      </c>
      <c r="I3128" s="7">
        <v>5.1630000000000003</v>
      </c>
      <c r="J3128" s="7">
        <v>4.5839999999999996</v>
      </c>
      <c r="K3128" s="7">
        <v>3.6440000000000001</v>
      </c>
      <c r="L3128" s="7">
        <v>3.3460000000000001</v>
      </c>
      <c r="M3128" s="7">
        <v>3.5419999999999998</v>
      </c>
      <c r="N3128" s="7">
        <v>4.4960000000000004</v>
      </c>
      <c r="O3128" s="7">
        <v>4.6509999999999998</v>
      </c>
      <c r="P3128" s="7">
        <v>5.2709999999999999</v>
      </c>
      <c r="Q3128" s="7">
        <v>5.9889999999999999</v>
      </c>
      <c r="R3128" s="7">
        <v>6.298</v>
      </c>
      <c r="S3128" s="7">
        <f t="shared" si="48"/>
        <v>4.8858333333333333</v>
      </c>
    </row>
    <row r="3129" spans="1:19">
      <c r="A3129" s="5" t="str">
        <f>B3129&amp;"-"&amp;COUNTIF($B$2:B3129,B3129)</f>
        <v>PARANÁ-343</v>
      </c>
      <c r="B3129" s="5" t="s">
        <v>1921</v>
      </c>
      <c r="C3129" s="5" t="s">
        <v>2108</v>
      </c>
      <c r="D3129" s="6">
        <v>-532946</v>
      </c>
      <c r="E3129" s="6">
        <v>-229579</v>
      </c>
      <c r="F3129" s="7">
        <v>4.9720000000000004</v>
      </c>
      <c r="G3129" s="7">
        <v>5.9370000000000003</v>
      </c>
      <c r="H3129" s="7">
        <v>5.923</v>
      </c>
      <c r="I3129" s="7">
        <v>5.4240000000000004</v>
      </c>
      <c r="J3129" s="7">
        <v>4.6269999999999998</v>
      </c>
      <c r="K3129" s="7">
        <v>3.6779999999999999</v>
      </c>
      <c r="L3129" s="7">
        <v>3.3210000000000002</v>
      </c>
      <c r="M3129" s="7">
        <v>3.5129999999999999</v>
      </c>
      <c r="N3129" s="7">
        <v>4.4560000000000004</v>
      </c>
      <c r="O3129" s="7">
        <v>4.718</v>
      </c>
      <c r="P3129" s="7">
        <v>5.4390000000000001</v>
      </c>
      <c r="Q3129" s="7">
        <v>6.1550000000000002</v>
      </c>
      <c r="R3129" s="7">
        <v>6.4770000000000003</v>
      </c>
      <c r="S3129" s="7">
        <f t="shared" si="48"/>
        <v>4.9723333333333342</v>
      </c>
    </row>
    <row r="3130" spans="1:19">
      <c r="A3130" s="5" t="str">
        <f>B3130&amp;"-"&amp;COUNTIF($B$2:B3130,B3130)</f>
        <v>PARANÁ-344</v>
      </c>
      <c r="B3130" s="5" t="s">
        <v>1921</v>
      </c>
      <c r="C3130" s="5" t="s">
        <v>4427</v>
      </c>
      <c r="D3130" s="6">
        <v>-518084</v>
      </c>
      <c r="E3130" s="6">
        <v>-230405</v>
      </c>
      <c r="F3130" s="7">
        <v>5.0010000000000003</v>
      </c>
      <c r="G3130" s="7">
        <v>5.9139999999999997</v>
      </c>
      <c r="H3130" s="7">
        <v>5.9390000000000001</v>
      </c>
      <c r="I3130" s="7">
        <v>5.42</v>
      </c>
      <c r="J3130" s="7">
        <v>4.6689999999999996</v>
      </c>
      <c r="K3130" s="7">
        <v>3.6930000000000001</v>
      </c>
      <c r="L3130" s="7">
        <v>3.423</v>
      </c>
      <c r="M3130" s="7">
        <v>3.5950000000000002</v>
      </c>
      <c r="N3130" s="7">
        <v>4.569</v>
      </c>
      <c r="O3130" s="7">
        <v>4.75</v>
      </c>
      <c r="P3130" s="7">
        <v>5.4720000000000004</v>
      </c>
      <c r="Q3130" s="7">
        <v>6.149</v>
      </c>
      <c r="R3130" s="7">
        <v>6.42</v>
      </c>
      <c r="S3130" s="7">
        <f t="shared" si="48"/>
        <v>5.0010833333333338</v>
      </c>
    </row>
    <row r="3131" spans="1:19">
      <c r="A3131" s="5" t="str">
        <f>B3131&amp;"-"&amp;COUNTIF($B$2:B3131,B3131)</f>
        <v>PARANÁ-345</v>
      </c>
      <c r="B3131" s="5" t="s">
        <v>1921</v>
      </c>
      <c r="C3131" s="5" t="s">
        <v>974</v>
      </c>
      <c r="D3131" s="6">
        <v>-543365</v>
      </c>
      <c r="E3131" s="6">
        <v>-24859</v>
      </c>
      <c r="F3131" s="7">
        <v>4.8360000000000003</v>
      </c>
      <c r="G3131" s="7">
        <v>6.423</v>
      </c>
      <c r="H3131" s="7">
        <v>5.9550000000000001</v>
      </c>
      <c r="I3131" s="7">
        <v>5.4039999999999999</v>
      </c>
      <c r="J3131" s="7">
        <v>4.2869999999999999</v>
      </c>
      <c r="K3131" s="7">
        <v>3.302</v>
      </c>
      <c r="L3131" s="7">
        <v>2.9049999999999998</v>
      </c>
      <c r="M3131" s="7">
        <v>3.113</v>
      </c>
      <c r="N3131" s="7">
        <v>4.0759999999999996</v>
      </c>
      <c r="O3131" s="7">
        <v>4.3499999999999996</v>
      </c>
      <c r="P3131" s="7">
        <v>5.3479999999999999</v>
      </c>
      <c r="Q3131" s="7">
        <v>6.1929999999999996</v>
      </c>
      <c r="R3131" s="7">
        <v>6.6710000000000003</v>
      </c>
      <c r="S3131" s="7">
        <f t="shared" si="48"/>
        <v>4.8355833333333331</v>
      </c>
    </row>
    <row r="3132" spans="1:19">
      <c r="A3132" s="5" t="str">
        <f>B3132&amp;"-"&amp;COUNTIF($B$2:B3132,B3132)</f>
        <v>PARANÁ-346</v>
      </c>
      <c r="B3132" s="5" t="s">
        <v>1921</v>
      </c>
      <c r="C3132" s="5" t="s">
        <v>5281</v>
      </c>
      <c r="D3132" s="6">
        <v>-519029</v>
      </c>
      <c r="E3132" s="6">
        <v>-226407</v>
      </c>
      <c r="F3132" s="7">
        <v>5.0460000000000003</v>
      </c>
      <c r="G3132" s="7">
        <v>6.0110000000000001</v>
      </c>
      <c r="H3132" s="7">
        <v>5.9969999999999999</v>
      </c>
      <c r="I3132" s="7">
        <v>5.492</v>
      </c>
      <c r="J3132" s="7">
        <v>4.7430000000000003</v>
      </c>
      <c r="K3132" s="7">
        <v>3.7709999999999999</v>
      </c>
      <c r="L3132" s="7">
        <v>3.4609999999999999</v>
      </c>
      <c r="M3132" s="7">
        <v>3.6469999999999998</v>
      </c>
      <c r="N3132" s="7">
        <v>4.5970000000000004</v>
      </c>
      <c r="O3132" s="7">
        <v>4.7530000000000001</v>
      </c>
      <c r="P3132" s="7">
        <v>5.4809999999999999</v>
      </c>
      <c r="Q3132" s="7">
        <v>6.1369999999999996</v>
      </c>
      <c r="R3132" s="7">
        <v>6.4619999999999997</v>
      </c>
      <c r="S3132" s="7">
        <f t="shared" si="48"/>
        <v>5.0460000000000003</v>
      </c>
    </row>
    <row r="3133" spans="1:19">
      <c r="A3133" s="5" t="str">
        <f>B3133&amp;"-"&amp;COUNTIF($B$2:B3133,B3133)</f>
        <v>PARANÁ-347</v>
      </c>
      <c r="B3133" s="5" t="s">
        <v>1921</v>
      </c>
      <c r="C3133" s="5" t="s">
        <v>2109</v>
      </c>
      <c r="D3133" s="6">
        <v>-531976</v>
      </c>
      <c r="E3133" s="6">
        <v>-229992</v>
      </c>
      <c r="F3133" s="7">
        <v>4.9610000000000003</v>
      </c>
      <c r="G3133" s="7">
        <v>5.8979999999999997</v>
      </c>
      <c r="H3133" s="7">
        <v>5.8869999999999996</v>
      </c>
      <c r="I3133" s="7">
        <v>5.3970000000000002</v>
      </c>
      <c r="J3133" s="7">
        <v>4.617</v>
      </c>
      <c r="K3133" s="7">
        <v>3.6829999999999998</v>
      </c>
      <c r="L3133" s="7">
        <v>3.319</v>
      </c>
      <c r="M3133" s="7">
        <v>3.5219999999999998</v>
      </c>
      <c r="N3133" s="7">
        <v>4.4710000000000001</v>
      </c>
      <c r="O3133" s="7">
        <v>4.7160000000000002</v>
      </c>
      <c r="P3133" s="7">
        <v>5.4290000000000003</v>
      </c>
      <c r="Q3133" s="7">
        <v>6.1470000000000002</v>
      </c>
      <c r="R3133" s="7">
        <v>6.452</v>
      </c>
      <c r="S3133" s="7">
        <f t="shared" si="48"/>
        <v>4.9615</v>
      </c>
    </row>
    <row r="3134" spans="1:19">
      <c r="A3134" s="5" t="str">
        <f>B3134&amp;"-"&amp;COUNTIF($B$2:B3134,B3134)</f>
        <v>PARANÁ-348</v>
      </c>
      <c r="B3134" s="5" t="s">
        <v>1921</v>
      </c>
      <c r="C3134" s="5" t="s">
        <v>2110</v>
      </c>
      <c r="D3134" s="6">
        <v>-534806</v>
      </c>
      <c r="E3134" s="6">
        <v>-258221</v>
      </c>
      <c r="F3134" s="7">
        <v>4.7809999999999997</v>
      </c>
      <c r="G3134" s="7">
        <v>6.4039999999999999</v>
      </c>
      <c r="H3134" s="7">
        <v>5.8630000000000004</v>
      </c>
      <c r="I3134" s="7">
        <v>5.2569999999999997</v>
      </c>
      <c r="J3134" s="7">
        <v>4.2450000000000001</v>
      </c>
      <c r="K3134" s="7">
        <v>3.3029999999999999</v>
      </c>
      <c r="L3134" s="7">
        <v>2.859</v>
      </c>
      <c r="M3134" s="7">
        <v>3.117</v>
      </c>
      <c r="N3134" s="7">
        <v>4.0890000000000004</v>
      </c>
      <c r="O3134" s="7">
        <v>4.2779999999999996</v>
      </c>
      <c r="P3134" s="7">
        <v>5.282</v>
      </c>
      <c r="Q3134" s="7">
        <v>6.1619999999999999</v>
      </c>
      <c r="R3134" s="7">
        <v>6.5119999999999996</v>
      </c>
      <c r="S3134" s="7">
        <f t="shared" si="48"/>
        <v>4.7809166666666671</v>
      </c>
    </row>
    <row r="3135" spans="1:19">
      <c r="A3135" s="5" t="str">
        <f>B3135&amp;"-"&amp;COUNTIF($B$2:B3135,B3135)</f>
        <v>PARANÁ-349</v>
      </c>
      <c r="B3135" s="5" t="s">
        <v>1921</v>
      </c>
      <c r="C3135" s="5" t="s">
        <v>4862</v>
      </c>
      <c r="D3135" s="6">
        <v>-535642</v>
      </c>
      <c r="E3135" s="6">
        <v>-254108</v>
      </c>
      <c r="F3135" s="7">
        <v>4.7069999999999999</v>
      </c>
      <c r="G3135" s="7">
        <v>6.1470000000000002</v>
      </c>
      <c r="H3135" s="7">
        <v>5.6630000000000003</v>
      </c>
      <c r="I3135" s="7">
        <v>5.1749999999999998</v>
      </c>
      <c r="J3135" s="7">
        <v>4.242</v>
      </c>
      <c r="K3135" s="7">
        <v>3.2909999999999999</v>
      </c>
      <c r="L3135" s="7">
        <v>2.8559999999999999</v>
      </c>
      <c r="M3135" s="7">
        <v>3.0830000000000002</v>
      </c>
      <c r="N3135" s="7">
        <v>4.13</v>
      </c>
      <c r="O3135" s="7">
        <v>4.2679999999999998</v>
      </c>
      <c r="P3135" s="7">
        <v>5.2409999999999997</v>
      </c>
      <c r="Q3135" s="7">
        <v>6.0570000000000004</v>
      </c>
      <c r="R3135" s="7">
        <v>6.3330000000000002</v>
      </c>
      <c r="S3135" s="7">
        <f t="shared" si="48"/>
        <v>4.7071666666666667</v>
      </c>
    </row>
    <row r="3136" spans="1:19">
      <c r="A3136" s="5" t="str">
        <f>B3136&amp;"-"&amp;COUNTIF($B$2:B3136,B3136)</f>
        <v>PARANÁ-350</v>
      </c>
      <c r="B3136" s="5" t="s">
        <v>1921</v>
      </c>
      <c r="C3136" s="5" t="s">
        <v>4567</v>
      </c>
      <c r="D3136" s="6">
        <v>-531107</v>
      </c>
      <c r="E3136" s="6">
        <v>-231085</v>
      </c>
      <c r="F3136" s="7">
        <v>4.9400000000000004</v>
      </c>
      <c r="G3136" s="7">
        <v>5.8949999999999996</v>
      </c>
      <c r="H3136" s="7">
        <v>5.8540000000000001</v>
      </c>
      <c r="I3136" s="7">
        <v>5.4130000000000003</v>
      </c>
      <c r="J3136" s="7">
        <v>4.6109999999999998</v>
      </c>
      <c r="K3136" s="7">
        <v>3.6560000000000001</v>
      </c>
      <c r="L3136" s="7">
        <v>3.2669999999999999</v>
      </c>
      <c r="M3136" s="7">
        <v>3.4950000000000001</v>
      </c>
      <c r="N3136" s="7">
        <v>4.4509999999999996</v>
      </c>
      <c r="O3136" s="7">
        <v>4.6760000000000002</v>
      </c>
      <c r="P3136" s="7">
        <v>5.4169999999999998</v>
      </c>
      <c r="Q3136" s="7">
        <v>6.125</v>
      </c>
      <c r="R3136" s="7">
        <v>6.423</v>
      </c>
      <c r="S3136" s="7">
        <f t="shared" si="48"/>
        <v>4.9402499999999998</v>
      </c>
    </row>
    <row r="3137" spans="1:19">
      <c r="A3137" s="5" t="str">
        <f>B3137&amp;"-"&amp;COUNTIF($B$2:B3137,B3137)</f>
        <v>PARANÁ-351</v>
      </c>
      <c r="B3137" s="5" t="s">
        <v>1921</v>
      </c>
      <c r="C3137" s="5" t="s">
        <v>2111</v>
      </c>
      <c r="D3137" s="5" t="s">
        <v>2112</v>
      </c>
      <c r="E3137" s="6">
        <v>-249382</v>
      </c>
      <c r="F3137" s="7">
        <v>4.6840000000000002</v>
      </c>
      <c r="G3137" s="7">
        <v>5.7949999999999999</v>
      </c>
      <c r="H3137" s="7">
        <v>5.5090000000000003</v>
      </c>
      <c r="I3137" s="7">
        <v>5.069</v>
      </c>
      <c r="J3137" s="7">
        <v>4.2889999999999997</v>
      </c>
      <c r="K3137" s="7">
        <v>3.3719999999999999</v>
      </c>
      <c r="L3137" s="7">
        <v>2.992</v>
      </c>
      <c r="M3137" s="7">
        <v>3.2639999999999998</v>
      </c>
      <c r="N3137" s="7">
        <v>4.2519999999999998</v>
      </c>
      <c r="O3137" s="7">
        <v>4.4130000000000003</v>
      </c>
      <c r="P3137" s="7">
        <v>5.1529999999999996</v>
      </c>
      <c r="Q3137" s="7">
        <v>5.9619999999999997</v>
      </c>
      <c r="R3137" s="7">
        <v>6.1429999999999998</v>
      </c>
      <c r="S3137" s="7">
        <f t="shared" si="48"/>
        <v>4.6844166666666665</v>
      </c>
    </row>
    <row r="3138" spans="1:19">
      <c r="A3138" s="5" t="str">
        <f>B3138&amp;"-"&amp;COUNTIF($B$2:B3138,B3138)</f>
        <v>PARANÁ-352</v>
      </c>
      <c r="B3138" s="5" t="s">
        <v>1921</v>
      </c>
      <c r="C3138" s="5" t="s">
        <v>2113</v>
      </c>
      <c r="D3138" s="6">
        <v>-505172</v>
      </c>
      <c r="E3138" s="6">
        <v>-23147</v>
      </c>
      <c r="F3138" s="7">
        <v>4.9610000000000003</v>
      </c>
      <c r="G3138" s="7">
        <v>5.9240000000000004</v>
      </c>
      <c r="H3138" s="7">
        <v>5.9059999999999997</v>
      </c>
      <c r="I3138" s="7">
        <v>5.2370000000000001</v>
      </c>
      <c r="J3138" s="7">
        <v>4.6479999999999997</v>
      </c>
      <c r="K3138" s="7">
        <v>3.72</v>
      </c>
      <c r="L3138" s="7">
        <v>3.407</v>
      </c>
      <c r="M3138" s="7">
        <v>3.6110000000000002</v>
      </c>
      <c r="N3138" s="7">
        <v>4.5679999999999996</v>
      </c>
      <c r="O3138" s="7">
        <v>4.71</v>
      </c>
      <c r="P3138" s="7">
        <v>5.383</v>
      </c>
      <c r="Q3138" s="7">
        <v>6.0019999999999998</v>
      </c>
      <c r="R3138" s="7">
        <v>6.4119999999999999</v>
      </c>
      <c r="S3138" s="7">
        <f t="shared" si="48"/>
        <v>4.9606666666666666</v>
      </c>
    </row>
    <row r="3139" spans="1:19">
      <c r="A3139" s="5" t="str">
        <f>B3139&amp;"-"&amp;COUNTIF($B$2:B3139,B3139)</f>
        <v>PARANÁ-353</v>
      </c>
      <c r="B3139" s="5" t="s">
        <v>1921</v>
      </c>
      <c r="C3139" s="5" t="s">
        <v>2114</v>
      </c>
      <c r="D3139" s="6">
        <v>-536279</v>
      </c>
      <c r="E3139" s="6">
        <v>-250548</v>
      </c>
      <c r="F3139" s="7">
        <v>4.6970000000000001</v>
      </c>
      <c r="G3139" s="7">
        <v>6.1139999999999999</v>
      </c>
      <c r="H3139" s="7">
        <v>5.58</v>
      </c>
      <c r="I3139" s="7">
        <v>5.08</v>
      </c>
      <c r="J3139" s="7">
        <v>4.2229999999999999</v>
      </c>
      <c r="K3139" s="7">
        <v>3.2909999999999999</v>
      </c>
      <c r="L3139" s="7">
        <v>2.9449999999999998</v>
      </c>
      <c r="M3139" s="7">
        <v>3.1619999999999999</v>
      </c>
      <c r="N3139" s="7">
        <v>4.18</v>
      </c>
      <c r="O3139" s="7">
        <v>4.343</v>
      </c>
      <c r="P3139" s="7">
        <v>5.1779999999999999</v>
      </c>
      <c r="Q3139" s="7">
        <v>5.9349999999999996</v>
      </c>
      <c r="R3139" s="7">
        <v>6.3360000000000003</v>
      </c>
      <c r="S3139" s="7">
        <f t="shared" ref="S3139:S3202" si="49">(G3139+H3139+I3139+J3139+K3139+L3139+M3139+N3139+O3139+P3139+Q3139+R3139)/12</f>
        <v>4.6972500000000004</v>
      </c>
    </row>
    <row r="3140" spans="1:19">
      <c r="A3140" s="5" t="str">
        <f>B3140&amp;"-"&amp;COUNTIF($B$2:B3140,B3140)</f>
        <v>PARANÁ-354</v>
      </c>
      <c r="B3140" s="5" t="s">
        <v>1921</v>
      </c>
      <c r="C3140" s="5" t="s">
        <v>2115</v>
      </c>
      <c r="D3140" s="6">
        <v>-544012</v>
      </c>
      <c r="E3140" s="6">
        <v>-254349</v>
      </c>
      <c r="F3140" s="7">
        <v>4.8019999999999996</v>
      </c>
      <c r="G3140" s="7">
        <v>6.5250000000000004</v>
      </c>
      <c r="H3140" s="7">
        <v>5.95</v>
      </c>
      <c r="I3140" s="7">
        <v>5.3639999999999999</v>
      </c>
      <c r="J3140" s="7">
        <v>4.2229999999999999</v>
      </c>
      <c r="K3140" s="7">
        <v>3.2850000000000001</v>
      </c>
      <c r="L3140" s="7">
        <v>2.82</v>
      </c>
      <c r="M3140" s="7">
        <v>3.0459999999999998</v>
      </c>
      <c r="N3140" s="7">
        <v>3.996</v>
      </c>
      <c r="O3140" s="7">
        <v>4.2619999999999996</v>
      </c>
      <c r="P3140" s="7">
        <v>5.2779999999999996</v>
      </c>
      <c r="Q3140" s="7">
        <v>6.1680000000000001</v>
      </c>
      <c r="R3140" s="7">
        <v>6.7089999999999996</v>
      </c>
      <c r="S3140" s="7">
        <f t="shared" si="49"/>
        <v>4.8021666666666674</v>
      </c>
    </row>
    <row r="3141" spans="1:19">
      <c r="A3141" s="5" t="str">
        <f>B3141&amp;"-"&amp;COUNTIF($B$2:B3141,B3141)</f>
        <v>PARANÁ-355</v>
      </c>
      <c r="B3141" s="5" t="s">
        <v>1921</v>
      </c>
      <c r="C3141" s="5" t="s">
        <v>4428</v>
      </c>
      <c r="D3141" s="6">
        <v>-496297</v>
      </c>
      <c r="E3141" s="6">
        <v>-237592</v>
      </c>
      <c r="F3141" s="7">
        <v>4.7679999999999998</v>
      </c>
      <c r="G3141" s="7">
        <v>5.69</v>
      </c>
      <c r="H3141" s="7">
        <v>5.7130000000000001</v>
      </c>
      <c r="I3141" s="7">
        <v>5.1070000000000002</v>
      </c>
      <c r="J3141" s="7">
        <v>4.4630000000000001</v>
      </c>
      <c r="K3141" s="7">
        <v>3.5230000000000001</v>
      </c>
      <c r="L3141" s="7">
        <v>3.145</v>
      </c>
      <c r="M3141" s="7">
        <v>3.375</v>
      </c>
      <c r="N3141" s="7">
        <v>4.3890000000000002</v>
      </c>
      <c r="O3141" s="7">
        <v>4.5720000000000001</v>
      </c>
      <c r="P3141" s="7">
        <v>5.1760000000000002</v>
      </c>
      <c r="Q3141" s="7">
        <v>5.8390000000000004</v>
      </c>
      <c r="R3141" s="7">
        <v>6.2290000000000001</v>
      </c>
      <c r="S3141" s="7">
        <f t="shared" si="49"/>
        <v>4.768416666666667</v>
      </c>
    </row>
    <row r="3142" spans="1:19">
      <c r="A3142" s="5" t="str">
        <f>B3142&amp;"-"&amp;COUNTIF($B$2:B3142,B3142)</f>
        <v>PARANÁ-356</v>
      </c>
      <c r="B3142" s="5" t="s">
        <v>1921</v>
      </c>
      <c r="C3142" s="5" t="s">
        <v>4568</v>
      </c>
      <c r="D3142" s="6">
        <v>-500819</v>
      </c>
      <c r="E3142" s="6">
        <v>-232964</v>
      </c>
      <c r="F3142" s="7">
        <v>4.931</v>
      </c>
      <c r="G3142" s="7">
        <v>5.8070000000000004</v>
      </c>
      <c r="H3142" s="7">
        <v>5.8490000000000002</v>
      </c>
      <c r="I3142" s="7">
        <v>5.2329999999999997</v>
      </c>
      <c r="J3142" s="7">
        <v>4.6390000000000002</v>
      </c>
      <c r="K3142" s="7">
        <v>3.6720000000000002</v>
      </c>
      <c r="L3142" s="7">
        <v>3.3530000000000002</v>
      </c>
      <c r="M3142" s="7">
        <v>3.59</v>
      </c>
      <c r="N3142" s="7">
        <v>4.5620000000000003</v>
      </c>
      <c r="O3142" s="7">
        <v>4.7119999999999997</v>
      </c>
      <c r="P3142" s="7">
        <v>5.38</v>
      </c>
      <c r="Q3142" s="7">
        <v>5.992</v>
      </c>
      <c r="R3142" s="7">
        <v>6.3769999999999998</v>
      </c>
      <c r="S3142" s="7">
        <f t="shared" si="49"/>
        <v>4.9305000000000003</v>
      </c>
    </row>
    <row r="3143" spans="1:19">
      <c r="A3143" s="5" t="str">
        <f>B3143&amp;"-"&amp;COUNTIF($B$2:B3143,B3143)</f>
        <v>PARANÁ-357</v>
      </c>
      <c r="B3143" s="5" t="s">
        <v>1921</v>
      </c>
      <c r="C3143" s="5" t="s">
        <v>5677</v>
      </c>
      <c r="D3143" s="6">
        <v>-523445</v>
      </c>
      <c r="E3143" s="6">
        <v>-227355</v>
      </c>
      <c r="F3143" s="7">
        <v>5.0380000000000003</v>
      </c>
      <c r="G3143" s="7">
        <v>6.0449999999999999</v>
      </c>
      <c r="H3143" s="7">
        <v>5.9969999999999999</v>
      </c>
      <c r="I3143" s="7">
        <v>5.4859999999999998</v>
      </c>
      <c r="J3143" s="7">
        <v>4.6920000000000002</v>
      </c>
      <c r="K3143" s="7">
        <v>3.7530000000000001</v>
      </c>
      <c r="L3143" s="7">
        <v>3.4220000000000002</v>
      </c>
      <c r="M3143" s="7">
        <v>3.6160000000000001</v>
      </c>
      <c r="N3143" s="7">
        <v>4.5590000000000002</v>
      </c>
      <c r="O3143" s="7">
        <v>4.7510000000000003</v>
      </c>
      <c r="P3143" s="7">
        <v>5.4630000000000001</v>
      </c>
      <c r="Q3143" s="7">
        <v>6.202</v>
      </c>
      <c r="R3143" s="7">
        <v>6.4740000000000002</v>
      </c>
      <c r="S3143" s="7">
        <f t="shared" si="49"/>
        <v>5.0383333333333331</v>
      </c>
    </row>
    <row r="3144" spans="1:19">
      <c r="A3144" s="5" t="str">
        <f>B3144&amp;"-"&amp;COUNTIF($B$2:B3144,B3144)</f>
        <v>PARANÁ-358</v>
      </c>
      <c r="B3144" s="5" t="s">
        <v>1921</v>
      </c>
      <c r="C3144" s="5" t="s">
        <v>4569</v>
      </c>
      <c r="D3144" s="6">
        <v>-506459</v>
      </c>
      <c r="E3144" s="6">
        <v>-23494</v>
      </c>
      <c r="F3144" s="7">
        <v>4.8879999999999999</v>
      </c>
      <c r="G3144" s="7">
        <v>5.8760000000000003</v>
      </c>
      <c r="H3144" s="7">
        <v>5.7510000000000003</v>
      </c>
      <c r="I3144" s="7">
        <v>5.19</v>
      </c>
      <c r="J3144" s="7">
        <v>4.5590000000000002</v>
      </c>
      <c r="K3144" s="7">
        <v>3.6469999999999998</v>
      </c>
      <c r="L3144" s="7">
        <v>3.34</v>
      </c>
      <c r="M3144" s="7">
        <v>3.532</v>
      </c>
      <c r="N3144" s="7">
        <v>4.5090000000000003</v>
      </c>
      <c r="O3144" s="7">
        <v>4.6449999999999996</v>
      </c>
      <c r="P3144" s="7">
        <v>5.2919999999999998</v>
      </c>
      <c r="Q3144" s="7">
        <v>6.0060000000000002</v>
      </c>
      <c r="R3144" s="7">
        <v>6.3049999999999997</v>
      </c>
      <c r="S3144" s="7">
        <f t="shared" si="49"/>
        <v>4.8876666666666662</v>
      </c>
    </row>
    <row r="3145" spans="1:19">
      <c r="A3145" s="5" t="str">
        <f>B3145&amp;"-"&amp;COUNTIF($B$2:B3145,B3145)</f>
        <v>PARANÁ-359</v>
      </c>
      <c r="B3145" s="5" t="s">
        <v>1921</v>
      </c>
      <c r="C3145" s="5" t="s">
        <v>4570</v>
      </c>
      <c r="D3145" s="6">
        <v>-537256</v>
      </c>
      <c r="E3145" s="6">
        <v>-260742</v>
      </c>
      <c r="F3145" s="7">
        <v>4.7359999999999998</v>
      </c>
      <c r="G3145" s="7">
        <v>6.4029999999999996</v>
      </c>
      <c r="H3145" s="7">
        <v>5.84</v>
      </c>
      <c r="I3145" s="7">
        <v>5.1920000000000002</v>
      </c>
      <c r="J3145" s="7">
        <v>4.2149999999999999</v>
      </c>
      <c r="K3145" s="7">
        <v>3.25</v>
      </c>
      <c r="L3145" s="7">
        <v>2.7989999999999999</v>
      </c>
      <c r="M3145" s="7">
        <v>3.0870000000000002</v>
      </c>
      <c r="N3145" s="7">
        <v>4.01</v>
      </c>
      <c r="O3145" s="7">
        <v>4.2290000000000001</v>
      </c>
      <c r="P3145" s="7">
        <v>5.2329999999999997</v>
      </c>
      <c r="Q3145" s="7">
        <v>6.0960000000000001</v>
      </c>
      <c r="R3145" s="7">
        <v>6.4770000000000003</v>
      </c>
      <c r="S3145" s="7">
        <f t="shared" si="49"/>
        <v>4.7359166666666672</v>
      </c>
    </row>
    <row r="3146" spans="1:19">
      <c r="A3146" s="5" t="str">
        <f>B3146&amp;"-"&amp;COUNTIF($B$2:B3146,B3146)</f>
        <v>PARANÁ-360</v>
      </c>
      <c r="B3146" s="5" t="s">
        <v>1921</v>
      </c>
      <c r="C3146" s="5" t="s">
        <v>5678</v>
      </c>
      <c r="D3146" s="6">
        <v>-51794</v>
      </c>
      <c r="E3146" s="6">
        <v>-22698</v>
      </c>
      <c r="F3146" s="7">
        <v>5.05</v>
      </c>
      <c r="G3146" s="7">
        <v>5.9720000000000004</v>
      </c>
      <c r="H3146" s="7">
        <v>5.9989999999999997</v>
      </c>
      <c r="I3146" s="7">
        <v>5.5030000000000001</v>
      </c>
      <c r="J3146" s="7">
        <v>4.7480000000000002</v>
      </c>
      <c r="K3146" s="7">
        <v>3.77</v>
      </c>
      <c r="L3146" s="7">
        <v>3.452</v>
      </c>
      <c r="M3146" s="7">
        <v>3.6680000000000001</v>
      </c>
      <c r="N3146" s="7">
        <v>4.5860000000000003</v>
      </c>
      <c r="O3146" s="7">
        <v>4.78</v>
      </c>
      <c r="P3146" s="7">
        <v>5.4989999999999997</v>
      </c>
      <c r="Q3146" s="7">
        <v>6.1509999999999998</v>
      </c>
      <c r="R3146" s="7">
        <v>6.4749999999999996</v>
      </c>
      <c r="S3146" s="7">
        <f t="shared" si="49"/>
        <v>5.0502500000000001</v>
      </c>
    </row>
    <row r="3147" spans="1:19">
      <c r="A3147" s="5" t="str">
        <f>B3147&amp;"-"&amp;COUNTIF($B$2:B3147,B3147)</f>
        <v>PARANÁ-361</v>
      </c>
      <c r="B3147" s="5" t="s">
        <v>1921</v>
      </c>
      <c r="C3147" s="5" t="s">
        <v>2116</v>
      </c>
      <c r="D3147" s="6">
        <v>-505799</v>
      </c>
      <c r="E3147" s="6">
        <v>-23911</v>
      </c>
      <c r="F3147" s="7">
        <v>4.6909999999999998</v>
      </c>
      <c r="G3147" s="7">
        <v>5.5990000000000002</v>
      </c>
      <c r="H3147" s="7">
        <v>5.47</v>
      </c>
      <c r="I3147" s="7">
        <v>5.0069999999999997</v>
      </c>
      <c r="J3147" s="7">
        <v>4.4189999999999996</v>
      </c>
      <c r="K3147" s="7">
        <v>3.5110000000000001</v>
      </c>
      <c r="L3147" s="7">
        <v>3.1240000000000001</v>
      </c>
      <c r="M3147" s="7">
        <v>3.3919999999999999</v>
      </c>
      <c r="N3147" s="7">
        <v>4.4000000000000004</v>
      </c>
      <c r="O3147" s="7">
        <v>4.5369999999999999</v>
      </c>
      <c r="P3147" s="7">
        <v>5.0759999999999996</v>
      </c>
      <c r="Q3147" s="7">
        <v>5.7450000000000001</v>
      </c>
      <c r="R3147" s="7">
        <v>6.0129999999999999</v>
      </c>
      <c r="S3147" s="7">
        <f t="shared" si="49"/>
        <v>4.6910833333333324</v>
      </c>
    </row>
    <row r="3148" spans="1:19">
      <c r="A3148" s="5" t="str">
        <f>B3148&amp;"-"&amp;COUNTIF($B$2:B3148,B3148)</f>
        <v>PARANÁ-362</v>
      </c>
      <c r="B3148" s="5" t="s">
        <v>1921</v>
      </c>
      <c r="C3148" s="5" t="s">
        <v>2117</v>
      </c>
      <c r="D3148" s="6">
        <v>-518764</v>
      </c>
      <c r="E3148" s="6">
        <v>-234446</v>
      </c>
      <c r="F3148" s="7">
        <v>4.9020000000000001</v>
      </c>
      <c r="G3148" s="7">
        <v>5.899</v>
      </c>
      <c r="H3148" s="7">
        <v>5.7949999999999999</v>
      </c>
      <c r="I3148" s="7">
        <v>5.2709999999999999</v>
      </c>
      <c r="J3148" s="7">
        <v>4.5869999999999997</v>
      </c>
      <c r="K3148" s="7">
        <v>3.6440000000000001</v>
      </c>
      <c r="L3148" s="7">
        <v>3.34</v>
      </c>
      <c r="M3148" s="7">
        <v>3.532</v>
      </c>
      <c r="N3148" s="7">
        <v>4.4589999999999996</v>
      </c>
      <c r="O3148" s="7">
        <v>4.6859999999999999</v>
      </c>
      <c r="P3148" s="7">
        <v>5.3230000000000004</v>
      </c>
      <c r="Q3148" s="7">
        <v>5.984</v>
      </c>
      <c r="R3148" s="7">
        <v>6.298</v>
      </c>
      <c r="S3148" s="7">
        <f t="shared" si="49"/>
        <v>4.9015000000000004</v>
      </c>
    </row>
    <row r="3149" spans="1:19">
      <c r="A3149" s="5" t="str">
        <f>B3149&amp;"-"&amp;COUNTIF($B$2:B3149,B3149)</f>
        <v>PARANÁ-363</v>
      </c>
      <c r="B3149" s="5" t="s">
        <v>1921</v>
      </c>
      <c r="C3149" s="5" t="s">
        <v>4731</v>
      </c>
      <c r="D3149" s="6">
        <v>-526188</v>
      </c>
      <c r="E3149" s="6">
        <v>-256922</v>
      </c>
      <c r="F3149" s="7">
        <v>4.742</v>
      </c>
      <c r="G3149" s="7">
        <v>6.1970000000000001</v>
      </c>
      <c r="H3149" s="7">
        <v>5.7149999999999999</v>
      </c>
      <c r="I3149" s="7">
        <v>5.2720000000000002</v>
      </c>
      <c r="J3149" s="7">
        <v>4.2830000000000004</v>
      </c>
      <c r="K3149" s="7">
        <v>3.3010000000000002</v>
      </c>
      <c r="L3149" s="7">
        <v>2.883</v>
      </c>
      <c r="M3149" s="7">
        <v>3.0960000000000001</v>
      </c>
      <c r="N3149" s="7">
        <v>4.1020000000000003</v>
      </c>
      <c r="O3149" s="7">
        <v>4.2930000000000001</v>
      </c>
      <c r="P3149" s="7">
        <v>5.2629999999999999</v>
      </c>
      <c r="Q3149" s="7">
        <v>6.1639999999999997</v>
      </c>
      <c r="R3149" s="7">
        <v>6.3319999999999999</v>
      </c>
      <c r="S3149" s="7">
        <f t="shared" si="49"/>
        <v>4.7417500000000006</v>
      </c>
    </row>
    <row r="3150" spans="1:19">
      <c r="A3150" s="5" t="str">
        <f>B3150&amp;"-"&amp;COUNTIF($B$2:B3150,B3150)</f>
        <v>PARANÁ-364</v>
      </c>
      <c r="B3150" s="5" t="s">
        <v>1921</v>
      </c>
      <c r="C3150" s="5" t="s">
        <v>4429</v>
      </c>
      <c r="D3150" s="6">
        <v>-49462</v>
      </c>
      <c r="E3150" s="6">
        <v>-241134</v>
      </c>
      <c r="F3150" s="7">
        <v>4.7039999999999997</v>
      </c>
      <c r="G3150" s="7">
        <v>5.5490000000000004</v>
      </c>
      <c r="H3150" s="7">
        <v>5.6870000000000003</v>
      </c>
      <c r="I3150" s="7">
        <v>5.0149999999999997</v>
      </c>
      <c r="J3150" s="7">
        <v>4.3529999999999998</v>
      </c>
      <c r="K3150" s="7">
        <v>3.476</v>
      </c>
      <c r="L3150" s="7">
        <v>3.11</v>
      </c>
      <c r="M3150" s="7">
        <v>3.3540000000000001</v>
      </c>
      <c r="N3150" s="7">
        <v>4.3369999999999997</v>
      </c>
      <c r="O3150" s="7">
        <v>4.5069999999999997</v>
      </c>
      <c r="P3150" s="7">
        <v>5.0869999999999997</v>
      </c>
      <c r="Q3150" s="7">
        <v>5.7750000000000004</v>
      </c>
      <c r="R3150" s="7">
        <v>6.194</v>
      </c>
      <c r="S3150" s="7">
        <f t="shared" si="49"/>
        <v>4.703666666666666</v>
      </c>
    </row>
    <row r="3151" spans="1:19">
      <c r="A3151" s="5" t="str">
        <f>B3151&amp;"-"&amp;COUNTIF($B$2:B3151,B3151)</f>
        <v>PARANÁ-365</v>
      </c>
      <c r="B3151" s="5" t="s">
        <v>1921</v>
      </c>
      <c r="C3151" s="5" t="s">
        <v>5179</v>
      </c>
      <c r="D3151" s="6">
        <v>-540523</v>
      </c>
      <c r="E3151" s="6">
        <v>-253804</v>
      </c>
      <c r="F3151" s="7">
        <v>4.7240000000000002</v>
      </c>
      <c r="G3151" s="7">
        <v>6.258</v>
      </c>
      <c r="H3151" s="7">
        <v>5.7240000000000002</v>
      </c>
      <c r="I3151" s="7">
        <v>5.1980000000000004</v>
      </c>
      <c r="J3151" s="7">
        <v>4.2309999999999999</v>
      </c>
      <c r="K3151" s="7">
        <v>3.26</v>
      </c>
      <c r="L3151" s="7">
        <v>2.831</v>
      </c>
      <c r="M3151" s="7">
        <v>3.0710000000000002</v>
      </c>
      <c r="N3151" s="7">
        <v>4.0529999999999999</v>
      </c>
      <c r="O3151" s="7">
        <v>4.2960000000000003</v>
      </c>
      <c r="P3151" s="7">
        <v>5.234</v>
      </c>
      <c r="Q3151" s="7">
        <v>6.0510000000000002</v>
      </c>
      <c r="R3151" s="7">
        <v>6.4859999999999998</v>
      </c>
      <c r="S3151" s="7">
        <f t="shared" si="49"/>
        <v>4.7244166666666665</v>
      </c>
    </row>
    <row r="3152" spans="1:19">
      <c r="A3152" s="5" t="str">
        <f>B3152&amp;"-"&amp;COUNTIF($B$2:B3152,B3152)</f>
        <v>PARANÁ-366</v>
      </c>
      <c r="B3152" s="5" t="s">
        <v>1921</v>
      </c>
      <c r="C3152" s="5" t="s">
        <v>5180</v>
      </c>
      <c r="D3152" s="6">
        <v>-510404</v>
      </c>
      <c r="E3152" s="6">
        <v>-230575</v>
      </c>
      <c r="F3152" s="7">
        <v>4.9530000000000003</v>
      </c>
      <c r="G3152" s="7">
        <v>5.9160000000000004</v>
      </c>
      <c r="H3152" s="7">
        <v>5.8369999999999997</v>
      </c>
      <c r="I3152" s="7">
        <v>5.2670000000000003</v>
      </c>
      <c r="J3152" s="7">
        <v>4.68</v>
      </c>
      <c r="K3152" s="7">
        <v>3.694</v>
      </c>
      <c r="L3152" s="7">
        <v>3.4049999999999998</v>
      </c>
      <c r="M3152" s="7">
        <v>3.601</v>
      </c>
      <c r="N3152" s="7">
        <v>4.5579999999999998</v>
      </c>
      <c r="O3152" s="7">
        <v>4.7110000000000003</v>
      </c>
      <c r="P3152" s="7">
        <v>5.3710000000000004</v>
      </c>
      <c r="Q3152" s="7">
        <v>6.0220000000000002</v>
      </c>
      <c r="R3152" s="7">
        <v>6.3730000000000002</v>
      </c>
      <c r="S3152" s="7">
        <f t="shared" si="49"/>
        <v>4.952916666666666</v>
      </c>
    </row>
    <row r="3153" spans="1:19">
      <c r="A3153" s="5" t="str">
        <f>B3153&amp;"-"&amp;COUNTIF($B$2:B3153,B3153)</f>
        <v>PARANÁ-367</v>
      </c>
      <c r="B3153" s="5" t="s">
        <v>1921</v>
      </c>
      <c r="C3153" s="5" t="s">
        <v>2118</v>
      </c>
      <c r="D3153" s="6">
        <v>-508173</v>
      </c>
      <c r="E3153" s="6">
        <v>-230386</v>
      </c>
      <c r="F3153" s="7">
        <v>4.9960000000000004</v>
      </c>
      <c r="G3153" s="7">
        <v>6.0209999999999999</v>
      </c>
      <c r="H3153" s="7">
        <v>5.9710000000000001</v>
      </c>
      <c r="I3153" s="7">
        <v>5.2830000000000004</v>
      </c>
      <c r="J3153" s="7">
        <v>4.7050000000000001</v>
      </c>
      <c r="K3153" s="7">
        <v>3.7549999999999999</v>
      </c>
      <c r="L3153" s="7">
        <v>3.423</v>
      </c>
      <c r="M3153" s="7">
        <v>3.633</v>
      </c>
      <c r="N3153" s="7">
        <v>4.5579999999999998</v>
      </c>
      <c r="O3153" s="7">
        <v>4.6589999999999998</v>
      </c>
      <c r="P3153" s="7">
        <v>5.4290000000000003</v>
      </c>
      <c r="Q3153" s="7">
        <v>6.0389999999999997</v>
      </c>
      <c r="R3153" s="7">
        <v>6.476</v>
      </c>
      <c r="S3153" s="7">
        <f t="shared" si="49"/>
        <v>4.9960000000000004</v>
      </c>
    </row>
    <row r="3154" spans="1:19">
      <c r="A3154" s="5" t="str">
        <f>B3154&amp;"-"&amp;COUNTIF($B$2:B3154,B3154)</f>
        <v>PARANÁ-368</v>
      </c>
      <c r="B3154" s="5" t="s">
        <v>1921</v>
      </c>
      <c r="C3154" s="5" t="s">
        <v>2119</v>
      </c>
      <c r="D3154" s="6">
        <v>-498308</v>
      </c>
      <c r="E3154" s="6">
        <v>-23688</v>
      </c>
      <c r="F3154" s="7">
        <v>4.8239999999999998</v>
      </c>
      <c r="G3154" s="7">
        <v>5.6909999999999998</v>
      </c>
      <c r="H3154" s="7">
        <v>5.75</v>
      </c>
      <c r="I3154" s="7">
        <v>5.16</v>
      </c>
      <c r="J3154" s="7">
        <v>4.5179999999999998</v>
      </c>
      <c r="K3154" s="7">
        <v>3.5830000000000002</v>
      </c>
      <c r="L3154" s="7">
        <v>3.1789999999999998</v>
      </c>
      <c r="M3154" s="7">
        <v>3.4460000000000002</v>
      </c>
      <c r="N3154" s="7">
        <v>4.46</v>
      </c>
      <c r="O3154" s="7">
        <v>4.625</v>
      </c>
      <c r="P3154" s="7">
        <v>5.2629999999999999</v>
      </c>
      <c r="Q3154" s="7">
        <v>5.9459999999999997</v>
      </c>
      <c r="R3154" s="7">
        <v>6.2649999999999997</v>
      </c>
      <c r="S3154" s="7">
        <f t="shared" si="49"/>
        <v>4.823833333333333</v>
      </c>
    </row>
    <row r="3155" spans="1:19">
      <c r="A3155" s="5" t="str">
        <f>B3155&amp;"-"&amp;COUNTIF($B$2:B3155,B3155)</f>
        <v>PARANÁ-369</v>
      </c>
      <c r="B3155" s="5" t="s">
        <v>1921</v>
      </c>
      <c r="C3155" s="5" t="s">
        <v>2120</v>
      </c>
      <c r="D3155" s="6">
        <v>-527303</v>
      </c>
      <c r="E3155" s="6">
        <v>-25707</v>
      </c>
      <c r="F3155" s="7">
        <v>4.7539999999999996</v>
      </c>
      <c r="G3155" s="7">
        <v>6.2279999999999998</v>
      </c>
      <c r="H3155" s="7">
        <v>5.7560000000000002</v>
      </c>
      <c r="I3155" s="7">
        <v>5.24</v>
      </c>
      <c r="J3155" s="7">
        <v>4.2869999999999999</v>
      </c>
      <c r="K3155" s="7">
        <v>3.3079999999999998</v>
      </c>
      <c r="L3155" s="7">
        <v>2.879</v>
      </c>
      <c r="M3155" s="7">
        <v>3.105</v>
      </c>
      <c r="N3155" s="7">
        <v>4.0919999999999996</v>
      </c>
      <c r="O3155" s="7">
        <v>4.3</v>
      </c>
      <c r="P3155" s="7">
        <v>5.266</v>
      </c>
      <c r="Q3155" s="7">
        <v>6.1950000000000003</v>
      </c>
      <c r="R3155" s="7">
        <v>6.3879999999999999</v>
      </c>
      <c r="S3155" s="7">
        <f t="shared" si="49"/>
        <v>4.7536666666666667</v>
      </c>
    </row>
    <row r="3156" spans="1:19">
      <c r="A3156" s="5" t="str">
        <f>B3156&amp;"-"&amp;COUNTIF($B$2:B3156,B3156)</f>
        <v>PARANÁ-370</v>
      </c>
      <c r="B3156" s="5" t="s">
        <v>1921</v>
      </c>
      <c r="C3156" s="5" t="s">
        <v>2121</v>
      </c>
      <c r="D3156" s="6">
        <v>-510995</v>
      </c>
      <c r="E3156" s="6">
        <v>-237208</v>
      </c>
      <c r="F3156" s="7">
        <v>4.8250000000000002</v>
      </c>
      <c r="G3156" s="7">
        <v>5.7430000000000003</v>
      </c>
      <c r="H3156" s="7">
        <v>5.6340000000000003</v>
      </c>
      <c r="I3156" s="7">
        <v>5.1749999999999998</v>
      </c>
      <c r="J3156" s="7">
        <v>4.5490000000000004</v>
      </c>
      <c r="K3156" s="7">
        <v>3.605</v>
      </c>
      <c r="L3156" s="7">
        <v>3.2669999999999999</v>
      </c>
      <c r="M3156" s="7">
        <v>3.4820000000000002</v>
      </c>
      <c r="N3156" s="7">
        <v>4.4580000000000002</v>
      </c>
      <c r="O3156" s="7">
        <v>4.6189999999999998</v>
      </c>
      <c r="P3156" s="7">
        <v>5.2279999999999998</v>
      </c>
      <c r="Q3156" s="7">
        <v>5.9279999999999999</v>
      </c>
      <c r="R3156" s="7">
        <v>6.2060000000000004</v>
      </c>
      <c r="S3156" s="7">
        <f t="shared" si="49"/>
        <v>4.8244999999999996</v>
      </c>
    </row>
    <row r="3157" spans="1:19">
      <c r="A3157" s="5" t="str">
        <f>B3157&amp;"-"&amp;COUNTIF($B$2:B3157,B3157)</f>
        <v>PARANÁ-371</v>
      </c>
      <c r="B3157" s="5" t="s">
        <v>1921</v>
      </c>
      <c r="C3157" s="5" t="s">
        <v>2122</v>
      </c>
      <c r="D3157" s="6">
        <v>-524747</v>
      </c>
      <c r="E3157" s="6">
        <v>-23204</v>
      </c>
      <c r="F3157" s="7">
        <v>4.9509999999999996</v>
      </c>
      <c r="G3157" s="7">
        <v>5.9470000000000001</v>
      </c>
      <c r="H3157" s="7">
        <v>5.8920000000000003</v>
      </c>
      <c r="I3157" s="7">
        <v>5.3760000000000003</v>
      </c>
      <c r="J3157" s="7">
        <v>4.6269999999999998</v>
      </c>
      <c r="K3157" s="7">
        <v>3.625</v>
      </c>
      <c r="L3157" s="7">
        <v>3.302</v>
      </c>
      <c r="M3157" s="7">
        <v>3.5089999999999999</v>
      </c>
      <c r="N3157" s="7">
        <v>4.4489999999999998</v>
      </c>
      <c r="O3157" s="7">
        <v>4.7080000000000002</v>
      </c>
      <c r="P3157" s="7">
        <v>5.4340000000000002</v>
      </c>
      <c r="Q3157" s="7">
        <v>6.1420000000000003</v>
      </c>
      <c r="R3157" s="7">
        <v>6.399</v>
      </c>
      <c r="S3157" s="7">
        <f t="shared" si="49"/>
        <v>4.9508333333333328</v>
      </c>
    </row>
    <row r="3158" spans="1:19">
      <c r="A3158" s="5" t="str">
        <f>B3158&amp;"-"&amp;COUNTIF($B$2:B3158,B3158)</f>
        <v>PARANÁ-372</v>
      </c>
      <c r="B3158" s="5" t="s">
        <v>1921</v>
      </c>
      <c r="C3158" s="5" t="s">
        <v>2123</v>
      </c>
      <c r="D3158" s="6">
        <v>-528739</v>
      </c>
      <c r="E3158" s="6">
        <v>-237319</v>
      </c>
      <c r="F3158" s="7">
        <v>4.9210000000000003</v>
      </c>
      <c r="G3158" s="7">
        <v>6.1289999999999996</v>
      </c>
      <c r="H3158" s="7">
        <v>5.867</v>
      </c>
      <c r="I3158" s="7">
        <v>5.38</v>
      </c>
      <c r="J3158" s="7">
        <v>4.54</v>
      </c>
      <c r="K3158" s="7">
        <v>3.5590000000000002</v>
      </c>
      <c r="L3158" s="7">
        <v>3.2109999999999999</v>
      </c>
      <c r="M3158" s="7">
        <v>3.423</v>
      </c>
      <c r="N3158" s="7">
        <v>4.3719999999999999</v>
      </c>
      <c r="O3158" s="7">
        <v>4.6029999999999998</v>
      </c>
      <c r="P3158" s="7">
        <v>5.3979999999999997</v>
      </c>
      <c r="Q3158" s="7">
        <v>6.1289999999999996</v>
      </c>
      <c r="R3158" s="7">
        <v>6.4370000000000003</v>
      </c>
      <c r="S3158" s="7">
        <f t="shared" si="49"/>
        <v>4.9206666666666665</v>
      </c>
    </row>
    <row r="3159" spans="1:19">
      <c r="A3159" s="5" t="str">
        <f>B3159&amp;"-"&amp;COUNTIF($B$2:B3159,B3159)</f>
        <v>PARANÁ-373</v>
      </c>
      <c r="B3159" s="5" t="s">
        <v>1921</v>
      </c>
      <c r="C3159" s="5" t="s">
        <v>1658</v>
      </c>
      <c r="D3159" s="6">
        <v>-530689</v>
      </c>
      <c r="E3159" s="6">
        <v>-233198</v>
      </c>
      <c r="F3159" s="7">
        <v>4.9569999999999999</v>
      </c>
      <c r="G3159" s="7">
        <v>6.0090000000000003</v>
      </c>
      <c r="H3159" s="7">
        <v>5.9459999999999997</v>
      </c>
      <c r="I3159" s="7">
        <v>5.4210000000000003</v>
      </c>
      <c r="J3159" s="7">
        <v>4.585</v>
      </c>
      <c r="K3159" s="7">
        <v>3.6379999999999999</v>
      </c>
      <c r="L3159" s="7">
        <v>3.2480000000000002</v>
      </c>
      <c r="M3159" s="7">
        <v>3.46</v>
      </c>
      <c r="N3159" s="7">
        <v>4.4160000000000004</v>
      </c>
      <c r="O3159" s="7">
        <v>4.6539999999999999</v>
      </c>
      <c r="P3159" s="7">
        <v>5.431</v>
      </c>
      <c r="Q3159" s="7">
        <v>6.1550000000000002</v>
      </c>
      <c r="R3159" s="7">
        <v>6.5229999999999997</v>
      </c>
      <c r="S3159" s="7">
        <f t="shared" si="49"/>
        <v>4.9571666666666658</v>
      </c>
    </row>
    <row r="3160" spans="1:19">
      <c r="A3160" s="5" t="str">
        <f>B3160&amp;"-"&amp;COUNTIF($B$2:B3160,B3160)</f>
        <v>PARANÁ-374</v>
      </c>
      <c r="B3160" s="5" t="s">
        <v>1921</v>
      </c>
      <c r="C3160" s="5" t="s">
        <v>2124</v>
      </c>
      <c r="D3160" s="6">
        <v>-504575</v>
      </c>
      <c r="E3160" s="6">
        <v>-253706</v>
      </c>
      <c r="F3160" s="7">
        <v>4.3529999999999998</v>
      </c>
      <c r="G3160" s="7">
        <v>5.569</v>
      </c>
      <c r="H3160" s="7">
        <v>5.2549999999999999</v>
      </c>
      <c r="I3160" s="7">
        <v>4.6740000000000004</v>
      </c>
      <c r="J3160" s="7">
        <v>3.9289999999999998</v>
      </c>
      <c r="K3160" s="7">
        <v>3.121</v>
      </c>
      <c r="L3160" s="7">
        <v>2.7160000000000002</v>
      </c>
      <c r="M3160" s="7">
        <v>2.9769999999999999</v>
      </c>
      <c r="N3160" s="7">
        <v>3.976</v>
      </c>
      <c r="O3160" s="7">
        <v>4.0640000000000001</v>
      </c>
      <c r="P3160" s="7">
        <v>4.6740000000000004</v>
      </c>
      <c r="Q3160" s="7">
        <v>5.5739999999999998</v>
      </c>
      <c r="R3160" s="7">
        <v>5.71</v>
      </c>
      <c r="S3160" s="7">
        <f t="shared" si="49"/>
        <v>4.3532500000000001</v>
      </c>
    </row>
    <row r="3161" spans="1:19">
      <c r="A3161" s="5" t="str">
        <f>B3161&amp;"-"&amp;COUNTIF($B$2:B3161,B3161)</f>
        <v>PARANÁ-375</v>
      </c>
      <c r="B3161" s="5" t="s">
        <v>1921</v>
      </c>
      <c r="C3161" s="5" t="s">
        <v>5305</v>
      </c>
      <c r="D3161" s="6">
        <v>-50618</v>
      </c>
      <c r="E3161" s="6">
        <v>-24325</v>
      </c>
      <c r="F3161" s="7">
        <v>4.6900000000000004</v>
      </c>
      <c r="G3161" s="7">
        <v>5.7220000000000004</v>
      </c>
      <c r="H3161" s="7">
        <v>5.5510000000000002</v>
      </c>
      <c r="I3161" s="7">
        <v>5.0650000000000004</v>
      </c>
      <c r="J3161" s="7">
        <v>4.407</v>
      </c>
      <c r="K3161" s="7">
        <v>3.4340000000000002</v>
      </c>
      <c r="L3161" s="7">
        <v>3.0209999999999999</v>
      </c>
      <c r="M3161" s="7">
        <v>3.3109999999999999</v>
      </c>
      <c r="N3161" s="7">
        <v>4.3129999999999997</v>
      </c>
      <c r="O3161" s="7">
        <v>4.468</v>
      </c>
      <c r="P3161" s="7">
        <v>5.0369999999999999</v>
      </c>
      <c r="Q3161" s="7">
        <v>5.8460000000000001</v>
      </c>
      <c r="R3161" s="7">
        <v>6.101</v>
      </c>
      <c r="S3161" s="7">
        <f t="shared" si="49"/>
        <v>4.6896666666666667</v>
      </c>
    </row>
    <row r="3162" spans="1:19">
      <c r="A3162" s="5" t="str">
        <f>B3162&amp;"-"&amp;COUNTIF($B$2:B3162,B3162)</f>
        <v>PARANÁ-376</v>
      </c>
      <c r="B3162" s="5" t="s">
        <v>1921</v>
      </c>
      <c r="C3162" s="5" t="s">
        <v>2125</v>
      </c>
      <c r="D3162" s="6">
        <v>-524474</v>
      </c>
      <c r="E3162" s="6">
        <v>-237688</v>
      </c>
      <c r="F3162" s="7">
        <v>4.9059999999999997</v>
      </c>
      <c r="G3162" s="7">
        <v>6.1020000000000003</v>
      </c>
      <c r="H3162" s="7">
        <v>5.7690000000000001</v>
      </c>
      <c r="I3162" s="7">
        <v>5.2809999999999997</v>
      </c>
      <c r="J3162" s="7">
        <v>4.569</v>
      </c>
      <c r="K3162" s="7">
        <v>3.609</v>
      </c>
      <c r="L3162" s="7">
        <v>3.2040000000000002</v>
      </c>
      <c r="M3162" s="7">
        <v>3.4329999999999998</v>
      </c>
      <c r="N3162" s="7">
        <v>4.3710000000000004</v>
      </c>
      <c r="O3162" s="7">
        <v>4.6260000000000003</v>
      </c>
      <c r="P3162" s="7">
        <v>5.3310000000000004</v>
      </c>
      <c r="Q3162" s="7">
        <v>6.1180000000000003</v>
      </c>
      <c r="R3162" s="7">
        <v>6.4539999999999997</v>
      </c>
      <c r="S3162" s="7">
        <f t="shared" si="49"/>
        <v>4.9055833333333334</v>
      </c>
    </row>
    <row r="3163" spans="1:19">
      <c r="A3163" s="5" t="str">
        <f>B3163&amp;"-"&amp;COUNTIF($B$2:B3163,B3163)</f>
        <v>PARANÁ-377</v>
      </c>
      <c r="B3163" s="5" t="s">
        <v>1921</v>
      </c>
      <c r="C3163" s="5" t="s">
        <v>2126</v>
      </c>
      <c r="D3163" s="6">
        <v>-526203</v>
      </c>
      <c r="E3163" s="6">
        <v>-227264</v>
      </c>
      <c r="F3163" s="7">
        <v>5.0439999999999996</v>
      </c>
      <c r="G3163" s="7">
        <v>6.0750000000000002</v>
      </c>
      <c r="H3163" s="7">
        <v>6.056</v>
      </c>
      <c r="I3163" s="7">
        <v>5.46</v>
      </c>
      <c r="J3163" s="7">
        <v>4.6970000000000001</v>
      </c>
      <c r="K3163" s="7">
        <v>3.7309999999999999</v>
      </c>
      <c r="L3163" s="7">
        <v>3.3919999999999999</v>
      </c>
      <c r="M3163" s="7">
        <v>3.6040000000000001</v>
      </c>
      <c r="N3163" s="7">
        <v>4.53</v>
      </c>
      <c r="O3163" s="7">
        <v>4.7610000000000001</v>
      </c>
      <c r="P3163" s="7">
        <v>5.46</v>
      </c>
      <c r="Q3163" s="7">
        <v>6.2050000000000001</v>
      </c>
      <c r="R3163" s="7">
        <v>6.5519999999999996</v>
      </c>
      <c r="S3163" s="7">
        <f t="shared" si="49"/>
        <v>5.0435833333333333</v>
      </c>
    </row>
    <row r="3164" spans="1:19">
      <c r="A3164" s="5" t="str">
        <f>B3164&amp;"-"&amp;COUNTIF($B$2:B3164,B3164)</f>
        <v>PARANÁ-378</v>
      </c>
      <c r="B3164" s="5" t="s">
        <v>1921</v>
      </c>
      <c r="C3164" s="5" t="s">
        <v>2127</v>
      </c>
      <c r="D3164" s="6">
        <v>-540993</v>
      </c>
      <c r="E3164" s="6">
        <v>-241579</v>
      </c>
      <c r="F3164" s="7">
        <v>4.8600000000000003</v>
      </c>
      <c r="G3164" s="7">
        <v>6.2789999999999999</v>
      </c>
      <c r="H3164" s="7">
        <v>5.8929999999999998</v>
      </c>
      <c r="I3164" s="7">
        <v>5.3529999999999998</v>
      </c>
      <c r="J3164" s="7">
        <v>4.3860000000000001</v>
      </c>
      <c r="K3164" s="7">
        <v>3.4079999999999999</v>
      </c>
      <c r="L3164" s="7">
        <v>3.008</v>
      </c>
      <c r="M3164" s="7">
        <v>3.2480000000000002</v>
      </c>
      <c r="N3164" s="7">
        <v>4.2119999999999997</v>
      </c>
      <c r="O3164" s="7">
        <v>4.5039999999999996</v>
      </c>
      <c r="P3164" s="7">
        <v>5.3479999999999999</v>
      </c>
      <c r="Q3164" s="7">
        <v>6.1159999999999997</v>
      </c>
      <c r="R3164" s="7">
        <v>6.5679999999999996</v>
      </c>
      <c r="S3164" s="7">
        <f t="shared" si="49"/>
        <v>4.8602499999999997</v>
      </c>
    </row>
    <row r="3165" spans="1:19">
      <c r="A3165" s="5" t="str">
        <f>B3165&amp;"-"&amp;COUNTIF($B$2:B3165,B3165)</f>
        <v>PARANÁ-379</v>
      </c>
      <c r="B3165" s="5" t="s">
        <v>1921</v>
      </c>
      <c r="C3165" s="5" t="s">
        <v>2128</v>
      </c>
      <c r="D3165" s="6">
        <v>-504157</v>
      </c>
      <c r="E3165" s="6">
        <v>-245096</v>
      </c>
      <c r="F3165" s="7">
        <v>4.665</v>
      </c>
      <c r="G3165" s="7">
        <v>5.7320000000000002</v>
      </c>
      <c r="H3165" s="7">
        <v>5.4820000000000002</v>
      </c>
      <c r="I3165" s="7">
        <v>4.9870000000000001</v>
      </c>
      <c r="J3165" s="7">
        <v>4.3550000000000004</v>
      </c>
      <c r="K3165" s="7">
        <v>3.4420000000000002</v>
      </c>
      <c r="L3165" s="7">
        <v>3.0089999999999999</v>
      </c>
      <c r="M3165" s="7">
        <v>3.2850000000000001</v>
      </c>
      <c r="N3165" s="7">
        <v>4.2709999999999999</v>
      </c>
      <c r="O3165" s="7">
        <v>4.4560000000000004</v>
      </c>
      <c r="P3165" s="7">
        <v>5.0599999999999996</v>
      </c>
      <c r="Q3165" s="7">
        <v>5.8570000000000002</v>
      </c>
      <c r="R3165" s="7">
        <v>6.0460000000000003</v>
      </c>
      <c r="S3165" s="7">
        <f t="shared" si="49"/>
        <v>4.6651666666666669</v>
      </c>
    </row>
    <row r="3166" spans="1:19">
      <c r="A3166" s="5" t="str">
        <f>B3166&amp;"-"&amp;COUNTIF($B$2:B3166,B3166)</f>
        <v>PARANÁ-380</v>
      </c>
      <c r="B3166" s="5" t="s">
        <v>1921</v>
      </c>
      <c r="C3166" s="5" t="s">
        <v>2129</v>
      </c>
      <c r="D3166" s="6">
        <v>-491954</v>
      </c>
      <c r="E3166" s="6">
        <v>-259315</v>
      </c>
      <c r="F3166" s="7">
        <v>4.101</v>
      </c>
      <c r="G3166" s="7">
        <v>5.3109999999999999</v>
      </c>
      <c r="H3166" s="7">
        <v>5.0629999999999997</v>
      </c>
      <c r="I3166" s="7">
        <v>4.431</v>
      </c>
      <c r="J3166" s="7">
        <v>3.6749999999999998</v>
      </c>
      <c r="K3166" s="7">
        <v>3.0059999999999998</v>
      </c>
      <c r="L3166" s="7">
        <v>2.6520000000000001</v>
      </c>
      <c r="M3166" s="7">
        <v>2.8</v>
      </c>
      <c r="N3166" s="7">
        <v>3.73</v>
      </c>
      <c r="O3166" s="7">
        <v>3.7290000000000001</v>
      </c>
      <c r="P3166" s="7">
        <v>4.2670000000000003</v>
      </c>
      <c r="Q3166" s="7">
        <v>5.1070000000000002</v>
      </c>
      <c r="R3166" s="7">
        <v>5.4450000000000003</v>
      </c>
      <c r="S3166" s="7">
        <f t="shared" si="49"/>
        <v>4.1013333333333337</v>
      </c>
    </row>
    <row r="3167" spans="1:19">
      <c r="A3167" s="5" t="str">
        <f>B3167&amp;"-"&amp;COUNTIF($B$2:B3167,B3167)</f>
        <v>PARANÁ-381</v>
      </c>
      <c r="B3167" s="5" t="s">
        <v>1921</v>
      </c>
      <c r="C3167" s="5" t="s">
        <v>1667</v>
      </c>
      <c r="D3167" s="6">
        <v>-537416</v>
      </c>
      <c r="E3167" s="6">
        <v>-247251</v>
      </c>
      <c r="F3167" s="7">
        <v>4.7969999999999997</v>
      </c>
      <c r="G3167" s="7">
        <v>6.2850000000000001</v>
      </c>
      <c r="H3167" s="7">
        <v>5.6310000000000002</v>
      </c>
      <c r="I3167" s="7">
        <v>5.2069999999999999</v>
      </c>
      <c r="J3167" s="7">
        <v>4.3250000000000002</v>
      </c>
      <c r="K3167" s="7">
        <v>3.3839999999999999</v>
      </c>
      <c r="L3167" s="7">
        <v>3.008</v>
      </c>
      <c r="M3167" s="7">
        <v>3.198</v>
      </c>
      <c r="N3167" s="7">
        <v>4.2060000000000004</v>
      </c>
      <c r="O3167" s="7">
        <v>4.4429999999999996</v>
      </c>
      <c r="P3167" s="7">
        <v>5.25</v>
      </c>
      <c r="Q3167" s="7">
        <v>6.1079999999999997</v>
      </c>
      <c r="R3167" s="7">
        <v>6.5149999999999997</v>
      </c>
      <c r="S3167" s="7">
        <f t="shared" si="49"/>
        <v>4.796666666666666</v>
      </c>
    </row>
    <row r="3168" spans="1:19">
      <c r="A3168" s="5" t="str">
        <f>B3168&amp;"-"&amp;COUNTIF($B$2:B3168,B3168)</f>
        <v>PARANÁ-382</v>
      </c>
      <c r="B3168" s="5" t="s">
        <v>1921</v>
      </c>
      <c r="C3168" s="5" t="s">
        <v>2130</v>
      </c>
      <c r="D3168" s="6">
        <v>-499504</v>
      </c>
      <c r="E3168" s="6">
        <v>-237801</v>
      </c>
      <c r="F3168" s="7">
        <v>4.8230000000000004</v>
      </c>
      <c r="G3168" s="7">
        <v>5.7060000000000004</v>
      </c>
      <c r="H3168" s="7">
        <v>5.76</v>
      </c>
      <c r="I3168" s="7">
        <v>5.133</v>
      </c>
      <c r="J3168" s="7">
        <v>4.5019999999999998</v>
      </c>
      <c r="K3168" s="7">
        <v>3.5739999999999998</v>
      </c>
      <c r="L3168" s="7">
        <v>3.1840000000000002</v>
      </c>
      <c r="M3168" s="7">
        <v>3.4449999999999998</v>
      </c>
      <c r="N3168" s="7">
        <v>4.431</v>
      </c>
      <c r="O3168" s="7">
        <v>4.6369999999999996</v>
      </c>
      <c r="P3168" s="7">
        <v>5.2309999999999999</v>
      </c>
      <c r="Q3168" s="7">
        <v>5.9720000000000004</v>
      </c>
      <c r="R3168" s="7">
        <v>6.3040000000000003</v>
      </c>
      <c r="S3168" s="7">
        <f t="shared" si="49"/>
        <v>4.8232500000000007</v>
      </c>
    </row>
    <row r="3169" spans="1:19">
      <c r="A3169" s="5" t="str">
        <f>B3169&amp;"-"&amp;COUNTIF($B$2:B3169,B3169)</f>
        <v>PARANÁ-383</v>
      </c>
      <c r="B3169" s="5" t="s">
        <v>1921</v>
      </c>
      <c r="C3169" s="5" t="s">
        <v>5679</v>
      </c>
      <c r="D3169" s="6">
        <v>-531838</v>
      </c>
      <c r="E3169" s="6">
        <v>-25419</v>
      </c>
      <c r="F3169" s="7">
        <v>4.7169999999999996</v>
      </c>
      <c r="G3169" s="7">
        <v>6.2359999999999998</v>
      </c>
      <c r="H3169" s="7">
        <v>5.6379999999999999</v>
      </c>
      <c r="I3169" s="7">
        <v>5.2009999999999996</v>
      </c>
      <c r="J3169" s="7">
        <v>4.2610000000000001</v>
      </c>
      <c r="K3169" s="7">
        <v>3.306</v>
      </c>
      <c r="L3169" s="7">
        <v>2.8820000000000001</v>
      </c>
      <c r="M3169" s="7">
        <v>3.1</v>
      </c>
      <c r="N3169" s="7">
        <v>4.1289999999999996</v>
      </c>
      <c r="O3169" s="7">
        <v>4.2809999999999997</v>
      </c>
      <c r="P3169" s="7">
        <v>5.19</v>
      </c>
      <c r="Q3169" s="7">
        <v>6.0540000000000003</v>
      </c>
      <c r="R3169" s="7">
        <v>6.3220000000000001</v>
      </c>
      <c r="S3169" s="7">
        <f t="shared" si="49"/>
        <v>4.7166666666666668</v>
      </c>
    </row>
    <row r="3170" spans="1:19">
      <c r="A3170" s="5" t="str">
        <f>B3170&amp;"-"&amp;COUNTIF($B$2:B3170,B3170)</f>
        <v>PARANÁ-384</v>
      </c>
      <c r="B3170" s="5" t="s">
        <v>1921</v>
      </c>
      <c r="C3170" s="5" t="s">
        <v>5680</v>
      </c>
      <c r="D3170" s="6">
        <v>-490883</v>
      </c>
      <c r="E3170" s="6">
        <v>-249736</v>
      </c>
      <c r="F3170" s="7">
        <v>4.2480000000000002</v>
      </c>
      <c r="G3170" s="7">
        <v>5.3959999999999999</v>
      </c>
      <c r="H3170" s="7">
        <v>5.2679999999999998</v>
      </c>
      <c r="I3170" s="7">
        <v>4.5750000000000002</v>
      </c>
      <c r="J3170" s="7">
        <v>3.823</v>
      </c>
      <c r="K3170" s="7">
        <v>3.1110000000000002</v>
      </c>
      <c r="L3170" s="7">
        <v>2.7879999999999998</v>
      </c>
      <c r="M3170" s="7">
        <v>2.9569999999999999</v>
      </c>
      <c r="N3170" s="7">
        <v>3.903</v>
      </c>
      <c r="O3170" s="7">
        <v>3.8959999999999999</v>
      </c>
      <c r="P3170" s="7">
        <v>4.407</v>
      </c>
      <c r="Q3170" s="7">
        <v>5.2350000000000003</v>
      </c>
      <c r="R3170" s="7">
        <v>5.6150000000000002</v>
      </c>
      <c r="S3170" s="7">
        <f t="shared" si="49"/>
        <v>4.2478333333333333</v>
      </c>
    </row>
    <row r="3171" spans="1:19">
      <c r="A3171" s="5" t="str">
        <f>B3171&amp;"-"&amp;COUNTIF($B$2:B3171,B3171)</f>
        <v>PARANÁ-385</v>
      </c>
      <c r="B3171" s="5" t="s">
        <v>1921</v>
      </c>
      <c r="C3171" s="5" t="s">
        <v>2131</v>
      </c>
      <c r="D3171" s="6">
        <v>-528773</v>
      </c>
      <c r="E3171" s="6">
        <v>-238653</v>
      </c>
      <c r="F3171" s="7">
        <v>4.8970000000000002</v>
      </c>
      <c r="G3171" s="7">
        <v>6.1040000000000001</v>
      </c>
      <c r="H3171" s="7">
        <v>5.7850000000000001</v>
      </c>
      <c r="I3171" s="7">
        <v>5.3639999999999999</v>
      </c>
      <c r="J3171" s="7">
        <v>4.5209999999999999</v>
      </c>
      <c r="K3171" s="7">
        <v>3.56</v>
      </c>
      <c r="L3171" s="7">
        <v>3.173</v>
      </c>
      <c r="M3171" s="7">
        <v>3.3849999999999998</v>
      </c>
      <c r="N3171" s="7">
        <v>4.343</v>
      </c>
      <c r="O3171" s="7">
        <v>4.5670000000000002</v>
      </c>
      <c r="P3171" s="7">
        <v>5.3630000000000004</v>
      </c>
      <c r="Q3171" s="7">
        <v>6.1369999999999996</v>
      </c>
      <c r="R3171" s="7">
        <v>6.4560000000000004</v>
      </c>
      <c r="S3171" s="7">
        <f t="shared" si="49"/>
        <v>4.8965000000000005</v>
      </c>
    </row>
    <row r="3172" spans="1:19">
      <c r="A3172" s="5" t="str">
        <f>B3172&amp;"-"&amp;COUNTIF($B$2:B3172,B3172)</f>
        <v>PARANÁ-386</v>
      </c>
      <c r="B3172" s="5" t="s">
        <v>1921</v>
      </c>
      <c r="C3172" s="5" t="s">
        <v>5391</v>
      </c>
      <c r="D3172" s="6">
        <v>-53511</v>
      </c>
      <c r="E3172" s="6">
        <v>-245883</v>
      </c>
      <c r="F3172" s="7">
        <v>4.8239999999999998</v>
      </c>
      <c r="G3172" s="7">
        <v>6.3819999999999997</v>
      </c>
      <c r="H3172" s="7">
        <v>5.5780000000000003</v>
      </c>
      <c r="I3172" s="7">
        <v>5.2569999999999997</v>
      </c>
      <c r="J3172" s="7">
        <v>4.3849999999999998</v>
      </c>
      <c r="K3172" s="7">
        <v>3.4460000000000002</v>
      </c>
      <c r="L3172" s="7">
        <v>3.0459999999999998</v>
      </c>
      <c r="M3172" s="7">
        <v>3.238</v>
      </c>
      <c r="N3172" s="7">
        <v>4.1870000000000003</v>
      </c>
      <c r="O3172" s="7">
        <v>4.5030000000000001</v>
      </c>
      <c r="P3172" s="7">
        <v>5.2629999999999999</v>
      </c>
      <c r="Q3172" s="7">
        <v>6.11</v>
      </c>
      <c r="R3172" s="7">
        <v>6.5</v>
      </c>
      <c r="S3172" s="7">
        <f t="shared" si="49"/>
        <v>4.824583333333333</v>
      </c>
    </row>
    <row r="3173" spans="1:19">
      <c r="A3173" s="5" t="str">
        <f>B3173&amp;"-"&amp;COUNTIF($B$2:B3173,B3173)</f>
        <v>PARANÁ-387</v>
      </c>
      <c r="B3173" s="5" t="s">
        <v>1921</v>
      </c>
      <c r="C3173" s="5" t="s">
        <v>2132</v>
      </c>
      <c r="D3173" s="6">
        <v>-515287</v>
      </c>
      <c r="E3173" s="6">
        <v>-250441</v>
      </c>
      <c r="F3173" s="7">
        <v>4.6130000000000004</v>
      </c>
      <c r="G3173" s="7">
        <v>5.6710000000000003</v>
      </c>
      <c r="H3173" s="7">
        <v>5.4740000000000002</v>
      </c>
      <c r="I3173" s="7">
        <v>4.9139999999999997</v>
      </c>
      <c r="J3173" s="7">
        <v>4.2439999999999998</v>
      </c>
      <c r="K3173" s="7">
        <v>3.3220000000000001</v>
      </c>
      <c r="L3173" s="7">
        <v>2.9430000000000001</v>
      </c>
      <c r="M3173" s="7">
        <v>3.2349999999999999</v>
      </c>
      <c r="N3173" s="7">
        <v>4.2249999999999996</v>
      </c>
      <c r="O3173" s="7">
        <v>4.3769999999999998</v>
      </c>
      <c r="P3173" s="7">
        <v>5.077</v>
      </c>
      <c r="Q3173" s="7">
        <v>5.8259999999999996</v>
      </c>
      <c r="R3173" s="7">
        <v>6.0449999999999999</v>
      </c>
      <c r="S3173" s="7">
        <f t="shared" si="49"/>
        <v>4.6127500000000001</v>
      </c>
    </row>
    <row r="3174" spans="1:19">
      <c r="A3174" s="5" t="str">
        <f>B3174&amp;"-"&amp;COUNTIF($B$2:B3174,B3174)</f>
        <v>PARANÁ-388</v>
      </c>
      <c r="B3174" s="5" t="s">
        <v>1921</v>
      </c>
      <c r="C3174" s="5" t="s">
        <v>5392</v>
      </c>
      <c r="D3174" s="6">
        <v>-529869</v>
      </c>
      <c r="E3174" s="6">
        <v>-245398</v>
      </c>
      <c r="F3174" s="7">
        <v>4.8090000000000002</v>
      </c>
      <c r="G3174" s="7">
        <v>6.2709999999999999</v>
      </c>
      <c r="H3174" s="7">
        <v>5.5570000000000004</v>
      </c>
      <c r="I3174" s="7">
        <v>5.21</v>
      </c>
      <c r="J3174" s="7">
        <v>4.43</v>
      </c>
      <c r="K3174" s="7">
        <v>3.4750000000000001</v>
      </c>
      <c r="L3174" s="7">
        <v>3.0609999999999999</v>
      </c>
      <c r="M3174" s="7">
        <v>3.266</v>
      </c>
      <c r="N3174" s="7">
        <v>4.2130000000000001</v>
      </c>
      <c r="O3174" s="7">
        <v>4.47</v>
      </c>
      <c r="P3174" s="7">
        <v>5.23</v>
      </c>
      <c r="Q3174" s="7">
        <v>6.0529999999999999</v>
      </c>
      <c r="R3174" s="7">
        <v>6.476</v>
      </c>
      <c r="S3174" s="7">
        <f t="shared" si="49"/>
        <v>4.8093333333333339</v>
      </c>
    </row>
    <row r="3175" spans="1:19">
      <c r="A3175" s="5" t="str">
        <f>B3175&amp;"-"&amp;COUNTIF($B$2:B3175,B3175)</f>
        <v>PARANÁ-389</v>
      </c>
      <c r="B3175" s="5" t="s">
        <v>1921</v>
      </c>
      <c r="C3175" s="5" t="s">
        <v>2133</v>
      </c>
      <c r="D3175" s="6">
        <v>-533206</v>
      </c>
      <c r="E3175" s="6">
        <v>-237661</v>
      </c>
      <c r="F3175" s="7">
        <v>4.8959999999999999</v>
      </c>
      <c r="G3175" s="7">
        <v>6.0880000000000001</v>
      </c>
      <c r="H3175" s="7">
        <v>5.8319999999999999</v>
      </c>
      <c r="I3175" s="7">
        <v>5.3319999999999999</v>
      </c>
      <c r="J3175" s="7">
        <v>4.4980000000000002</v>
      </c>
      <c r="K3175" s="7">
        <v>3.5230000000000001</v>
      </c>
      <c r="L3175" s="7">
        <v>3.1360000000000001</v>
      </c>
      <c r="M3175" s="7">
        <v>3.38</v>
      </c>
      <c r="N3175" s="7">
        <v>4.351</v>
      </c>
      <c r="O3175" s="7">
        <v>4.5789999999999997</v>
      </c>
      <c r="P3175" s="7">
        <v>5.3810000000000002</v>
      </c>
      <c r="Q3175" s="7">
        <v>6.1420000000000003</v>
      </c>
      <c r="R3175" s="7">
        <v>6.5119999999999996</v>
      </c>
      <c r="S3175" s="7">
        <f t="shared" si="49"/>
        <v>4.8961666666666668</v>
      </c>
    </row>
    <row r="3176" spans="1:19">
      <c r="A3176" s="5" t="str">
        <f>B3176&amp;"-"&amp;COUNTIF($B$2:B3176,B3176)</f>
        <v>PARANÁ-390</v>
      </c>
      <c r="B3176" s="5" t="s">
        <v>1921</v>
      </c>
      <c r="C3176" s="5" t="s">
        <v>5181</v>
      </c>
      <c r="D3176" s="6">
        <v>-510878</v>
      </c>
      <c r="E3176" s="6">
        <v>-262278</v>
      </c>
      <c r="F3176" s="7">
        <v>4.1440000000000001</v>
      </c>
      <c r="G3176" s="7">
        <v>5.4649999999999999</v>
      </c>
      <c r="H3176" s="7">
        <v>5.0869999999999997</v>
      </c>
      <c r="I3176" s="7">
        <v>4.5750000000000002</v>
      </c>
      <c r="J3176" s="7">
        <v>3.5779999999999998</v>
      </c>
      <c r="K3176" s="7">
        <v>2.8769999999999998</v>
      </c>
      <c r="L3176" s="7">
        <v>2.4289999999999998</v>
      </c>
      <c r="M3176" s="7">
        <v>2.6469999999999998</v>
      </c>
      <c r="N3176" s="7">
        <v>3.6829999999999998</v>
      </c>
      <c r="O3176" s="7">
        <v>3.8210000000000002</v>
      </c>
      <c r="P3176" s="7">
        <v>4.4749999999999996</v>
      </c>
      <c r="Q3176" s="7">
        <v>5.4480000000000004</v>
      </c>
      <c r="R3176" s="7">
        <v>5.6420000000000003</v>
      </c>
      <c r="S3176" s="7">
        <f t="shared" si="49"/>
        <v>4.1439166666666667</v>
      </c>
    </row>
    <row r="3177" spans="1:19">
      <c r="A3177" s="5" t="str">
        <f>B3177&amp;"-"&amp;COUNTIF($B$2:B3177,B3177)</f>
        <v>PARANÁ-391</v>
      </c>
      <c r="B3177" s="5" t="s">
        <v>1921</v>
      </c>
      <c r="C3177" s="5" t="s">
        <v>2134</v>
      </c>
      <c r="D3177" s="6">
        <v>-521577</v>
      </c>
      <c r="E3177" s="6">
        <v>-230873</v>
      </c>
      <c r="F3177" s="7">
        <v>4.9829999999999997</v>
      </c>
      <c r="G3177" s="7">
        <v>5.9560000000000004</v>
      </c>
      <c r="H3177" s="7">
        <v>5.8739999999999997</v>
      </c>
      <c r="I3177" s="7">
        <v>5.4109999999999996</v>
      </c>
      <c r="J3177" s="7">
        <v>4.6680000000000001</v>
      </c>
      <c r="K3177" s="7">
        <v>3.6850000000000001</v>
      </c>
      <c r="L3177" s="7">
        <v>3.375</v>
      </c>
      <c r="M3177" s="7">
        <v>3.5670000000000002</v>
      </c>
      <c r="N3177" s="7">
        <v>4.5069999999999997</v>
      </c>
      <c r="O3177" s="7">
        <v>4.7229999999999999</v>
      </c>
      <c r="P3177" s="7">
        <v>5.4409999999999998</v>
      </c>
      <c r="Q3177" s="7">
        <v>6.1749999999999998</v>
      </c>
      <c r="R3177" s="7">
        <v>6.4119999999999999</v>
      </c>
      <c r="S3177" s="7">
        <f t="shared" si="49"/>
        <v>4.9828333333333328</v>
      </c>
    </row>
    <row r="3178" spans="1:19">
      <c r="A3178" s="5" t="str">
        <f>B3178&amp;"-"&amp;COUNTIF($B$2:B3178,B3178)</f>
        <v>PARANÁ-392</v>
      </c>
      <c r="B3178" s="5" t="s">
        <v>1921</v>
      </c>
      <c r="C3178" s="5" t="s">
        <v>2135</v>
      </c>
      <c r="D3178" s="6">
        <v>-507943</v>
      </c>
      <c r="E3178" s="6">
        <v>-232005</v>
      </c>
      <c r="F3178" s="7">
        <v>4.96</v>
      </c>
      <c r="G3178" s="7">
        <v>5.923</v>
      </c>
      <c r="H3178" s="7">
        <v>5.8869999999999996</v>
      </c>
      <c r="I3178" s="7">
        <v>5.3079999999999998</v>
      </c>
      <c r="J3178" s="7">
        <v>4.6420000000000003</v>
      </c>
      <c r="K3178" s="7">
        <v>3.7090000000000001</v>
      </c>
      <c r="L3178" s="7">
        <v>3.3980000000000001</v>
      </c>
      <c r="M3178" s="7">
        <v>3.5979999999999999</v>
      </c>
      <c r="N3178" s="7">
        <v>4.5620000000000003</v>
      </c>
      <c r="O3178" s="7">
        <v>4.7380000000000004</v>
      </c>
      <c r="P3178" s="7">
        <v>5.4</v>
      </c>
      <c r="Q3178" s="7">
        <v>6.0259999999999998</v>
      </c>
      <c r="R3178" s="7">
        <v>6.3259999999999996</v>
      </c>
      <c r="S3178" s="7">
        <f t="shared" si="49"/>
        <v>4.9597499999999988</v>
      </c>
    </row>
    <row r="3179" spans="1:19">
      <c r="A3179" s="5" t="str">
        <f>B3179&amp;"-"&amp;COUNTIF($B$2:B3179,B3179)</f>
        <v>PARANÁ-393</v>
      </c>
      <c r="B3179" s="5" t="s">
        <v>1921</v>
      </c>
      <c r="C3179" s="5" t="s">
        <v>2136</v>
      </c>
      <c r="D3179" s="6">
        <v>-502429</v>
      </c>
      <c r="E3179" s="6">
        <v>-24246</v>
      </c>
      <c r="F3179" s="7">
        <v>4.68</v>
      </c>
      <c r="G3179" s="7">
        <v>5.6369999999999996</v>
      </c>
      <c r="H3179" s="7">
        <v>5.5030000000000001</v>
      </c>
      <c r="I3179" s="7">
        <v>4.9779999999999998</v>
      </c>
      <c r="J3179" s="7">
        <v>4.3760000000000003</v>
      </c>
      <c r="K3179" s="7">
        <v>3.4729999999999999</v>
      </c>
      <c r="L3179" s="7">
        <v>3.0960000000000001</v>
      </c>
      <c r="M3179" s="7">
        <v>3.3450000000000002</v>
      </c>
      <c r="N3179" s="7">
        <v>4.3650000000000002</v>
      </c>
      <c r="O3179" s="7">
        <v>4.5330000000000004</v>
      </c>
      <c r="P3179" s="7">
        <v>5.0570000000000004</v>
      </c>
      <c r="Q3179" s="7">
        <v>5.7759999999999998</v>
      </c>
      <c r="R3179" s="7">
        <v>6.0229999999999997</v>
      </c>
      <c r="S3179" s="7">
        <f t="shared" si="49"/>
        <v>4.6801666666666675</v>
      </c>
    </row>
    <row r="3180" spans="1:19">
      <c r="A3180" s="5" t="str">
        <f>B3180&amp;"-"&amp;COUNTIF($B$2:B3180,B3180)</f>
        <v>PARANÁ-394</v>
      </c>
      <c r="B3180" s="5" t="s">
        <v>1921</v>
      </c>
      <c r="C3180" s="5" t="s">
        <v>2137</v>
      </c>
      <c r="D3180" s="6">
        <v>-538775</v>
      </c>
      <c r="E3180" s="6">
        <v>-250582</v>
      </c>
      <c r="F3180" s="7">
        <v>4.7279999999999998</v>
      </c>
      <c r="G3180" s="7">
        <v>6.2709999999999999</v>
      </c>
      <c r="H3180" s="7">
        <v>5.6920000000000002</v>
      </c>
      <c r="I3180" s="7">
        <v>5.0739999999999998</v>
      </c>
      <c r="J3180" s="7">
        <v>4.2359999999999998</v>
      </c>
      <c r="K3180" s="7">
        <v>3.3039999999999998</v>
      </c>
      <c r="L3180" s="7">
        <v>2.9129999999999998</v>
      </c>
      <c r="M3180" s="7">
        <v>3.1560000000000001</v>
      </c>
      <c r="N3180" s="7">
        <v>4.1559999999999997</v>
      </c>
      <c r="O3180" s="7">
        <v>4.351</v>
      </c>
      <c r="P3180" s="7">
        <v>5.2060000000000004</v>
      </c>
      <c r="Q3180" s="7">
        <v>5.9640000000000004</v>
      </c>
      <c r="R3180" s="7">
        <v>6.4119999999999999</v>
      </c>
      <c r="S3180" s="7">
        <f t="shared" si="49"/>
        <v>4.7279166666666663</v>
      </c>
    </row>
    <row r="3181" spans="1:19">
      <c r="A3181" s="5" t="str">
        <f>B3181&amp;"-"&amp;COUNTIF($B$2:B3181,B3181)</f>
        <v>PARANÁ-395</v>
      </c>
      <c r="B3181" s="5" t="s">
        <v>1921</v>
      </c>
      <c r="C3181" s="5" t="s">
        <v>5306</v>
      </c>
      <c r="D3181" s="6">
        <v>-529056</v>
      </c>
      <c r="E3181" s="6">
        <v>-258777</v>
      </c>
      <c r="F3181" s="7">
        <v>4.766</v>
      </c>
      <c r="G3181" s="7">
        <v>6.2939999999999996</v>
      </c>
      <c r="H3181" s="7">
        <v>5.7729999999999997</v>
      </c>
      <c r="I3181" s="7">
        <v>5.2709999999999999</v>
      </c>
      <c r="J3181" s="7">
        <v>4.2839999999999998</v>
      </c>
      <c r="K3181" s="7">
        <v>3.2919999999999998</v>
      </c>
      <c r="L3181" s="7">
        <v>2.827</v>
      </c>
      <c r="M3181" s="7">
        <v>3.12</v>
      </c>
      <c r="N3181" s="7">
        <v>4.1050000000000004</v>
      </c>
      <c r="O3181" s="7">
        <v>4.2869999999999999</v>
      </c>
      <c r="P3181" s="7">
        <v>5.2450000000000001</v>
      </c>
      <c r="Q3181" s="7">
        <v>6.2249999999999996</v>
      </c>
      <c r="R3181" s="7">
        <v>6.4720000000000004</v>
      </c>
      <c r="S3181" s="7">
        <f t="shared" si="49"/>
        <v>4.7662500000000003</v>
      </c>
    </row>
    <row r="3182" spans="1:19">
      <c r="A3182" s="5" t="str">
        <f>B3182&amp;"-"&amp;COUNTIF($B$2:B3182,B3182)</f>
        <v>PARANÁ-396</v>
      </c>
      <c r="B3182" s="5" t="s">
        <v>1921</v>
      </c>
      <c r="C3182" s="5" t="s">
        <v>2138</v>
      </c>
      <c r="D3182" s="6">
        <v>-521992</v>
      </c>
      <c r="E3182" s="6">
        <v>-253834</v>
      </c>
      <c r="F3182" s="7">
        <v>4.6890000000000001</v>
      </c>
      <c r="G3182" s="7">
        <v>6.0259999999999998</v>
      </c>
      <c r="H3182" s="7">
        <v>5.5419999999999998</v>
      </c>
      <c r="I3182" s="7">
        <v>5.1360000000000001</v>
      </c>
      <c r="J3182" s="7">
        <v>4.274</v>
      </c>
      <c r="K3182" s="7">
        <v>3.3170000000000002</v>
      </c>
      <c r="L3182" s="7">
        <v>2.9239999999999999</v>
      </c>
      <c r="M3182" s="7">
        <v>3.1760000000000002</v>
      </c>
      <c r="N3182" s="7">
        <v>4.1509999999999998</v>
      </c>
      <c r="O3182" s="7">
        <v>4.3479999999999999</v>
      </c>
      <c r="P3182" s="7">
        <v>5.1550000000000002</v>
      </c>
      <c r="Q3182" s="7">
        <v>6.0179999999999998</v>
      </c>
      <c r="R3182" s="7">
        <v>6.202</v>
      </c>
      <c r="S3182" s="7">
        <f t="shared" si="49"/>
        <v>4.6890833333333335</v>
      </c>
    </row>
    <row r="3183" spans="1:19">
      <c r="A3183" s="5" t="str">
        <f>B3183&amp;"-"&amp;COUNTIF($B$2:B3183,B3183)</f>
        <v>PARANÁ-397</v>
      </c>
      <c r="B3183" s="5" t="s">
        <v>1921</v>
      </c>
      <c r="C3183" s="5" t="s">
        <v>2139</v>
      </c>
      <c r="D3183" s="6">
        <v>-527847</v>
      </c>
      <c r="E3183" s="6">
        <v>-262688</v>
      </c>
      <c r="F3183" s="7">
        <v>4.6829999999999998</v>
      </c>
      <c r="G3183" s="7">
        <v>6.23</v>
      </c>
      <c r="H3183" s="7">
        <v>5.65</v>
      </c>
      <c r="I3183" s="7">
        <v>5.1230000000000002</v>
      </c>
      <c r="J3183" s="7">
        <v>4.1849999999999996</v>
      </c>
      <c r="K3183" s="7">
        <v>3.2530000000000001</v>
      </c>
      <c r="L3183" s="7">
        <v>2.8210000000000002</v>
      </c>
      <c r="M3183" s="7">
        <v>3.089</v>
      </c>
      <c r="N3183" s="7">
        <v>4.0460000000000003</v>
      </c>
      <c r="O3183" s="7">
        <v>4.2190000000000003</v>
      </c>
      <c r="P3183" s="7">
        <v>5.1539999999999999</v>
      </c>
      <c r="Q3183" s="7">
        <v>6.1050000000000004</v>
      </c>
      <c r="R3183" s="7">
        <v>6.327</v>
      </c>
      <c r="S3183" s="7">
        <f t="shared" si="49"/>
        <v>4.6834999999999996</v>
      </c>
    </row>
    <row r="3184" spans="1:19">
      <c r="A3184" s="5" t="str">
        <f>B3184&amp;"-"&amp;COUNTIF($B$2:B3184,B3184)</f>
        <v>PARANÁ-398</v>
      </c>
      <c r="B3184" s="5" t="s">
        <v>1921</v>
      </c>
      <c r="C3184" s="5" t="s">
        <v>1694</v>
      </c>
      <c r="D3184" s="6">
        <v>-498036</v>
      </c>
      <c r="E3184" s="6">
        <v>-238747</v>
      </c>
      <c r="F3184" s="7">
        <v>4.7990000000000004</v>
      </c>
      <c r="G3184" s="7">
        <v>5.702</v>
      </c>
      <c r="H3184" s="7">
        <v>5.726</v>
      </c>
      <c r="I3184" s="7">
        <v>5.0990000000000002</v>
      </c>
      <c r="J3184" s="7">
        <v>4.4749999999999996</v>
      </c>
      <c r="K3184" s="7">
        <v>3.548</v>
      </c>
      <c r="L3184" s="7">
        <v>3.1909999999999998</v>
      </c>
      <c r="M3184" s="7">
        <v>3.4329999999999998</v>
      </c>
      <c r="N3184" s="7">
        <v>4.4059999999999997</v>
      </c>
      <c r="O3184" s="7">
        <v>4.6180000000000003</v>
      </c>
      <c r="P3184" s="7">
        <v>5.2050000000000001</v>
      </c>
      <c r="Q3184" s="7">
        <v>5.9729999999999999</v>
      </c>
      <c r="R3184" s="7">
        <v>6.2169999999999996</v>
      </c>
      <c r="S3184" s="7">
        <f t="shared" si="49"/>
        <v>4.7994166666666667</v>
      </c>
    </row>
    <row r="3185" spans="1:19">
      <c r="A3185" s="5" t="str">
        <f>B3185&amp;"-"&amp;COUNTIF($B$2:B3185,B3185)</f>
        <v>PARANÁ-399</v>
      </c>
      <c r="B3185" s="5" t="s">
        <v>1921</v>
      </c>
      <c r="C3185" s="5" t="s">
        <v>5307</v>
      </c>
      <c r="D3185" s="6">
        <v>-534889</v>
      </c>
      <c r="E3185" s="6">
        <v>-237369</v>
      </c>
      <c r="F3185" s="7">
        <v>4.9000000000000004</v>
      </c>
      <c r="G3185" s="7">
        <v>6.1130000000000004</v>
      </c>
      <c r="H3185" s="7">
        <v>5.8570000000000002</v>
      </c>
      <c r="I3185" s="7">
        <v>5.33</v>
      </c>
      <c r="J3185" s="7">
        <v>4.4859999999999998</v>
      </c>
      <c r="K3185" s="7">
        <v>3.5289999999999999</v>
      </c>
      <c r="L3185" s="7">
        <v>3.1520000000000001</v>
      </c>
      <c r="M3185" s="7">
        <v>3.3740000000000001</v>
      </c>
      <c r="N3185" s="7">
        <v>4.3310000000000004</v>
      </c>
      <c r="O3185" s="7">
        <v>4.5759999999999996</v>
      </c>
      <c r="P3185" s="7">
        <v>5.3929999999999998</v>
      </c>
      <c r="Q3185" s="7">
        <v>6.1379999999999999</v>
      </c>
      <c r="R3185" s="7">
        <v>6.5220000000000002</v>
      </c>
      <c r="S3185" s="7">
        <f t="shared" si="49"/>
        <v>4.9000833333333338</v>
      </c>
    </row>
    <row r="3186" spans="1:19">
      <c r="A3186" s="5" t="str">
        <f>B3186&amp;"-"&amp;COUNTIF($B$2:B3186,B3186)</f>
        <v>PERNAMBUCO-1</v>
      </c>
      <c r="B3186" s="5" t="s">
        <v>2140</v>
      </c>
      <c r="C3186" s="5" t="s">
        <v>2141</v>
      </c>
      <c r="D3186" s="6">
        <v>-355266</v>
      </c>
      <c r="E3186" s="6">
        <v>-87065</v>
      </c>
      <c r="F3186" s="7">
        <v>5.1449999999999996</v>
      </c>
      <c r="G3186" s="7">
        <v>5.7110000000000003</v>
      </c>
      <c r="H3186" s="7">
        <v>5.6360000000000001</v>
      </c>
      <c r="I3186" s="7">
        <v>5.7329999999999997</v>
      </c>
      <c r="J3186" s="7">
        <v>5.0010000000000003</v>
      </c>
      <c r="K3186" s="7">
        <v>4.2889999999999997</v>
      </c>
      <c r="L3186" s="7">
        <v>3.9289999999999998</v>
      </c>
      <c r="M3186" s="7">
        <v>3.968</v>
      </c>
      <c r="N3186" s="7">
        <v>4.5599999999999996</v>
      </c>
      <c r="O3186" s="7">
        <v>5.3570000000000002</v>
      </c>
      <c r="P3186" s="7">
        <v>5.6120000000000001</v>
      </c>
      <c r="Q3186" s="7">
        <v>5.9809999999999999</v>
      </c>
      <c r="R3186" s="7">
        <v>5.9610000000000003</v>
      </c>
      <c r="S3186" s="7">
        <f t="shared" si="49"/>
        <v>5.1448333333333336</v>
      </c>
    </row>
    <row r="3187" spans="1:19">
      <c r="A3187" s="5" t="str">
        <f>B3187&amp;"-"&amp;COUNTIF($B$2:B3187,B3187)</f>
        <v>PERNAMBUCO-2</v>
      </c>
      <c r="B3187" s="5" t="s">
        <v>2140</v>
      </c>
      <c r="C3187" s="5" t="s">
        <v>5811</v>
      </c>
      <c r="D3187" s="6">
        <v>-371229</v>
      </c>
      <c r="E3187" s="6">
        <v>-91117</v>
      </c>
      <c r="F3187" s="7">
        <v>5.4729999999999999</v>
      </c>
      <c r="G3187" s="7">
        <v>6.2270000000000003</v>
      </c>
      <c r="H3187" s="7">
        <v>6.01</v>
      </c>
      <c r="I3187" s="7">
        <v>6.0149999999999997</v>
      </c>
      <c r="J3187" s="7">
        <v>5.2990000000000004</v>
      </c>
      <c r="K3187" s="7">
        <v>4.4029999999999996</v>
      </c>
      <c r="L3187" s="7">
        <v>3.952</v>
      </c>
      <c r="M3187" s="7">
        <v>4.1740000000000004</v>
      </c>
      <c r="N3187" s="7">
        <v>4.7949999999999999</v>
      </c>
      <c r="O3187" s="7">
        <v>5.7220000000000004</v>
      </c>
      <c r="P3187" s="7">
        <v>6.1120000000000001</v>
      </c>
      <c r="Q3187" s="7">
        <v>6.56</v>
      </c>
      <c r="R3187" s="7">
        <v>6.407</v>
      </c>
      <c r="S3187" s="7">
        <f t="shared" si="49"/>
        <v>5.4729999999999999</v>
      </c>
    </row>
    <row r="3188" spans="1:19">
      <c r="A3188" s="5" t="str">
        <f>B3188&amp;"-"&amp;COUNTIF($B$2:B3188,B3188)</f>
        <v>PERNAMBUCO-3</v>
      </c>
      <c r="B3188" s="5" t="s">
        <v>2140</v>
      </c>
      <c r="C3188" s="5" t="s">
        <v>2142</v>
      </c>
      <c r="D3188" s="6">
        <v>-349073</v>
      </c>
      <c r="E3188" s="6">
        <v>-79038</v>
      </c>
      <c r="F3188" s="7">
        <v>5.2919999999999998</v>
      </c>
      <c r="G3188" s="7">
        <v>5.7160000000000002</v>
      </c>
      <c r="H3188" s="7">
        <v>5.8810000000000002</v>
      </c>
      <c r="I3188" s="7">
        <v>5.8339999999999996</v>
      </c>
      <c r="J3188" s="7">
        <v>5.1360000000000001</v>
      </c>
      <c r="K3188" s="7">
        <v>4.4710000000000001</v>
      </c>
      <c r="L3188" s="7">
        <v>4.1609999999999996</v>
      </c>
      <c r="M3188" s="7">
        <v>4.2690000000000001</v>
      </c>
      <c r="N3188" s="7">
        <v>4.9980000000000002</v>
      </c>
      <c r="O3188" s="7">
        <v>5.4059999999999997</v>
      </c>
      <c r="P3188" s="7">
        <v>5.6859999999999999</v>
      </c>
      <c r="Q3188" s="7">
        <v>5.9850000000000003</v>
      </c>
      <c r="R3188" s="7">
        <v>5.9660000000000002</v>
      </c>
      <c r="S3188" s="7">
        <f t="shared" si="49"/>
        <v>5.2924166666666661</v>
      </c>
    </row>
    <row r="3189" spans="1:19">
      <c r="A3189" s="5" t="str">
        <f>B3189&amp;"-"&amp;COUNTIF($B$2:B3189,B3189)</f>
        <v>PERNAMBUCO-4</v>
      </c>
      <c r="B3189" s="5" t="s">
        <v>2140</v>
      </c>
      <c r="C3189" s="5" t="s">
        <v>2143</v>
      </c>
      <c r="D3189" s="6">
        <v>-376367</v>
      </c>
      <c r="E3189" s="6">
        <v>-77512</v>
      </c>
      <c r="F3189" s="7">
        <v>5.8150000000000004</v>
      </c>
      <c r="G3189" s="7">
        <v>6.1980000000000004</v>
      </c>
      <c r="H3189" s="7">
        <v>6.15</v>
      </c>
      <c r="I3189" s="7">
        <v>6.0759999999999996</v>
      </c>
      <c r="J3189" s="7">
        <v>5.7030000000000003</v>
      </c>
      <c r="K3189" s="7">
        <v>4.9660000000000002</v>
      </c>
      <c r="L3189" s="7">
        <v>4.54</v>
      </c>
      <c r="M3189" s="7">
        <v>4.6760000000000002</v>
      </c>
      <c r="N3189" s="7">
        <v>5.5110000000000001</v>
      </c>
      <c r="O3189" s="7">
        <v>6.359</v>
      </c>
      <c r="P3189" s="7">
        <v>6.4980000000000002</v>
      </c>
      <c r="Q3189" s="7">
        <v>6.7169999999999996</v>
      </c>
      <c r="R3189" s="7">
        <v>6.3879999999999999</v>
      </c>
      <c r="S3189" s="7">
        <f t="shared" si="49"/>
        <v>5.8151666666666673</v>
      </c>
    </row>
    <row r="3190" spans="1:19">
      <c r="A3190" s="5" t="str">
        <f>B3190&amp;"-"&amp;COUNTIF($B$2:B3190,B3190)</f>
        <v>PERNAMBUCO-5</v>
      </c>
      <c r="B3190" s="5" t="s">
        <v>2140</v>
      </c>
      <c r="C3190" s="5" t="s">
        <v>4999</v>
      </c>
      <c r="D3190" s="6">
        <v>-410099</v>
      </c>
      <c r="E3190" s="6">
        <v>-85118</v>
      </c>
      <c r="F3190" s="7">
        <v>5.8449999999999998</v>
      </c>
      <c r="G3190" s="7">
        <v>6.1340000000000003</v>
      </c>
      <c r="H3190" s="7">
        <v>5.8220000000000001</v>
      </c>
      <c r="I3190" s="7">
        <v>5.7690000000000001</v>
      </c>
      <c r="J3190" s="7">
        <v>5.266</v>
      </c>
      <c r="K3190" s="7">
        <v>5.0220000000000002</v>
      </c>
      <c r="L3190" s="7">
        <v>4.8940000000000001</v>
      </c>
      <c r="M3190" s="7">
        <v>5.2539999999999996</v>
      </c>
      <c r="N3190" s="7">
        <v>6.117</v>
      </c>
      <c r="O3190" s="7">
        <v>6.6349999999999998</v>
      </c>
      <c r="P3190" s="7">
        <v>6.6040000000000001</v>
      </c>
      <c r="Q3190" s="7">
        <v>6.4530000000000003</v>
      </c>
      <c r="R3190" s="7">
        <v>6.1660000000000004</v>
      </c>
      <c r="S3190" s="7">
        <f t="shared" si="49"/>
        <v>5.844666666666666</v>
      </c>
    </row>
    <row r="3191" spans="1:19">
      <c r="A3191" s="5" t="str">
        <f>B3191&amp;"-"&amp;COUNTIF($B$2:B3191,B3191)</f>
        <v>PERNAMBUCO-6</v>
      </c>
      <c r="B3191" s="5" t="s">
        <v>2140</v>
      </c>
      <c r="C3191" s="5" t="s">
        <v>2144</v>
      </c>
      <c r="D3191" s="6">
        <v>-35945</v>
      </c>
      <c r="E3191" s="6">
        <v>-84601</v>
      </c>
      <c r="F3191" s="7">
        <v>5.3070000000000004</v>
      </c>
      <c r="G3191" s="7">
        <v>5.9560000000000004</v>
      </c>
      <c r="H3191" s="7">
        <v>5.851</v>
      </c>
      <c r="I3191" s="7">
        <v>5.9550000000000001</v>
      </c>
      <c r="J3191" s="7">
        <v>5.234</v>
      </c>
      <c r="K3191" s="7">
        <v>4.367</v>
      </c>
      <c r="L3191" s="7">
        <v>3.9689999999999999</v>
      </c>
      <c r="M3191" s="7">
        <v>4.0819999999999999</v>
      </c>
      <c r="N3191" s="7">
        <v>4.7270000000000003</v>
      </c>
      <c r="O3191" s="7">
        <v>5.4939999999999998</v>
      </c>
      <c r="P3191" s="7">
        <v>5.7960000000000003</v>
      </c>
      <c r="Q3191" s="7">
        <v>6.1890000000000001</v>
      </c>
      <c r="R3191" s="7">
        <v>6.0640000000000001</v>
      </c>
      <c r="S3191" s="7">
        <f t="shared" si="49"/>
        <v>5.3070000000000004</v>
      </c>
    </row>
    <row r="3192" spans="1:19">
      <c r="A3192" s="5" t="str">
        <f>B3192&amp;"-"&amp;COUNTIF($B$2:B3192,B3192)</f>
        <v>PERNAMBUCO-7</v>
      </c>
      <c r="B3192" s="5" t="s">
        <v>2140</v>
      </c>
      <c r="C3192" s="5" t="s">
        <v>1794</v>
      </c>
      <c r="D3192" s="6">
        <v>-367791</v>
      </c>
      <c r="E3192" s="6">
        <v>-84669</v>
      </c>
      <c r="F3192" s="7">
        <v>5.4649999999999999</v>
      </c>
      <c r="G3192" s="7">
        <v>6.24</v>
      </c>
      <c r="H3192" s="7">
        <v>5.9169999999999998</v>
      </c>
      <c r="I3192" s="7">
        <v>5.9480000000000004</v>
      </c>
      <c r="J3192" s="7">
        <v>5.3659999999999997</v>
      </c>
      <c r="K3192" s="7">
        <v>4.3890000000000002</v>
      </c>
      <c r="L3192" s="7">
        <v>3.9049999999999998</v>
      </c>
      <c r="M3192" s="7">
        <v>4.0369999999999999</v>
      </c>
      <c r="N3192" s="7">
        <v>4.8220000000000001</v>
      </c>
      <c r="O3192" s="7">
        <v>5.76</v>
      </c>
      <c r="P3192" s="7">
        <v>6.133</v>
      </c>
      <c r="Q3192" s="7">
        <v>6.6210000000000004</v>
      </c>
      <c r="R3192" s="7">
        <v>6.4370000000000003</v>
      </c>
      <c r="S3192" s="7">
        <f t="shared" si="49"/>
        <v>5.4645833333333336</v>
      </c>
    </row>
    <row r="3193" spans="1:19">
      <c r="A3193" s="5" t="str">
        <f>B3193&amp;"-"&amp;COUNTIF($B$2:B3193,B3193)</f>
        <v>PERNAMBUCO-8</v>
      </c>
      <c r="B3193" s="5" t="s">
        <v>2140</v>
      </c>
      <c r="C3193" s="5" t="s">
        <v>4732</v>
      </c>
      <c r="D3193" s="6">
        <v>-352299</v>
      </c>
      <c r="E3193" s="6">
        <v>-76042</v>
      </c>
      <c r="F3193" s="7">
        <v>5.2050000000000001</v>
      </c>
      <c r="G3193" s="7">
        <v>5.4859999999999998</v>
      </c>
      <c r="H3193" s="7">
        <v>5.6420000000000003</v>
      </c>
      <c r="I3193" s="7">
        <v>5.7469999999999999</v>
      </c>
      <c r="J3193" s="7">
        <v>5.1349999999999998</v>
      </c>
      <c r="K3193" s="7">
        <v>4.4790000000000001</v>
      </c>
      <c r="L3193" s="7">
        <v>4.08</v>
      </c>
      <c r="M3193" s="7">
        <v>4.1890000000000001</v>
      </c>
      <c r="N3193" s="7">
        <v>4.915</v>
      </c>
      <c r="O3193" s="7">
        <v>5.399</v>
      </c>
      <c r="P3193" s="7">
        <v>5.6230000000000002</v>
      </c>
      <c r="Q3193" s="7">
        <v>5.9370000000000003</v>
      </c>
      <c r="R3193" s="7">
        <v>5.8230000000000004</v>
      </c>
      <c r="S3193" s="7">
        <f t="shared" si="49"/>
        <v>5.2045833333333329</v>
      </c>
    </row>
    <row r="3194" spans="1:19">
      <c r="A3194" s="5" t="str">
        <f>B3194&amp;"-"&amp;COUNTIF($B$2:B3194,B3194)</f>
        <v>PERNAMBUCO-9</v>
      </c>
      <c r="B3194" s="5" t="s">
        <v>2140</v>
      </c>
      <c r="C3194" s="5" t="s">
        <v>2145</v>
      </c>
      <c r="D3194" s="6">
        <v>-360595</v>
      </c>
      <c r="E3194" s="6">
        <v>-84878</v>
      </c>
      <c r="F3194" s="7">
        <v>5.2720000000000002</v>
      </c>
      <c r="G3194" s="7">
        <v>5.9160000000000004</v>
      </c>
      <c r="H3194" s="7">
        <v>5.8170000000000002</v>
      </c>
      <c r="I3194" s="7">
        <v>5.8810000000000002</v>
      </c>
      <c r="J3194" s="7">
        <v>5.21</v>
      </c>
      <c r="K3194" s="7">
        <v>4.3769999999999998</v>
      </c>
      <c r="L3194" s="7">
        <v>3.9340000000000002</v>
      </c>
      <c r="M3194" s="7">
        <v>4.0149999999999997</v>
      </c>
      <c r="N3194" s="7">
        <v>4.67</v>
      </c>
      <c r="O3194" s="7">
        <v>5.4409999999999998</v>
      </c>
      <c r="P3194" s="7">
        <v>5.7519999999999998</v>
      </c>
      <c r="Q3194" s="7">
        <v>6.202</v>
      </c>
      <c r="R3194" s="7">
        <v>6.0469999999999997</v>
      </c>
      <c r="S3194" s="7">
        <f t="shared" si="49"/>
        <v>5.2718333333333334</v>
      </c>
    </row>
    <row r="3195" spans="1:19">
      <c r="A3195" s="5" t="str">
        <f>B3195&amp;"-"&amp;COUNTIF($B$2:B3195,B3195)</f>
        <v>PERNAMBUCO-10</v>
      </c>
      <c r="B3195" s="5" t="s">
        <v>2140</v>
      </c>
      <c r="C3195" s="5" t="s">
        <v>2146</v>
      </c>
      <c r="D3195" s="6">
        <v>-354503</v>
      </c>
      <c r="E3195" s="6">
        <v>-83773</v>
      </c>
      <c r="F3195" s="7">
        <v>4.9829999999999997</v>
      </c>
      <c r="G3195" s="7">
        <v>5.54</v>
      </c>
      <c r="H3195" s="7">
        <v>5.5389999999999997</v>
      </c>
      <c r="I3195" s="7">
        <v>5.6319999999999997</v>
      </c>
      <c r="J3195" s="7">
        <v>4.8719999999999999</v>
      </c>
      <c r="K3195" s="7">
        <v>4.1660000000000004</v>
      </c>
      <c r="L3195" s="7">
        <v>3.7629999999999999</v>
      </c>
      <c r="M3195" s="7">
        <v>3.7719999999999998</v>
      </c>
      <c r="N3195" s="7">
        <v>4.3529999999999998</v>
      </c>
      <c r="O3195" s="7">
        <v>5.1070000000000002</v>
      </c>
      <c r="P3195" s="7">
        <v>5.4119999999999999</v>
      </c>
      <c r="Q3195" s="7">
        <v>5.8209999999999997</v>
      </c>
      <c r="R3195" s="7">
        <v>5.8259999999999996</v>
      </c>
      <c r="S3195" s="7">
        <f t="shared" si="49"/>
        <v>4.9835833333333328</v>
      </c>
    </row>
    <row r="3196" spans="1:19">
      <c r="A3196" s="5" t="str">
        <f>B3196&amp;"-"&amp;COUNTIF($B$2:B3196,B3196)</f>
        <v>PERNAMBUCO-11</v>
      </c>
      <c r="B3196" s="5" t="s">
        <v>2140</v>
      </c>
      <c r="C3196" s="5" t="s">
        <v>2147</v>
      </c>
      <c r="D3196" s="6">
        <v>-36288</v>
      </c>
      <c r="E3196" s="6">
        <v>-88882</v>
      </c>
      <c r="F3196" s="7">
        <v>5.1980000000000004</v>
      </c>
      <c r="G3196" s="7">
        <v>5.827</v>
      </c>
      <c r="H3196" s="7">
        <v>5.6989999999999998</v>
      </c>
      <c r="I3196" s="7">
        <v>5.7569999999999997</v>
      </c>
      <c r="J3196" s="7">
        <v>5.1269999999999998</v>
      </c>
      <c r="K3196" s="7">
        <v>4.2640000000000002</v>
      </c>
      <c r="L3196" s="7">
        <v>3.81</v>
      </c>
      <c r="M3196" s="7">
        <v>3.9279999999999999</v>
      </c>
      <c r="N3196" s="7">
        <v>4.5460000000000003</v>
      </c>
      <c r="O3196" s="7">
        <v>5.3840000000000003</v>
      </c>
      <c r="P3196" s="7">
        <v>5.673</v>
      </c>
      <c r="Q3196" s="7">
        <v>6.2080000000000002</v>
      </c>
      <c r="R3196" s="7">
        <v>6.15</v>
      </c>
      <c r="S3196" s="7">
        <f t="shared" si="49"/>
        <v>5.1977500000000001</v>
      </c>
    </row>
    <row r="3197" spans="1:19">
      <c r="A3197" s="5" t="str">
        <f>B3197&amp;"-"&amp;COUNTIF($B$2:B3197,B3197)</f>
        <v>PERNAMBUCO-12</v>
      </c>
      <c r="B3197" s="5" t="s">
        <v>2140</v>
      </c>
      <c r="C3197" s="5" t="s">
        <v>4733</v>
      </c>
      <c r="D3197" s="6">
        <v>-350831</v>
      </c>
      <c r="E3197" s="6">
        <v>-77833</v>
      </c>
      <c r="F3197" s="7">
        <v>5.3129999999999997</v>
      </c>
      <c r="G3197" s="7">
        <v>5.7329999999999997</v>
      </c>
      <c r="H3197" s="7">
        <v>5.8739999999999997</v>
      </c>
      <c r="I3197" s="7">
        <v>5.9029999999999996</v>
      </c>
      <c r="J3197" s="7">
        <v>5.15</v>
      </c>
      <c r="K3197" s="7">
        <v>4.4560000000000004</v>
      </c>
      <c r="L3197" s="7">
        <v>4.1159999999999997</v>
      </c>
      <c r="M3197" s="7">
        <v>4.2910000000000004</v>
      </c>
      <c r="N3197" s="7">
        <v>5.0220000000000002</v>
      </c>
      <c r="O3197" s="7">
        <v>5.4489999999999998</v>
      </c>
      <c r="P3197" s="7">
        <v>5.7320000000000002</v>
      </c>
      <c r="Q3197" s="7">
        <v>5.9939999999999998</v>
      </c>
      <c r="R3197" s="7">
        <v>6.0380000000000003</v>
      </c>
      <c r="S3197" s="7">
        <f t="shared" si="49"/>
        <v>5.3131666666666666</v>
      </c>
    </row>
    <row r="3198" spans="1:19">
      <c r="A3198" s="5" t="str">
        <f>B3198&amp;"-"&amp;COUNTIF($B$2:B3198,B3198)</f>
        <v>PERNAMBUCO-13</v>
      </c>
      <c r="B3198" s="5" t="s">
        <v>2140</v>
      </c>
      <c r="C3198" s="5" t="s">
        <v>2148</v>
      </c>
      <c r="D3198" s="6">
        <v>-40496</v>
      </c>
      <c r="E3198" s="6">
        <v>-75708</v>
      </c>
      <c r="F3198" s="7">
        <v>5.6360000000000001</v>
      </c>
      <c r="G3198" s="7">
        <v>5.7009999999999996</v>
      </c>
      <c r="H3198" s="7">
        <v>5.4420000000000002</v>
      </c>
      <c r="I3198" s="7">
        <v>5.5449999999999999</v>
      </c>
      <c r="J3198" s="7">
        <v>5.141</v>
      </c>
      <c r="K3198" s="7">
        <v>4.84</v>
      </c>
      <c r="L3198" s="7">
        <v>4.6589999999999998</v>
      </c>
      <c r="M3198" s="7">
        <v>5.048</v>
      </c>
      <c r="N3198" s="7">
        <v>5.9189999999999996</v>
      </c>
      <c r="O3198" s="7">
        <v>6.4349999999999996</v>
      </c>
      <c r="P3198" s="7">
        <v>6.4390000000000001</v>
      </c>
      <c r="Q3198" s="7">
        <v>6.4</v>
      </c>
      <c r="R3198" s="7">
        <v>6.0640000000000001</v>
      </c>
      <c r="S3198" s="7">
        <f t="shared" si="49"/>
        <v>5.6360833333333327</v>
      </c>
    </row>
    <row r="3199" spans="1:19">
      <c r="A3199" s="5" t="str">
        <f>B3199&amp;"-"&amp;COUNTIF($B$2:B3199,B3199)</f>
        <v>PERNAMBUCO-14</v>
      </c>
      <c r="B3199" s="5" t="s">
        <v>2140</v>
      </c>
      <c r="C3199" s="5" t="s">
        <v>2149</v>
      </c>
      <c r="D3199" s="6">
        <v>-370581</v>
      </c>
      <c r="E3199" s="6">
        <v>-84156</v>
      </c>
      <c r="F3199" s="7">
        <v>5.6550000000000002</v>
      </c>
      <c r="G3199" s="7">
        <v>6.1369999999999996</v>
      </c>
      <c r="H3199" s="7">
        <v>6.0759999999999996</v>
      </c>
      <c r="I3199" s="7">
        <v>6.101</v>
      </c>
      <c r="J3199" s="7">
        <v>5.5750000000000002</v>
      </c>
      <c r="K3199" s="7">
        <v>4.6980000000000004</v>
      </c>
      <c r="L3199" s="7">
        <v>4.2050000000000001</v>
      </c>
      <c r="M3199" s="7">
        <v>4.3730000000000002</v>
      </c>
      <c r="N3199" s="7">
        <v>5.1849999999999996</v>
      </c>
      <c r="O3199" s="7">
        <v>6.0910000000000002</v>
      </c>
      <c r="P3199" s="7">
        <v>6.3529999999999998</v>
      </c>
      <c r="Q3199" s="7">
        <v>6.641</v>
      </c>
      <c r="R3199" s="7">
        <v>6.4260000000000002</v>
      </c>
      <c r="S3199" s="7">
        <f t="shared" si="49"/>
        <v>5.6550833333333337</v>
      </c>
    </row>
    <row r="3200" spans="1:19">
      <c r="A3200" s="5" t="str">
        <f>B3200&amp;"-"&amp;COUNTIF($B$2:B3200,B3200)</f>
        <v>PERNAMBUCO-15</v>
      </c>
      <c r="B3200" s="5" t="s">
        <v>2140</v>
      </c>
      <c r="C3200" s="5" t="s">
        <v>2150</v>
      </c>
      <c r="D3200" s="6">
        <v>-356588</v>
      </c>
      <c r="E3200" s="6">
        <v>-84212</v>
      </c>
      <c r="F3200" s="7">
        <v>5.1219999999999999</v>
      </c>
      <c r="G3200" s="7">
        <v>5.69</v>
      </c>
      <c r="H3200" s="7">
        <v>5.6580000000000004</v>
      </c>
      <c r="I3200" s="7">
        <v>5.7350000000000003</v>
      </c>
      <c r="J3200" s="7">
        <v>5.0339999999999998</v>
      </c>
      <c r="K3200" s="7">
        <v>4.2300000000000004</v>
      </c>
      <c r="L3200" s="7">
        <v>3.823</v>
      </c>
      <c r="M3200" s="7">
        <v>3.8849999999999998</v>
      </c>
      <c r="N3200" s="7">
        <v>4.5049999999999999</v>
      </c>
      <c r="O3200" s="7">
        <v>5.22</v>
      </c>
      <c r="P3200" s="7">
        <v>5.5839999999999996</v>
      </c>
      <c r="Q3200" s="7">
        <v>6.0789999999999997</v>
      </c>
      <c r="R3200" s="7">
        <v>6.0140000000000002</v>
      </c>
      <c r="S3200" s="7">
        <f t="shared" si="49"/>
        <v>5.1214166666666676</v>
      </c>
    </row>
    <row r="3201" spans="1:19">
      <c r="A3201" s="5" t="str">
        <f>B3201&amp;"-"&amp;COUNTIF($B$2:B3201,B3201)</f>
        <v>PERNAMBUCO-16</v>
      </c>
      <c r="B3201" s="5" t="s">
        <v>2140</v>
      </c>
      <c r="C3201" s="5" t="s">
        <v>2151</v>
      </c>
      <c r="D3201" s="6">
        <v>-351835</v>
      </c>
      <c r="E3201" s="6">
        <v>-88165</v>
      </c>
      <c r="F3201" s="7">
        <v>5.3369999999999997</v>
      </c>
      <c r="G3201" s="7">
        <v>5.8319999999999999</v>
      </c>
      <c r="H3201" s="7">
        <v>5.9169999999999998</v>
      </c>
      <c r="I3201" s="7">
        <v>6.0010000000000003</v>
      </c>
      <c r="J3201" s="7">
        <v>5.0750000000000002</v>
      </c>
      <c r="K3201" s="7">
        <v>4.3319999999999999</v>
      </c>
      <c r="L3201" s="7">
        <v>4.0949999999999998</v>
      </c>
      <c r="M3201" s="7">
        <v>4.173</v>
      </c>
      <c r="N3201" s="7">
        <v>4.8550000000000004</v>
      </c>
      <c r="O3201" s="7">
        <v>5.5659999999999998</v>
      </c>
      <c r="P3201" s="7">
        <v>5.8940000000000001</v>
      </c>
      <c r="Q3201" s="7">
        <v>6.1289999999999996</v>
      </c>
      <c r="R3201" s="7">
        <v>6.1760000000000002</v>
      </c>
      <c r="S3201" s="7">
        <f t="shared" si="49"/>
        <v>5.3370833333333332</v>
      </c>
    </row>
    <row r="3202" spans="1:19">
      <c r="A3202" s="5" t="str">
        <f>B3202&amp;"-"&amp;COUNTIF($B$2:B3202,B3202)</f>
        <v>PERNAMBUCO-17</v>
      </c>
      <c r="B3202" s="5" t="s">
        <v>2140</v>
      </c>
      <c r="C3202" s="5" t="s">
        <v>4430</v>
      </c>
      <c r="D3202" s="6">
        <v>-358338</v>
      </c>
      <c r="E3202" s="6">
        <v>-86255</v>
      </c>
      <c r="F3202" s="7">
        <v>5.2560000000000002</v>
      </c>
      <c r="G3202" s="7">
        <v>5.9119999999999999</v>
      </c>
      <c r="H3202" s="7">
        <v>5.8390000000000004</v>
      </c>
      <c r="I3202" s="7">
        <v>5.8860000000000001</v>
      </c>
      <c r="J3202" s="7">
        <v>5.1749999999999998</v>
      </c>
      <c r="K3202" s="7">
        <v>4.3540000000000001</v>
      </c>
      <c r="L3202" s="7">
        <v>3.907</v>
      </c>
      <c r="M3202" s="7">
        <v>3.9550000000000001</v>
      </c>
      <c r="N3202" s="7">
        <v>4.6239999999999997</v>
      </c>
      <c r="O3202" s="7">
        <v>5.3860000000000001</v>
      </c>
      <c r="P3202" s="7">
        <v>5.7359999999999998</v>
      </c>
      <c r="Q3202" s="7">
        <v>6.1909999999999998</v>
      </c>
      <c r="R3202" s="7">
        <v>6.1120000000000001</v>
      </c>
      <c r="S3202" s="7">
        <f t="shared" si="49"/>
        <v>5.2564166666666674</v>
      </c>
    </row>
    <row r="3203" spans="1:19">
      <c r="A3203" s="5" t="str">
        <f>B3203&amp;"-"&amp;COUNTIF($B$2:B3203,B3203)</f>
        <v>PERNAMBUCO-18</v>
      </c>
      <c r="B3203" s="5" t="s">
        <v>2140</v>
      </c>
      <c r="C3203" s="5" t="s">
        <v>4431</v>
      </c>
      <c r="D3203" s="6">
        <v>-389626</v>
      </c>
      <c r="E3203" s="6">
        <v>-87509</v>
      </c>
      <c r="F3203" s="7">
        <v>5.7460000000000004</v>
      </c>
      <c r="G3203" s="7">
        <v>6.383</v>
      </c>
      <c r="H3203" s="7">
        <v>6.2809999999999997</v>
      </c>
      <c r="I3203" s="7">
        <v>6.2249999999999996</v>
      </c>
      <c r="J3203" s="7">
        <v>5.5620000000000003</v>
      </c>
      <c r="K3203" s="7">
        <v>4.7679999999999998</v>
      </c>
      <c r="L3203" s="7">
        <v>4.3019999999999996</v>
      </c>
      <c r="M3203" s="7">
        <v>4.5350000000000001</v>
      </c>
      <c r="N3203" s="7">
        <v>5.25</v>
      </c>
      <c r="O3203" s="7">
        <v>6.1070000000000002</v>
      </c>
      <c r="P3203" s="7">
        <v>6.2990000000000004</v>
      </c>
      <c r="Q3203" s="7">
        <v>6.5940000000000003</v>
      </c>
      <c r="R3203" s="7">
        <v>6.6390000000000002</v>
      </c>
      <c r="S3203" s="7">
        <f t="shared" ref="S3203:S3266" si="50">(G3203+H3203+I3203+J3203+K3203+L3203+M3203+N3203+O3203+P3203+Q3203+R3203)/12</f>
        <v>5.7454166666666664</v>
      </c>
    </row>
    <row r="3204" spans="1:19">
      <c r="A3204" s="5" t="str">
        <f>B3204&amp;"-"&amp;COUNTIF($B$2:B3204,B3204)</f>
        <v>PERNAMBUCO-19</v>
      </c>
      <c r="B3204" s="5" t="s">
        <v>2140</v>
      </c>
      <c r="C3204" s="5" t="s">
        <v>2152</v>
      </c>
      <c r="D3204" s="6">
        <v>-364224</v>
      </c>
      <c r="E3204" s="6">
        <v>-83369</v>
      </c>
      <c r="F3204" s="7">
        <v>5.3259999999999996</v>
      </c>
      <c r="G3204" s="7">
        <v>6.0460000000000003</v>
      </c>
      <c r="H3204" s="7">
        <v>5.83</v>
      </c>
      <c r="I3204" s="7">
        <v>5.8049999999999997</v>
      </c>
      <c r="J3204" s="7">
        <v>5.2619999999999996</v>
      </c>
      <c r="K3204" s="7">
        <v>4.3410000000000002</v>
      </c>
      <c r="L3204" s="7">
        <v>3.8260000000000001</v>
      </c>
      <c r="M3204" s="7">
        <v>3.9740000000000002</v>
      </c>
      <c r="N3204" s="7">
        <v>4.6630000000000003</v>
      </c>
      <c r="O3204" s="7">
        <v>5.61</v>
      </c>
      <c r="P3204" s="7">
        <v>5.9720000000000004</v>
      </c>
      <c r="Q3204" s="7">
        <v>6.3819999999999997</v>
      </c>
      <c r="R3204" s="7">
        <v>6.2060000000000004</v>
      </c>
      <c r="S3204" s="7">
        <f t="shared" si="50"/>
        <v>5.3264166666666668</v>
      </c>
    </row>
    <row r="3205" spans="1:19">
      <c r="A3205" s="5" t="str">
        <f>B3205&amp;"-"&amp;COUNTIF($B$2:B3205,B3205)</f>
        <v>PERNAMBUCO-20</v>
      </c>
      <c r="B3205" s="5" t="s">
        <v>2140</v>
      </c>
      <c r="C3205" s="5" t="s">
        <v>5000</v>
      </c>
      <c r="D3205" s="6">
        <v>-380365</v>
      </c>
      <c r="E3205" s="6">
        <v>-82735</v>
      </c>
      <c r="F3205" s="7">
        <v>5.7519999999999998</v>
      </c>
      <c r="G3205" s="7">
        <v>6.3550000000000004</v>
      </c>
      <c r="H3205" s="7">
        <v>6.1369999999999996</v>
      </c>
      <c r="I3205" s="7">
        <v>6.1280000000000001</v>
      </c>
      <c r="J3205" s="7">
        <v>5.6390000000000002</v>
      </c>
      <c r="K3205" s="7">
        <v>4.7279999999999998</v>
      </c>
      <c r="L3205" s="7">
        <v>4.2329999999999997</v>
      </c>
      <c r="M3205" s="7">
        <v>4.516</v>
      </c>
      <c r="N3205" s="7">
        <v>5.2729999999999997</v>
      </c>
      <c r="O3205" s="7">
        <v>6.2380000000000004</v>
      </c>
      <c r="P3205" s="7">
        <v>6.4939999999999998</v>
      </c>
      <c r="Q3205" s="7">
        <v>6.766</v>
      </c>
      <c r="R3205" s="7">
        <v>6.5170000000000003</v>
      </c>
      <c r="S3205" s="7">
        <f t="shared" si="50"/>
        <v>5.7519999999999998</v>
      </c>
    </row>
    <row r="3206" spans="1:19">
      <c r="A3206" s="5" t="str">
        <f>B3206&amp;"-"&amp;COUNTIF($B$2:B3206,B3206)</f>
        <v>PERNAMBUCO-21</v>
      </c>
      <c r="B3206" s="5" t="s">
        <v>2140</v>
      </c>
      <c r="C3206" s="5" t="s">
        <v>2153</v>
      </c>
      <c r="D3206" s="6">
        <v>-357963</v>
      </c>
      <c r="E3206" s="6">
        <v>-82332</v>
      </c>
      <c r="F3206" s="7">
        <v>5.1609999999999996</v>
      </c>
      <c r="G3206" s="7">
        <v>5.6369999999999996</v>
      </c>
      <c r="H3206" s="7">
        <v>5.641</v>
      </c>
      <c r="I3206" s="7">
        <v>5.641</v>
      </c>
      <c r="J3206" s="7">
        <v>5.0250000000000004</v>
      </c>
      <c r="K3206" s="7">
        <v>4.3310000000000004</v>
      </c>
      <c r="L3206" s="7">
        <v>3.931</v>
      </c>
      <c r="M3206" s="7">
        <v>4.0419999999999998</v>
      </c>
      <c r="N3206" s="7">
        <v>4.6989999999999998</v>
      </c>
      <c r="O3206" s="7">
        <v>5.4009999999999998</v>
      </c>
      <c r="P3206" s="7">
        <v>5.7050000000000001</v>
      </c>
      <c r="Q3206" s="7">
        <v>6.0090000000000003</v>
      </c>
      <c r="R3206" s="7">
        <v>5.8630000000000004</v>
      </c>
      <c r="S3206" s="7">
        <f t="shared" si="50"/>
        <v>5.1604166666666664</v>
      </c>
    </row>
    <row r="3207" spans="1:19">
      <c r="A3207" s="5" t="str">
        <f>B3207&amp;"-"&amp;COUNTIF($B$2:B3207,B3207)</f>
        <v>PERNAMBUCO-22</v>
      </c>
      <c r="B3207" s="5" t="s">
        <v>2140</v>
      </c>
      <c r="C3207" s="5" t="s">
        <v>5182</v>
      </c>
      <c r="D3207" s="6">
        <v>-399341</v>
      </c>
      <c r="E3207" s="6">
        <v>-7778</v>
      </c>
      <c r="F3207" s="7">
        <v>5.6470000000000002</v>
      </c>
      <c r="G3207" s="7">
        <v>5.931</v>
      </c>
      <c r="H3207" s="7">
        <v>5.7240000000000002</v>
      </c>
      <c r="I3207" s="7">
        <v>5.8170000000000002</v>
      </c>
      <c r="J3207" s="7">
        <v>5.2690000000000001</v>
      </c>
      <c r="K3207" s="7">
        <v>4.742</v>
      </c>
      <c r="L3207" s="7">
        <v>4.3819999999999997</v>
      </c>
      <c r="M3207" s="7">
        <v>4.7169999999999996</v>
      </c>
      <c r="N3207" s="7">
        <v>5.6079999999999997</v>
      </c>
      <c r="O3207" s="7">
        <v>6.3040000000000003</v>
      </c>
      <c r="P3207" s="7">
        <v>6.46</v>
      </c>
      <c r="Q3207" s="7">
        <v>6.5359999999999996</v>
      </c>
      <c r="R3207" s="7">
        <v>6.2759999999999998</v>
      </c>
      <c r="S3207" s="7">
        <f t="shared" si="50"/>
        <v>5.6471666666666671</v>
      </c>
    </row>
    <row r="3208" spans="1:19">
      <c r="A3208" s="5" t="str">
        <f>B3208&amp;"-"&amp;COUNTIF($B$2:B3208,B3208)</f>
        <v>PERNAMBUCO-23</v>
      </c>
      <c r="B3208" s="5" t="s">
        <v>2140</v>
      </c>
      <c r="C3208" s="5" t="s">
        <v>2154</v>
      </c>
      <c r="D3208" s="6">
        <v>-36686</v>
      </c>
      <c r="E3208" s="6">
        <v>-91696</v>
      </c>
      <c r="F3208" s="7">
        <v>5.3559999999999999</v>
      </c>
      <c r="G3208" s="7">
        <v>6.0629999999999997</v>
      </c>
      <c r="H3208" s="7">
        <v>5.9009999999999998</v>
      </c>
      <c r="I3208" s="7">
        <v>5.8949999999999996</v>
      </c>
      <c r="J3208" s="7">
        <v>5.2069999999999999</v>
      </c>
      <c r="K3208" s="7">
        <v>4.2469999999999999</v>
      </c>
      <c r="L3208" s="7">
        <v>3.81</v>
      </c>
      <c r="M3208" s="7">
        <v>3.9860000000000002</v>
      </c>
      <c r="N3208" s="7">
        <v>4.6139999999999999</v>
      </c>
      <c r="O3208" s="7">
        <v>5.569</v>
      </c>
      <c r="P3208" s="7">
        <v>5.9960000000000004</v>
      </c>
      <c r="Q3208" s="7">
        <v>6.5540000000000003</v>
      </c>
      <c r="R3208" s="7">
        <v>6.43</v>
      </c>
      <c r="S3208" s="7">
        <f t="shared" si="50"/>
        <v>5.355999999999999</v>
      </c>
    </row>
    <row r="3209" spans="1:19">
      <c r="A3209" s="5" t="str">
        <f>B3209&amp;"-"&amp;COUNTIF($B$2:B3209,B3209)</f>
        <v>PERNAMBUCO-24</v>
      </c>
      <c r="B3209" s="5" t="s">
        <v>2140</v>
      </c>
      <c r="C3209" s="5" t="s">
        <v>895</v>
      </c>
      <c r="D3209" s="6">
        <v>-35588</v>
      </c>
      <c r="E3209" s="6">
        <v>-7799</v>
      </c>
      <c r="F3209" s="7">
        <v>5.1920000000000002</v>
      </c>
      <c r="G3209" s="7">
        <v>5.6289999999999996</v>
      </c>
      <c r="H3209" s="7">
        <v>5.5860000000000003</v>
      </c>
      <c r="I3209" s="7">
        <v>5.6589999999999998</v>
      </c>
      <c r="J3209" s="7">
        <v>5.149</v>
      </c>
      <c r="K3209" s="7">
        <v>4.407</v>
      </c>
      <c r="L3209" s="7">
        <v>4.0339999999999998</v>
      </c>
      <c r="M3209" s="7">
        <v>4.149</v>
      </c>
      <c r="N3209" s="7">
        <v>4.8140000000000001</v>
      </c>
      <c r="O3209" s="7">
        <v>5.444</v>
      </c>
      <c r="P3209" s="7">
        <v>5.6589999999999998</v>
      </c>
      <c r="Q3209" s="7">
        <v>5.95</v>
      </c>
      <c r="R3209" s="7">
        <v>5.8239999999999998</v>
      </c>
      <c r="S3209" s="7">
        <f t="shared" si="50"/>
        <v>5.1920000000000002</v>
      </c>
    </row>
    <row r="3210" spans="1:19">
      <c r="A3210" s="5" t="str">
        <f>B3210&amp;"-"&amp;COUNTIF($B$2:B3210,B3210)</f>
        <v>PERNAMBUCO-25</v>
      </c>
      <c r="B3210" s="5" t="s">
        <v>2140</v>
      </c>
      <c r="C3210" s="5" t="s">
        <v>335</v>
      </c>
      <c r="D3210" s="6">
        <v>-357295</v>
      </c>
      <c r="E3210" s="6">
        <v>-84721</v>
      </c>
      <c r="F3210" s="7">
        <v>5.1740000000000004</v>
      </c>
      <c r="G3210" s="7">
        <v>5.7960000000000003</v>
      </c>
      <c r="H3210" s="7">
        <v>5.7380000000000004</v>
      </c>
      <c r="I3210" s="7">
        <v>5.7910000000000004</v>
      </c>
      <c r="J3210" s="7">
        <v>5.0830000000000002</v>
      </c>
      <c r="K3210" s="7">
        <v>4.2880000000000003</v>
      </c>
      <c r="L3210" s="7">
        <v>3.8149999999999999</v>
      </c>
      <c r="M3210" s="7">
        <v>3.9</v>
      </c>
      <c r="N3210" s="7">
        <v>4.5759999999999996</v>
      </c>
      <c r="O3210" s="7">
        <v>5.2889999999999997</v>
      </c>
      <c r="P3210" s="7">
        <v>5.6589999999999998</v>
      </c>
      <c r="Q3210" s="7">
        <v>6.1449999999999996</v>
      </c>
      <c r="R3210" s="7">
        <v>6.0030000000000001</v>
      </c>
      <c r="S3210" s="7">
        <f t="shared" si="50"/>
        <v>5.1735833333333332</v>
      </c>
    </row>
    <row r="3211" spans="1:19">
      <c r="A3211" s="5" t="str">
        <f>B3211&amp;"-"&amp;COUNTIF($B$2:B3211,B3211)</f>
        <v>PERNAMBUCO-26</v>
      </c>
      <c r="B3211" s="5" t="s">
        <v>2140</v>
      </c>
      <c r="C3211" s="5" t="s">
        <v>4096</v>
      </c>
      <c r="D3211" s="6">
        <v>-365679</v>
      </c>
      <c r="E3211" s="6">
        <v>-90281</v>
      </c>
      <c r="F3211" s="7">
        <v>5.3040000000000003</v>
      </c>
      <c r="G3211" s="7">
        <v>6.1079999999999997</v>
      </c>
      <c r="H3211" s="7">
        <v>5.8550000000000004</v>
      </c>
      <c r="I3211" s="7">
        <v>5.8579999999999997</v>
      </c>
      <c r="J3211" s="7">
        <v>5.1920000000000002</v>
      </c>
      <c r="K3211" s="7">
        <v>4.242</v>
      </c>
      <c r="L3211" s="7">
        <v>3.7320000000000002</v>
      </c>
      <c r="M3211" s="7">
        <v>3.87</v>
      </c>
      <c r="N3211" s="7">
        <v>4.5309999999999997</v>
      </c>
      <c r="O3211" s="7">
        <v>5.51</v>
      </c>
      <c r="P3211" s="7">
        <v>5.9009999999999998</v>
      </c>
      <c r="Q3211" s="7">
        <v>6.5090000000000003</v>
      </c>
      <c r="R3211" s="7">
        <v>6.3460000000000001</v>
      </c>
      <c r="S3211" s="7">
        <f t="shared" si="50"/>
        <v>5.3045</v>
      </c>
    </row>
    <row r="3212" spans="1:19">
      <c r="A3212" s="5" t="str">
        <f>B3212&amp;"-"&amp;COUNTIF($B$2:B3212,B3212)</f>
        <v>PERNAMBUCO-27</v>
      </c>
      <c r="B3212" s="5" t="s">
        <v>2140</v>
      </c>
      <c r="C3212" s="5" t="s">
        <v>2155</v>
      </c>
      <c r="D3212" s="6">
        <v>-372868</v>
      </c>
      <c r="E3212" s="6">
        <v>-73474</v>
      </c>
      <c r="F3212" s="7">
        <v>5.8330000000000002</v>
      </c>
      <c r="G3212" s="7">
        <v>6.0720000000000001</v>
      </c>
      <c r="H3212" s="7">
        <v>5.9980000000000002</v>
      </c>
      <c r="I3212" s="7">
        <v>6.0359999999999996</v>
      </c>
      <c r="J3212" s="7">
        <v>5.7080000000000002</v>
      </c>
      <c r="K3212" s="7">
        <v>5.0259999999999998</v>
      </c>
      <c r="L3212" s="7">
        <v>4.6479999999999997</v>
      </c>
      <c r="M3212" s="7">
        <v>4.9889999999999999</v>
      </c>
      <c r="N3212" s="7">
        <v>5.7169999999999996</v>
      </c>
      <c r="O3212" s="7">
        <v>6.3869999999999996</v>
      </c>
      <c r="P3212" s="7">
        <v>6.5449999999999999</v>
      </c>
      <c r="Q3212" s="7">
        <v>6.6470000000000002</v>
      </c>
      <c r="R3212" s="7">
        <v>6.2169999999999996</v>
      </c>
      <c r="S3212" s="7">
        <f t="shared" si="50"/>
        <v>5.8324999999999996</v>
      </c>
    </row>
    <row r="3213" spans="1:19">
      <c r="A3213" s="5" t="str">
        <f>B3213&amp;"-"&amp;COUNTIF($B$2:B3213,B3213)</f>
        <v>PERNAMBUCO-28</v>
      </c>
      <c r="B3213" s="5" t="s">
        <v>2140</v>
      </c>
      <c r="C3213" s="5" t="s">
        <v>2156</v>
      </c>
      <c r="D3213" s="6">
        <v>-36371</v>
      </c>
      <c r="E3213" s="6">
        <v>-81442</v>
      </c>
      <c r="F3213" s="7">
        <v>5.452</v>
      </c>
      <c r="G3213" s="7">
        <v>5.9569999999999999</v>
      </c>
      <c r="H3213" s="7">
        <v>5.8929999999999998</v>
      </c>
      <c r="I3213" s="7">
        <v>5.8529999999999998</v>
      </c>
      <c r="J3213" s="7">
        <v>5.4009999999999998</v>
      </c>
      <c r="K3213" s="7">
        <v>4.6020000000000003</v>
      </c>
      <c r="L3213" s="7">
        <v>4.1929999999999996</v>
      </c>
      <c r="M3213" s="7">
        <v>4.3150000000000004</v>
      </c>
      <c r="N3213" s="7">
        <v>5.05</v>
      </c>
      <c r="O3213" s="7">
        <v>5.76</v>
      </c>
      <c r="P3213" s="7">
        <v>5.9909999999999997</v>
      </c>
      <c r="Q3213" s="7">
        <v>6.2830000000000004</v>
      </c>
      <c r="R3213" s="7">
        <v>6.1289999999999996</v>
      </c>
      <c r="S3213" s="7">
        <f t="shared" si="50"/>
        <v>5.4522499999999994</v>
      </c>
    </row>
    <row r="3214" spans="1:19">
      <c r="A3214" s="5" t="str">
        <f>B3214&amp;"-"&amp;COUNTIF($B$2:B3214,B3214)</f>
        <v>PERNAMBUCO-29</v>
      </c>
      <c r="B3214" s="5" t="s">
        <v>2140</v>
      </c>
      <c r="C3214" s="5" t="s">
        <v>2157</v>
      </c>
      <c r="D3214" s="6">
        <v>-371558</v>
      </c>
      <c r="E3214" s="6">
        <v>-8623</v>
      </c>
      <c r="F3214" s="7">
        <v>5.65</v>
      </c>
      <c r="G3214" s="7">
        <v>6.3090000000000002</v>
      </c>
      <c r="H3214" s="7">
        <v>6.1079999999999997</v>
      </c>
      <c r="I3214" s="7">
        <v>6.1779999999999999</v>
      </c>
      <c r="J3214" s="7">
        <v>5.5430000000000001</v>
      </c>
      <c r="K3214" s="7">
        <v>4.6120000000000001</v>
      </c>
      <c r="L3214" s="7">
        <v>4.0999999999999996</v>
      </c>
      <c r="M3214" s="7">
        <v>4.2590000000000003</v>
      </c>
      <c r="N3214" s="7">
        <v>5.0430000000000001</v>
      </c>
      <c r="O3214" s="7">
        <v>6.0119999999999996</v>
      </c>
      <c r="P3214" s="7">
        <v>6.3540000000000001</v>
      </c>
      <c r="Q3214" s="7">
        <v>6.7460000000000004</v>
      </c>
      <c r="R3214" s="7">
        <v>6.5350000000000001</v>
      </c>
      <c r="S3214" s="7">
        <f t="shared" si="50"/>
        <v>5.6499166666666669</v>
      </c>
    </row>
    <row r="3215" spans="1:19">
      <c r="A3215" s="5" t="str">
        <f>B3215&amp;"-"&amp;COUNTIF($B$2:B3215,B3215)</f>
        <v>PERNAMBUCO-30</v>
      </c>
      <c r="B3215" s="5" t="s">
        <v>2140</v>
      </c>
      <c r="C3215" s="5" t="s">
        <v>2158</v>
      </c>
      <c r="D3215" s="6">
        <v>-353273</v>
      </c>
      <c r="E3215" s="6">
        <v>-77218</v>
      </c>
      <c r="F3215" s="7">
        <v>5.141</v>
      </c>
      <c r="G3215" s="7">
        <v>5.4669999999999996</v>
      </c>
      <c r="H3215" s="7">
        <v>5.6150000000000002</v>
      </c>
      <c r="I3215" s="7">
        <v>5.6950000000000003</v>
      </c>
      <c r="J3215" s="7">
        <v>5.0830000000000002</v>
      </c>
      <c r="K3215" s="7">
        <v>4.3789999999999996</v>
      </c>
      <c r="L3215" s="7">
        <v>4.0190000000000001</v>
      </c>
      <c r="M3215" s="7">
        <v>4.0960000000000001</v>
      </c>
      <c r="N3215" s="7">
        <v>4.8209999999999997</v>
      </c>
      <c r="O3215" s="7">
        <v>5.3540000000000001</v>
      </c>
      <c r="P3215" s="7">
        <v>5.5460000000000003</v>
      </c>
      <c r="Q3215" s="7">
        <v>5.8860000000000001</v>
      </c>
      <c r="R3215" s="7">
        <v>5.726</v>
      </c>
      <c r="S3215" s="7">
        <f t="shared" si="50"/>
        <v>5.1405833333333328</v>
      </c>
    </row>
    <row r="3216" spans="1:19">
      <c r="A3216" s="5" t="str">
        <f>B3216&amp;"-"&amp;COUNTIF($B$2:B3216,B3216)</f>
        <v>PERNAMBUCO-31</v>
      </c>
      <c r="B3216" s="5" t="s">
        <v>2140</v>
      </c>
      <c r="C3216" s="5" t="s">
        <v>2159</v>
      </c>
      <c r="D3216" s="6">
        <v>-350256</v>
      </c>
      <c r="E3216" s="6">
        <v>-82826</v>
      </c>
      <c r="F3216" s="7">
        <v>5.2519999999999998</v>
      </c>
      <c r="G3216" s="7">
        <v>5.6929999999999996</v>
      </c>
      <c r="H3216" s="7">
        <v>5.8109999999999999</v>
      </c>
      <c r="I3216" s="7">
        <v>5.8109999999999999</v>
      </c>
      <c r="J3216" s="7">
        <v>5.0960000000000001</v>
      </c>
      <c r="K3216" s="7">
        <v>4.3780000000000001</v>
      </c>
      <c r="L3216" s="7">
        <v>4.0880000000000001</v>
      </c>
      <c r="M3216" s="7">
        <v>4.1710000000000003</v>
      </c>
      <c r="N3216" s="7">
        <v>4.8490000000000002</v>
      </c>
      <c r="O3216" s="7">
        <v>5.4189999999999996</v>
      </c>
      <c r="P3216" s="7">
        <v>5.7290000000000001</v>
      </c>
      <c r="Q3216" s="7">
        <v>5.9690000000000003</v>
      </c>
      <c r="R3216" s="7">
        <v>6.0149999999999997</v>
      </c>
      <c r="S3216" s="7">
        <f t="shared" si="50"/>
        <v>5.252416666666667</v>
      </c>
    </row>
    <row r="3217" spans="1:19">
      <c r="A3217" s="5" t="str">
        <f>B3217&amp;"-"&amp;COUNTIF($B$2:B3217,B3217)</f>
        <v>PERNAMBUCO-32</v>
      </c>
      <c r="B3217" s="5" t="s">
        <v>2140</v>
      </c>
      <c r="C3217" s="5" t="s">
        <v>5183</v>
      </c>
      <c r="D3217" s="6">
        <v>-393097</v>
      </c>
      <c r="E3217" s="6">
        <v>-85059</v>
      </c>
      <c r="F3217" s="7">
        <v>5.7789999999999999</v>
      </c>
      <c r="G3217" s="7">
        <v>6.2679999999999998</v>
      </c>
      <c r="H3217" s="7">
        <v>6.0810000000000004</v>
      </c>
      <c r="I3217" s="7">
        <v>6.1390000000000002</v>
      </c>
      <c r="J3217" s="7">
        <v>5.5119999999999996</v>
      </c>
      <c r="K3217" s="7">
        <v>4.8369999999999997</v>
      </c>
      <c r="L3217" s="7">
        <v>4.4560000000000004</v>
      </c>
      <c r="M3217" s="7">
        <v>4.7220000000000004</v>
      </c>
      <c r="N3217" s="7">
        <v>5.4569999999999999</v>
      </c>
      <c r="O3217" s="7">
        <v>6.2679999999999998</v>
      </c>
      <c r="P3217" s="7">
        <v>6.4589999999999996</v>
      </c>
      <c r="Q3217" s="7">
        <v>6.6849999999999996</v>
      </c>
      <c r="R3217" s="7">
        <v>6.4630000000000001</v>
      </c>
      <c r="S3217" s="7">
        <f t="shared" si="50"/>
        <v>5.7789166666666665</v>
      </c>
    </row>
    <row r="3218" spans="1:19">
      <c r="A3218" s="5" t="str">
        <f>B3218&amp;"-"&amp;COUNTIF($B$2:B3218,B3218)</f>
        <v>PERNAMBUCO-33</v>
      </c>
      <c r="B3218" s="5" t="s">
        <v>2140</v>
      </c>
      <c r="C3218" s="5" t="s">
        <v>2160</v>
      </c>
      <c r="D3218" s="6">
        <v>-36237</v>
      </c>
      <c r="E3218" s="6">
        <v>-84884</v>
      </c>
      <c r="F3218" s="7">
        <v>5.3029999999999999</v>
      </c>
      <c r="G3218" s="7">
        <v>5.9290000000000003</v>
      </c>
      <c r="H3218" s="7">
        <v>5.7949999999999999</v>
      </c>
      <c r="I3218" s="7">
        <v>5.8529999999999998</v>
      </c>
      <c r="J3218" s="7">
        <v>5.274</v>
      </c>
      <c r="K3218" s="7">
        <v>4.3949999999999996</v>
      </c>
      <c r="L3218" s="7">
        <v>3.9169999999999998</v>
      </c>
      <c r="M3218" s="7">
        <v>4.0060000000000002</v>
      </c>
      <c r="N3218" s="7">
        <v>4.68</v>
      </c>
      <c r="O3218" s="7">
        <v>5.4240000000000004</v>
      </c>
      <c r="P3218" s="7">
        <v>5.8410000000000002</v>
      </c>
      <c r="Q3218" s="7">
        <v>6.3609999999999998</v>
      </c>
      <c r="R3218" s="7">
        <v>6.1630000000000003</v>
      </c>
      <c r="S3218" s="7">
        <f t="shared" si="50"/>
        <v>5.3031666666666659</v>
      </c>
    </row>
    <row r="3219" spans="1:19">
      <c r="A3219" s="5" t="str">
        <f>B3219&amp;"-"&amp;COUNTIF($B$2:B3219,B3219)</f>
        <v>PERNAMBUCO-34</v>
      </c>
      <c r="B3219" s="5" t="s">
        <v>2140</v>
      </c>
      <c r="C3219" s="5" t="s">
        <v>4432</v>
      </c>
      <c r="D3219" s="6">
        <v>-366263</v>
      </c>
      <c r="E3219" s="6">
        <v>-87725</v>
      </c>
      <c r="F3219" s="7">
        <v>5.4420000000000002</v>
      </c>
      <c r="G3219" s="7">
        <v>6.165</v>
      </c>
      <c r="H3219" s="7">
        <v>5.9470000000000001</v>
      </c>
      <c r="I3219" s="7">
        <v>5.9859999999999998</v>
      </c>
      <c r="J3219" s="7">
        <v>5.3280000000000003</v>
      </c>
      <c r="K3219" s="7">
        <v>4.3789999999999996</v>
      </c>
      <c r="L3219" s="7">
        <v>3.9180000000000001</v>
      </c>
      <c r="M3219" s="7">
        <v>4.1219999999999999</v>
      </c>
      <c r="N3219" s="7">
        <v>4.8040000000000003</v>
      </c>
      <c r="O3219" s="7">
        <v>5.6909999999999998</v>
      </c>
      <c r="P3219" s="7">
        <v>6.0490000000000004</v>
      </c>
      <c r="Q3219" s="7">
        <v>6.5010000000000003</v>
      </c>
      <c r="R3219" s="7">
        <v>6.4109999999999996</v>
      </c>
      <c r="S3219" s="7">
        <f t="shared" si="50"/>
        <v>5.4417499999999999</v>
      </c>
    </row>
    <row r="3220" spans="1:19">
      <c r="A3220" s="5" t="str">
        <f>B3220&amp;"-"&amp;COUNTIF($B$2:B3220,B3220)</f>
        <v>PERNAMBUCO-35</v>
      </c>
      <c r="B3220" s="5" t="s">
        <v>2140</v>
      </c>
      <c r="C3220" s="5" t="s">
        <v>4734</v>
      </c>
      <c r="D3220" s="6">
        <v>-363359</v>
      </c>
      <c r="E3220" s="6">
        <v>-8741</v>
      </c>
      <c r="F3220" s="7">
        <v>5.2949999999999999</v>
      </c>
      <c r="G3220" s="7">
        <v>5.9809999999999999</v>
      </c>
      <c r="H3220" s="7">
        <v>5.8380000000000001</v>
      </c>
      <c r="I3220" s="7">
        <v>5.8230000000000004</v>
      </c>
      <c r="J3220" s="7">
        <v>5.1879999999999997</v>
      </c>
      <c r="K3220" s="7">
        <v>4.3520000000000003</v>
      </c>
      <c r="L3220" s="7">
        <v>3.915</v>
      </c>
      <c r="M3220" s="7">
        <v>4.0140000000000002</v>
      </c>
      <c r="N3220" s="7">
        <v>4.7220000000000004</v>
      </c>
      <c r="O3220" s="7">
        <v>5.5229999999999997</v>
      </c>
      <c r="P3220" s="7">
        <v>5.7560000000000002</v>
      </c>
      <c r="Q3220" s="7">
        <v>6.242</v>
      </c>
      <c r="R3220" s="7">
        <v>6.1849999999999996</v>
      </c>
      <c r="S3220" s="7">
        <f t="shared" si="50"/>
        <v>5.2949166666666665</v>
      </c>
    </row>
    <row r="3221" spans="1:19">
      <c r="A3221" s="5" t="str">
        <f>B3221&amp;"-"&amp;COUNTIF($B$2:B3221,B3221)</f>
        <v>PERNAMBUCO-36</v>
      </c>
      <c r="B3221" s="5" t="s">
        <v>2140</v>
      </c>
      <c r="C3221" s="5" t="s">
        <v>2161</v>
      </c>
      <c r="D3221" s="6">
        <v>-381527</v>
      </c>
      <c r="E3221" s="6">
        <v>-79393</v>
      </c>
      <c r="F3221" s="7">
        <v>5.8230000000000004</v>
      </c>
      <c r="G3221" s="7">
        <v>6.22</v>
      </c>
      <c r="H3221" s="7">
        <v>6.1120000000000001</v>
      </c>
      <c r="I3221" s="7">
        <v>6.1429999999999998</v>
      </c>
      <c r="J3221" s="7">
        <v>5.718</v>
      </c>
      <c r="K3221" s="7">
        <v>4.8360000000000003</v>
      </c>
      <c r="L3221" s="7">
        <v>4.4320000000000004</v>
      </c>
      <c r="M3221" s="7">
        <v>4.6760000000000002</v>
      </c>
      <c r="N3221" s="7">
        <v>5.5570000000000004</v>
      </c>
      <c r="O3221" s="7">
        <v>6.4409999999999998</v>
      </c>
      <c r="P3221" s="7">
        <v>6.59</v>
      </c>
      <c r="Q3221" s="7">
        <v>6.7320000000000002</v>
      </c>
      <c r="R3221" s="7">
        <v>6.4180000000000001</v>
      </c>
      <c r="S3221" s="7">
        <f t="shared" si="50"/>
        <v>5.8229166666666679</v>
      </c>
    </row>
    <row r="3222" spans="1:19">
      <c r="A3222" s="5" t="str">
        <f>B3222&amp;"-"&amp;COUNTIF($B$2:B3222,B3222)</f>
        <v>PERNAMBUCO-37</v>
      </c>
      <c r="B3222" s="5" t="s">
        <v>2140</v>
      </c>
      <c r="C3222" s="5" t="s">
        <v>2162</v>
      </c>
      <c r="D3222" s="6">
        <v>-349784</v>
      </c>
      <c r="E3222" s="6">
        <v>-80239</v>
      </c>
      <c r="F3222" s="7">
        <v>5.2839999999999998</v>
      </c>
      <c r="G3222" s="7">
        <v>5.7309999999999999</v>
      </c>
      <c r="H3222" s="7">
        <v>5.88</v>
      </c>
      <c r="I3222" s="7">
        <v>5.8049999999999997</v>
      </c>
      <c r="J3222" s="7">
        <v>5.1479999999999997</v>
      </c>
      <c r="K3222" s="7">
        <v>4.4379999999999997</v>
      </c>
      <c r="L3222" s="7">
        <v>4.1379999999999999</v>
      </c>
      <c r="M3222" s="7">
        <v>4.2629999999999999</v>
      </c>
      <c r="N3222" s="7">
        <v>4.976</v>
      </c>
      <c r="O3222" s="7">
        <v>5.375</v>
      </c>
      <c r="P3222" s="7">
        <v>5.7220000000000004</v>
      </c>
      <c r="Q3222" s="7">
        <v>5.9560000000000004</v>
      </c>
      <c r="R3222" s="7">
        <v>5.9749999999999996</v>
      </c>
      <c r="S3222" s="7">
        <f t="shared" si="50"/>
        <v>5.2839166666666673</v>
      </c>
    </row>
    <row r="3223" spans="1:19">
      <c r="A3223" s="5" t="str">
        <f>B3223&amp;"-"&amp;COUNTIF($B$2:B3223,B3223)</f>
        <v>PERNAMBUCO-38</v>
      </c>
      <c r="B3223" s="5" t="s">
        <v>2140</v>
      </c>
      <c r="C3223" s="5" t="s">
        <v>4433</v>
      </c>
      <c r="D3223" s="6">
        <v>-357656</v>
      </c>
      <c r="E3223" s="6">
        <v>-83591</v>
      </c>
      <c r="F3223" s="7">
        <v>5.1920000000000002</v>
      </c>
      <c r="G3223" s="7">
        <v>5.7779999999999996</v>
      </c>
      <c r="H3223" s="7">
        <v>5.7080000000000002</v>
      </c>
      <c r="I3223" s="7">
        <v>5.7930000000000001</v>
      </c>
      <c r="J3223" s="7">
        <v>5.0750000000000002</v>
      </c>
      <c r="K3223" s="7">
        <v>4.2850000000000001</v>
      </c>
      <c r="L3223" s="7">
        <v>3.835</v>
      </c>
      <c r="M3223" s="7">
        <v>3.9380000000000002</v>
      </c>
      <c r="N3223" s="7">
        <v>4.6319999999999997</v>
      </c>
      <c r="O3223" s="7">
        <v>5.3650000000000002</v>
      </c>
      <c r="P3223" s="7">
        <v>5.7370000000000001</v>
      </c>
      <c r="Q3223" s="7">
        <v>6.1420000000000003</v>
      </c>
      <c r="R3223" s="7">
        <v>6.0129999999999999</v>
      </c>
      <c r="S3223" s="7">
        <f t="shared" si="50"/>
        <v>5.1917499999999999</v>
      </c>
    </row>
    <row r="3224" spans="1:19">
      <c r="A3224" s="5" t="str">
        <f>B3224&amp;"-"&amp;COUNTIF($B$2:B3224,B3224)</f>
        <v>PERNAMBUCO-39</v>
      </c>
      <c r="B3224" s="5" t="s">
        <v>2140</v>
      </c>
      <c r="C3224" s="5" t="s">
        <v>2163</v>
      </c>
      <c r="D3224" s="6">
        <v>-352731</v>
      </c>
      <c r="E3224" s="6">
        <v>-74099</v>
      </c>
      <c r="F3224" s="7">
        <v>5.3849999999999998</v>
      </c>
      <c r="G3224" s="7">
        <v>5.6970000000000001</v>
      </c>
      <c r="H3224" s="7">
        <v>5.8819999999999997</v>
      </c>
      <c r="I3224" s="7">
        <v>5.8719999999999999</v>
      </c>
      <c r="J3224" s="7">
        <v>5.327</v>
      </c>
      <c r="K3224" s="7">
        <v>4.6349999999999998</v>
      </c>
      <c r="L3224" s="7">
        <v>4.2439999999999998</v>
      </c>
      <c r="M3224" s="7">
        <v>4.3739999999999997</v>
      </c>
      <c r="N3224" s="7">
        <v>5.0910000000000002</v>
      </c>
      <c r="O3224" s="7">
        <v>5.6020000000000003</v>
      </c>
      <c r="P3224" s="7">
        <v>5.8179999999999996</v>
      </c>
      <c r="Q3224" s="7">
        <v>6.1020000000000003</v>
      </c>
      <c r="R3224" s="7">
        <v>5.9729999999999999</v>
      </c>
      <c r="S3224" s="7">
        <f t="shared" si="50"/>
        <v>5.3847500000000004</v>
      </c>
    </row>
    <row r="3225" spans="1:19">
      <c r="A3225" s="5" t="str">
        <f>B3225&amp;"-"&amp;COUNTIF($B$2:B3225,B3225)</f>
        <v>PERNAMBUCO-40</v>
      </c>
      <c r="B3225" s="5" t="s">
        <v>2140</v>
      </c>
      <c r="C3225" s="5" t="s">
        <v>2164</v>
      </c>
      <c r="D3225" s="6">
        <v>-361982</v>
      </c>
      <c r="E3225" s="6">
        <v>-88769</v>
      </c>
      <c r="F3225" s="7">
        <v>5.1550000000000002</v>
      </c>
      <c r="G3225" s="7">
        <v>5.8079999999999998</v>
      </c>
      <c r="H3225" s="7">
        <v>5.6790000000000003</v>
      </c>
      <c r="I3225" s="7">
        <v>5.6879999999999997</v>
      </c>
      <c r="J3225" s="7">
        <v>5.0880000000000001</v>
      </c>
      <c r="K3225" s="7">
        <v>4.2370000000000001</v>
      </c>
      <c r="L3225" s="7">
        <v>3.778</v>
      </c>
      <c r="M3225" s="7">
        <v>3.851</v>
      </c>
      <c r="N3225" s="7">
        <v>4.508</v>
      </c>
      <c r="O3225" s="7">
        <v>5.3410000000000002</v>
      </c>
      <c r="P3225" s="7">
        <v>5.6449999999999996</v>
      </c>
      <c r="Q3225" s="7">
        <v>6.1479999999999997</v>
      </c>
      <c r="R3225" s="7">
        <v>6.0880000000000001</v>
      </c>
      <c r="S3225" s="7">
        <f t="shared" si="50"/>
        <v>5.1549166666666668</v>
      </c>
    </row>
    <row r="3226" spans="1:19">
      <c r="A3226" s="5" t="str">
        <f>B3226&amp;"-"&amp;COUNTIF($B$2:B3226,B3226)</f>
        <v>PERNAMBUCO-41</v>
      </c>
      <c r="B3226" s="5" t="s">
        <v>2140</v>
      </c>
      <c r="C3226" s="5" t="s">
        <v>2165</v>
      </c>
      <c r="D3226" s="6">
        <v>-36628</v>
      </c>
      <c r="E3226" s="6">
        <v>-87406</v>
      </c>
      <c r="F3226" s="7">
        <v>5.4779999999999998</v>
      </c>
      <c r="G3226" s="7">
        <v>6.2110000000000003</v>
      </c>
      <c r="H3226" s="7">
        <v>5.931</v>
      </c>
      <c r="I3226" s="7">
        <v>5.9420000000000002</v>
      </c>
      <c r="J3226" s="7">
        <v>5.3650000000000002</v>
      </c>
      <c r="K3226" s="7">
        <v>4.3940000000000001</v>
      </c>
      <c r="L3226" s="7">
        <v>4.0030000000000001</v>
      </c>
      <c r="M3226" s="7">
        <v>4.1130000000000004</v>
      </c>
      <c r="N3226" s="7">
        <v>4.9000000000000004</v>
      </c>
      <c r="O3226" s="7">
        <v>5.7519999999999998</v>
      </c>
      <c r="P3226" s="7">
        <v>6.1349999999999998</v>
      </c>
      <c r="Q3226" s="7">
        <v>6.5750000000000002</v>
      </c>
      <c r="R3226" s="7">
        <v>6.4180000000000001</v>
      </c>
      <c r="S3226" s="7">
        <f t="shared" si="50"/>
        <v>5.4782500000000001</v>
      </c>
    </row>
    <row r="3227" spans="1:19">
      <c r="A3227" s="5" t="str">
        <f>B3227&amp;"-"&amp;COUNTIF($B$2:B3227,B3227)</f>
        <v>PERNAMBUCO-42</v>
      </c>
      <c r="B3227" s="5" t="s">
        <v>2140</v>
      </c>
      <c r="C3227" s="5" t="s">
        <v>2166</v>
      </c>
      <c r="D3227" s="6">
        <v>-377957</v>
      </c>
      <c r="E3227" s="6">
        <v>-78048</v>
      </c>
      <c r="F3227" s="7">
        <v>5.843</v>
      </c>
      <c r="G3227" s="7">
        <v>6.2619999999999996</v>
      </c>
      <c r="H3227" s="7">
        <v>6.1680000000000001</v>
      </c>
      <c r="I3227" s="7">
        <v>6.1319999999999997</v>
      </c>
      <c r="J3227" s="7">
        <v>5.74</v>
      </c>
      <c r="K3227" s="7">
        <v>4.968</v>
      </c>
      <c r="L3227" s="7">
        <v>4.5339999999999998</v>
      </c>
      <c r="M3227" s="7">
        <v>4.7050000000000001</v>
      </c>
      <c r="N3227" s="7">
        <v>5.5229999999999997</v>
      </c>
      <c r="O3227" s="7">
        <v>6.3789999999999996</v>
      </c>
      <c r="P3227" s="7">
        <v>6.5359999999999996</v>
      </c>
      <c r="Q3227" s="7">
        <v>6.7530000000000001</v>
      </c>
      <c r="R3227" s="7">
        <v>6.4169999999999998</v>
      </c>
      <c r="S3227" s="7">
        <f t="shared" si="50"/>
        <v>5.8430833333333325</v>
      </c>
    </row>
    <row r="3228" spans="1:19">
      <c r="A3228" s="5" t="str">
        <f>B3228&amp;"-"&amp;COUNTIF($B$2:B3228,B3228)</f>
        <v>PERNAMBUCO-43</v>
      </c>
      <c r="B3228" s="5" t="s">
        <v>2140</v>
      </c>
      <c r="C3228" s="5" t="s">
        <v>2167</v>
      </c>
      <c r="D3228" s="6">
        <v>-387438</v>
      </c>
      <c r="E3228" s="6">
        <v>-83197</v>
      </c>
      <c r="F3228" s="7">
        <v>5.7450000000000001</v>
      </c>
      <c r="G3228" s="7">
        <v>6.1920000000000002</v>
      </c>
      <c r="H3228" s="7">
        <v>6.0810000000000004</v>
      </c>
      <c r="I3228" s="7">
        <v>6.0549999999999997</v>
      </c>
      <c r="J3228" s="7">
        <v>5.548</v>
      </c>
      <c r="K3228" s="7">
        <v>4.7949999999999999</v>
      </c>
      <c r="L3228" s="7">
        <v>4.3170000000000002</v>
      </c>
      <c r="M3228" s="7">
        <v>4.5810000000000004</v>
      </c>
      <c r="N3228" s="7">
        <v>5.383</v>
      </c>
      <c r="O3228" s="7">
        <v>6.3739999999999997</v>
      </c>
      <c r="P3228" s="7">
        <v>6.4989999999999997</v>
      </c>
      <c r="Q3228" s="7">
        <v>6.6920000000000002</v>
      </c>
      <c r="R3228" s="7">
        <v>6.4180000000000001</v>
      </c>
      <c r="S3228" s="7">
        <f t="shared" si="50"/>
        <v>5.7445833333333347</v>
      </c>
    </row>
    <row r="3229" spans="1:19">
      <c r="A3229" s="5" t="str">
        <f>B3229&amp;"-"&amp;COUNTIF($B$2:B3229,B3229)</f>
        <v>PERNAMBUCO-44</v>
      </c>
      <c r="B3229" s="5" t="s">
        <v>2140</v>
      </c>
      <c r="C3229" s="5" t="s">
        <v>2168</v>
      </c>
      <c r="D3229" s="6">
        <v>-352566</v>
      </c>
      <c r="E3229" s="6">
        <v>-78481</v>
      </c>
      <c r="F3229" s="7">
        <v>5.2649999999999997</v>
      </c>
      <c r="G3229" s="7">
        <v>5.6529999999999996</v>
      </c>
      <c r="H3229" s="7">
        <v>5.774</v>
      </c>
      <c r="I3229" s="7">
        <v>5.774</v>
      </c>
      <c r="J3229" s="7">
        <v>5.1719999999999997</v>
      </c>
      <c r="K3229" s="7">
        <v>4.4710000000000001</v>
      </c>
      <c r="L3229" s="7">
        <v>4.1289999999999996</v>
      </c>
      <c r="M3229" s="7">
        <v>4.2300000000000004</v>
      </c>
      <c r="N3229" s="7">
        <v>4.9470000000000001</v>
      </c>
      <c r="O3229" s="7">
        <v>5.4820000000000002</v>
      </c>
      <c r="P3229" s="7">
        <v>5.6959999999999997</v>
      </c>
      <c r="Q3229" s="7">
        <v>5.9669999999999996</v>
      </c>
      <c r="R3229" s="7">
        <v>5.88</v>
      </c>
      <c r="S3229" s="7">
        <f t="shared" si="50"/>
        <v>5.2645833333333334</v>
      </c>
    </row>
    <row r="3230" spans="1:19">
      <c r="A3230" s="5" t="str">
        <f>B3230&amp;"-"&amp;COUNTIF($B$2:B3230,B3230)</f>
        <v>PERNAMBUCO-45</v>
      </c>
      <c r="B3230" s="5" t="s">
        <v>2140</v>
      </c>
      <c r="C3230" s="5" t="s">
        <v>2169</v>
      </c>
      <c r="D3230" s="6">
        <v>-359702</v>
      </c>
      <c r="E3230" s="6">
        <v>-8285</v>
      </c>
      <c r="F3230" s="7">
        <v>5.2549999999999999</v>
      </c>
      <c r="G3230" s="7">
        <v>5.726</v>
      </c>
      <c r="H3230" s="7">
        <v>5.7729999999999997</v>
      </c>
      <c r="I3230" s="7">
        <v>5.7030000000000003</v>
      </c>
      <c r="J3230" s="7">
        <v>5.1719999999999997</v>
      </c>
      <c r="K3230" s="7">
        <v>4.4390000000000001</v>
      </c>
      <c r="L3230" s="7">
        <v>4.0069999999999997</v>
      </c>
      <c r="M3230" s="7">
        <v>4.13</v>
      </c>
      <c r="N3230" s="7">
        <v>4.8090000000000002</v>
      </c>
      <c r="O3230" s="7">
        <v>5.5019999999999998</v>
      </c>
      <c r="P3230" s="7">
        <v>5.7690000000000001</v>
      </c>
      <c r="Q3230" s="7">
        <v>6.1</v>
      </c>
      <c r="R3230" s="7">
        <v>5.9340000000000002</v>
      </c>
      <c r="S3230" s="7">
        <f t="shared" si="50"/>
        <v>5.2553333333333336</v>
      </c>
    </row>
    <row r="3231" spans="1:19">
      <c r="A3231" s="5" t="str">
        <f>B3231&amp;"-"&amp;COUNTIF($B$2:B3231,B3231)</f>
        <v>PERNAMBUCO-46</v>
      </c>
      <c r="B3231" s="5" t="s">
        <v>2140</v>
      </c>
      <c r="C3231" s="5" t="s">
        <v>2170</v>
      </c>
      <c r="D3231" s="6">
        <v>-357237</v>
      </c>
      <c r="E3231" s="6">
        <v>-77451</v>
      </c>
      <c r="F3231" s="7">
        <v>5.32</v>
      </c>
      <c r="G3231" s="7">
        <v>5.6920000000000002</v>
      </c>
      <c r="H3231" s="7">
        <v>5.7690000000000001</v>
      </c>
      <c r="I3231" s="7">
        <v>5.7850000000000001</v>
      </c>
      <c r="J3231" s="7">
        <v>5.2039999999999997</v>
      </c>
      <c r="K3231" s="7">
        <v>4.5579999999999998</v>
      </c>
      <c r="L3231" s="7">
        <v>4.1189999999999998</v>
      </c>
      <c r="M3231" s="7">
        <v>4.3259999999999996</v>
      </c>
      <c r="N3231" s="7">
        <v>4.9880000000000004</v>
      </c>
      <c r="O3231" s="7">
        <v>5.5880000000000001</v>
      </c>
      <c r="P3231" s="7">
        <v>5.819</v>
      </c>
      <c r="Q3231" s="7">
        <v>6.0750000000000002</v>
      </c>
      <c r="R3231" s="7">
        <v>5.9109999999999996</v>
      </c>
      <c r="S3231" s="7">
        <f t="shared" si="50"/>
        <v>5.3195000000000006</v>
      </c>
    </row>
    <row r="3232" spans="1:19">
      <c r="A3232" s="5" t="str">
        <f>B3232&amp;"-"&amp;COUNTIF($B$2:B3232,B3232)</f>
        <v>PERNAMBUCO-47</v>
      </c>
      <c r="B3232" s="5" t="s">
        <v>2140</v>
      </c>
      <c r="C3232" s="5" t="s">
        <v>2171</v>
      </c>
      <c r="D3232" s="6">
        <v>-357027</v>
      </c>
      <c r="E3232" s="6">
        <v>-86755</v>
      </c>
      <c r="F3232" s="7">
        <v>5.093</v>
      </c>
      <c r="G3232" s="7">
        <v>5.6379999999999999</v>
      </c>
      <c r="H3232" s="7">
        <v>5.67</v>
      </c>
      <c r="I3232" s="7">
        <v>5.665</v>
      </c>
      <c r="J3232" s="7">
        <v>5.0389999999999997</v>
      </c>
      <c r="K3232" s="7">
        <v>4.2530000000000001</v>
      </c>
      <c r="L3232" s="7">
        <v>3.8170000000000002</v>
      </c>
      <c r="M3232" s="7">
        <v>3.8530000000000002</v>
      </c>
      <c r="N3232" s="7">
        <v>4.492</v>
      </c>
      <c r="O3232" s="7">
        <v>5.258</v>
      </c>
      <c r="P3232" s="7">
        <v>5.5449999999999999</v>
      </c>
      <c r="Q3232" s="7">
        <v>5.99</v>
      </c>
      <c r="R3232" s="7">
        <v>5.9029999999999996</v>
      </c>
      <c r="S3232" s="7">
        <f t="shared" si="50"/>
        <v>5.093583333333334</v>
      </c>
    </row>
    <row r="3233" spans="1:19">
      <c r="A3233" s="5" t="str">
        <f>B3233&amp;"-"&amp;COUNTIF($B$2:B3233,B3233)</f>
        <v>PERNAMBUCO-48</v>
      </c>
      <c r="B3233" s="5" t="s">
        <v>2140</v>
      </c>
      <c r="C3233" s="5" t="s">
        <v>592</v>
      </c>
      <c r="D3233" s="6">
        <v>-392371</v>
      </c>
      <c r="E3233" s="6">
        <v>-77122</v>
      </c>
      <c r="F3233" s="7">
        <v>5.6980000000000004</v>
      </c>
      <c r="G3233" s="7">
        <v>6.0419999999999998</v>
      </c>
      <c r="H3233" s="7">
        <v>5.8410000000000002</v>
      </c>
      <c r="I3233" s="7">
        <v>5.9050000000000002</v>
      </c>
      <c r="J3233" s="7">
        <v>5.4160000000000004</v>
      </c>
      <c r="K3233" s="7">
        <v>4.7249999999999996</v>
      </c>
      <c r="L3233" s="7">
        <v>4.3899999999999997</v>
      </c>
      <c r="M3233" s="7">
        <v>4.6559999999999997</v>
      </c>
      <c r="N3233" s="7">
        <v>5.5060000000000002</v>
      </c>
      <c r="O3233" s="7">
        <v>6.4390000000000001</v>
      </c>
      <c r="P3233" s="7">
        <v>6.4640000000000004</v>
      </c>
      <c r="Q3233" s="7">
        <v>6.6369999999999996</v>
      </c>
      <c r="R3233" s="7">
        <v>6.3550000000000004</v>
      </c>
      <c r="S3233" s="7">
        <f t="shared" si="50"/>
        <v>5.6980000000000004</v>
      </c>
    </row>
    <row r="3234" spans="1:19">
      <c r="A3234" s="5" t="str">
        <f>B3234&amp;"-"&amp;COUNTIF($B$2:B3234,B3234)</f>
        <v>PERNAMBUCO-49</v>
      </c>
      <c r="B3234" s="5" t="s">
        <v>2140</v>
      </c>
      <c r="C3234" s="5" t="s">
        <v>5393</v>
      </c>
      <c r="D3234" s="6">
        <v>-352043</v>
      </c>
      <c r="E3234" s="6">
        <v>-80072</v>
      </c>
      <c r="F3234" s="7">
        <v>5.3259999999999996</v>
      </c>
      <c r="G3234" s="7">
        <v>5.7809999999999997</v>
      </c>
      <c r="H3234" s="7">
        <v>5.8410000000000002</v>
      </c>
      <c r="I3234" s="7">
        <v>5.8319999999999999</v>
      </c>
      <c r="J3234" s="7">
        <v>5.1790000000000003</v>
      </c>
      <c r="K3234" s="7">
        <v>4.4889999999999999</v>
      </c>
      <c r="L3234" s="7">
        <v>4.1459999999999999</v>
      </c>
      <c r="M3234" s="7">
        <v>4.274</v>
      </c>
      <c r="N3234" s="7">
        <v>4.9589999999999996</v>
      </c>
      <c r="O3234" s="7">
        <v>5.5670000000000002</v>
      </c>
      <c r="P3234" s="7">
        <v>5.79</v>
      </c>
      <c r="Q3234" s="7">
        <v>6.0069999999999997</v>
      </c>
      <c r="R3234" s="7">
        <v>6.05</v>
      </c>
      <c r="S3234" s="7">
        <f t="shared" si="50"/>
        <v>5.3262499999999999</v>
      </c>
    </row>
    <row r="3235" spans="1:19">
      <c r="A3235" s="5" t="str">
        <f>B3235&amp;"-"&amp;COUNTIF($B$2:B3235,B3235)</f>
        <v>PERNAMBUCO-50</v>
      </c>
      <c r="B3235" s="5" t="s">
        <v>2140</v>
      </c>
      <c r="C3235" s="5" t="s">
        <v>5394</v>
      </c>
      <c r="D3235" s="6">
        <v>-354574</v>
      </c>
      <c r="E3235" s="6">
        <v>-82387</v>
      </c>
      <c r="F3235" s="7">
        <v>5.2469999999999999</v>
      </c>
      <c r="G3235" s="7">
        <v>5.7690000000000001</v>
      </c>
      <c r="H3235" s="7">
        <v>5.726</v>
      </c>
      <c r="I3235" s="7">
        <v>5.7210000000000001</v>
      </c>
      <c r="J3235" s="7">
        <v>5.125</v>
      </c>
      <c r="K3235" s="7">
        <v>4.4219999999999997</v>
      </c>
      <c r="L3235" s="7">
        <v>4.1189999999999998</v>
      </c>
      <c r="M3235" s="7">
        <v>4.157</v>
      </c>
      <c r="N3235" s="7">
        <v>4.9160000000000004</v>
      </c>
      <c r="O3235" s="7">
        <v>5.49</v>
      </c>
      <c r="P3235" s="7">
        <v>5.68</v>
      </c>
      <c r="Q3235" s="7">
        <v>5.9390000000000001</v>
      </c>
      <c r="R3235" s="7">
        <v>5.8970000000000002</v>
      </c>
      <c r="S3235" s="7">
        <f t="shared" si="50"/>
        <v>5.2467499999999996</v>
      </c>
    </row>
    <row r="3236" spans="1:19">
      <c r="A3236" s="5" t="str">
        <f>B3236&amp;"-"&amp;COUNTIF($B$2:B3236,B3236)</f>
        <v>PERNAMBUCO-51</v>
      </c>
      <c r="B3236" s="5" t="s">
        <v>2140</v>
      </c>
      <c r="C3236" s="5" t="s">
        <v>1830</v>
      </c>
      <c r="D3236" s="6">
        <v>-351002</v>
      </c>
      <c r="E3236" s="6">
        <v>-75883</v>
      </c>
      <c r="F3236" s="7">
        <v>5.3280000000000003</v>
      </c>
      <c r="G3236" s="7">
        <v>5.6479999999999997</v>
      </c>
      <c r="H3236" s="7">
        <v>5.79</v>
      </c>
      <c r="I3236" s="7">
        <v>5.8609999999999998</v>
      </c>
      <c r="J3236" s="7">
        <v>5.1980000000000004</v>
      </c>
      <c r="K3236" s="7">
        <v>4.5410000000000004</v>
      </c>
      <c r="L3236" s="7">
        <v>4.1349999999999998</v>
      </c>
      <c r="M3236" s="7">
        <v>4.2649999999999997</v>
      </c>
      <c r="N3236" s="7">
        <v>5.0309999999999997</v>
      </c>
      <c r="O3236" s="7">
        <v>5.532</v>
      </c>
      <c r="P3236" s="7">
        <v>5.8</v>
      </c>
      <c r="Q3236" s="7">
        <v>6.09</v>
      </c>
      <c r="R3236" s="7">
        <v>6.0449999999999999</v>
      </c>
      <c r="S3236" s="7">
        <f t="shared" si="50"/>
        <v>5.3280000000000003</v>
      </c>
    </row>
    <row r="3237" spans="1:19">
      <c r="A3237" s="5" t="str">
        <f>B3237&amp;"-"&amp;COUNTIF($B$2:B3237,B3237)</f>
        <v>PERNAMBUCO-52</v>
      </c>
      <c r="B3237" s="5" t="s">
        <v>2140</v>
      </c>
      <c r="C3237" s="5" t="s">
        <v>2172</v>
      </c>
      <c r="D3237" s="6">
        <v>-363247</v>
      </c>
      <c r="E3237" s="6">
        <v>-91216</v>
      </c>
      <c r="F3237" s="7">
        <v>5.2439999999999998</v>
      </c>
      <c r="G3237" s="7">
        <v>6.0039999999999996</v>
      </c>
      <c r="H3237" s="7">
        <v>5.835</v>
      </c>
      <c r="I3237" s="7">
        <v>5.86</v>
      </c>
      <c r="J3237" s="7">
        <v>5.1909999999999998</v>
      </c>
      <c r="K3237" s="7">
        <v>4.2409999999999997</v>
      </c>
      <c r="L3237" s="7">
        <v>3.7509999999999999</v>
      </c>
      <c r="M3237" s="7">
        <v>3.827</v>
      </c>
      <c r="N3237" s="7">
        <v>4.5090000000000003</v>
      </c>
      <c r="O3237" s="7">
        <v>5.4009999999999998</v>
      </c>
      <c r="P3237" s="7">
        <v>5.7480000000000002</v>
      </c>
      <c r="Q3237" s="7">
        <v>6.32</v>
      </c>
      <c r="R3237" s="7">
        <v>6.2450000000000001</v>
      </c>
      <c r="S3237" s="7">
        <f t="shared" si="50"/>
        <v>5.2443333333333326</v>
      </c>
    </row>
    <row r="3238" spans="1:19">
      <c r="A3238" s="5" t="str">
        <f>B3238&amp;"-"&amp;COUNTIF($B$2:B3238,B3238)</f>
        <v>PERNAMBUCO-53</v>
      </c>
      <c r="B3238" s="5" t="s">
        <v>2140</v>
      </c>
      <c r="C3238" s="5" t="s">
        <v>5308</v>
      </c>
      <c r="D3238" s="6">
        <v>-355471</v>
      </c>
      <c r="E3238" s="6">
        <v>-84749</v>
      </c>
      <c r="F3238" s="7">
        <v>4.9850000000000003</v>
      </c>
      <c r="G3238" s="7">
        <v>5.5650000000000004</v>
      </c>
      <c r="H3238" s="7">
        <v>5.49</v>
      </c>
      <c r="I3238" s="7">
        <v>5.6020000000000003</v>
      </c>
      <c r="J3238" s="7">
        <v>4.9009999999999998</v>
      </c>
      <c r="K3238" s="7">
        <v>4.1580000000000004</v>
      </c>
      <c r="L3238" s="7">
        <v>3.7730000000000001</v>
      </c>
      <c r="M3238" s="7">
        <v>3.8</v>
      </c>
      <c r="N3238" s="7">
        <v>4.3899999999999997</v>
      </c>
      <c r="O3238" s="7">
        <v>5.08</v>
      </c>
      <c r="P3238" s="7">
        <v>5.3639999999999999</v>
      </c>
      <c r="Q3238" s="7">
        <v>5.8529999999999998</v>
      </c>
      <c r="R3238" s="7">
        <v>5.835</v>
      </c>
      <c r="S3238" s="7">
        <f t="shared" si="50"/>
        <v>4.9842500000000003</v>
      </c>
    </row>
    <row r="3239" spans="1:19">
      <c r="A3239" s="5" t="str">
        <f>B3239&amp;"-"&amp;COUNTIF($B$2:B3239,B3239)</f>
        <v>PERNAMBUCO-54</v>
      </c>
      <c r="B3239" s="5" t="s">
        <v>2140</v>
      </c>
      <c r="C3239" s="5" t="s">
        <v>2173</v>
      </c>
      <c r="D3239" s="6">
        <v>-35696</v>
      </c>
      <c r="E3239" s="6">
        <v>-80087</v>
      </c>
      <c r="F3239" s="7">
        <v>5.2060000000000004</v>
      </c>
      <c r="G3239" s="7">
        <v>5.7030000000000003</v>
      </c>
      <c r="H3239" s="7">
        <v>5.6680000000000001</v>
      </c>
      <c r="I3239" s="7">
        <v>5.71</v>
      </c>
      <c r="J3239" s="7">
        <v>5.1230000000000002</v>
      </c>
      <c r="K3239" s="7">
        <v>4.4279999999999999</v>
      </c>
      <c r="L3239" s="7">
        <v>4.032</v>
      </c>
      <c r="M3239" s="7">
        <v>4.1289999999999996</v>
      </c>
      <c r="N3239" s="7">
        <v>4.7709999999999999</v>
      </c>
      <c r="O3239" s="7">
        <v>5.4160000000000004</v>
      </c>
      <c r="P3239" s="7">
        <v>5.649</v>
      </c>
      <c r="Q3239" s="7">
        <v>5.9260000000000002</v>
      </c>
      <c r="R3239" s="7">
        <v>5.9160000000000004</v>
      </c>
      <c r="S3239" s="7">
        <f t="shared" si="50"/>
        <v>5.205916666666667</v>
      </c>
    </row>
    <row r="3240" spans="1:19">
      <c r="A3240" s="5" t="str">
        <f>B3240&amp;"-"&amp;COUNTIF($B$2:B3240,B3240)</f>
        <v>PERNAMBUCO-55</v>
      </c>
      <c r="B3240" s="5" t="s">
        <v>2140</v>
      </c>
      <c r="C3240" s="5" t="s">
        <v>2174</v>
      </c>
      <c r="D3240" s="6">
        <v>-359521</v>
      </c>
      <c r="E3240" s="6">
        <v>-86248</v>
      </c>
      <c r="F3240" s="7">
        <v>5.2830000000000004</v>
      </c>
      <c r="G3240" s="7">
        <v>6.0069999999999997</v>
      </c>
      <c r="H3240" s="7">
        <v>5.8250000000000002</v>
      </c>
      <c r="I3240" s="7">
        <v>5.9320000000000004</v>
      </c>
      <c r="J3240" s="7">
        <v>5.18</v>
      </c>
      <c r="K3240" s="7">
        <v>4.3520000000000003</v>
      </c>
      <c r="L3240" s="7">
        <v>3.9430000000000001</v>
      </c>
      <c r="M3240" s="7">
        <v>3.9870000000000001</v>
      </c>
      <c r="N3240" s="7">
        <v>4.641</v>
      </c>
      <c r="O3240" s="7">
        <v>5.4290000000000003</v>
      </c>
      <c r="P3240" s="7">
        <v>5.7629999999999999</v>
      </c>
      <c r="Q3240" s="7">
        <v>6.22</v>
      </c>
      <c r="R3240" s="7">
        <v>6.12</v>
      </c>
      <c r="S3240" s="7">
        <f t="shared" si="50"/>
        <v>5.2832499999999998</v>
      </c>
    </row>
    <row r="3241" spans="1:19">
      <c r="A3241" s="5" t="str">
        <f>B3241&amp;"-"&amp;COUNTIF($B$2:B3241,B3241)</f>
        <v>PERNAMBUCO-56</v>
      </c>
      <c r="B3241" s="5" t="s">
        <v>2140</v>
      </c>
      <c r="C3241" s="5" t="s">
        <v>5184</v>
      </c>
      <c r="D3241" s="6">
        <v>-376417</v>
      </c>
      <c r="E3241" s="6">
        <v>-80877</v>
      </c>
      <c r="F3241" s="7">
        <v>5.7930000000000001</v>
      </c>
      <c r="G3241" s="7">
        <v>6.3170000000000002</v>
      </c>
      <c r="H3241" s="7">
        <v>6.2489999999999997</v>
      </c>
      <c r="I3241" s="7">
        <v>6.125</v>
      </c>
      <c r="J3241" s="7">
        <v>5.7279999999999998</v>
      </c>
      <c r="K3241" s="7">
        <v>4.8620000000000001</v>
      </c>
      <c r="L3241" s="7">
        <v>4.28</v>
      </c>
      <c r="M3241" s="7">
        <v>4.5419999999999998</v>
      </c>
      <c r="N3241" s="7">
        <v>5.3310000000000004</v>
      </c>
      <c r="O3241" s="7">
        <v>6.2610000000000001</v>
      </c>
      <c r="P3241" s="7">
        <v>6.5259999999999998</v>
      </c>
      <c r="Q3241" s="7">
        <v>6.7969999999999997</v>
      </c>
      <c r="R3241" s="7">
        <v>6.49</v>
      </c>
      <c r="S3241" s="7">
        <f t="shared" si="50"/>
        <v>5.7923333333333327</v>
      </c>
    </row>
    <row r="3242" spans="1:19">
      <c r="A3242" s="5" t="str">
        <f>B3242&amp;"-"&amp;COUNTIF($B$2:B3242,B3242)</f>
        <v>PERNAMBUCO-57</v>
      </c>
      <c r="B3242" s="5" t="s">
        <v>2140</v>
      </c>
      <c r="C3242" s="5" t="s">
        <v>2175</v>
      </c>
      <c r="D3242" s="6">
        <v>-407665</v>
      </c>
      <c r="E3242" s="6">
        <v>-84416</v>
      </c>
      <c r="F3242" s="7">
        <v>5.7190000000000003</v>
      </c>
      <c r="G3242" s="7">
        <v>6.0030000000000001</v>
      </c>
      <c r="H3242" s="7">
        <v>5.7439999999999998</v>
      </c>
      <c r="I3242" s="7">
        <v>5.7220000000000004</v>
      </c>
      <c r="J3242" s="7">
        <v>5.1840000000000002</v>
      </c>
      <c r="K3242" s="7">
        <v>4.8</v>
      </c>
      <c r="L3242" s="7">
        <v>4.6459999999999999</v>
      </c>
      <c r="M3242" s="7">
        <v>4.9989999999999997</v>
      </c>
      <c r="N3242" s="7">
        <v>5.9340000000000002</v>
      </c>
      <c r="O3242" s="7">
        <v>6.5490000000000004</v>
      </c>
      <c r="P3242" s="7">
        <v>6.5069999999999997</v>
      </c>
      <c r="Q3242" s="7">
        <v>6.41</v>
      </c>
      <c r="R3242" s="7">
        <v>6.1260000000000003</v>
      </c>
      <c r="S3242" s="7">
        <f t="shared" si="50"/>
        <v>5.7186666666666675</v>
      </c>
    </row>
    <row r="3243" spans="1:19">
      <c r="A3243" s="5" t="str">
        <f>B3243&amp;"-"&amp;COUNTIF($B$2:B3243,B3243)</f>
        <v>PERNAMBUCO-58</v>
      </c>
      <c r="B3243" s="5" t="s">
        <v>2140</v>
      </c>
      <c r="C3243" s="5" t="s">
        <v>2176</v>
      </c>
      <c r="D3243" s="6">
        <v>-352244</v>
      </c>
      <c r="E3243" s="6">
        <v>-83571</v>
      </c>
      <c r="F3243" s="7">
        <v>5.1980000000000004</v>
      </c>
      <c r="G3243" s="7">
        <v>5.6509999999999998</v>
      </c>
      <c r="H3243" s="7">
        <v>5.7720000000000002</v>
      </c>
      <c r="I3243" s="7">
        <v>5.7930000000000001</v>
      </c>
      <c r="J3243" s="7">
        <v>5.0140000000000002</v>
      </c>
      <c r="K3243" s="7">
        <v>4.3010000000000002</v>
      </c>
      <c r="L3243" s="7">
        <v>3.988</v>
      </c>
      <c r="M3243" s="7">
        <v>4.0410000000000004</v>
      </c>
      <c r="N3243" s="7">
        <v>4.7359999999999998</v>
      </c>
      <c r="O3243" s="7">
        <v>5.4</v>
      </c>
      <c r="P3243" s="7">
        <v>5.7050000000000001</v>
      </c>
      <c r="Q3243" s="7">
        <v>5.9870000000000001</v>
      </c>
      <c r="R3243" s="7">
        <v>5.9939999999999998</v>
      </c>
      <c r="S3243" s="7">
        <f t="shared" si="50"/>
        <v>5.1985000000000001</v>
      </c>
    </row>
    <row r="3244" spans="1:19">
      <c r="A3244" s="5" t="str">
        <f>B3244&amp;"-"&amp;COUNTIF($B$2:B3244,B3244)</f>
        <v>PERNAMBUCO-59</v>
      </c>
      <c r="B3244" s="5" t="s">
        <v>2140</v>
      </c>
      <c r="C3244" s="5" t="s">
        <v>2177</v>
      </c>
      <c r="D3244" s="6">
        <v>-397232</v>
      </c>
      <c r="E3244" s="6">
        <v>-7515</v>
      </c>
      <c r="F3244" s="7">
        <v>5.65</v>
      </c>
      <c r="G3244" s="7">
        <v>5.851</v>
      </c>
      <c r="H3244" s="7">
        <v>5.6920000000000002</v>
      </c>
      <c r="I3244" s="7">
        <v>5.7190000000000003</v>
      </c>
      <c r="J3244" s="7">
        <v>5.27</v>
      </c>
      <c r="K3244" s="7">
        <v>4.7560000000000002</v>
      </c>
      <c r="L3244" s="7">
        <v>4.4829999999999997</v>
      </c>
      <c r="M3244" s="7">
        <v>4.7869999999999999</v>
      </c>
      <c r="N3244" s="7">
        <v>5.7089999999999996</v>
      </c>
      <c r="O3244" s="7">
        <v>6.4589999999999996</v>
      </c>
      <c r="P3244" s="7">
        <v>6.5069999999999997</v>
      </c>
      <c r="Q3244" s="7">
        <v>6.4660000000000002</v>
      </c>
      <c r="R3244" s="7">
        <v>6.0949999999999998</v>
      </c>
      <c r="S3244" s="7">
        <f t="shared" si="50"/>
        <v>5.6494999999999997</v>
      </c>
    </row>
    <row r="3245" spans="1:19">
      <c r="A3245" s="5" t="str">
        <f>B3245&amp;"-"&amp;COUNTIF($B$2:B3245,B3245)</f>
        <v>PERNAMBUCO-60</v>
      </c>
      <c r="B3245" s="5" t="s">
        <v>2140</v>
      </c>
      <c r="C3245" s="5" t="s">
        <v>2178</v>
      </c>
      <c r="D3245" s="6">
        <v>-353888</v>
      </c>
      <c r="E3245" s="6">
        <v>-7948</v>
      </c>
      <c r="F3245" s="7">
        <v>5.2880000000000003</v>
      </c>
      <c r="G3245" s="7">
        <v>5.7530000000000001</v>
      </c>
      <c r="H3245" s="7">
        <v>5.798</v>
      </c>
      <c r="I3245" s="7">
        <v>5.7469999999999999</v>
      </c>
      <c r="J3245" s="7">
        <v>5.202</v>
      </c>
      <c r="K3245" s="7">
        <v>4.4560000000000004</v>
      </c>
      <c r="L3245" s="7">
        <v>4.1269999999999998</v>
      </c>
      <c r="M3245" s="7">
        <v>4.2530000000000001</v>
      </c>
      <c r="N3245" s="7">
        <v>4.891</v>
      </c>
      <c r="O3245" s="7">
        <v>5.5410000000000004</v>
      </c>
      <c r="P3245" s="7">
        <v>5.7469999999999999</v>
      </c>
      <c r="Q3245" s="7">
        <v>5.9770000000000003</v>
      </c>
      <c r="R3245" s="7">
        <v>5.9589999999999996</v>
      </c>
      <c r="S3245" s="7">
        <f t="shared" si="50"/>
        <v>5.287583333333334</v>
      </c>
    </row>
    <row r="3246" spans="1:19">
      <c r="A3246" s="5" t="str">
        <f>B3246&amp;"-"&amp;COUNTIF($B$2:B3246,B3246)</f>
        <v>PERNAMBUCO-61</v>
      </c>
      <c r="B3246" s="5" t="s">
        <v>2140</v>
      </c>
      <c r="C3246" s="5" t="s">
        <v>2179</v>
      </c>
      <c r="D3246" s="6">
        <v>-352434</v>
      </c>
      <c r="E3246" s="6">
        <v>-74501</v>
      </c>
      <c r="F3246" s="7">
        <v>5.3849999999999998</v>
      </c>
      <c r="G3246" s="7">
        <v>5.6970000000000001</v>
      </c>
      <c r="H3246" s="7">
        <v>5.8819999999999997</v>
      </c>
      <c r="I3246" s="7">
        <v>5.8719999999999999</v>
      </c>
      <c r="J3246" s="7">
        <v>5.327</v>
      </c>
      <c r="K3246" s="7">
        <v>4.6349999999999998</v>
      </c>
      <c r="L3246" s="7">
        <v>4.2439999999999998</v>
      </c>
      <c r="M3246" s="7">
        <v>4.3739999999999997</v>
      </c>
      <c r="N3246" s="7">
        <v>5.0910000000000002</v>
      </c>
      <c r="O3246" s="7">
        <v>5.6020000000000003</v>
      </c>
      <c r="P3246" s="7">
        <v>5.8179999999999996</v>
      </c>
      <c r="Q3246" s="7">
        <v>6.1020000000000003</v>
      </c>
      <c r="R3246" s="7">
        <v>5.9729999999999999</v>
      </c>
      <c r="S3246" s="7">
        <f t="shared" si="50"/>
        <v>5.3847500000000004</v>
      </c>
    </row>
    <row r="3247" spans="1:19">
      <c r="A3247" s="5" t="str">
        <f>B3247&amp;"-"&amp;COUNTIF($B$2:B3247,B3247)</f>
        <v>PERNAMBUCO-62</v>
      </c>
      <c r="B3247" s="5" t="s">
        <v>2140</v>
      </c>
      <c r="C3247" s="5" t="s">
        <v>2180</v>
      </c>
      <c r="D3247" s="6">
        <v>-379718</v>
      </c>
      <c r="E3247" s="6">
        <v>-78588</v>
      </c>
      <c r="F3247" s="7">
        <v>5.7830000000000004</v>
      </c>
      <c r="G3247" s="7">
        <v>6.2140000000000004</v>
      </c>
      <c r="H3247" s="7">
        <v>6.1890000000000001</v>
      </c>
      <c r="I3247" s="7">
        <v>6.1390000000000002</v>
      </c>
      <c r="J3247" s="7">
        <v>5.74</v>
      </c>
      <c r="K3247" s="7">
        <v>4.8289999999999997</v>
      </c>
      <c r="L3247" s="7">
        <v>4.3470000000000004</v>
      </c>
      <c r="M3247" s="7">
        <v>4.577</v>
      </c>
      <c r="N3247" s="7">
        <v>5.4089999999999998</v>
      </c>
      <c r="O3247" s="7">
        <v>6.3319999999999999</v>
      </c>
      <c r="P3247" s="7">
        <v>6.51</v>
      </c>
      <c r="Q3247" s="7">
        <v>6.71</v>
      </c>
      <c r="R3247" s="7">
        <v>6.4020000000000001</v>
      </c>
      <c r="S3247" s="7">
        <f t="shared" si="50"/>
        <v>5.7831666666666663</v>
      </c>
    </row>
    <row r="3248" spans="1:19">
      <c r="A3248" s="5" t="str">
        <f>B3248&amp;"-"&amp;COUNTIF($B$2:B3248,B3248)</f>
        <v>PERNAMBUCO-63</v>
      </c>
      <c r="B3248" s="5" t="s">
        <v>2140</v>
      </c>
      <c r="C3248" s="5" t="s">
        <v>1987</v>
      </c>
      <c r="D3248" s="6">
        <v>-38572</v>
      </c>
      <c r="E3248" s="6">
        <v>-85993</v>
      </c>
      <c r="F3248" s="7">
        <v>5.734</v>
      </c>
      <c r="G3248" s="7">
        <v>6.367</v>
      </c>
      <c r="H3248" s="7">
        <v>6.1609999999999996</v>
      </c>
      <c r="I3248" s="7">
        <v>6.1390000000000002</v>
      </c>
      <c r="J3248" s="7">
        <v>5.61</v>
      </c>
      <c r="K3248" s="7">
        <v>4.742</v>
      </c>
      <c r="L3248" s="7">
        <v>4.1890000000000001</v>
      </c>
      <c r="M3248" s="7">
        <v>4.4640000000000004</v>
      </c>
      <c r="N3248" s="7">
        <v>5.2130000000000001</v>
      </c>
      <c r="O3248" s="7">
        <v>6.2080000000000002</v>
      </c>
      <c r="P3248" s="7">
        <v>6.476</v>
      </c>
      <c r="Q3248" s="7">
        <v>6.7350000000000003</v>
      </c>
      <c r="R3248" s="7">
        <v>6.51</v>
      </c>
      <c r="S3248" s="7">
        <f t="shared" si="50"/>
        <v>5.7344999999999997</v>
      </c>
    </row>
    <row r="3249" spans="1:19">
      <c r="A3249" s="5" t="str">
        <f>B3249&amp;"-"&amp;COUNTIF($B$2:B3249,B3249)</f>
        <v>PERNAMBUCO-64</v>
      </c>
      <c r="B3249" s="5" t="s">
        <v>2140</v>
      </c>
      <c r="C3249" s="5" t="s">
        <v>2181</v>
      </c>
      <c r="D3249" s="6">
        <v>-359208</v>
      </c>
      <c r="E3249" s="6">
        <v>-79417</v>
      </c>
      <c r="F3249" s="7">
        <v>5.3019999999999996</v>
      </c>
      <c r="G3249" s="7">
        <v>5.7220000000000004</v>
      </c>
      <c r="H3249" s="7">
        <v>5.7729999999999997</v>
      </c>
      <c r="I3249" s="7">
        <v>5.8419999999999996</v>
      </c>
      <c r="J3249" s="7">
        <v>5.1920000000000002</v>
      </c>
      <c r="K3249" s="7">
        <v>4.5620000000000003</v>
      </c>
      <c r="L3249" s="7">
        <v>4.0439999999999996</v>
      </c>
      <c r="M3249" s="7">
        <v>4.2610000000000001</v>
      </c>
      <c r="N3249" s="7">
        <v>4.8739999999999997</v>
      </c>
      <c r="O3249" s="7">
        <v>5.4729999999999999</v>
      </c>
      <c r="P3249" s="7">
        <v>5.7949999999999999</v>
      </c>
      <c r="Q3249" s="7">
        <v>6.1059999999999999</v>
      </c>
      <c r="R3249" s="7">
        <v>5.9829999999999997</v>
      </c>
      <c r="S3249" s="7">
        <f t="shared" si="50"/>
        <v>5.3022499999999999</v>
      </c>
    </row>
    <row r="3250" spans="1:19">
      <c r="A3250" s="5" t="str">
        <f>B3250&amp;"-"&amp;COUNTIF($B$2:B3250,B3250)</f>
        <v>PERNAMBUCO-65</v>
      </c>
      <c r="B3250" s="5" t="s">
        <v>2140</v>
      </c>
      <c r="C3250" s="5" t="s">
        <v>2182</v>
      </c>
      <c r="D3250" s="6">
        <v>-353849</v>
      </c>
      <c r="E3250" s="6">
        <v>-85802</v>
      </c>
      <c r="F3250" s="7">
        <v>5.2009999999999996</v>
      </c>
      <c r="G3250" s="7">
        <v>5.6890000000000001</v>
      </c>
      <c r="H3250" s="7">
        <v>5.7590000000000003</v>
      </c>
      <c r="I3250" s="7">
        <v>5.7320000000000002</v>
      </c>
      <c r="J3250" s="7">
        <v>5.0289999999999999</v>
      </c>
      <c r="K3250" s="7">
        <v>4.3419999999999996</v>
      </c>
      <c r="L3250" s="7">
        <v>3.9540000000000002</v>
      </c>
      <c r="M3250" s="7">
        <v>4.0380000000000003</v>
      </c>
      <c r="N3250" s="7">
        <v>4.6669999999999998</v>
      </c>
      <c r="O3250" s="7">
        <v>5.375</v>
      </c>
      <c r="P3250" s="7">
        <v>5.6820000000000004</v>
      </c>
      <c r="Q3250" s="7">
        <v>6.05</v>
      </c>
      <c r="R3250" s="7">
        <v>6.0910000000000002</v>
      </c>
      <c r="S3250" s="7">
        <f t="shared" si="50"/>
        <v>5.2006666666666668</v>
      </c>
    </row>
    <row r="3251" spans="1:19">
      <c r="A3251" s="5" t="str">
        <f>B3251&amp;"-"&amp;COUNTIF($B$2:B3251,B3251)</f>
        <v>PERNAMBUCO-66</v>
      </c>
      <c r="B3251" s="5" t="s">
        <v>2140</v>
      </c>
      <c r="C3251" s="5" t="s">
        <v>2183</v>
      </c>
      <c r="D3251" s="6">
        <v>-364969</v>
      </c>
      <c r="E3251" s="6">
        <v>-88829</v>
      </c>
      <c r="F3251" s="7">
        <v>5.2519999999999998</v>
      </c>
      <c r="G3251" s="7">
        <v>6</v>
      </c>
      <c r="H3251" s="7">
        <v>5.7060000000000004</v>
      </c>
      <c r="I3251" s="7">
        <v>5.8170000000000002</v>
      </c>
      <c r="J3251" s="7">
        <v>5.13</v>
      </c>
      <c r="K3251" s="7">
        <v>4.2720000000000002</v>
      </c>
      <c r="L3251" s="7">
        <v>3.8119999999999998</v>
      </c>
      <c r="M3251" s="7">
        <v>3.9420000000000002</v>
      </c>
      <c r="N3251" s="7">
        <v>4.5869999999999997</v>
      </c>
      <c r="O3251" s="7">
        <v>5.4480000000000004</v>
      </c>
      <c r="P3251" s="7">
        <v>5.7629999999999999</v>
      </c>
      <c r="Q3251" s="7">
        <v>6.319</v>
      </c>
      <c r="R3251" s="7">
        <v>6.226</v>
      </c>
      <c r="S3251" s="7">
        <f t="shared" si="50"/>
        <v>5.2518333333333338</v>
      </c>
    </row>
    <row r="3252" spans="1:19">
      <c r="A3252" s="5" t="str">
        <f>B3252&amp;"-"&amp;COUNTIF($B$2:B3252,B3252)</f>
        <v>PERNAMBUCO-67</v>
      </c>
      <c r="B3252" s="5" t="s">
        <v>2140</v>
      </c>
      <c r="C3252" s="5" t="s">
        <v>5681</v>
      </c>
      <c r="D3252" s="6">
        <v>-352907</v>
      </c>
      <c r="E3252" s="6">
        <v>-80061</v>
      </c>
      <c r="F3252" s="7">
        <v>5.3259999999999996</v>
      </c>
      <c r="G3252" s="7">
        <v>5.7809999999999997</v>
      </c>
      <c r="H3252" s="7">
        <v>5.8410000000000002</v>
      </c>
      <c r="I3252" s="7">
        <v>5.8319999999999999</v>
      </c>
      <c r="J3252" s="7">
        <v>5.1790000000000003</v>
      </c>
      <c r="K3252" s="7">
        <v>4.4889999999999999</v>
      </c>
      <c r="L3252" s="7">
        <v>4.1459999999999999</v>
      </c>
      <c r="M3252" s="7">
        <v>4.274</v>
      </c>
      <c r="N3252" s="7">
        <v>4.9589999999999996</v>
      </c>
      <c r="O3252" s="7">
        <v>5.5670000000000002</v>
      </c>
      <c r="P3252" s="7">
        <v>5.79</v>
      </c>
      <c r="Q3252" s="7">
        <v>6.0069999999999997</v>
      </c>
      <c r="R3252" s="7">
        <v>6.05</v>
      </c>
      <c r="S3252" s="7">
        <f t="shared" si="50"/>
        <v>5.3262499999999999</v>
      </c>
    </row>
    <row r="3253" spans="1:19">
      <c r="A3253" s="5" t="str">
        <f>B3253&amp;"-"&amp;COUNTIF($B$2:B3253,B3253)</f>
        <v>PERNAMBUCO-68</v>
      </c>
      <c r="B3253" s="5" t="s">
        <v>2140</v>
      </c>
      <c r="C3253" s="5" t="s">
        <v>2184</v>
      </c>
      <c r="D3253" s="6">
        <v>-349962</v>
      </c>
      <c r="E3253" s="6">
        <v>-7561</v>
      </c>
      <c r="F3253" s="7">
        <v>5.4509999999999996</v>
      </c>
      <c r="G3253" s="7">
        <v>5.806</v>
      </c>
      <c r="H3253" s="7">
        <v>6.1189999999999998</v>
      </c>
      <c r="I3253" s="7">
        <v>6.0419999999999998</v>
      </c>
      <c r="J3253" s="7">
        <v>5.3</v>
      </c>
      <c r="K3253" s="7">
        <v>4.657</v>
      </c>
      <c r="L3253" s="7">
        <v>4.28</v>
      </c>
      <c r="M3253" s="7">
        <v>4.3739999999999997</v>
      </c>
      <c r="N3253" s="7">
        <v>5.1390000000000002</v>
      </c>
      <c r="O3253" s="7">
        <v>5.5460000000000003</v>
      </c>
      <c r="P3253" s="7">
        <v>5.93</v>
      </c>
      <c r="Q3253" s="7">
        <v>6.0960000000000001</v>
      </c>
      <c r="R3253" s="7">
        <v>6.1239999999999997</v>
      </c>
      <c r="S3253" s="7">
        <f t="shared" si="50"/>
        <v>5.4510833333333331</v>
      </c>
    </row>
    <row r="3254" spans="1:19">
      <c r="A3254" s="5" t="str">
        <f>B3254&amp;"-"&amp;COUNTIF($B$2:B3254,B3254)</f>
        <v>PERNAMBUCO-69</v>
      </c>
      <c r="B3254" s="5" t="s">
        <v>2140</v>
      </c>
      <c r="C3254" s="5" t="s">
        <v>2185</v>
      </c>
      <c r="D3254" s="6">
        <v>-396152</v>
      </c>
      <c r="E3254" s="6">
        <v>-77148</v>
      </c>
      <c r="F3254" s="7">
        <v>5.6740000000000004</v>
      </c>
      <c r="G3254" s="7">
        <v>5.9740000000000002</v>
      </c>
      <c r="H3254" s="7">
        <v>5.7969999999999997</v>
      </c>
      <c r="I3254" s="7">
        <v>5.8090000000000002</v>
      </c>
      <c r="J3254" s="7">
        <v>5.343</v>
      </c>
      <c r="K3254" s="7">
        <v>4.7720000000000002</v>
      </c>
      <c r="L3254" s="7">
        <v>4.3949999999999996</v>
      </c>
      <c r="M3254" s="7">
        <v>4.7009999999999996</v>
      </c>
      <c r="N3254" s="7">
        <v>5.5960000000000001</v>
      </c>
      <c r="O3254" s="7">
        <v>6.3849999999999998</v>
      </c>
      <c r="P3254" s="7">
        <v>6.4880000000000004</v>
      </c>
      <c r="Q3254" s="7">
        <v>6.5359999999999996</v>
      </c>
      <c r="R3254" s="7">
        <v>6.29</v>
      </c>
      <c r="S3254" s="7">
        <f t="shared" si="50"/>
        <v>5.6738333333333335</v>
      </c>
    </row>
    <row r="3255" spans="1:19">
      <c r="A3255" s="5" t="str">
        <f>B3255&amp;"-"&amp;COUNTIF($B$2:B3255,B3255)</f>
        <v>PERNAMBUCO-70</v>
      </c>
      <c r="B3255" s="5" t="s">
        <v>2140</v>
      </c>
      <c r="C3255" s="5" t="s">
        <v>5682</v>
      </c>
      <c r="D3255" s="6">
        <v>-355678</v>
      </c>
      <c r="E3255" s="6">
        <v>-82116</v>
      </c>
      <c r="F3255" s="7">
        <v>5.242</v>
      </c>
      <c r="G3255" s="7">
        <v>5.7519999999999998</v>
      </c>
      <c r="H3255" s="7">
        <v>5.7069999999999999</v>
      </c>
      <c r="I3255" s="7">
        <v>5.7080000000000002</v>
      </c>
      <c r="J3255" s="7">
        <v>5.0890000000000004</v>
      </c>
      <c r="K3255" s="7">
        <v>4.4349999999999996</v>
      </c>
      <c r="L3255" s="7">
        <v>4.1260000000000003</v>
      </c>
      <c r="M3255" s="7">
        <v>4.1779999999999999</v>
      </c>
      <c r="N3255" s="7">
        <v>4.9340000000000002</v>
      </c>
      <c r="O3255" s="7">
        <v>5.5049999999999999</v>
      </c>
      <c r="P3255" s="7">
        <v>5.7110000000000003</v>
      </c>
      <c r="Q3255" s="7">
        <v>5.9219999999999997</v>
      </c>
      <c r="R3255" s="7">
        <v>5.8380000000000001</v>
      </c>
      <c r="S3255" s="7">
        <f t="shared" si="50"/>
        <v>5.2420833333333325</v>
      </c>
    </row>
    <row r="3256" spans="1:19">
      <c r="A3256" s="5" t="str">
        <f>B3256&amp;"-"&amp;COUNTIF($B$2:B3256,B3256)</f>
        <v>PERNAMBUCO-71</v>
      </c>
      <c r="B3256" s="5" t="s">
        <v>2140</v>
      </c>
      <c r="C3256" s="5" t="s">
        <v>2186</v>
      </c>
      <c r="D3256" s="6">
        <v>-368465</v>
      </c>
      <c r="E3256" s="6">
        <v>-90437</v>
      </c>
      <c r="F3256" s="7">
        <v>5.4390000000000001</v>
      </c>
      <c r="G3256" s="7">
        <v>6.157</v>
      </c>
      <c r="H3256" s="7">
        <v>5.9039999999999999</v>
      </c>
      <c r="I3256" s="7">
        <v>5.8819999999999997</v>
      </c>
      <c r="J3256" s="7">
        <v>5.3129999999999997</v>
      </c>
      <c r="K3256" s="7">
        <v>4.4029999999999996</v>
      </c>
      <c r="L3256" s="7">
        <v>3.95</v>
      </c>
      <c r="M3256" s="7">
        <v>4.1130000000000004</v>
      </c>
      <c r="N3256" s="7">
        <v>4.7850000000000001</v>
      </c>
      <c r="O3256" s="7">
        <v>5.7110000000000003</v>
      </c>
      <c r="P3256" s="7">
        <v>6.1040000000000001</v>
      </c>
      <c r="Q3256" s="7">
        <v>6.5519999999999996</v>
      </c>
      <c r="R3256" s="7">
        <v>6.3959999999999999</v>
      </c>
      <c r="S3256" s="7">
        <f t="shared" si="50"/>
        <v>5.4391666666666652</v>
      </c>
    </row>
    <row r="3257" spans="1:19">
      <c r="A3257" s="5" t="str">
        <f>B3257&amp;"-"&amp;COUNTIF($B$2:B3257,B3257)</f>
        <v>PERNAMBUCO-72</v>
      </c>
      <c r="B3257" s="5" t="s">
        <v>2140</v>
      </c>
      <c r="C3257" s="5" t="s">
        <v>2187</v>
      </c>
      <c r="D3257" s="6">
        <v>-37696</v>
      </c>
      <c r="E3257" s="6">
        <v>-8538</v>
      </c>
      <c r="F3257" s="7">
        <v>5.7350000000000003</v>
      </c>
      <c r="G3257" s="7">
        <v>6.3780000000000001</v>
      </c>
      <c r="H3257" s="7">
        <v>6.2160000000000002</v>
      </c>
      <c r="I3257" s="7">
        <v>6.2510000000000003</v>
      </c>
      <c r="J3257" s="7">
        <v>5.6959999999999997</v>
      </c>
      <c r="K3257" s="7">
        <v>4.7850000000000001</v>
      </c>
      <c r="L3257" s="7">
        <v>4.2160000000000002</v>
      </c>
      <c r="M3257" s="7">
        <v>4.4210000000000003</v>
      </c>
      <c r="N3257" s="7">
        <v>5.202</v>
      </c>
      <c r="O3257" s="7">
        <v>6.125</v>
      </c>
      <c r="P3257" s="7">
        <v>6.3380000000000001</v>
      </c>
      <c r="Q3257" s="7">
        <v>6.6630000000000003</v>
      </c>
      <c r="R3257" s="7">
        <v>6.5330000000000004</v>
      </c>
      <c r="S3257" s="7">
        <f t="shared" si="50"/>
        <v>5.7353333333333332</v>
      </c>
    </row>
    <row r="3258" spans="1:19">
      <c r="A3258" s="5" t="str">
        <f>B3258&amp;"-"&amp;COUNTIF($B$2:B3258,B3258)</f>
        <v>PERNAMBUCO-73</v>
      </c>
      <c r="B3258" s="5" t="s">
        <v>2140</v>
      </c>
      <c r="C3258" s="5" t="s">
        <v>2188</v>
      </c>
      <c r="D3258" s="6">
        <v>-361769</v>
      </c>
      <c r="E3258" s="6">
        <v>-85795</v>
      </c>
      <c r="F3258" s="7">
        <v>5.2350000000000003</v>
      </c>
      <c r="G3258" s="7">
        <v>5.8869999999999996</v>
      </c>
      <c r="H3258" s="7">
        <v>5.6989999999999998</v>
      </c>
      <c r="I3258" s="7">
        <v>5.7519999999999998</v>
      </c>
      <c r="J3258" s="7">
        <v>5.1459999999999999</v>
      </c>
      <c r="K3258" s="7">
        <v>4.3209999999999997</v>
      </c>
      <c r="L3258" s="7">
        <v>3.867</v>
      </c>
      <c r="M3258" s="7">
        <v>4.0140000000000002</v>
      </c>
      <c r="N3258" s="7">
        <v>4.6269999999999998</v>
      </c>
      <c r="O3258" s="7">
        <v>5.3949999999999996</v>
      </c>
      <c r="P3258" s="7">
        <v>5.7409999999999997</v>
      </c>
      <c r="Q3258" s="7">
        <v>6.2750000000000004</v>
      </c>
      <c r="R3258" s="7">
        <v>6.101</v>
      </c>
      <c r="S3258" s="7">
        <f t="shared" si="50"/>
        <v>5.2354166666666666</v>
      </c>
    </row>
    <row r="3259" spans="1:19">
      <c r="A3259" s="5" t="str">
        <f>B3259&amp;"-"&amp;COUNTIF($B$2:B3259,B3259)</f>
        <v>PERNAMBUCO-74</v>
      </c>
      <c r="B3259" s="5" t="s">
        <v>2140</v>
      </c>
      <c r="C3259" s="5" t="s">
        <v>2189</v>
      </c>
      <c r="D3259" s="6">
        <v>-349025</v>
      </c>
      <c r="E3259" s="6">
        <v>-78378</v>
      </c>
      <c r="F3259" s="7">
        <v>5.3330000000000002</v>
      </c>
      <c r="G3259" s="7">
        <v>5.77</v>
      </c>
      <c r="H3259" s="7">
        <v>5.931</v>
      </c>
      <c r="I3259" s="7">
        <v>5.9690000000000003</v>
      </c>
      <c r="J3259" s="7">
        <v>5.1619999999999999</v>
      </c>
      <c r="K3259" s="7">
        <v>4.4829999999999997</v>
      </c>
      <c r="L3259" s="7">
        <v>4.17</v>
      </c>
      <c r="M3259" s="7">
        <v>4.29</v>
      </c>
      <c r="N3259" s="7">
        <v>5.0190000000000001</v>
      </c>
      <c r="O3259" s="7">
        <v>5.4050000000000002</v>
      </c>
      <c r="P3259" s="7">
        <v>5.7290000000000001</v>
      </c>
      <c r="Q3259" s="7">
        <v>6.0369999999999999</v>
      </c>
      <c r="R3259" s="7">
        <v>6.0339999999999998</v>
      </c>
      <c r="S3259" s="7">
        <f t="shared" si="50"/>
        <v>5.3332499999999996</v>
      </c>
    </row>
    <row r="3260" spans="1:19">
      <c r="A3260" s="5" t="str">
        <f>B3260&amp;"-"&amp;COUNTIF($B$2:B3260,B3260)</f>
        <v>PERNAMBUCO-75</v>
      </c>
      <c r="B3260" s="5" t="s">
        <v>2140</v>
      </c>
      <c r="C3260" s="5" t="s">
        <v>2190</v>
      </c>
      <c r="D3260" s="6">
        <v>-375134</v>
      </c>
      <c r="E3260" s="6">
        <v>-78359</v>
      </c>
      <c r="F3260" s="7">
        <v>5.8369999999999997</v>
      </c>
      <c r="G3260" s="7">
        <v>6.2149999999999999</v>
      </c>
      <c r="H3260" s="7">
        <v>6.1559999999999997</v>
      </c>
      <c r="I3260" s="7">
        <v>6.085</v>
      </c>
      <c r="J3260" s="7">
        <v>5.7110000000000003</v>
      </c>
      <c r="K3260" s="7">
        <v>4.9859999999999998</v>
      </c>
      <c r="L3260" s="7">
        <v>4.5620000000000003</v>
      </c>
      <c r="M3260" s="7">
        <v>4.7309999999999999</v>
      </c>
      <c r="N3260" s="7">
        <v>5.5579999999999998</v>
      </c>
      <c r="O3260" s="7">
        <v>6.3689999999999998</v>
      </c>
      <c r="P3260" s="7">
        <v>6.5179999999999998</v>
      </c>
      <c r="Q3260" s="7">
        <v>6.742</v>
      </c>
      <c r="R3260" s="7">
        <v>6.4119999999999999</v>
      </c>
      <c r="S3260" s="7">
        <f t="shared" si="50"/>
        <v>5.8370833333333332</v>
      </c>
    </row>
    <row r="3261" spans="1:19">
      <c r="A3261" s="5" t="str">
        <f>B3261&amp;"-"&amp;COUNTIF($B$2:B3261,B3261)</f>
        <v>PERNAMBUCO-76</v>
      </c>
      <c r="B3261" s="5" t="s">
        <v>2140</v>
      </c>
      <c r="C3261" s="5" t="s">
        <v>5683</v>
      </c>
      <c r="D3261" s="6">
        <v>-348306</v>
      </c>
      <c r="E3261" s="6">
        <v>-77481</v>
      </c>
      <c r="F3261" s="7">
        <v>5.532</v>
      </c>
      <c r="G3261" s="7">
        <v>5.8810000000000002</v>
      </c>
      <c r="H3261" s="7">
        <v>6.1269999999999998</v>
      </c>
      <c r="I3261" s="7">
        <v>6.0880000000000001</v>
      </c>
      <c r="J3261" s="7">
        <v>5.3369999999999997</v>
      </c>
      <c r="K3261" s="7">
        <v>4.694</v>
      </c>
      <c r="L3261" s="7">
        <v>4.3470000000000004</v>
      </c>
      <c r="M3261" s="7">
        <v>4.4889999999999999</v>
      </c>
      <c r="N3261" s="7">
        <v>5.2450000000000001</v>
      </c>
      <c r="O3261" s="7">
        <v>5.6980000000000004</v>
      </c>
      <c r="P3261" s="7">
        <v>6.0709999999999997</v>
      </c>
      <c r="Q3261" s="7">
        <v>6.2069999999999999</v>
      </c>
      <c r="R3261" s="7">
        <v>6.2</v>
      </c>
      <c r="S3261" s="7">
        <f t="shared" si="50"/>
        <v>5.5319999999999991</v>
      </c>
    </row>
    <row r="3262" spans="1:19">
      <c r="A3262" s="5" t="str">
        <f>B3262&amp;"-"&amp;COUNTIF($B$2:B3262,B3262)</f>
        <v>PERNAMBUCO-77</v>
      </c>
      <c r="B3262" s="5" t="s">
        <v>2140</v>
      </c>
      <c r="C3262" s="5" t="s">
        <v>5660</v>
      </c>
      <c r="D3262" s="6">
        <v>-378303</v>
      </c>
      <c r="E3262" s="5" t="s">
        <v>2191</v>
      </c>
      <c r="F3262" s="7">
        <v>5.6219999999999999</v>
      </c>
      <c r="G3262" s="7">
        <v>6.423</v>
      </c>
      <c r="H3262" s="7">
        <v>6.0970000000000004</v>
      </c>
      <c r="I3262" s="7">
        <v>6.125</v>
      </c>
      <c r="J3262" s="7">
        <v>5.4880000000000004</v>
      </c>
      <c r="K3262" s="7">
        <v>4.5490000000000004</v>
      </c>
      <c r="L3262" s="7">
        <v>4.0419999999999998</v>
      </c>
      <c r="M3262" s="7">
        <v>4.2450000000000001</v>
      </c>
      <c r="N3262" s="7">
        <v>4.968</v>
      </c>
      <c r="O3262" s="7">
        <v>5.9459999999999997</v>
      </c>
      <c r="P3262" s="7">
        <v>6.3230000000000004</v>
      </c>
      <c r="Q3262" s="7">
        <v>6.6890000000000001</v>
      </c>
      <c r="R3262" s="7">
        <v>6.5650000000000004</v>
      </c>
      <c r="S3262" s="7">
        <f t="shared" si="50"/>
        <v>5.6216666666666661</v>
      </c>
    </row>
    <row r="3263" spans="1:19">
      <c r="A3263" s="5" t="str">
        <f>B3263&amp;"-"&amp;COUNTIF($B$2:B3263,B3263)</f>
        <v>PERNAMBUCO-78</v>
      </c>
      <c r="B3263" s="5" t="s">
        <v>2140</v>
      </c>
      <c r="C3263" s="5" t="s">
        <v>2192</v>
      </c>
      <c r="D3263" s="6">
        <v>-374598</v>
      </c>
      <c r="E3263" s="6">
        <v>-76777</v>
      </c>
      <c r="F3263" s="7">
        <v>5.8129999999999997</v>
      </c>
      <c r="G3263" s="7">
        <v>6.1820000000000004</v>
      </c>
      <c r="H3263" s="7">
        <v>6.1360000000000001</v>
      </c>
      <c r="I3263" s="7">
        <v>6.1180000000000003</v>
      </c>
      <c r="J3263" s="7">
        <v>5.7279999999999998</v>
      </c>
      <c r="K3263" s="7">
        <v>4.952</v>
      </c>
      <c r="L3263" s="7">
        <v>4.5069999999999997</v>
      </c>
      <c r="M3263" s="7">
        <v>4.6790000000000003</v>
      </c>
      <c r="N3263" s="7">
        <v>5.51</v>
      </c>
      <c r="O3263" s="7">
        <v>6.343</v>
      </c>
      <c r="P3263" s="7">
        <v>6.5060000000000002</v>
      </c>
      <c r="Q3263" s="7">
        <v>6.734</v>
      </c>
      <c r="R3263" s="7">
        <v>6.3659999999999997</v>
      </c>
      <c r="S3263" s="7">
        <f t="shared" si="50"/>
        <v>5.813416666666666</v>
      </c>
    </row>
    <row r="3264" spans="1:19">
      <c r="A3264" s="5" t="str">
        <f>B3264&amp;"-"&amp;COUNTIF($B$2:B3264,B3264)</f>
        <v>PERNAMBUCO-79</v>
      </c>
      <c r="B3264" s="5" t="s">
        <v>2140</v>
      </c>
      <c r="C3264" s="5" t="s">
        <v>2193</v>
      </c>
      <c r="D3264" s="6">
        <v>-350612</v>
      </c>
      <c r="E3264" s="6">
        <v>-83935</v>
      </c>
      <c r="F3264" s="7">
        <v>5.2750000000000004</v>
      </c>
      <c r="G3264" s="7">
        <v>5.72</v>
      </c>
      <c r="H3264" s="7">
        <v>5.8390000000000004</v>
      </c>
      <c r="I3264" s="7">
        <v>5.9039999999999999</v>
      </c>
      <c r="J3264" s="7">
        <v>5.14</v>
      </c>
      <c r="K3264" s="7">
        <v>4.3959999999999999</v>
      </c>
      <c r="L3264" s="7">
        <v>4.1100000000000003</v>
      </c>
      <c r="M3264" s="7">
        <v>4.1950000000000003</v>
      </c>
      <c r="N3264" s="7">
        <v>4.87</v>
      </c>
      <c r="O3264" s="7">
        <v>5.4029999999999996</v>
      </c>
      <c r="P3264" s="7">
        <v>5.7320000000000002</v>
      </c>
      <c r="Q3264" s="7">
        <v>5.9720000000000004</v>
      </c>
      <c r="R3264" s="7">
        <v>6.0140000000000002</v>
      </c>
      <c r="S3264" s="7">
        <f t="shared" si="50"/>
        <v>5.2745833333333332</v>
      </c>
    </row>
    <row r="3265" spans="1:19">
      <c r="A3265" s="5" t="str">
        <f>B3265&amp;"-"&amp;COUNTIF($B$2:B3265,B3265)</f>
        <v>PERNAMBUCO-80</v>
      </c>
      <c r="B3265" s="5" t="s">
        <v>2140</v>
      </c>
      <c r="C3265" s="5" t="s">
        <v>2194</v>
      </c>
      <c r="D3265" s="6">
        <v>-401479</v>
      </c>
      <c r="E3265" s="6">
        <v>-76455</v>
      </c>
      <c r="F3265" s="7">
        <v>5.5890000000000004</v>
      </c>
      <c r="G3265" s="7">
        <v>5.7450000000000001</v>
      </c>
      <c r="H3265" s="7">
        <v>5.58</v>
      </c>
      <c r="I3265" s="7">
        <v>5.617</v>
      </c>
      <c r="J3265" s="7">
        <v>5.149</v>
      </c>
      <c r="K3265" s="7">
        <v>4.7249999999999996</v>
      </c>
      <c r="L3265" s="7">
        <v>4.4459999999999997</v>
      </c>
      <c r="M3265" s="7">
        <v>4.774</v>
      </c>
      <c r="N3265" s="7">
        <v>5.6989999999999998</v>
      </c>
      <c r="O3265" s="7">
        <v>6.38</v>
      </c>
      <c r="P3265" s="7">
        <v>6.3849999999999998</v>
      </c>
      <c r="Q3265" s="7">
        <v>6.4390000000000001</v>
      </c>
      <c r="R3265" s="7">
        <v>6.1269999999999998</v>
      </c>
      <c r="S3265" s="7">
        <f t="shared" si="50"/>
        <v>5.5888333333333335</v>
      </c>
    </row>
    <row r="3266" spans="1:19">
      <c r="A3266" s="5" t="str">
        <f>B3266&amp;"-"&amp;COUNTIF($B$2:B3266,B3266)</f>
        <v>PERNAMBUCO-81</v>
      </c>
      <c r="B3266" s="5" t="s">
        <v>2140</v>
      </c>
      <c r="C3266" s="5" t="s">
        <v>2195</v>
      </c>
      <c r="D3266" s="6">
        <v>-374214</v>
      </c>
      <c r="E3266" s="6">
        <v>-8947</v>
      </c>
      <c r="F3266" s="7">
        <v>5.6280000000000001</v>
      </c>
      <c r="G3266" s="7">
        <v>6.3869999999999996</v>
      </c>
      <c r="H3266" s="7">
        <v>6.1470000000000002</v>
      </c>
      <c r="I3266" s="7">
        <v>6.1790000000000003</v>
      </c>
      <c r="J3266" s="7">
        <v>5.5060000000000002</v>
      </c>
      <c r="K3266" s="7">
        <v>4.5259999999999998</v>
      </c>
      <c r="L3266" s="7">
        <v>4.0490000000000004</v>
      </c>
      <c r="M3266" s="7">
        <v>4.2309999999999999</v>
      </c>
      <c r="N3266" s="7">
        <v>4.984</v>
      </c>
      <c r="O3266" s="7">
        <v>5.9610000000000003</v>
      </c>
      <c r="P3266" s="7">
        <v>6.3360000000000003</v>
      </c>
      <c r="Q3266" s="7">
        <v>6.73</v>
      </c>
      <c r="R3266" s="7">
        <v>6.5010000000000003</v>
      </c>
      <c r="S3266" s="7">
        <f t="shared" si="50"/>
        <v>5.6280833333333335</v>
      </c>
    </row>
    <row r="3267" spans="1:19">
      <c r="A3267" s="5" t="str">
        <f>B3267&amp;"-"&amp;COUNTIF($B$2:B3267,B3267)</f>
        <v>PERNAMBUCO-82</v>
      </c>
      <c r="B3267" s="5" t="s">
        <v>2140</v>
      </c>
      <c r="C3267" s="5" t="s">
        <v>2196</v>
      </c>
      <c r="D3267" s="6">
        <v>-386978</v>
      </c>
      <c r="E3267" s="6">
        <v>-88227</v>
      </c>
      <c r="F3267" s="7">
        <v>5.8159999999999998</v>
      </c>
      <c r="G3267" s="7">
        <v>6.5279999999999996</v>
      </c>
      <c r="H3267" s="7">
        <v>6.33</v>
      </c>
      <c r="I3267" s="7">
        <v>6.3179999999999996</v>
      </c>
      <c r="J3267" s="7">
        <v>5.665</v>
      </c>
      <c r="K3267" s="7">
        <v>4.8789999999999996</v>
      </c>
      <c r="L3267" s="7">
        <v>4.5199999999999996</v>
      </c>
      <c r="M3267" s="7">
        <v>4.7649999999999997</v>
      </c>
      <c r="N3267" s="7">
        <v>5.3659999999999997</v>
      </c>
      <c r="O3267" s="7">
        <v>6.0979999999999999</v>
      </c>
      <c r="P3267" s="7">
        <v>6.2380000000000004</v>
      </c>
      <c r="Q3267" s="7">
        <v>6.51</v>
      </c>
      <c r="R3267" s="7">
        <v>6.5759999999999996</v>
      </c>
      <c r="S3267" s="7">
        <f t="shared" ref="S3267:S3330" si="51">(G3267+H3267+I3267+J3267+K3267+L3267+M3267+N3267+O3267+P3267+Q3267+R3267)/12</f>
        <v>5.8160833333333324</v>
      </c>
    </row>
    <row r="3268" spans="1:19">
      <c r="A3268" s="5" t="str">
        <f>B3268&amp;"-"&amp;COUNTIF($B$2:B3268,B3268)</f>
        <v>PERNAMBUCO-83</v>
      </c>
      <c r="B3268" s="5" t="s">
        <v>2140</v>
      </c>
      <c r="C3268" s="5" t="s">
        <v>4278</v>
      </c>
      <c r="D3268" s="6">
        <v>-351113</v>
      </c>
      <c r="E3268" s="6">
        <v>-74095</v>
      </c>
      <c r="F3268" s="7">
        <v>5.4029999999999996</v>
      </c>
      <c r="G3268" s="7">
        <v>5.74</v>
      </c>
      <c r="H3268" s="7">
        <v>5.94</v>
      </c>
      <c r="I3268" s="7">
        <v>5.9249999999999998</v>
      </c>
      <c r="J3268" s="7">
        <v>5.335</v>
      </c>
      <c r="K3268" s="7">
        <v>4.6280000000000001</v>
      </c>
      <c r="L3268" s="7">
        <v>4.2430000000000003</v>
      </c>
      <c r="M3268" s="7">
        <v>4.3559999999999999</v>
      </c>
      <c r="N3268" s="7">
        <v>5.0579999999999998</v>
      </c>
      <c r="O3268" s="7">
        <v>5.5919999999999996</v>
      </c>
      <c r="P3268" s="7">
        <v>5.8490000000000002</v>
      </c>
      <c r="Q3268" s="7">
        <v>6.1319999999999997</v>
      </c>
      <c r="R3268" s="7">
        <v>6.0350000000000001</v>
      </c>
      <c r="S3268" s="7">
        <f t="shared" si="51"/>
        <v>5.4027500000000002</v>
      </c>
    </row>
    <row r="3269" spans="1:19">
      <c r="A3269" s="5" t="str">
        <f>B3269&amp;"-"&amp;COUNTIF($B$2:B3269,B3269)</f>
        <v>PERNAMBUCO-84</v>
      </c>
      <c r="B3269" s="5" t="s">
        <v>2140</v>
      </c>
      <c r="C3269" s="5" t="s">
        <v>2197</v>
      </c>
      <c r="D3269" s="6">
        <v>-371858</v>
      </c>
      <c r="E3269" s="6">
        <v>-73759</v>
      </c>
      <c r="F3269" s="7">
        <v>5.7539999999999996</v>
      </c>
      <c r="G3269" s="7">
        <v>6.0780000000000003</v>
      </c>
      <c r="H3269" s="7">
        <v>5.9870000000000001</v>
      </c>
      <c r="I3269" s="7">
        <v>6.0220000000000002</v>
      </c>
      <c r="J3269" s="7">
        <v>5.6520000000000001</v>
      </c>
      <c r="K3269" s="7">
        <v>4.93</v>
      </c>
      <c r="L3269" s="7">
        <v>4.5220000000000002</v>
      </c>
      <c r="M3269" s="7">
        <v>4.766</v>
      </c>
      <c r="N3269" s="7">
        <v>5.5220000000000002</v>
      </c>
      <c r="O3269" s="7">
        <v>6.2789999999999999</v>
      </c>
      <c r="P3269" s="7">
        <v>6.4610000000000003</v>
      </c>
      <c r="Q3269" s="7">
        <v>6.5890000000000004</v>
      </c>
      <c r="R3269" s="7">
        <v>6.2359999999999998</v>
      </c>
      <c r="S3269" s="7">
        <f t="shared" si="51"/>
        <v>5.7536666666666667</v>
      </c>
    </row>
    <row r="3270" spans="1:19">
      <c r="A3270" s="5" t="str">
        <f>B3270&amp;"-"&amp;COUNTIF($B$2:B3270,B3270)</f>
        <v>PERNAMBUCO-85</v>
      </c>
      <c r="B3270" s="5" t="s">
        <v>2140</v>
      </c>
      <c r="C3270" s="5" t="s">
        <v>2198</v>
      </c>
      <c r="D3270" s="6">
        <v>-348974</v>
      </c>
      <c r="E3270" s="6">
        <v>-77684</v>
      </c>
      <c r="F3270" s="7">
        <v>5.5179999999999998</v>
      </c>
      <c r="G3270" s="7">
        <v>5.94</v>
      </c>
      <c r="H3270" s="7">
        <v>6.0819999999999999</v>
      </c>
      <c r="I3270" s="7">
        <v>6.077</v>
      </c>
      <c r="J3270" s="7">
        <v>5.3289999999999997</v>
      </c>
      <c r="K3270" s="7">
        <v>4.6289999999999996</v>
      </c>
      <c r="L3270" s="7">
        <v>4.306</v>
      </c>
      <c r="M3270" s="7">
        <v>4.399</v>
      </c>
      <c r="N3270" s="7">
        <v>5.2169999999999996</v>
      </c>
      <c r="O3270" s="7">
        <v>5.68</v>
      </c>
      <c r="P3270" s="7">
        <v>6.0579999999999998</v>
      </c>
      <c r="Q3270" s="7">
        <v>6.2430000000000003</v>
      </c>
      <c r="R3270" s="7">
        <v>6.2560000000000002</v>
      </c>
      <c r="S3270" s="7">
        <f t="shared" si="51"/>
        <v>5.5180000000000007</v>
      </c>
    </row>
    <row r="3271" spans="1:19">
      <c r="A3271" s="5" t="str">
        <f>B3271&amp;"-"&amp;COUNTIF($B$2:B3271,B3271)</f>
        <v>PERNAMBUCO-86</v>
      </c>
      <c r="B3271" s="5" t="s">
        <v>2140</v>
      </c>
      <c r="C3271" s="5" t="s">
        <v>2199</v>
      </c>
      <c r="D3271" s="6">
        <v>-351005</v>
      </c>
      <c r="E3271" s="6">
        <v>-76642</v>
      </c>
      <c r="F3271" s="7">
        <v>5.3109999999999999</v>
      </c>
      <c r="G3271" s="7">
        <v>5.6440000000000001</v>
      </c>
      <c r="H3271" s="7">
        <v>5.806</v>
      </c>
      <c r="I3271" s="7">
        <v>5.8540000000000001</v>
      </c>
      <c r="J3271" s="7">
        <v>5.1920000000000002</v>
      </c>
      <c r="K3271" s="7">
        <v>4.5</v>
      </c>
      <c r="L3271" s="7">
        <v>4.1189999999999998</v>
      </c>
      <c r="M3271" s="7">
        <v>4.2350000000000003</v>
      </c>
      <c r="N3271" s="7">
        <v>4.9820000000000002</v>
      </c>
      <c r="O3271" s="7">
        <v>5.5209999999999999</v>
      </c>
      <c r="P3271" s="7">
        <v>5.7619999999999996</v>
      </c>
      <c r="Q3271" s="7">
        <v>6.0979999999999999</v>
      </c>
      <c r="R3271" s="7">
        <v>6.0179999999999998</v>
      </c>
      <c r="S3271" s="7">
        <f t="shared" si="51"/>
        <v>5.3109166666666665</v>
      </c>
    </row>
    <row r="3272" spans="1:19">
      <c r="A3272" s="5" t="str">
        <f>B3272&amp;"-"&amp;COUNTIF($B$2:B3272,B3272)</f>
        <v>PERNAMBUCO-87</v>
      </c>
      <c r="B3272" s="5" t="s">
        <v>2140</v>
      </c>
      <c r="C3272" s="5" t="s">
        <v>4097</v>
      </c>
      <c r="D3272" s="6">
        <v>-349212</v>
      </c>
      <c r="E3272" s="6">
        <v>-81653</v>
      </c>
      <c r="F3272" s="7">
        <v>5.4450000000000003</v>
      </c>
      <c r="G3272" s="7">
        <v>5.9219999999999997</v>
      </c>
      <c r="H3272" s="7">
        <v>6.0090000000000003</v>
      </c>
      <c r="I3272" s="7">
        <v>5.9749999999999996</v>
      </c>
      <c r="J3272" s="7">
        <v>5.226</v>
      </c>
      <c r="K3272" s="7">
        <v>4.5519999999999996</v>
      </c>
      <c r="L3272" s="7">
        <v>4.2519999999999998</v>
      </c>
      <c r="M3272" s="7">
        <v>4.327</v>
      </c>
      <c r="N3272" s="7">
        <v>5.0640000000000001</v>
      </c>
      <c r="O3272" s="7">
        <v>5.6139999999999999</v>
      </c>
      <c r="P3272" s="7">
        <v>5.9560000000000004</v>
      </c>
      <c r="Q3272" s="7">
        <v>6.1959999999999997</v>
      </c>
      <c r="R3272" s="7">
        <v>6.2530000000000001</v>
      </c>
      <c r="S3272" s="7">
        <f t="shared" si="51"/>
        <v>5.4455</v>
      </c>
    </row>
    <row r="3273" spans="1:19">
      <c r="A3273" s="5" t="str">
        <f>B3273&amp;"-"&amp;COUNTIF($B$2:B3273,B3273)</f>
        <v>PERNAMBUCO-88</v>
      </c>
      <c r="B3273" s="5" t="s">
        <v>2140</v>
      </c>
      <c r="C3273" s="5" t="s">
        <v>2200</v>
      </c>
      <c r="D3273" s="6">
        <v>-357945</v>
      </c>
      <c r="E3273" s="6">
        <v>-87266</v>
      </c>
      <c r="F3273" s="7">
        <v>5.093</v>
      </c>
      <c r="G3273" s="7">
        <v>5.6379999999999999</v>
      </c>
      <c r="H3273" s="7">
        <v>5.67</v>
      </c>
      <c r="I3273" s="7">
        <v>5.665</v>
      </c>
      <c r="J3273" s="7">
        <v>5.0389999999999997</v>
      </c>
      <c r="K3273" s="7">
        <v>4.2530000000000001</v>
      </c>
      <c r="L3273" s="7">
        <v>3.8170000000000002</v>
      </c>
      <c r="M3273" s="7">
        <v>3.8530000000000002</v>
      </c>
      <c r="N3273" s="7">
        <v>4.492</v>
      </c>
      <c r="O3273" s="7">
        <v>5.258</v>
      </c>
      <c r="P3273" s="7">
        <v>5.5449999999999999</v>
      </c>
      <c r="Q3273" s="7">
        <v>5.99</v>
      </c>
      <c r="R3273" s="7">
        <v>5.9029999999999996</v>
      </c>
      <c r="S3273" s="7">
        <f t="shared" si="51"/>
        <v>5.093583333333334</v>
      </c>
    </row>
    <row r="3274" spans="1:19">
      <c r="A3274" s="5" t="str">
        <f>B3274&amp;"-"&amp;COUNTIF($B$2:B3274,B3274)</f>
        <v>PERNAMBUCO-89</v>
      </c>
      <c r="B3274" s="5" t="s">
        <v>2140</v>
      </c>
      <c r="C3274" s="5" t="s">
        <v>4863</v>
      </c>
      <c r="D3274" s="6">
        <v>-364964</v>
      </c>
      <c r="E3274" s="6">
        <v>-79824</v>
      </c>
      <c r="F3274" s="7">
        <v>5.5149999999999997</v>
      </c>
      <c r="G3274" s="7">
        <v>6.0179999999999998</v>
      </c>
      <c r="H3274" s="7">
        <v>5.8979999999999997</v>
      </c>
      <c r="I3274" s="7">
        <v>5.9050000000000002</v>
      </c>
      <c r="J3274" s="7">
        <v>5.4889999999999999</v>
      </c>
      <c r="K3274" s="7">
        <v>4.6680000000000001</v>
      </c>
      <c r="L3274" s="7">
        <v>4.2539999999999996</v>
      </c>
      <c r="M3274" s="7">
        <v>4.3780000000000001</v>
      </c>
      <c r="N3274" s="7">
        <v>5.0819999999999999</v>
      </c>
      <c r="O3274" s="7">
        <v>5.8419999999999996</v>
      </c>
      <c r="P3274" s="7">
        <v>6.125</v>
      </c>
      <c r="Q3274" s="7">
        <v>6.3620000000000001</v>
      </c>
      <c r="R3274" s="7">
        <v>6.1589999999999998</v>
      </c>
      <c r="S3274" s="7">
        <f t="shared" si="51"/>
        <v>5.5150000000000006</v>
      </c>
    </row>
    <row r="3275" spans="1:19">
      <c r="A3275" s="5" t="str">
        <f>B3275&amp;"-"&amp;COUNTIF($B$2:B3275,B3275)</f>
        <v>PERNAMBUCO-90</v>
      </c>
      <c r="B3275" s="5" t="s">
        <v>2140</v>
      </c>
      <c r="C3275" s="5" t="s">
        <v>5555</v>
      </c>
      <c r="D3275" s="6">
        <v>-382693</v>
      </c>
      <c r="E3275" s="6">
        <v>-91869</v>
      </c>
      <c r="F3275" s="7">
        <v>5.58</v>
      </c>
      <c r="G3275" s="7">
        <v>6.3440000000000003</v>
      </c>
      <c r="H3275" s="7">
        <v>6.1509999999999998</v>
      </c>
      <c r="I3275" s="7">
        <v>6.0810000000000004</v>
      </c>
      <c r="J3275" s="7">
        <v>5.4260000000000002</v>
      </c>
      <c r="K3275" s="7">
        <v>4.6239999999999997</v>
      </c>
      <c r="L3275" s="7">
        <v>4.0919999999999996</v>
      </c>
      <c r="M3275" s="7">
        <v>4.2930000000000001</v>
      </c>
      <c r="N3275" s="7">
        <v>4.9390000000000001</v>
      </c>
      <c r="O3275" s="7">
        <v>5.8879999999999999</v>
      </c>
      <c r="P3275" s="7">
        <v>6.11</v>
      </c>
      <c r="Q3275" s="7">
        <v>6.58</v>
      </c>
      <c r="R3275" s="7">
        <v>6.431</v>
      </c>
      <c r="S3275" s="7">
        <f t="shared" si="51"/>
        <v>5.5799166666666666</v>
      </c>
    </row>
    <row r="3276" spans="1:19">
      <c r="A3276" s="5" t="str">
        <f>B3276&amp;"-"&amp;COUNTIF($B$2:B3276,B3276)</f>
        <v>PERNAMBUCO-91</v>
      </c>
      <c r="B3276" s="5" t="s">
        <v>2140</v>
      </c>
      <c r="C3276" s="5" t="s">
        <v>4098</v>
      </c>
      <c r="D3276" s="6">
        <v>-355911</v>
      </c>
      <c r="E3276" s="6">
        <v>-78607</v>
      </c>
      <c r="F3276" s="7">
        <v>5.1630000000000003</v>
      </c>
      <c r="G3276" s="7">
        <v>5.61</v>
      </c>
      <c r="H3276" s="7">
        <v>5.54</v>
      </c>
      <c r="I3276" s="7">
        <v>5.6609999999999996</v>
      </c>
      <c r="J3276" s="7">
        <v>5.0999999999999996</v>
      </c>
      <c r="K3276" s="7">
        <v>4.3920000000000003</v>
      </c>
      <c r="L3276" s="7">
        <v>4.056</v>
      </c>
      <c r="M3276" s="7">
        <v>4.1660000000000004</v>
      </c>
      <c r="N3276" s="7">
        <v>4.798</v>
      </c>
      <c r="O3276" s="7">
        <v>5.3949999999999996</v>
      </c>
      <c r="P3276" s="7">
        <v>5.5620000000000003</v>
      </c>
      <c r="Q3276" s="7">
        <v>5.88</v>
      </c>
      <c r="R3276" s="7">
        <v>5.7939999999999996</v>
      </c>
      <c r="S3276" s="7">
        <f t="shared" si="51"/>
        <v>5.1628333333333334</v>
      </c>
    </row>
    <row r="3277" spans="1:19">
      <c r="A3277" s="5" t="str">
        <f>B3277&amp;"-"&amp;COUNTIF($B$2:B3277,B3277)</f>
        <v>PERNAMBUCO-92</v>
      </c>
      <c r="B3277" s="5" t="s">
        <v>2140</v>
      </c>
      <c r="C3277" s="5" t="s">
        <v>2201</v>
      </c>
      <c r="D3277" s="6">
        <v>-355291</v>
      </c>
      <c r="E3277" s="6">
        <v>-86232</v>
      </c>
      <c r="F3277" s="7">
        <v>5.0449999999999999</v>
      </c>
      <c r="G3277" s="7">
        <v>5.6520000000000001</v>
      </c>
      <c r="H3277" s="7">
        <v>5.57</v>
      </c>
      <c r="I3277" s="7">
        <v>5.62</v>
      </c>
      <c r="J3277" s="7">
        <v>4.9370000000000003</v>
      </c>
      <c r="K3277" s="7">
        <v>4.1790000000000003</v>
      </c>
      <c r="L3277" s="7">
        <v>3.8210000000000002</v>
      </c>
      <c r="M3277" s="7">
        <v>3.8260000000000001</v>
      </c>
      <c r="N3277" s="7">
        <v>4.4320000000000004</v>
      </c>
      <c r="O3277" s="7">
        <v>5.202</v>
      </c>
      <c r="P3277" s="7">
        <v>5.4729999999999999</v>
      </c>
      <c r="Q3277" s="7">
        <v>5.9279999999999999</v>
      </c>
      <c r="R3277" s="7">
        <v>5.8979999999999997</v>
      </c>
      <c r="S3277" s="7">
        <f t="shared" si="51"/>
        <v>5.0448333333333331</v>
      </c>
    </row>
    <row r="3278" spans="1:19">
      <c r="A3278" s="5" t="str">
        <f>B3278&amp;"-"&amp;COUNTIF($B$2:B3278,B3278)</f>
        <v>PERNAMBUCO-93</v>
      </c>
      <c r="B3278" s="5" t="s">
        <v>2140</v>
      </c>
      <c r="C3278" s="5" t="s">
        <v>2202</v>
      </c>
      <c r="D3278" s="6">
        <v>-364889</v>
      </c>
      <c r="E3278" s="6">
        <v>-87067</v>
      </c>
      <c r="F3278" s="7">
        <v>5.3070000000000004</v>
      </c>
      <c r="G3278" s="7">
        <v>6.0259999999999998</v>
      </c>
      <c r="H3278" s="7">
        <v>5.8719999999999999</v>
      </c>
      <c r="I3278" s="7">
        <v>5.843</v>
      </c>
      <c r="J3278" s="7">
        <v>5.21</v>
      </c>
      <c r="K3278" s="7">
        <v>4.3390000000000004</v>
      </c>
      <c r="L3278" s="7">
        <v>3.8879999999999999</v>
      </c>
      <c r="M3278" s="7">
        <v>3.99</v>
      </c>
      <c r="N3278" s="7">
        <v>4.7169999999999996</v>
      </c>
      <c r="O3278" s="7">
        <v>5.5149999999999997</v>
      </c>
      <c r="P3278" s="7">
        <v>5.7990000000000004</v>
      </c>
      <c r="Q3278" s="7">
        <v>6.2839999999999998</v>
      </c>
      <c r="R3278" s="7">
        <v>6.2080000000000002</v>
      </c>
      <c r="S3278" s="7">
        <f t="shared" si="51"/>
        <v>5.3075833333333327</v>
      </c>
    </row>
    <row r="3279" spans="1:19">
      <c r="A3279" s="5" t="str">
        <f>B3279&amp;"-"&amp;COUNTIF($B$2:B3279,B3279)</f>
        <v>PERNAMBUCO-94</v>
      </c>
      <c r="B3279" s="5" t="s">
        <v>2140</v>
      </c>
      <c r="C3279" s="5" t="s">
        <v>2203</v>
      </c>
      <c r="D3279" s="6">
        <v>-364182</v>
      </c>
      <c r="E3279" s="6">
        <v>-8712</v>
      </c>
      <c r="F3279" s="7">
        <v>5.3070000000000004</v>
      </c>
      <c r="G3279" s="7">
        <v>6.0259999999999998</v>
      </c>
      <c r="H3279" s="7">
        <v>5.8719999999999999</v>
      </c>
      <c r="I3279" s="7">
        <v>5.843</v>
      </c>
      <c r="J3279" s="7">
        <v>5.21</v>
      </c>
      <c r="K3279" s="7">
        <v>4.3390000000000004</v>
      </c>
      <c r="L3279" s="7">
        <v>3.8879999999999999</v>
      </c>
      <c r="M3279" s="7">
        <v>3.99</v>
      </c>
      <c r="N3279" s="7">
        <v>4.7169999999999996</v>
      </c>
      <c r="O3279" s="7">
        <v>5.5149999999999997</v>
      </c>
      <c r="P3279" s="7">
        <v>5.7990000000000004</v>
      </c>
      <c r="Q3279" s="7">
        <v>6.2839999999999998</v>
      </c>
      <c r="R3279" s="7">
        <v>6.2080000000000002</v>
      </c>
      <c r="S3279" s="7">
        <f t="shared" si="51"/>
        <v>5.3075833333333327</v>
      </c>
    </row>
    <row r="3280" spans="1:19">
      <c r="A3280" s="5" t="str">
        <f>B3280&amp;"-"&amp;COUNTIF($B$2:B3280,B3280)</f>
        <v>PERNAMBUCO-95</v>
      </c>
      <c r="B3280" s="5" t="s">
        <v>2140</v>
      </c>
      <c r="C3280" s="5" t="s">
        <v>2204</v>
      </c>
      <c r="D3280" s="6">
        <v>-36135</v>
      </c>
      <c r="E3280" s="6">
        <v>-87076</v>
      </c>
      <c r="F3280" s="7">
        <v>5.2779999999999996</v>
      </c>
      <c r="G3280" s="7">
        <v>5.915</v>
      </c>
      <c r="H3280" s="7">
        <v>5.7679999999999998</v>
      </c>
      <c r="I3280" s="7">
        <v>5.7549999999999999</v>
      </c>
      <c r="J3280" s="7">
        <v>5.1260000000000003</v>
      </c>
      <c r="K3280" s="7">
        <v>4.3789999999999996</v>
      </c>
      <c r="L3280" s="7">
        <v>3.9550000000000001</v>
      </c>
      <c r="M3280" s="7">
        <v>4.0449999999999999</v>
      </c>
      <c r="N3280" s="7">
        <v>4.7249999999999996</v>
      </c>
      <c r="O3280" s="7">
        <v>5.492</v>
      </c>
      <c r="P3280" s="7">
        <v>5.8</v>
      </c>
      <c r="Q3280" s="7">
        <v>6.2320000000000002</v>
      </c>
      <c r="R3280" s="7">
        <v>6.1369999999999996</v>
      </c>
      <c r="S3280" s="7">
        <f t="shared" si="51"/>
        <v>5.2774166666666664</v>
      </c>
    </row>
    <row r="3281" spans="1:19">
      <c r="A3281" s="5" t="str">
        <f>B3281&amp;"-"&amp;COUNTIF($B$2:B3281,B3281)</f>
        <v>PERNAMBUCO-96</v>
      </c>
      <c r="B3281" s="5" t="s">
        <v>2140</v>
      </c>
      <c r="C3281" s="5" t="s">
        <v>2205</v>
      </c>
      <c r="D3281" s="6">
        <v>-353111</v>
      </c>
      <c r="E3281" s="6">
        <v>-78443</v>
      </c>
      <c r="F3281" s="7">
        <v>5.1989999999999998</v>
      </c>
      <c r="G3281" s="7">
        <v>5.6219999999999999</v>
      </c>
      <c r="H3281" s="7">
        <v>5.673</v>
      </c>
      <c r="I3281" s="7">
        <v>5.6879999999999997</v>
      </c>
      <c r="J3281" s="7">
        <v>5.157</v>
      </c>
      <c r="K3281" s="7">
        <v>4.4050000000000002</v>
      </c>
      <c r="L3281" s="7">
        <v>4.0709999999999997</v>
      </c>
      <c r="M3281" s="7">
        <v>4.1859999999999999</v>
      </c>
      <c r="N3281" s="7">
        <v>4.835</v>
      </c>
      <c r="O3281" s="7">
        <v>5.4359999999999999</v>
      </c>
      <c r="P3281" s="7">
        <v>5.6440000000000001</v>
      </c>
      <c r="Q3281" s="7">
        <v>5.891</v>
      </c>
      <c r="R3281" s="7">
        <v>5.7759999999999998</v>
      </c>
      <c r="S3281" s="7">
        <f t="shared" si="51"/>
        <v>5.198666666666667</v>
      </c>
    </row>
    <row r="3282" spans="1:19">
      <c r="A3282" s="5" t="str">
        <f>B3282&amp;"-"&amp;COUNTIF($B$2:B3282,B3282)</f>
        <v>PERNAMBUCO-97</v>
      </c>
      <c r="B3282" s="5" t="s">
        <v>2140</v>
      </c>
      <c r="C3282" s="5" t="s">
        <v>2206</v>
      </c>
      <c r="D3282" s="6">
        <v>-352885</v>
      </c>
      <c r="E3282" s="6">
        <v>-79292</v>
      </c>
      <c r="F3282" s="7">
        <v>5.3239999999999998</v>
      </c>
      <c r="G3282" s="7">
        <v>5.7510000000000003</v>
      </c>
      <c r="H3282" s="7">
        <v>5.8440000000000003</v>
      </c>
      <c r="I3282" s="7">
        <v>5.8040000000000003</v>
      </c>
      <c r="J3282" s="7">
        <v>5.2290000000000001</v>
      </c>
      <c r="K3282" s="7">
        <v>4.4859999999999998</v>
      </c>
      <c r="L3282" s="7">
        <v>4.1520000000000001</v>
      </c>
      <c r="M3282" s="7">
        <v>4.2770000000000001</v>
      </c>
      <c r="N3282" s="7">
        <v>4.9989999999999997</v>
      </c>
      <c r="O3282" s="7">
        <v>5.5389999999999997</v>
      </c>
      <c r="P3282" s="7">
        <v>5.7770000000000001</v>
      </c>
      <c r="Q3282" s="7">
        <v>6.008</v>
      </c>
      <c r="R3282" s="7">
        <v>6.02</v>
      </c>
      <c r="S3282" s="7">
        <f t="shared" si="51"/>
        <v>5.3238333333333339</v>
      </c>
    </row>
    <row r="3283" spans="1:19">
      <c r="A3283" s="5" t="str">
        <f>B3283&amp;"-"&amp;COUNTIF($B$2:B3283,B3283)</f>
        <v>PERNAMBUCO-98</v>
      </c>
      <c r="B3283" s="5" t="s">
        <v>2140</v>
      </c>
      <c r="C3283" s="5" t="s">
        <v>2207</v>
      </c>
      <c r="D3283" s="6">
        <v>-364587</v>
      </c>
      <c r="E3283" s="6">
        <v>-91261</v>
      </c>
      <c r="F3283" s="7">
        <v>5.2770000000000001</v>
      </c>
      <c r="G3283" s="7">
        <v>6.0140000000000002</v>
      </c>
      <c r="H3283" s="7">
        <v>5.843</v>
      </c>
      <c r="I3283" s="7">
        <v>5.8360000000000003</v>
      </c>
      <c r="J3283" s="7">
        <v>5.1929999999999996</v>
      </c>
      <c r="K3283" s="7">
        <v>4.2460000000000004</v>
      </c>
      <c r="L3283" s="7">
        <v>3.7770000000000001</v>
      </c>
      <c r="M3283" s="7">
        <v>3.8730000000000002</v>
      </c>
      <c r="N3283" s="7">
        <v>4.524</v>
      </c>
      <c r="O3283" s="7">
        <v>5.4710000000000001</v>
      </c>
      <c r="P3283" s="7">
        <v>5.8410000000000002</v>
      </c>
      <c r="Q3283" s="7">
        <v>6.3840000000000003</v>
      </c>
      <c r="R3283" s="7">
        <v>6.3150000000000004</v>
      </c>
      <c r="S3283" s="7">
        <f t="shared" si="51"/>
        <v>5.276416666666667</v>
      </c>
    </row>
    <row r="3284" spans="1:19">
      <c r="A3284" s="5" t="str">
        <f>B3284&amp;"-"&amp;COUNTIF($B$2:B3284,B3284)</f>
        <v>PERNAMBUCO-99</v>
      </c>
      <c r="B3284" s="5" t="s">
        <v>2140</v>
      </c>
      <c r="C3284" s="5" t="s">
        <v>2208</v>
      </c>
      <c r="D3284" s="6">
        <v>-359043</v>
      </c>
      <c r="E3284" s="6">
        <v>-86606</v>
      </c>
      <c r="F3284" s="7">
        <v>5.1619999999999999</v>
      </c>
      <c r="G3284" s="7">
        <v>5.8360000000000003</v>
      </c>
      <c r="H3284" s="7">
        <v>5.6849999999999996</v>
      </c>
      <c r="I3284" s="7">
        <v>5.702</v>
      </c>
      <c r="J3284" s="7">
        <v>5.0510000000000002</v>
      </c>
      <c r="K3284" s="7">
        <v>4.2370000000000001</v>
      </c>
      <c r="L3284" s="7">
        <v>3.8740000000000001</v>
      </c>
      <c r="M3284" s="7">
        <v>3.9209999999999998</v>
      </c>
      <c r="N3284" s="7">
        <v>4.5590000000000002</v>
      </c>
      <c r="O3284" s="7">
        <v>5.3040000000000003</v>
      </c>
      <c r="P3284" s="7">
        <v>5.64</v>
      </c>
      <c r="Q3284" s="7">
        <v>6.1040000000000001</v>
      </c>
      <c r="R3284" s="7">
        <v>6.03</v>
      </c>
      <c r="S3284" s="7">
        <f t="shared" si="51"/>
        <v>5.1619166666666674</v>
      </c>
    </row>
    <row r="3285" spans="1:19">
      <c r="A3285" s="5" t="str">
        <f>B3285&amp;"-"&amp;COUNTIF($B$2:B3285,B3285)</f>
        <v>PERNAMBUCO-100</v>
      </c>
      <c r="B3285" s="5" t="s">
        <v>2140</v>
      </c>
      <c r="C3285" s="5" t="s">
        <v>1424</v>
      </c>
      <c r="D3285" s="6">
        <v>-402702</v>
      </c>
      <c r="E3285" s="6">
        <v>-89946</v>
      </c>
      <c r="F3285" s="7">
        <v>5.6950000000000003</v>
      </c>
      <c r="G3285" s="7">
        <v>6.2169999999999996</v>
      </c>
      <c r="H3285" s="7">
        <v>5.9189999999999996</v>
      </c>
      <c r="I3285" s="7">
        <v>5.923</v>
      </c>
      <c r="J3285" s="7">
        <v>5.2729999999999997</v>
      </c>
      <c r="K3285" s="7">
        <v>4.758</v>
      </c>
      <c r="L3285" s="7">
        <v>4.5129999999999999</v>
      </c>
      <c r="M3285" s="7">
        <v>4.7549999999999999</v>
      </c>
      <c r="N3285" s="7">
        <v>5.5739999999999998</v>
      </c>
      <c r="O3285" s="7">
        <v>6.3520000000000003</v>
      </c>
      <c r="P3285" s="7">
        <v>6.3650000000000002</v>
      </c>
      <c r="Q3285" s="7">
        <v>6.4619999999999997</v>
      </c>
      <c r="R3285" s="7">
        <v>6.2229999999999999</v>
      </c>
      <c r="S3285" s="7">
        <f t="shared" si="51"/>
        <v>5.6944999999999988</v>
      </c>
    </row>
    <row r="3286" spans="1:19">
      <c r="A3286" s="5" t="str">
        <f>B3286&amp;"-"&amp;COUNTIF($B$2:B3286,B3286)</f>
        <v>PERNAMBUCO-101</v>
      </c>
      <c r="B3286" s="5" t="s">
        <v>2140</v>
      </c>
      <c r="C3286" s="5" t="s">
        <v>2209</v>
      </c>
      <c r="D3286" s="6">
        <v>-36323</v>
      </c>
      <c r="E3286" s="6">
        <v>-86604</v>
      </c>
      <c r="F3286" s="7">
        <v>5.2949999999999999</v>
      </c>
      <c r="G3286" s="7">
        <v>5.9809999999999999</v>
      </c>
      <c r="H3286" s="7">
        <v>5.8380000000000001</v>
      </c>
      <c r="I3286" s="7">
        <v>5.8230000000000004</v>
      </c>
      <c r="J3286" s="7">
        <v>5.1879999999999997</v>
      </c>
      <c r="K3286" s="7">
        <v>4.3520000000000003</v>
      </c>
      <c r="L3286" s="7">
        <v>3.915</v>
      </c>
      <c r="M3286" s="7">
        <v>4.0140000000000002</v>
      </c>
      <c r="N3286" s="7">
        <v>4.7220000000000004</v>
      </c>
      <c r="O3286" s="7">
        <v>5.5229999999999997</v>
      </c>
      <c r="P3286" s="7">
        <v>5.7560000000000002</v>
      </c>
      <c r="Q3286" s="7">
        <v>6.242</v>
      </c>
      <c r="R3286" s="7">
        <v>6.1849999999999996</v>
      </c>
      <c r="S3286" s="7">
        <f t="shared" si="51"/>
        <v>5.2949166666666665</v>
      </c>
    </row>
    <row r="3287" spans="1:19">
      <c r="A3287" s="5" t="str">
        <f>B3287&amp;"-"&amp;COUNTIF($B$2:B3287,B3287)</f>
        <v>PERNAMBUCO-102</v>
      </c>
      <c r="B3287" s="5" t="s">
        <v>2140</v>
      </c>
      <c r="C3287" s="5" t="s">
        <v>2210</v>
      </c>
      <c r="D3287" s="6">
        <v>-354461</v>
      </c>
      <c r="E3287" s="6">
        <v>-78798</v>
      </c>
      <c r="F3287" s="7">
        <v>5.1909999999999998</v>
      </c>
      <c r="G3287" s="7">
        <v>5.6689999999999996</v>
      </c>
      <c r="H3287" s="7">
        <v>5.59</v>
      </c>
      <c r="I3287" s="7">
        <v>5.6470000000000002</v>
      </c>
      <c r="J3287" s="7">
        <v>5.1109999999999998</v>
      </c>
      <c r="K3287" s="7">
        <v>4.3760000000000003</v>
      </c>
      <c r="L3287" s="7">
        <v>4.0679999999999996</v>
      </c>
      <c r="M3287" s="7">
        <v>4.1680000000000001</v>
      </c>
      <c r="N3287" s="7">
        <v>4.8090000000000002</v>
      </c>
      <c r="O3287" s="7">
        <v>5.43</v>
      </c>
      <c r="P3287" s="7">
        <v>5.6539999999999999</v>
      </c>
      <c r="Q3287" s="7">
        <v>5.9370000000000003</v>
      </c>
      <c r="R3287" s="7">
        <v>5.8390000000000004</v>
      </c>
      <c r="S3287" s="7">
        <f t="shared" si="51"/>
        <v>5.1914999999999987</v>
      </c>
    </row>
    <row r="3288" spans="1:19">
      <c r="A3288" s="5" t="str">
        <f>B3288&amp;"-"&amp;COUNTIF($B$2:B3288,B3288)</f>
        <v>PERNAMBUCO-103</v>
      </c>
      <c r="B3288" s="5" t="s">
        <v>2140</v>
      </c>
      <c r="C3288" s="5" t="s">
        <v>2211</v>
      </c>
      <c r="D3288" s="5" t="s">
        <v>2212</v>
      </c>
      <c r="E3288" s="6">
        <v>-75544</v>
      </c>
      <c r="F3288" s="7">
        <v>5.1660000000000004</v>
      </c>
      <c r="G3288" s="7">
        <v>5.5069999999999997</v>
      </c>
      <c r="H3288" s="7">
        <v>5.6859999999999999</v>
      </c>
      <c r="I3288" s="7">
        <v>5.6859999999999999</v>
      </c>
      <c r="J3288" s="7">
        <v>5.1539999999999999</v>
      </c>
      <c r="K3288" s="7">
        <v>4.4089999999999998</v>
      </c>
      <c r="L3288" s="7">
        <v>3.95</v>
      </c>
      <c r="M3288" s="7">
        <v>4.0640000000000001</v>
      </c>
      <c r="N3288" s="7">
        <v>4.7919999999999998</v>
      </c>
      <c r="O3288" s="7">
        <v>5.3380000000000001</v>
      </c>
      <c r="P3288" s="7">
        <v>5.58</v>
      </c>
      <c r="Q3288" s="7">
        <v>5.9969999999999999</v>
      </c>
      <c r="R3288" s="7">
        <v>5.827</v>
      </c>
      <c r="S3288" s="7">
        <f t="shared" si="51"/>
        <v>5.1658333333333326</v>
      </c>
    </row>
    <row r="3289" spans="1:19">
      <c r="A3289" s="5" t="str">
        <f>B3289&amp;"-"&amp;COUNTIF($B$2:B3289,B3289)</f>
        <v>PERNAMBUCO-104</v>
      </c>
      <c r="B3289" s="5" t="s">
        <v>2140</v>
      </c>
      <c r="C3289" s="5" t="s">
        <v>2213</v>
      </c>
      <c r="D3289" s="6">
        <v>-355154</v>
      </c>
      <c r="E3289" s="6">
        <v>-76851</v>
      </c>
      <c r="F3289" s="7">
        <v>5.2370000000000001</v>
      </c>
      <c r="G3289" s="7">
        <v>5.633</v>
      </c>
      <c r="H3289" s="7">
        <v>5.7329999999999997</v>
      </c>
      <c r="I3289" s="7">
        <v>5.7770000000000001</v>
      </c>
      <c r="J3289" s="7">
        <v>5.1849999999999996</v>
      </c>
      <c r="K3289" s="7">
        <v>4.4569999999999999</v>
      </c>
      <c r="L3289" s="7">
        <v>3.984</v>
      </c>
      <c r="M3289" s="7">
        <v>4.1150000000000002</v>
      </c>
      <c r="N3289" s="7">
        <v>4.8570000000000002</v>
      </c>
      <c r="O3289" s="7">
        <v>5.4420000000000002</v>
      </c>
      <c r="P3289" s="7">
        <v>5.7210000000000001</v>
      </c>
      <c r="Q3289" s="7">
        <v>6.0270000000000001</v>
      </c>
      <c r="R3289" s="7">
        <v>5.9139999999999997</v>
      </c>
      <c r="S3289" s="7">
        <f t="shared" si="51"/>
        <v>5.2370833333333335</v>
      </c>
    </row>
    <row r="3290" spans="1:19">
      <c r="A3290" s="5" t="str">
        <f>B3290&amp;"-"&amp;COUNTIF($B$2:B3290,B3290)</f>
        <v>PERNAMBUCO-105</v>
      </c>
      <c r="B3290" s="5" t="s">
        <v>2140</v>
      </c>
      <c r="C3290" s="5" t="s">
        <v>2214</v>
      </c>
      <c r="D3290" s="6">
        <v>-376245</v>
      </c>
      <c r="E3290" s="6">
        <v>-8961</v>
      </c>
      <c r="F3290" s="7">
        <v>5.5780000000000003</v>
      </c>
      <c r="G3290" s="7">
        <v>6.38</v>
      </c>
      <c r="H3290" s="7">
        <v>6.1159999999999997</v>
      </c>
      <c r="I3290" s="7">
        <v>6.0659999999999998</v>
      </c>
      <c r="J3290" s="7">
        <v>5.4569999999999999</v>
      </c>
      <c r="K3290" s="7">
        <v>4.5039999999999996</v>
      </c>
      <c r="L3290" s="7">
        <v>3.976</v>
      </c>
      <c r="M3290" s="7">
        <v>4.173</v>
      </c>
      <c r="N3290" s="7">
        <v>4.8890000000000002</v>
      </c>
      <c r="O3290" s="7">
        <v>5.8789999999999996</v>
      </c>
      <c r="P3290" s="7">
        <v>6.2649999999999997</v>
      </c>
      <c r="Q3290" s="7">
        <v>6.7210000000000001</v>
      </c>
      <c r="R3290" s="7">
        <v>6.5039999999999996</v>
      </c>
      <c r="S3290" s="7">
        <f t="shared" si="51"/>
        <v>5.5775000000000006</v>
      </c>
    </row>
    <row r="3291" spans="1:19">
      <c r="A3291" s="5" t="str">
        <f>B3291&amp;"-"&amp;COUNTIF($B$2:B3291,B3291)</f>
        <v>PERNAMBUCO-106</v>
      </c>
      <c r="B3291" s="5" t="s">
        <v>2140</v>
      </c>
      <c r="C3291" s="5" t="s">
        <v>2215</v>
      </c>
      <c r="D3291" s="6">
        <v>-358269</v>
      </c>
      <c r="E3291" s="6">
        <v>-87911</v>
      </c>
      <c r="F3291" s="7">
        <v>5.0629999999999997</v>
      </c>
      <c r="G3291" s="7">
        <v>5.6479999999999997</v>
      </c>
      <c r="H3291" s="7">
        <v>5.6159999999999997</v>
      </c>
      <c r="I3291" s="7">
        <v>5.6559999999999997</v>
      </c>
      <c r="J3291" s="7">
        <v>5.0309999999999997</v>
      </c>
      <c r="K3291" s="7">
        <v>4.181</v>
      </c>
      <c r="L3291" s="7">
        <v>3.7389999999999999</v>
      </c>
      <c r="M3291" s="7">
        <v>3.839</v>
      </c>
      <c r="N3291" s="7">
        <v>4.4249999999999998</v>
      </c>
      <c r="O3291" s="7">
        <v>5.234</v>
      </c>
      <c r="P3291" s="7">
        <v>5.4809999999999999</v>
      </c>
      <c r="Q3291" s="7">
        <v>5.9660000000000002</v>
      </c>
      <c r="R3291" s="7">
        <v>5.94</v>
      </c>
      <c r="S3291" s="7">
        <f t="shared" si="51"/>
        <v>5.0629999999999997</v>
      </c>
    </row>
    <row r="3292" spans="1:19">
      <c r="A3292" s="5" t="str">
        <f>B3292&amp;"-"&amp;COUNTIF($B$2:B3292,B3292)</f>
        <v>PERNAMBUCO-107</v>
      </c>
      <c r="B3292" s="5" t="s">
        <v>2140</v>
      </c>
      <c r="C3292" s="5" t="s">
        <v>2216</v>
      </c>
      <c r="D3292" s="6">
        <v>-387392</v>
      </c>
      <c r="E3292" s="6">
        <v>-81216</v>
      </c>
      <c r="F3292" s="7">
        <v>5.7750000000000004</v>
      </c>
      <c r="G3292" s="7">
        <v>6.2279999999999998</v>
      </c>
      <c r="H3292" s="7">
        <v>6.0060000000000002</v>
      </c>
      <c r="I3292" s="7">
        <v>6.0149999999999997</v>
      </c>
      <c r="J3292" s="7">
        <v>5.5439999999999996</v>
      </c>
      <c r="K3292" s="7">
        <v>4.8259999999999996</v>
      </c>
      <c r="L3292" s="7">
        <v>4.4039999999999999</v>
      </c>
      <c r="M3292" s="7">
        <v>4.67</v>
      </c>
      <c r="N3292" s="7">
        <v>5.4820000000000002</v>
      </c>
      <c r="O3292" s="7">
        <v>6.4240000000000004</v>
      </c>
      <c r="P3292" s="7">
        <v>6.5259999999999998</v>
      </c>
      <c r="Q3292" s="7">
        <v>6.75</v>
      </c>
      <c r="R3292" s="7">
        <v>6.4249999999999998</v>
      </c>
      <c r="S3292" s="7">
        <f t="shared" si="51"/>
        <v>5.7749999999999995</v>
      </c>
    </row>
    <row r="3293" spans="1:19">
      <c r="A3293" s="5" t="str">
        <f>B3293&amp;"-"&amp;COUNTIF($B$2:B3293,B3293)</f>
        <v>PERNAMBUCO-108</v>
      </c>
      <c r="B3293" s="5" t="s">
        <v>2140</v>
      </c>
      <c r="C3293" s="5" t="s">
        <v>5001</v>
      </c>
      <c r="D3293" s="6">
        <v>-395469</v>
      </c>
      <c r="E3293" s="6">
        <v>-7621</v>
      </c>
      <c r="F3293" s="7">
        <v>5.6760000000000002</v>
      </c>
      <c r="G3293" s="7">
        <v>5.8259999999999996</v>
      </c>
      <c r="H3293" s="7">
        <v>5.7350000000000003</v>
      </c>
      <c r="I3293" s="7">
        <v>5.774</v>
      </c>
      <c r="J3293" s="7">
        <v>5.375</v>
      </c>
      <c r="K3293" s="7">
        <v>4.7889999999999997</v>
      </c>
      <c r="L3293" s="7">
        <v>4.4729999999999999</v>
      </c>
      <c r="M3293" s="7">
        <v>4.7590000000000003</v>
      </c>
      <c r="N3293" s="7">
        <v>5.6390000000000002</v>
      </c>
      <c r="O3293" s="7">
        <v>6.4450000000000003</v>
      </c>
      <c r="P3293" s="7">
        <v>6.5309999999999997</v>
      </c>
      <c r="Q3293" s="7">
        <v>6.5350000000000001</v>
      </c>
      <c r="R3293" s="7">
        <v>6.2290000000000001</v>
      </c>
      <c r="S3293" s="7">
        <f t="shared" si="51"/>
        <v>5.6758333333333333</v>
      </c>
    </row>
    <row r="3294" spans="1:19">
      <c r="A3294" s="5" t="str">
        <f>B3294&amp;"-"&amp;COUNTIF($B$2:B3294,B3294)</f>
        <v>PERNAMBUCO-109</v>
      </c>
      <c r="B3294" s="5" t="s">
        <v>2140</v>
      </c>
      <c r="C3294" s="5" t="s">
        <v>2217</v>
      </c>
      <c r="D3294" s="6">
        <v>-350838</v>
      </c>
      <c r="E3294" s="6">
        <v>-81091</v>
      </c>
      <c r="F3294" s="7">
        <v>5.2969999999999997</v>
      </c>
      <c r="G3294" s="7">
        <v>5.8120000000000003</v>
      </c>
      <c r="H3294" s="7">
        <v>5.8890000000000002</v>
      </c>
      <c r="I3294" s="7">
        <v>5.891</v>
      </c>
      <c r="J3294" s="7">
        <v>5.1310000000000002</v>
      </c>
      <c r="K3294" s="7">
        <v>4.3890000000000002</v>
      </c>
      <c r="L3294" s="7">
        <v>4.1239999999999997</v>
      </c>
      <c r="M3294" s="7">
        <v>4.2300000000000004</v>
      </c>
      <c r="N3294" s="7">
        <v>4.9000000000000004</v>
      </c>
      <c r="O3294" s="7">
        <v>5.4710000000000001</v>
      </c>
      <c r="P3294" s="7">
        <v>5.7229999999999999</v>
      </c>
      <c r="Q3294" s="7">
        <v>5.9980000000000002</v>
      </c>
      <c r="R3294" s="7">
        <v>6.0019999999999998</v>
      </c>
      <c r="S3294" s="7">
        <f t="shared" si="51"/>
        <v>5.296666666666666</v>
      </c>
    </row>
    <row r="3295" spans="1:19">
      <c r="A3295" s="5" t="str">
        <f>B3295&amp;"-"&amp;COUNTIF($B$2:B3295,B3295)</f>
        <v>PERNAMBUCO-110</v>
      </c>
      <c r="B3295" s="5" t="s">
        <v>2140</v>
      </c>
      <c r="C3295" s="5" t="s">
        <v>4434</v>
      </c>
      <c r="D3295" s="6">
        <v>-352196</v>
      </c>
      <c r="E3295" s="6">
        <v>-77419</v>
      </c>
      <c r="F3295" s="7">
        <v>5.2169999999999996</v>
      </c>
      <c r="G3295" s="7">
        <v>5.5279999999999996</v>
      </c>
      <c r="H3295" s="7">
        <v>5.6820000000000004</v>
      </c>
      <c r="I3295" s="7">
        <v>5.76</v>
      </c>
      <c r="J3295" s="7">
        <v>5.1459999999999999</v>
      </c>
      <c r="K3295" s="7">
        <v>4.4320000000000004</v>
      </c>
      <c r="L3295" s="7">
        <v>4.0659999999999998</v>
      </c>
      <c r="M3295" s="7">
        <v>4.1790000000000003</v>
      </c>
      <c r="N3295" s="7">
        <v>4.8959999999999999</v>
      </c>
      <c r="O3295" s="7">
        <v>5.431</v>
      </c>
      <c r="P3295" s="7">
        <v>5.6429999999999998</v>
      </c>
      <c r="Q3295" s="7">
        <v>5.98</v>
      </c>
      <c r="R3295" s="7">
        <v>5.86</v>
      </c>
      <c r="S3295" s="7">
        <f t="shared" si="51"/>
        <v>5.2169166666666662</v>
      </c>
    </row>
    <row r="3296" spans="1:19">
      <c r="A3296" s="5" t="str">
        <f>B3296&amp;"-"&amp;COUNTIF($B$2:B3296,B3296)</f>
        <v>PERNAMBUCO-111</v>
      </c>
      <c r="B3296" s="5" t="s">
        <v>2140</v>
      </c>
      <c r="C3296" s="5" t="s">
        <v>2218</v>
      </c>
      <c r="D3296" s="6">
        <v>-348548</v>
      </c>
      <c r="E3296" s="6">
        <v>-80106</v>
      </c>
      <c r="F3296" s="7">
        <v>5.4619999999999997</v>
      </c>
      <c r="G3296" s="7">
        <v>5.8860000000000001</v>
      </c>
      <c r="H3296" s="7">
        <v>6.0140000000000002</v>
      </c>
      <c r="I3296" s="7">
        <v>5.93</v>
      </c>
      <c r="J3296" s="7">
        <v>5.2510000000000003</v>
      </c>
      <c r="K3296" s="7">
        <v>4.5380000000000003</v>
      </c>
      <c r="L3296" s="7">
        <v>4.2460000000000004</v>
      </c>
      <c r="M3296" s="7">
        <v>4.3970000000000002</v>
      </c>
      <c r="N3296" s="7">
        <v>5.1689999999999996</v>
      </c>
      <c r="O3296" s="7">
        <v>5.6589999999999998</v>
      </c>
      <c r="P3296" s="7">
        <v>6.0439999999999996</v>
      </c>
      <c r="Q3296" s="7">
        <v>6.1989999999999998</v>
      </c>
      <c r="R3296" s="7">
        <v>6.2039999999999997</v>
      </c>
      <c r="S3296" s="7">
        <f t="shared" si="51"/>
        <v>5.4614166666666657</v>
      </c>
    </row>
    <row r="3297" spans="1:19">
      <c r="A3297" s="5" t="str">
        <f>B3297&amp;"-"&amp;COUNTIF($B$2:B3297,B3297)</f>
        <v>PERNAMBUCO-112</v>
      </c>
      <c r="B3297" s="5" t="s">
        <v>2140</v>
      </c>
      <c r="C3297" s="5" t="s">
        <v>5185</v>
      </c>
      <c r="D3297" s="6">
        <v>-356045</v>
      </c>
      <c r="E3297" s="6">
        <v>-77473</v>
      </c>
      <c r="F3297" s="7">
        <v>5.31</v>
      </c>
      <c r="G3297" s="7">
        <v>5.6639999999999997</v>
      </c>
      <c r="H3297" s="7">
        <v>5.7690000000000001</v>
      </c>
      <c r="I3297" s="7">
        <v>5.8319999999999999</v>
      </c>
      <c r="J3297" s="7">
        <v>5.2030000000000003</v>
      </c>
      <c r="K3297" s="7">
        <v>4.51</v>
      </c>
      <c r="L3297" s="7">
        <v>4.0369999999999999</v>
      </c>
      <c r="M3297" s="7">
        <v>4.2460000000000004</v>
      </c>
      <c r="N3297" s="7">
        <v>4.96</v>
      </c>
      <c r="O3297" s="7">
        <v>5.5709999999999997</v>
      </c>
      <c r="P3297" s="7">
        <v>5.8220000000000001</v>
      </c>
      <c r="Q3297" s="7">
        <v>6.1310000000000002</v>
      </c>
      <c r="R3297" s="7">
        <v>5.9790000000000001</v>
      </c>
      <c r="S3297" s="7">
        <f t="shared" si="51"/>
        <v>5.3103333333333333</v>
      </c>
    </row>
    <row r="3298" spans="1:19">
      <c r="A3298" s="5" t="str">
        <f>B3298&amp;"-"&amp;COUNTIF($B$2:B3298,B3298)</f>
        <v>PERNAMBUCO-113</v>
      </c>
      <c r="B3298" s="5" t="s">
        <v>2140</v>
      </c>
      <c r="C3298" s="5" t="s">
        <v>5186</v>
      </c>
      <c r="D3298" s="6">
        <v>-39603</v>
      </c>
      <c r="E3298" s="6">
        <v>-86107</v>
      </c>
      <c r="F3298" s="7">
        <v>5.7549999999999999</v>
      </c>
      <c r="G3298" s="7">
        <v>6.2510000000000003</v>
      </c>
      <c r="H3298" s="7">
        <v>6.0049999999999999</v>
      </c>
      <c r="I3298" s="7">
        <v>6.0389999999999997</v>
      </c>
      <c r="J3298" s="7">
        <v>5.4560000000000004</v>
      </c>
      <c r="K3298" s="7">
        <v>4.8049999999999997</v>
      </c>
      <c r="L3298" s="7">
        <v>4.423</v>
      </c>
      <c r="M3298" s="7">
        <v>4.6710000000000003</v>
      </c>
      <c r="N3298" s="7">
        <v>5.4370000000000003</v>
      </c>
      <c r="O3298" s="7">
        <v>6.32</v>
      </c>
      <c r="P3298" s="7">
        <v>6.4939999999999998</v>
      </c>
      <c r="Q3298" s="7">
        <v>6.6749999999999998</v>
      </c>
      <c r="R3298" s="7">
        <v>6.4820000000000002</v>
      </c>
      <c r="S3298" s="7">
        <f t="shared" si="51"/>
        <v>5.754833333333333</v>
      </c>
    </row>
    <row r="3299" spans="1:19">
      <c r="A3299" s="5" t="str">
        <f>B3299&amp;"-"&amp;COUNTIF($B$2:B3299,B3299)</f>
        <v>PERNAMBUCO-114</v>
      </c>
      <c r="B3299" s="5" t="s">
        <v>2140</v>
      </c>
      <c r="C3299" s="5" t="s">
        <v>2219</v>
      </c>
      <c r="D3299" s="6">
        <v>-400803</v>
      </c>
      <c r="E3299" s="6">
        <v>-78796</v>
      </c>
      <c r="F3299" s="7">
        <v>5.5919999999999996</v>
      </c>
      <c r="G3299" s="7">
        <v>5.9240000000000004</v>
      </c>
      <c r="H3299" s="7">
        <v>5.6210000000000004</v>
      </c>
      <c r="I3299" s="7">
        <v>5.76</v>
      </c>
      <c r="J3299" s="7">
        <v>5.2050000000000001</v>
      </c>
      <c r="K3299" s="7">
        <v>4.68</v>
      </c>
      <c r="L3299" s="7">
        <v>4.3579999999999997</v>
      </c>
      <c r="M3299" s="7">
        <v>4.6159999999999997</v>
      </c>
      <c r="N3299" s="7">
        <v>5.5620000000000003</v>
      </c>
      <c r="O3299" s="7">
        <v>6.2670000000000003</v>
      </c>
      <c r="P3299" s="7">
        <v>6.4169999999999998</v>
      </c>
      <c r="Q3299" s="7">
        <v>6.4560000000000004</v>
      </c>
      <c r="R3299" s="7">
        <v>6.2329999999999997</v>
      </c>
      <c r="S3299" s="7">
        <f t="shared" si="51"/>
        <v>5.5915833333333333</v>
      </c>
    </row>
    <row r="3300" spans="1:19">
      <c r="A3300" s="5" t="str">
        <f>B3300&amp;"-"&amp;COUNTIF($B$2:B3300,B3300)</f>
        <v>PERNAMBUCO-115</v>
      </c>
      <c r="B3300" s="5" t="s">
        <v>2140</v>
      </c>
      <c r="C3300" s="5" t="s">
        <v>2220</v>
      </c>
      <c r="D3300" s="6">
        <v>-355893</v>
      </c>
      <c r="E3300" s="6">
        <v>-86847</v>
      </c>
      <c r="F3300" s="7">
        <v>5.1449999999999996</v>
      </c>
      <c r="G3300" s="7">
        <v>5.7110000000000003</v>
      </c>
      <c r="H3300" s="7">
        <v>5.6360000000000001</v>
      </c>
      <c r="I3300" s="7">
        <v>5.7329999999999997</v>
      </c>
      <c r="J3300" s="7">
        <v>5.0010000000000003</v>
      </c>
      <c r="K3300" s="7">
        <v>4.2889999999999997</v>
      </c>
      <c r="L3300" s="7">
        <v>3.9289999999999998</v>
      </c>
      <c r="M3300" s="7">
        <v>3.968</v>
      </c>
      <c r="N3300" s="7">
        <v>4.5599999999999996</v>
      </c>
      <c r="O3300" s="7">
        <v>5.3570000000000002</v>
      </c>
      <c r="P3300" s="7">
        <v>5.6120000000000001</v>
      </c>
      <c r="Q3300" s="7">
        <v>5.9809999999999999</v>
      </c>
      <c r="R3300" s="7">
        <v>5.9610000000000003</v>
      </c>
      <c r="S3300" s="7">
        <f t="shared" si="51"/>
        <v>5.1448333333333336</v>
      </c>
    </row>
    <row r="3301" spans="1:19">
      <c r="A3301" s="5" t="str">
        <f>B3301&amp;"-"&amp;COUNTIF($B$2:B3301,B3301)</f>
        <v>PERNAMBUCO-116</v>
      </c>
      <c r="B3301" s="5" t="s">
        <v>2140</v>
      </c>
      <c r="C3301" s="5" t="s">
        <v>2221</v>
      </c>
      <c r="D3301" s="6">
        <v>-363245</v>
      </c>
      <c r="E3301" s="6">
        <v>-90113</v>
      </c>
      <c r="F3301" s="7">
        <v>5.2060000000000004</v>
      </c>
      <c r="G3301" s="7">
        <v>5.9740000000000002</v>
      </c>
      <c r="H3301" s="7">
        <v>5.7270000000000003</v>
      </c>
      <c r="I3301" s="7">
        <v>5.8</v>
      </c>
      <c r="J3301" s="7">
        <v>5.1429999999999998</v>
      </c>
      <c r="K3301" s="7">
        <v>4.2089999999999996</v>
      </c>
      <c r="L3301" s="7">
        <v>3.6960000000000002</v>
      </c>
      <c r="M3301" s="7">
        <v>3.7949999999999999</v>
      </c>
      <c r="N3301" s="7">
        <v>4.452</v>
      </c>
      <c r="O3301" s="7">
        <v>5.3630000000000004</v>
      </c>
      <c r="P3301" s="7">
        <v>5.702</v>
      </c>
      <c r="Q3301" s="7">
        <v>6.3479999999999999</v>
      </c>
      <c r="R3301" s="7">
        <v>6.2679999999999998</v>
      </c>
      <c r="S3301" s="7">
        <f t="shared" si="51"/>
        <v>5.2064166666666667</v>
      </c>
    </row>
    <row r="3302" spans="1:19">
      <c r="A3302" s="5" t="str">
        <f>B3302&amp;"-"&amp;COUNTIF($B$2:B3302,B3302)</f>
        <v>PERNAMBUCO-117</v>
      </c>
      <c r="B3302" s="5" t="s">
        <v>2140</v>
      </c>
      <c r="C3302" s="5" t="s">
        <v>2222</v>
      </c>
      <c r="D3302" s="6">
        <v>-360071</v>
      </c>
      <c r="E3302" s="6">
        <v>-86646</v>
      </c>
      <c r="F3302" s="7">
        <v>5.2270000000000003</v>
      </c>
      <c r="G3302" s="7">
        <v>5.8890000000000002</v>
      </c>
      <c r="H3302" s="7">
        <v>5.72</v>
      </c>
      <c r="I3302" s="7">
        <v>5.7119999999999997</v>
      </c>
      <c r="J3302" s="7">
        <v>5.0780000000000003</v>
      </c>
      <c r="K3302" s="7">
        <v>4.3319999999999999</v>
      </c>
      <c r="L3302" s="7">
        <v>3.9279999999999999</v>
      </c>
      <c r="M3302" s="7">
        <v>3.9860000000000002</v>
      </c>
      <c r="N3302" s="7">
        <v>4.6559999999999997</v>
      </c>
      <c r="O3302" s="7">
        <v>5.4009999999999998</v>
      </c>
      <c r="P3302" s="7">
        <v>5.7290000000000001</v>
      </c>
      <c r="Q3302" s="7">
        <v>6.1859999999999999</v>
      </c>
      <c r="R3302" s="7">
        <v>6.101</v>
      </c>
      <c r="S3302" s="7">
        <f t="shared" si="51"/>
        <v>5.2264999999999997</v>
      </c>
    </row>
    <row r="3303" spans="1:19">
      <c r="A3303" s="5" t="str">
        <f>B3303&amp;"-"&amp;COUNTIF($B$2:B3303,B3303)</f>
        <v>PERNAMBUCO-118</v>
      </c>
      <c r="B3303" s="5" t="s">
        <v>2140</v>
      </c>
      <c r="C3303" s="5" t="s">
        <v>2223</v>
      </c>
      <c r="D3303" s="6">
        <v>-366552</v>
      </c>
      <c r="E3303" s="6">
        <v>-89192</v>
      </c>
      <c r="F3303" s="7">
        <v>5.4119999999999999</v>
      </c>
      <c r="G3303" s="7">
        <v>6.149</v>
      </c>
      <c r="H3303" s="7">
        <v>5.8869999999999996</v>
      </c>
      <c r="I3303" s="7">
        <v>5.9379999999999997</v>
      </c>
      <c r="J3303" s="7">
        <v>5.2590000000000003</v>
      </c>
      <c r="K3303" s="7">
        <v>4.3440000000000003</v>
      </c>
      <c r="L3303" s="7">
        <v>3.9039999999999999</v>
      </c>
      <c r="M3303" s="7">
        <v>4.0679999999999996</v>
      </c>
      <c r="N3303" s="7">
        <v>4.7619999999999996</v>
      </c>
      <c r="O3303" s="7">
        <v>5.6989999999999998</v>
      </c>
      <c r="P3303" s="7">
        <v>6.0419999999999998</v>
      </c>
      <c r="Q3303" s="7">
        <v>6.4960000000000004</v>
      </c>
      <c r="R3303" s="7">
        <v>6.39</v>
      </c>
      <c r="S3303" s="7">
        <f t="shared" si="51"/>
        <v>5.4115000000000002</v>
      </c>
    </row>
    <row r="3304" spans="1:19">
      <c r="A3304" s="5" t="str">
        <f>B3304&amp;"-"&amp;COUNTIF($B$2:B3304,B3304)</f>
        <v>PERNAMBUCO-119</v>
      </c>
      <c r="B3304" s="5" t="s">
        <v>2140</v>
      </c>
      <c r="C3304" s="5" t="s">
        <v>2224</v>
      </c>
      <c r="D3304" s="6">
        <v>-395782</v>
      </c>
      <c r="E3304" s="6">
        <v>-80916</v>
      </c>
      <c r="F3304" s="7">
        <v>5.7039999999999997</v>
      </c>
      <c r="G3304" s="7">
        <v>6.0609999999999999</v>
      </c>
      <c r="H3304" s="7">
        <v>5.8659999999999997</v>
      </c>
      <c r="I3304" s="7">
        <v>5.8929999999999998</v>
      </c>
      <c r="J3304" s="7">
        <v>5.3959999999999999</v>
      </c>
      <c r="K3304" s="7">
        <v>4.7530000000000001</v>
      </c>
      <c r="L3304" s="7">
        <v>4.45</v>
      </c>
      <c r="M3304" s="7">
        <v>4.6929999999999996</v>
      </c>
      <c r="N3304" s="7">
        <v>5.5350000000000001</v>
      </c>
      <c r="O3304" s="7">
        <v>6.3879999999999999</v>
      </c>
      <c r="P3304" s="7">
        <v>6.4969999999999999</v>
      </c>
      <c r="Q3304" s="7">
        <v>6.585</v>
      </c>
      <c r="R3304" s="7">
        <v>6.3310000000000004</v>
      </c>
      <c r="S3304" s="7">
        <f t="shared" si="51"/>
        <v>5.7040000000000006</v>
      </c>
    </row>
    <row r="3305" spans="1:19">
      <c r="A3305" s="5" t="str">
        <f>B3305&amp;"-"&amp;COUNTIF($B$2:B3305,B3305)</f>
        <v>PERNAMBUCO-120</v>
      </c>
      <c r="B3305" s="5" t="s">
        <v>2140</v>
      </c>
      <c r="C3305" s="5" t="s">
        <v>2225</v>
      </c>
      <c r="D3305" s="6">
        <v>-355839</v>
      </c>
      <c r="E3305" s="6">
        <v>-79776</v>
      </c>
      <c r="F3305" s="7">
        <v>5.1909999999999998</v>
      </c>
      <c r="G3305" s="7">
        <v>5.6779999999999999</v>
      </c>
      <c r="H3305" s="7">
        <v>5.6340000000000003</v>
      </c>
      <c r="I3305" s="7">
        <v>5.6669999999999998</v>
      </c>
      <c r="J3305" s="7">
        <v>5.0919999999999996</v>
      </c>
      <c r="K3305" s="7">
        <v>4.3959999999999999</v>
      </c>
      <c r="L3305" s="7">
        <v>4.0750000000000002</v>
      </c>
      <c r="M3305" s="7">
        <v>4.1900000000000004</v>
      </c>
      <c r="N3305" s="7">
        <v>4.7960000000000003</v>
      </c>
      <c r="O3305" s="7">
        <v>5.4080000000000004</v>
      </c>
      <c r="P3305" s="7">
        <v>5.6159999999999997</v>
      </c>
      <c r="Q3305" s="7">
        <v>5.8860000000000001</v>
      </c>
      <c r="R3305" s="7">
        <v>5.8520000000000003</v>
      </c>
      <c r="S3305" s="7">
        <f t="shared" si="51"/>
        <v>5.1908333333333339</v>
      </c>
    </row>
    <row r="3306" spans="1:19">
      <c r="A3306" s="5" t="str">
        <f>B3306&amp;"-"&amp;COUNTIF($B$2:B3306,B3306)</f>
        <v>PERNAMBUCO-121</v>
      </c>
      <c r="B3306" s="5" t="s">
        <v>2140</v>
      </c>
      <c r="C3306" s="5" t="s">
        <v>2226</v>
      </c>
      <c r="D3306" s="6">
        <v>-351719</v>
      </c>
      <c r="E3306" s="6">
        <v>-79033</v>
      </c>
      <c r="F3306" s="7">
        <v>5.3410000000000002</v>
      </c>
      <c r="G3306" s="7">
        <v>5.7530000000000001</v>
      </c>
      <c r="H3306" s="7">
        <v>5.8849999999999998</v>
      </c>
      <c r="I3306" s="7">
        <v>5.84</v>
      </c>
      <c r="J3306" s="7">
        <v>5.2169999999999996</v>
      </c>
      <c r="K3306" s="7">
        <v>4.5039999999999996</v>
      </c>
      <c r="L3306" s="7">
        <v>4.1749999999999998</v>
      </c>
      <c r="M3306" s="7">
        <v>4.29</v>
      </c>
      <c r="N3306" s="7">
        <v>5.0309999999999997</v>
      </c>
      <c r="O3306" s="7">
        <v>5.55</v>
      </c>
      <c r="P3306" s="7">
        <v>5.7779999999999996</v>
      </c>
      <c r="Q3306" s="7">
        <v>6.0309999999999997</v>
      </c>
      <c r="R3306" s="7">
        <v>6.0410000000000004</v>
      </c>
      <c r="S3306" s="7">
        <f t="shared" si="51"/>
        <v>5.3412499999999996</v>
      </c>
    </row>
    <row r="3307" spans="1:19">
      <c r="A3307" s="5" t="str">
        <f>B3307&amp;"-"&amp;COUNTIF($B$2:B3307,B3307)</f>
        <v>PERNAMBUCO-122</v>
      </c>
      <c r="B3307" s="5" t="s">
        <v>2140</v>
      </c>
      <c r="C3307" s="5" t="s">
        <v>1888</v>
      </c>
      <c r="D3307" s="6">
        <v>-348674</v>
      </c>
      <c r="E3307" s="6">
        <v>-79406</v>
      </c>
      <c r="F3307" s="7">
        <v>5.4039999999999999</v>
      </c>
      <c r="G3307" s="7">
        <v>5.8159999999999998</v>
      </c>
      <c r="H3307" s="7">
        <v>5.9660000000000002</v>
      </c>
      <c r="I3307" s="7">
        <v>5.9130000000000003</v>
      </c>
      <c r="J3307" s="7">
        <v>5.22</v>
      </c>
      <c r="K3307" s="7">
        <v>4.532</v>
      </c>
      <c r="L3307" s="7">
        <v>4.234</v>
      </c>
      <c r="M3307" s="7">
        <v>4.3449999999999998</v>
      </c>
      <c r="N3307" s="7">
        <v>5.117</v>
      </c>
      <c r="O3307" s="7">
        <v>5.5439999999999996</v>
      </c>
      <c r="P3307" s="7">
        <v>5.9180000000000001</v>
      </c>
      <c r="Q3307" s="7">
        <v>6.15</v>
      </c>
      <c r="R3307" s="7">
        <v>6.093</v>
      </c>
      <c r="S3307" s="7">
        <f t="shared" si="51"/>
        <v>5.403999999999999</v>
      </c>
    </row>
    <row r="3308" spans="1:19">
      <c r="A3308" s="5" t="str">
        <f>B3308&amp;"-"&amp;COUNTIF($B$2:B3308,B3308)</f>
        <v>PERNAMBUCO-123</v>
      </c>
      <c r="B3308" s="5" t="s">
        <v>2140</v>
      </c>
      <c r="C3308" s="5" t="s">
        <v>2227</v>
      </c>
      <c r="D3308" s="6">
        <v>-369459</v>
      </c>
      <c r="E3308" s="5" t="s">
        <v>2228</v>
      </c>
      <c r="F3308" s="7">
        <v>5.57</v>
      </c>
      <c r="G3308" s="7">
        <v>6.1920000000000002</v>
      </c>
      <c r="H3308" s="7">
        <v>6.085</v>
      </c>
      <c r="I3308" s="7">
        <v>6.1029999999999998</v>
      </c>
      <c r="J3308" s="7">
        <v>5.5010000000000003</v>
      </c>
      <c r="K3308" s="7">
        <v>4.5339999999999998</v>
      </c>
      <c r="L3308" s="7">
        <v>3.9820000000000002</v>
      </c>
      <c r="M3308" s="7">
        <v>4.1390000000000002</v>
      </c>
      <c r="N3308" s="7">
        <v>4.9269999999999996</v>
      </c>
      <c r="O3308" s="7">
        <v>5.9340000000000002</v>
      </c>
      <c r="P3308" s="7">
        <v>6.298</v>
      </c>
      <c r="Q3308" s="7">
        <v>6.67</v>
      </c>
      <c r="R3308" s="7">
        <v>6.468</v>
      </c>
      <c r="S3308" s="7">
        <f t="shared" si="51"/>
        <v>5.569416666666668</v>
      </c>
    </row>
    <row r="3309" spans="1:19">
      <c r="A3309" s="5" t="str">
        <f>B3309&amp;"-"&amp;COUNTIF($B$2:B3309,B3309)</f>
        <v>PERNAMBUCO-124</v>
      </c>
      <c r="B3309" s="5" t="s">
        <v>2140</v>
      </c>
      <c r="C3309" s="5" t="s">
        <v>2229</v>
      </c>
      <c r="D3309" s="6">
        <v>-366981</v>
      </c>
      <c r="E3309" s="6">
        <v>-83584</v>
      </c>
      <c r="F3309" s="7">
        <v>5.4020000000000001</v>
      </c>
      <c r="G3309" s="7">
        <v>6.1040000000000001</v>
      </c>
      <c r="H3309" s="7">
        <v>5.9219999999999997</v>
      </c>
      <c r="I3309" s="7">
        <v>5.931</v>
      </c>
      <c r="J3309" s="7">
        <v>5.37</v>
      </c>
      <c r="K3309" s="7">
        <v>4.415</v>
      </c>
      <c r="L3309" s="7">
        <v>3.8719999999999999</v>
      </c>
      <c r="M3309" s="7">
        <v>3.9830000000000001</v>
      </c>
      <c r="N3309" s="7">
        <v>4.7610000000000001</v>
      </c>
      <c r="O3309" s="7">
        <v>5.66</v>
      </c>
      <c r="P3309" s="7">
        <v>6.0359999999999996</v>
      </c>
      <c r="Q3309" s="7">
        <v>6.4550000000000001</v>
      </c>
      <c r="R3309" s="7">
        <v>6.3209999999999997</v>
      </c>
      <c r="S3309" s="7">
        <f t="shared" si="51"/>
        <v>5.4024999999999999</v>
      </c>
    </row>
    <row r="3310" spans="1:19">
      <c r="A3310" s="5" t="str">
        <f>B3310&amp;"-"&amp;COUNTIF($B$2:B3310,B3310)</f>
        <v>PERNAMBUCO-125</v>
      </c>
      <c r="B3310" s="5" t="s">
        <v>2140</v>
      </c>
      <c r="C3310" s="5" t="s">
        <v>5002</v>
      </c>
      <c r="D3310" s="5" t="s">
        <v>2230</v>
      </c>
      <c r="E3310" s="6">
        <v>-90771</v>
      </c>
      <c r="F3310" s="7">
        <v>5.64</v>
      </c>
      <c r="G3310" s="7">
        <v>6.335</v>
      </c>
      <c r="H3310" s="7">
        <v>6.1230000000000002</v>
      </c>
      <c r="I3310" s="7">
        <v>6.0940000000000003</v>
      </c>
      <c r="J3310" s="7">
        <v>5.4610000000000003</v>
      </c>
      <c r="K3310" s="7">
        <v>4.6790000000000003</v>
      </c>
      <c r="L3310" s="7">
        <v>4.165</v>
      </c>
      <c r="M3310" s="7">
        <v>4.3890000000000002</v>
      </c>
      <c r="N3310" s="7">
        <v>5.1319999999999997</v>
      </c>
      <c r="O3310" s="7">
        <v>6.0129999999999999</v>
      </c>
      <c r="P3310" s="7">
        <v>6.181</v>
      </c>
      <c r="Q3310" s="7">
        <v>6.6390000000000002</v>
      </c>
      <c r="R3310" s="7">
        <v>6.47</v>
      </c>
      <c r="S3310" s="7">
        <f t="shared" si="51"/>
        <v>5.6400833333333331</v>
      </c>
    </row>
    <row r="3311" spans="1:19">
      <c r="A3311" s="5" t="str">
        <f>B3311&amp;"-"&amp;COUNTIF($B$2:B3311,B3311)</f>
        <v>PERNAMBUCO-126</v>
      </c>
      <c r="B3311" s="5" t="s">
        <v>2140</v>
      </c>
      <c r="C3311" s="5" t="s">
        <v>2231</v>
      </c>
      <c r="D3311" s="6">
        <v>-405031</v>
      </c>
      <c r="E3311" s="6">
        <v>-93891</v>
      </c>
      <c r="F3311" s="7">
        <v>5.7670000000000003</v>
      </c>
      <c r="G3311" s="7">
        <v>6.3810000000000002</v>
      </c>
      <c r="H3311" s="7">
        <v>6.165</v>
      </c>
      <c r="I3311" s="7">
        <v>6.0270000000000001</v>
      </c>
      <c r="J3311" s="7">
        <v>5.242</v>
      </c>
      <c r="K3311" s="7">
        <v>4.8280000000000003</v>
      </c>
      <c r="L3311" s="7">
        <v>4.5759999999999996</v>
      </c>
      <c r="M3311" s="7">
        <v>4.82</v>
      </c>
      <c r="N3311" s="7">
        <v>5.5529999999999999</v>
      </c>
      <c r="O3311" s="7">
        <v>6.3230000000000004</v>
      </c>
      <c r="P3311" s="7">
        <v>6.4009999999999998</v>
      </c>
      <c r="Q3311" s="7">
        <v>6.5030000000000001</v>
      </c>
      <c r="R3311" s="7">
        <v>6.3840000000000003</v>
      </c>
      <c r="S3311" s="7">
        <f t="shared" si="51"/>
        <v>5.7669166666666669</v>
      </c>
    </row>
    <row r="3312" spans="1:19">
      <c r="A3312" s="5" t="str">
        <f>B3312&amp;"-"&amp;COUNTIF($B$2:B3312,B3312)</f>
        <v>PERNAMBUCO-127</v>
      </c>
      <c r="B3312" s="5" t="s">
        <v>2140</v>
      </c>
      <c r="C3312" s="5" t="s">
        <v>4735</v>
      </c>
      <c r="D3312" s="6">
        <v>-36704</v>
      </c>
      <c r="E3312" s="6">
        <v>-81862</v>
      </c>
      <c r="F3312" s="7">
        <v>5.6710000000000003</v>
      </c>
      <c r="G3312" s="7">
        <v>6.25</v>
      </c>
      <c r="H3312" s="7">
        <v>6.0670000000000002</v>
      </c>
      <c r="I3312" s="7">
        <v>6.0469999999999997</v>
      </c>
      <c r="J3312" s="7">
        <v>5.53</v>
      </c>
      <c r="K3312" s="7">
        <v>4.7080000000000002</v>
      </c>
      <c r="L3312" s="7">
        <v>4.2229999999999999</v>
      </c>
      <c r="M3312" s="7">
        <v>4.4039999999999999</v>
      </c>
      <c r="N3312" s="7">
        <v>5.2430000000000003</v>
      </c>
      <c r="O3312" s="7">
        <v>6.1550000000000002</v>
      </c>
      <c r="P3312" s="7">
        <v>6.3920000000000003</v>
      </c>
      <c r="Q3312" s="7">
        <v>6.6449999999999996</v>
      </c>
      <c r="R3312" s="7">
        <v>6.3929999999999998</v>
      </c>
      <c r="S3312" s="7">
        <f t="shared" si="51"/>
        <v>5.6714166666666666</v>
      </c>
    </row>
    <row r="3313" spans="1:19">
      <c r="A3313" s="5" t="str">
        <f>B3313&amp;"-"&amp;COUNTIF($B$2:B3313,B3313)</f>
        <v>PERNAMBUCO-128</v>
      </c>
      <c r="B3313" s="5" t="s">
        <v>2140</v>
      </c>
      <c r="C3313" s="5" t="s">
        <v>2232</v>
      </c>
      <c r="D3313" s="6">
        <v>-35397</v>
      </c>
      <c r="E3313" s="6">
        <v>-81402</v>
      </c>
      <c r="F3313" s="7">
        <v>5.2519999999999998</v>
      </c>
      <c r="G3313" s="7">
        <v>5.6749999999999998</v>
      </c>
      <c r="H3313" s="7">
        <v>5.7290000000000001</v>
      </c>
      <c r="I3313" s="7">
        <v>5.7460000000000004</v>
      </c>
      <c r="J3313" s="7">
        <v>5.0759999999999996</v>
      </c>
      <c r="K3313" s="7">
        <v>4.4340000000000002</v>
      </c>
      <c r="L3313" s="7">
        <v>4.0919999999999996</v>
      </c>
      <c r="M3313" s="7">
        <v>4.2119999999999997</v>
      </c>
      <c r="N3313" s="7">
        <v>4.8620000000000001</v>
      </c>
      <c r="O3313" s="7">
        <v>5.5110000000000001</v>
      </c>
      <c r="P3313" s="7">
        <v>5.7460000000000004</v>
      </c>
      <c r="Q3313" s="7">
        <v>5.94</v>
      </c>
      <c r="R3313" s="7">
        <v>6.0060000000000002</v>
      </c>
      <c r="S3313" s="7">
        <f t="shared" si="51"/>
        <v>5.252416666666667</v>
      </c>
    </row>
    <row r="3314" spans="1:19">
      <c r="A3314" s="5" t="str">
        <f>B3314&amp;"-"&amp;COUNTIF($B$2:B3314,B3314)</f>
        <v>PERNAMBUCO-129</v>
      </c>
      <c r="B3314" s="5" t="s">
        <v>2140</v>
      </c>
      <c r="C3314" s="5" t="s">
        <v>1761</v>
      </c>
      <c r="D3314" s="6">
        <v>-353547</v>
      </c>
      <c r="E3314" s="6">
        <v>-83304</v>
      </c>
      <c r="F3314" s="7">
        <v>5.0019999999999998</v>
      </c>
      <c r="G3314" s="7">
        <v>5.4850000000000003</v>
      </c>
      <c r="H3314" s="7">
        <v>5.556</v>
      </c>
      <c r="I3314" s="7">
        <v>5.5650000000000004</v>
      </c>
      <c r="J3314" s="7">
        <v>4.8819999999999997</v>
      </c>
      <c r="K3314" s="7">
        <v>4.1909999999999998</v>
      </c>
      <c r="L3314" s="7">
        <v>3.83</v>
      </c>
      <c r="M3314" s="7">
        <v>3.8889999999999998</v>
      </c>
      <c r="N3314" s="7">
        <v>4.4720000000000004</v>
      </c>
      <c r="O3314" s="7">
        <v>5.1820000000000004</v>
      </c>
      <c r="P3314" s="7">
        <v>5.4320000000000004</v>
      </c>
      <c r="Q3314" s="7">
        <v>5.7460000000000004</v>
      </c>
      <c r="R3314" s="7">
        <v>5.7939999999999996</v>
      </c>
      <c r="S3314" s="7">
        <f t="shared" si="51"/>
        <v>5.0020000000000007</v>
      </c>
    </row>
    <row r="3315" spans="1:19">
      <c r="A3315" s="5" t="str">
        <f>B3315&amp;"-"&amp;COUNTIF($B$2:B3315,B3315)</f>
        <v>PERNAMBUCO-130</v>
      </c>
      <c r="B3315" s="5" t="s">
        <v>2140</v>
      </c>
      <c r="C3315" s="5" t="s">
        <v>5684</v>
      </c>
      <c r="D3315" s="6">
        <v>-36014</v>
      </c>
      <c r="E3315" s="6">
        <v>-88122</v>
      </c>
      <c r="F3315" s="7">
        <v>5.0670000000000002</v>
      </c>
      <c r="G3315" s="7">
        <v>5.7169999999999996</v>
      </c>
      <c r="H3315" s="7">
        <v>5.6180000000000003</v>
      </c>
      <c r="I3315" s="7">
        <v>5.657</v>
      </c>
      <c r="J3315" s="7">
        <v>4.9809999999999999</v>
      </c>
      <c r="K3315" s="7">
        <v>4.133</v>
      </c>
      <c r="L3315" s="7">
        <v>3.7160000000000002</v>
      </c>
      <c r="M3315" s="7">
        <v>3.7360000000000002</v>
      </c>
      <c r="N3315" s="7">
        <v>4.3440000000000003</v>
      </c>
      <c r="O3315" s="7">
        <v>5.2229999999999999</v>
      </c>
      <c r="P3315" s="7">
        <v>5.58</v>
      </c>
      <c r="Q3315" s="7">
        <v>6.0419999999999998</v>
      </c>
      <c r="R3315" s="7">
        <v>6.0629999999999997</v>
      </c>
      <c r="S3315" s="7">
        <f t="shared" si="51"/>
        <v>5.0674999999999999</v>
      </c>
    </row>
    <row r="3316" spans="1:19">
      <c r="A3316" s="5" t="str">
        <f>B3316&amp;"-"&amp;COUNTIF($B$2:B3316,B3316)</f>
        <v>PERNAMBUCO-131</v>
      </c>
      <c r="B3316" s="5" t="s">
        <v>2140</v>
      </c>
      <c r="C3316" s="5" t="s">
        <v>1898</v>
      </c>
      <c r="D3316" s="6">
        <v>-378464</v>
      </c>
      <c r="E3316" s="6">
        <v>-77189</v>
      </c>
      <c r="F3316" s="7">
        <v>5.875</v>
      </c>
      <c r="G3316" s="7">
        <v>6.19</v>
      </c>
      <c r="H3316" s="7">
        <v>6.1459999999999999</v>
      </c>
      <c r="I3316" s="7">
        <v>6.16</v>
      </c>
      <c r="J3316" s="7">
        <v>5.78</v>
      </c>
      <c r="K3316" s="7">
        <v>5.0350000000000001</v>
      </c>
      <c r="L3316" s="7">
        <v>4.593</v>
      </c>
      <c r="M3316" s="7">
        <v>4.8520000000000003</v>
      </c>
      <c r="N3316" s="7">
        <v>5.6920000000000002</v>
      </c>
      <c r="O3316" s="7">
        <v>6.4279999999999999</v>
      </c>
      <c r="P3316" s="7">
        <v>6.5430000000000001</v>
      </c>
      <c r="Q3316" s="7">
        <v>6.7130000000000001</v>
      </c>
      <c r="R3316" s="7">
        <v>6.37</v>
      </c>
      <c r="S3316" s="7">
        <f t="shared" si="51"/>
        <v>5.875166666666666</v>
      </c>
    </row>
    <row r="3317" spans="1:19">
      <c r="A3317" s="5" t="str">
        <f>B3317&amp;"-"&amp;COUNTIF($B$2:B3317,B3317)</f>
        <v>PERNAMBUCO-132</v>
      </c>
      <c r="B3317" s="5" t="s">
        <v>2140</v>
      </c>
      <c r="C3317" s="5" t="s">
        <v>2233</v>
      </c>
      <c r="D3317" s="6">
        <v>-348776</v>
      </c>
      <c r="E3317" s="6">
        <v>-80475</v>
      </c>
      <c r="F3317" s="7">
        <v>5.4619999999999997</v>
      </c>
      <c r="G3317" s="7">
        <v>5.8860000000000001</v>
      </c>
      <c r="H3317" s="7">
        <v>6.0140000000000002</v>
      </c>
      <c r="I3317" s="7">
        <v>5.93</v>
      </c>
      <c r="J3317" s="7">
        <v>5.2510000000000003</v>
      </c>
      <c r="K3317" s="7">
        <v>4.5380000000000003</v>
      </c>
      <c r="L3317" s="7">
        <v>4.2460000000000004</v>
      </c>
      <c r="M3317" s="7">
        <v>4.3970000000000002</v>
      </c>
      <c r="N3317" s="7">
        <v>5.1689999999999996</v>
      </c>
      <c r="O3317" s="7">
        <v>5.6589999999999998</v>
      </c>
      <c r="P3317" s="7">
        <v>6.0439999999999996</v>
      </c>
      <c r="Q3317" s="7">
        <v>6.1989999999999998</v>
      </c>
      <c r="R3317" s="7">
        <v>6.2039999999999997</v>
      </c>
      <c r="S3317" s="7">
        <f t="shared" si="51"/>
        <v>5.4614166666666657</v>
      </c>
    </row>
    <row r="3318" spans="1:19">
      <c r="A3318" s="5" t="str">
        <f>B3318&amp;"-"&amp;COUNTIF($B$2:B3318,B3318)</f>
        <v>PERNAMBUCO-133</v>
      </c>
      <c r="B3318" s="5" t="s">
        <v>2140</v>
      </c>
      <c r="C3318" s="5" t="s">
        <v>2234</v>
      </c>
      <c r="D3318" s="6">
        <v>-358651</v>
      </c>
      <c r="E3318" s="6">
        <v>-81378</v>
      </c>
      <c r="F3318" s="7">
        <v>5.2539999999999996</v>
      </c>
      <c r="G3318" s="7">
        <v>5.7549999999999999</v>
      </c>
      <c r="H3318" s="7">
        <v>5.7549999999999999</v>
      </c>
      <c r="I3318" s="7">
        <v>5.7389999999999999</v>
      </c>
      <c r="J3318" s="7">
        <v>5.125</v>
      </c>
      <c r="K3318" s="7">
        <v>4.4669999999999996</v>
      </c>
      <c r="L3318" s="7">
        <v>4.0279999999999996</v>
      </c>
      <c r="M3318" s="7">
        <v>4.1820000000000004</v>
      </c>
      <c r="N3318" s="7">
        <v>4.766</v>
      </c>
      <c r="O3318" s="7">
        <v>5.4550000000000001</v>
      </c>
      <c r="P3318" s="7">
        <v>5.7549999999999999</v>
      </c>
      <c r="Q3318" s="7">
        <v>6.0739999999999998</v>
      </c>
      <c r="R3318" s="7">
        <v>5.9429999999999996</v>
      </c>
      <c r="S3318" s="7">
        <f t="shared" si="51"/>
        <v>5.2536666666666658</v>
      </c>
    </row>
    <row r="3319" spans="1:19">
      <c r="A3319" s="5" t="str">
        <f>B3319&amp;"-"&amp;COUNTIF($B$2:B3319,B3319)</f>
        <v>PERNAMBUCO-134</v>
      </c>
      <c r="B3319" s="5" t="s">
        <v>2140</v>
      </c>
      <c r="C3319" s="5" t="s">
        <v>4099</v>
      </c>
      <c r="D3319" s="6">
        <v>-353701</v>
      </c>
      <c r="E3319" s="5" t="s">
        <v>2235</v>
      </c>
      <c r="F3319" s="7">
        <v>5.1580000000000004</v>
      </c>
      <c r="G3319" s="7">
        <v>5.6660000000000004</v>
      </c>
      <c r="H3319" s="7">
        <v>5.6749999999999998</v>
      </c>
      <c r="I3319" s="7">
        <v>5.6980000000000004</v>
      </c>
      <c r="J3319" s="7">
        <v>5</v>
      </c>
      <c r="K3319" s="7">
        <v>4.3010000000000002</v>
      </c>
      <c r="L3319" s="7">
        <v>3.9319999999999999</v>
      </c>
      <c r="M3319" s="7">
        <v>4.0179999999999998</v>
      </c>
      <c r="N3319" s="7">
        <v>4.6230000000000002</v>
      </c>
      <c r="O3319" s="7">
        <v>5.3410000000000002</v>
      </c>
      <c r="P3319" s="7">
        <v>5.6589999999999998</v>
      </c>
      <c r="Q3319" s="7">
        <v>5.984</v>
      </c>
      <c r="R3319" s="7">
        <v>6.0010000000000003</v>
      </c>
      <c r="S3319" s="7">
        <f t="shared" si="51"/>
        <v>5.1581666666666663</v>
      </c>
    </row>
    <row r="3320" spans="1:19">
      <c r="A3320" s="5" t="str">
        <f>B3320&amp;"-"&amp;COUNTIF($B$2:B3320,B3320)</f>
        <v>PERNAMBUCO-135</v>
      </c>
      <c r="B3320" s="5" t="s">
        <v>2140</v>
      </c>
      <c r="C3320" s="5" t="s">
        <v>2236</v>
      </c>
      <c r="D3320" s="6">
        <v>-351535</v>
      </c>
      <c r="E3320" s="6">
        <v>-86596</v>
      </c>
      <c r="F3320" s="7">
        <v>5.3019999999999996</v>
      </c>
      <c r="G3320" s="7">
        <v>5.8360000000000003</v>
      </c>
      <c r="H3320" s="7">
        <v>5.8949999999999996</v>
      </c>
      <c r="I3320" s="7">
        <v>5.952</v>
      </c>
      <c r="J3320" s="7">
        <v>5.0910000000000002</v>
      </c>
      <c r="K3320" s="7">
        <v>4.3840000000000003</v>
      </c>
      <c r="L3320" s="7">
        <v>4.0540000000000003</v>
      </c>
      <c r="M3320" s="7">
        <v>4.149</v>
      </c>
      <c r="N3320" s="7">
        <v>4.8239999999999998</v>
      </c>
      <c r="O3320" s="7">
        <v>5.444</v>
      </c>
      <c r="P3320" s="7">
        <v>5.7560000000000002</v>
      </c>
      <c r="Q3320" s="7">
        <v>6.0940000000000003</v>
      </c>
      <c r="R3320" s="7">
        <v>6.14</v>
      </c>
      <c r="S3320" s="7">
        <f t="shared" si="51"/>
        <v>5.3015833333333342</v>
      </c>
    </row>
    <row r="3321" spans="1:19">
      <c r="A3321" s="5" t="str">
        <f>B3321&amp;"-"&amp;COUNTIF($B$2:B3321,B3321)</f>
        <v>PERNAMBUCO-136</v>
      </c>
      <c r="B3321" s="5" t="s">
        <v>2140</v>
      </c>
      <c r="C3321" s="5" t="s">
        <v>4100</v>
      </c>
      <c r="D3321" s="6">
        <v>-359456</v>
      </c>
      <c r="E3321" s="6">
        <v>-8817</v>
      </c>
      <c r="F3321" s="7">
        <v>5.0949999999999998</v>
      </c>
      <c r="G3321" s="7">
        <v>5.7649999999999997</v>
      </c>
      <c r="H3321" s="7">
        <v>5.6559999999999997</v>
      </c>
      <c r="I3321" s="7">
        <v>5.7050000000000001</v>
      </c>
      <c r="J3321" s="7">
        <v>5.0460000000000003</v>
      </c>
      <c r="K3321" s="7">
        <v>4.1310000000000002</v>
      </c>
      <c r="L3321" s="7">
        <v>3.7250000000000001</v>
      </c>
      <c r="M3321" s="7">
        <v>3.8220000000000001</v>
      </c>
      <c r="N3321" s="7">
        <v>4.4210000000000003</v>
      </c>
      <c r="O3321" s="7">
        <v>5.24</v>
      </c>
      <c r="P3321" s="7">
        <v>5.5430000000000001</v>
      </c>
      <c r="Q3321" s="7">
        <v>6.0220000000000002</v>
      </c>
      <c r="R3321" s="7">
        <v>6.06</v>
      </c>
      <c r="S3321" s="7">
        <f t="shared" si="51"/>
        <v>5.0946666666666669</v>
      </c>
    </row>
    <row r="3322" spans="1:19">
      <c r="A3322" s="5" t="str">
        <f>B3322&amp;"-"&amp;COUNTIF($B$2:B3322,B3322)</f>
        <v>PERNAMBUCO-137</v>
      </c>
      <c r="B3322" s="5" t="s">
        <v>2140</v>
      </c>
      <c r="C3322" s="5" t="s">
        <v>4101</v>
      </c>
      <c r="D3322" s="6">
        <v>-364468</v>
      </c>
      <c r="E3322" s="6">
        <v>-85268</v>
      </c>
      <c r="F3322" s="7">
        <v>5.3120000000000003</v>
      </c>
      <c r="G3322" s="7">
        <v>5.97</v>
      </c>
      <c r="H3322" s="7">
        <v>5.798</v>
      </c>
      <c r="I3322" s="7">
        <v>5.8529999999999998</v>
      </c>
      <c r="J3322" s="7">
        <v>5.2850000000000001</v>
      </c>
      <c r="K3322" s="7">
        <v>4.3949999999999996</v>
      </c>
      <c r="L3322" s="7">
        <v>3.8860000000000001</v>
      </c>
      <c r="M3322" s="7">
        <v>4.0330000000000004</v>
      </c>
      <c r="N3322" s="7">
        <v>4.7069999999999999</v>
      </c>
      <c r="O3322" s="7">
        <v>5.49</v>
      </c>
      <c r="P3322" s="7">
        <v>5.8380000000000001</v>
      </c>
      <c r="Q3322" s="7">
        <v>6.3070000000000004</v>
      </c>
      <c r="R3322" s="7">
        <v>6.1820000000000004</v>
      </c>
      <c r="S3322" s="7">
        <f t="shared" si="51"/>
        <v>5.3120000000000003</v>
      </c>
    </row>
    <row r="3323" spans="1:19">
      <c r="A3323" s="5" t="str">
        <f>B3323&amp;"-"&amp;COUNTIF($B$2:B3323,B3323)</f>
        <v>PERNAMBUCO-138</v>
      </c>
      <c r="B3323" s="5" t="s">
        <v>2140</v>
      </c>
      <c r="C3323" s="5" t="s">
        <v>4102</v>
      </c>
      <c r="D3323" s="6">
        <v>-361395</v>
      </c>
      <c r="E3323" s="6">
        <v>-83284</v>
      </c>
      <c r="F3323" s="7">
        <v>5.2629999999999999</v>
      </c>
      <c r="G3323" s="7">
        <v>5.83</v>
      </c>
      <c r="H3323" s="7">
        <v>5.6890000000000001</v>
      </c>
      <c r="I3323" s="7">
        <v>5.7350000000000003</v>
      </c>
      <c r="J3323" s="7">
        <v>5.1959999999999997</v>
      </c>
      <c r="K3323" s="7">
        <v>4.4080000000000004</v>
      </c>
      <c r="L3323" s="7">
        <v>3.9969999999999999</v>
      </c>
      <c r="M3323" s="7">
        <v>4.0720000000000001</v>
      </c>
      <c r="N3323" s="7">
        <v>4.8150000000000004</v>
      </c>
      <c r="O3323" s="7">
        <v>5.5030000000000001</v>
      </c>
      <c r="P3323" s="7">
        <v>5.7930000000000001</v>
      </c>
      <c r="Q3323" s="7">
        <v>6.1639999999999997</v>
      </c>
      <c r="R3323" s="7">
        <v>5.9539999999999997</v>
      </c>
      <c r="S3323" s="7">
        <f t="shared" si="51"/>
        <v>5.2630000000000008</v>
      </c>
    </row>
    <row r="3324" spans="1:19">
      <c r="A3324" s="5" t="str">
        <f>B3324&amp;"-"&amp;COUNTIF($B$2:B3324,B3324)</f>
        <v>PERNAMBUCO-139</v>
      </c>
      <c r="B3324" s="5" t="s">
        <v>2140</v>
      </c>
      <c r="C3324" s="5" t="s">
        <v>4086</v>
      </c>
      <c r="D3324" s="6">
        <v>-363656</v>
      </c>
      <c r="E3324" s="6">
        <v>-88762</v>
      </c>
      <c r="F3324" s="7">
        <v>5.2190000000000003</v>
      </c>
      <c r="G3324" s="7">
        <v>5.9409999999999998</v>
      </c>
      <c r="H3324" s="7">
        <v>5.6790000000000003</v>
      </c>
      <c r="I3324" s="7">
        <v>5.7880000000000003</v>
      </c>
      <c r="J3324" s="7">
        <v>5.109</v>
      </c>
      <c r="K3324" s="7">
        <v>4.2809999999999997</v>
      </c>
      <c r="L3324" s="7">
        <v>3.8090000000000002</v>
      </c>
      <c r="M3324" s="7">
        <v>3.9220000000000002</v>
      </c>
      <c r="N3324" s="7">
        <v>4.5549999999999997</v>
      </c>
      <c r="O3324" s="7">
        <v>5.4</v>
      </c>
      <c r="P3324" s="7">
        <v>5.7039999999999997</v>
      </c>
      <c r="Q3324" s="7">
        <v>6.2619999999999996</v>
      </c>
      <c r="R3324" s="7">
        <v>6.1769999999999996</v>
      </c>
      <c r="S3324" s="7">
        <f t="shared" si="51"/>
        <v>5.2189166666666669</v>
      </c>
    </row>
    <row r="3325" spans="1:19">
      <c r="A3325" s="5" t="str">
        <f>B3325&amp;"-"&amp;COUNTIF($B$2:B3325,B3325)</f>
        <v>PERNAMBUCO-140</v>
      </c>
      <c r="B3325" s="5" t="s">
        <v>2140</v>
      </c>
      <c r="C3325" s="5" t="s">
        <v>4103</v>
      </c>
      <c r="D3325" s="6">
        <v>-358038</v>
      </c>
      <c r="E3325" s="6">
        <v>-84324</v>
      </c>
      <c r="F3325" s="7">
        <v>5.1840000000000002</v>
      </c>
      <c r="G3325" s="7">
        <v>5.7320000000000002</v>
      </c>
      <c r="H3325" s="7">
        <v>5.694</v>
      </c>
      <c r="I3325" s="7">
        <v>5.7320000000000002</v>
      </c>
      <c r="J3325" s="7">
        <v>5.0780000000000003</v>
      </c>
      <c r="K3325" s="7">
        <v>4.3040000000000003</v>
      </c>
      <c r="L3325" s="7">
        <v>3.8559999999999999</v>
      </c>
      <c r="M3325" s="7">
        <v>3.9809999999999999</v>
      </c>
      <c r="N3325" s="7">
        <v>4.6619999999999999</v>
      </c>
      <c r="O3325" s="7">
        <v>5.3920000000000003</v>
      </c>
      <c r="P3325" s="7">
        <v>5.7</v>
      </c>
      <c r="Q3325" s="7">
        <v>6.1310000000000002</v>
      </c>
      <c r="R3325" s="7">
        <v>5.944</v>
      </c>
      <c r="S3325" s="7">
        <f t="shared" si="51"/>
        <v>5.1838333333333342</v>
      </c>
    </row>
    <row r="3326" spans="1:19">
      <c r="A3326" s="5" t="str">
        <f>B3326&amp;"-"&amp;COUNTIF($B$2:B3326,B3326)</f>
        <v>PERNAMBUCO-141</v>
      </c>
      <c r="B3326" s="5" t="s">
        <v>2140</v>
      </c>
      <c r="C3326" s="5" t="s">
        <v>4435</v>
      </c>
      <c r="D3326" s="6">
        <v>-351518</v>
      </c>
      <c r="E3326" s="6">
        <v>-88898</v>
      </c>
      <c r="F3326" s="7">
        <v>5.4169999999999998</v>
      </c>
      <c r="G3326" s="7">
        <v>5.9669999999999996</v>
      </c>
      <c r="H3326" s="7">
        <v>5.9980000000000002</v>
      </c>
      <c r="I3326" s="7">
        <v>6.0609999999999999</v>
      </c>
      <c r="J3326" s="7">
        <v>5.1280000000000001</v>
      </c>
      <c r="K3326" s="7">
        <v>4.4279999999999999</v>
      </c>
      <c r="L3326" s="7">
        <v>4.1619999999999999</v>
      </c>
      <c r="M3326" s="7">
        <v>4.2119999999999997</v>
      </c>
      <c r="N3326" s="7">
        <v>4.9279999999999999</v>
      </c>
      <c r="O3326" s="7">
        <v>5.6360000000000001</v>
      </c>
      <c r="P3326" s="7">
        <v>5.9939999999999998</v>
      </c>
      <c r="Q3326" s="7">
        <v>6.2130000000000001</v>
      </c>
      <c r="R3326" s="7">
        <v>6.2729999999999997</v>
      </c>
      <c r="S3326" s="7">
        <f t="shared" si="51"/>
        <v>5.416666666666667</v>
      </c>
    </row>
    <row r="3327" spans="1:19">
      <c r="A3327" s="5" t="str">
        <f>B3327&amp;"-"&amp;COUNTIF($B$2:B3327,B3327)</f>
        <v>PERNAMBUCO-142</v>
      </c>
      <c r="B3327" s="5" t="s">
        <v>2140</v>
      </c>
      <c r="C3327" s="5" t="s">
        <v>4436</v>
      </c>
      <c r="D3327" s="6">
        <v>-387613</v>
      </c>
      <c r="E3327" s="6">
        <v>-78654</v>
      </c>
      <c r="F3327" s="7">
        <v>5.79</v>
      </c>
      <c r="G3327" s="7">
        <v>6.1630000000000003</v>
      </c>
      <c r="H3327" s="7">
        <v>6.0449999999999999</v>
      </c>
      <c r="I3327" s="7">
        <v>5.9459999999999997</v>
      </c>
      <c r="J3327" s="7">
        <v>5.5659999999999998</v>
      </c>
      <c r="K3327" s="7">
        <v>4.8659999999999997</v>
      </c>
      <c r="L3327" s="7">
        <v>4.5179999999999998</v>
      </c>
      <c r="M3327" s="7">
        <v>4.7939999999999996</v>
      </c>
      <c r="N3327" s="7">
        <v>5.5949999999999998</v>
      </c>
      <c r="O3327" s="7">
        <v>6.5010000000000003</v>
      </c>
      <c r="P3327" s="7">
        <v>6.5030000000000001</v>
      </c>
      <c r="Q3327" s="7">
        <v>6.6219999999999999</v>
      </c>
      <c r="R3327" s="7">
        <v>6.359</v>
      </c>
      <c r="S3327" s="7">
        <f t="shared" si="51"/>
        <v>5.7898333333333332</v>
      </c>
    </row>
    <row r="3328" spans="1:19">
      <c r="A3328" s="5" t="str">
        <f>B3328&amp;"-"&amp;COUNTIF($B$2:B3328,B3328)</f>
        <v>PERNAMBUCO-143</v>
      </c>
      <c r="B3328" s="5" t="s">
        <v>2140</v>
      </c>
      <c r="C3328" s="5" t="s">
        <v>4437</v>
      </c>
      <c r="D3328" s="6">
        <v>-372743</v>
      </c>
      <c r="E3328" s="6">
        <v>-74699</v>
      </c>
      <c r="F3328" s="7">
        <v>5.7690000000000001</v>
      </c>
      <c r="G3328" s="7">
        <v>6.1479999999999997</v>
      </c>
      <c r="H3328" s="7">
        <v>6.04</v>
      </c>
      <c r="I3328" s="7">
        <v>6.0250000000000004</v>
      </c>
      <c r="J3328" s="7">
        <v>5.6609999999999996</v>
      </c>
      <c r="K3328" s="7">
        <v>4.9539999999999997</v>
      </c>
      <c r="L3328" s="7">
        <v>4.4779999999999998</v>
      </c>
      <c r="M3328" s="7">
        <v>4.6989999999999998</v>
      </c>
      <c r="N3328" s="7">
        <v>5.5069999999999997</v>
      </c>
      <c r="O3328" s="7">
        <v>6.2809999999999997</v>
      </c>
      <c r="P3328" s="7">
        <v>6.4930000000000003</v>
      </c>
      <c r="Q3328" s="7">
        <v>6.657</v>
      </c>
      <c r="R3328" s="7">
        <v>6.2889999999999997</v>
      </c>
      <c r="S3328" s="7">
        <f t="shared" si="51"/>
        <v>5.769333333333333</v>
      </c>
    </row>
    <row r="3329" spans="1:19">
      <c r="A3329" s="5" t="str">
        <f>B3329&amp;"-"&amp;COUNTIF($B$2:B3329,B3329)</f>
        <v>PERNAMBUCO-144</v>
      </c>
      <c r="B3329" s="5" t="s">
        <v>2140</v>
      </c>
      <c r="C3329" s="5" t="s">
        <v>4736</v>
      </c>
      <c r="D3329" s="6">
        <v>-350126</v>
      </c>
      <c r="E3329" s="6">
        <v>-80073</v>
      </c>
      <c r="F3329" s="7">
        <v>5.3179999999999996</v>
      </c>
      <c r="G3329" s="7">
        <v>5.8019999999999996</v>
      </c>
      <c r="H3329" s="7">
        <v>5.9109999999999996</v>
      </c>
      <c r="I3329" s="7">
        <v>5.8760000000000003</v>
      </c>
      <c r="J3329" s="7">
        <v>5.1589999999999998</v>
      </c>
      <c r="K3329" s="7">
        <v>4.4290000000000003</v>
      </c>
      <c r="L3329" s="7">
        <v>4.1369999999999996</v>
      </c>
      <c r="M3329" s="7">
        <v>4.25</v>
      </c>
      <c r="N3329" s="7">
        <v>4.9450000000000003</v>
      </c>
      <c r="O3329" s="7">
        <v>5.48</v>
      </c>
      <c r="P3329" s="7">
        <v>5.7539999999999996</v>
      </c>
      <c r="Q3329" s="7">
        <v>6.024</v>
      </c>
      <c r="R3329" s="7">
        <v>6.05</v>
      </c>
      <c r="S3329" s="7">
        <f t="shared" si="51"/>
        <v>5.3180833333333331</v>
      </c>
    </row>
    <row r="3330" spans="1:19">
      <c r="A3330" s="5" t="str">
        <f>B3330&amp;"-"&amp;COUNTIF($B$2:B3330,B3330)</f>
        <v>PERNAMBUCO-145</v>
      </c>
      <c r="B3330" s="5" t="s">
        <v>2140</v>
      </c>
      <c r="C3330" s="5" t="s">
        <v>3978</v>
      </c>
      <c r="D3330" s="6">
        <v>-354866</v>
      </c>
      <c r="E3330" s="6">
        <v>-75921</v>
      </c>
      <c r="F3330" s="7">
        <v>5.1660000000000004</v>
      </c>
      <c r="G3330" s="7">
        <v>5.5069999999999997</v>
      </c>
      <c r="H3330" s="7">
        <v>5.6859999999999999</v>
      </c>
      <c r="I3330" s="7">
        <v>5.6859999999999999</v>
      </c>
      <c r="J3330" s="7">
        <v>5.1539999999999999</v>
      </c>
      <c r="K3330" s="7">
        <v>4.4089999999999998</v>
      </c>
      <c r="L3330" s="7">
        <v>3.95</v>
      </c>
      <c r="M3330" s="7">
        <v>4.0640000000000001</v>
      </c>
      <c r="N3330" s="7">
        <v>4.7919999999999998</v>
      </c>
      <c r="O3330" s="7">
        <v>5.3380000000000001</v>
      </c>
      <c r="P3330" s="7">
        <v>5.58</v>
      </c>
      <c r="Q3330" s="7">
        <v>5.9969999999999999</v>
      </c>
      <c r="R3330" s="7">
        <v>5.827</v>
      </c>
      <c r="S3330" s="7">
        <f t="shared" si="51"/>
        <v>5.1658333333333326</v>
      </c>
    </row>
    <row r="3331" spans="1:19">
      <c r="A3331" s="5" t="str">
        <f>B3331&amp;"-"&amp;COUNTIF($B$2:B3331,B3331)</f>
        <v>PERNAMBUCO-146</v>
      </c>
      <c r="B3331" s="5" t="s">
        <v>2140</v>
      </c>
      <c r="C3331" s="5" t="s">
        <v>4438</v>
      </c>
      <c r="D3331" s="6">
        <v>-357103</v>
      </c>
      <c r="E3331" s="6">
        <v>-83276</v>
      </c>
      <c r="F3331" s="7">
        <v>5.2119999999999997</v>
      </c>
      <c r="G3331" s="7">
        <v>5.7480000000000002</v>
      </c>
      <c r="H3331" s="7">
        <v>5.7249999999999996</v>
      </c>
      <c r="I3331" s="7">
        <v>5.7670000000000003</v>
      </c>
      <c r="J3331" s="7">
        <v>5.0750000000000002</v>
      </c>
      <c r="K3331" s="7">
        <v>4.34</v>
      </c>
      <c r="L3331" s="7">
        <v>3.9220000000000002</v>
      </c>
      <c r="M3331" s="7">
        <v>4.0270000000000001</v>
      </c>
      <c r="N3331" s="7">
        <v>4.7089999999999996</v>
      </c>
      <c r="O3331" s="7">
        <v>5.4329999999999998</v>
      </c>
      <c r="P3331" s="7">
        <v>5.7610000000000001</v>
      </c>
      <c r="Q3331" s="7">
        <v>6.0990000000000002</v>
      </c>
      <c r="R3331" s="7">
        <v>5.9349999999999996</v>
      </c>
      <c r="S3331" s="7">
        <f t="shared" ref="S3331:S3394" si="52">(G3331+H3331+I3331+J3331+K3331+L3331+M3331+N3331+O3331+P3331+Q3331+R3331)/12</f>
        <v>5.2117500000000012</v>
      </c>
    </row>
    <row r="3332" spans="1:19">
      <c r="A3332" s="5" t="str">
        <f>B3332&amp;"-"&amp;COUNTIF($B$2:B3332,B3332)</f>
        <v>PERNAMBUCO-147</v>
      </c>
      <c r="B3332" s="5" t="s">
        <v>2140</v>
      </c>
      <c r="C3332" s="5" t="s">
        <v>1902</v>
      </c>
      <c r="D3332" s="6">
        <v>-356321</v>
      </c>
      <c r="E3332" s="6">
        <v>-79378</v>
      </c>
      <c r="F3332" s="7">
        <v>5.2690000000000001</v>
      </c>
      <c r="G3332" s="7">
        <v>5.7030000000000003</v>
      </c>
      <c r="H3332" s="7">
        <v>5.7130000000000001</v>
      </c>
      <c r="I3332" s="7">
        <v>5.81</v>
      </c>
      <c r="J3332" s="7">
        <v>5.181</v>
      </c>
      <c r="K3332" s="7">
        <v>4.4640000000000004</v>
      </c>
      <c r="L3332" s="7">
        <v>4.0940000000000003</v>
      </c>
      <c r="M3332" s="7">
        <v>4.25</v>
      </c>
      <c r="N3332" s="7">
        <v>4.8620000000000001</v>
      </c>
      <c r="O3332" s="7">
        <v>5.5179999999999998</v>
      </c>
      <c r="P3332" s="7">
        <v>5.7050000000000001</v>
      </c>
      <c r="Q3332" s="7">
        <v>6.0019999999999998</v>
      </c>
      <c r="R3332" s="7">
        <v>5.9269999999999996</v>
      </c>
      <c r="S3332" s="7">
        <f t="shared" si="52"/>
        <v>5.2690833333333336</v>
      </c>
    </row>
    <row r="3333" spans="1:19">
      <c r="A3333" s="5" t="str">
        <f>B3333&amp;"-"&amp;COUNTIF($B$2:B3333,B3333)</f>
        <v>PERNAMBUCO-148</v>
      </c>
      <c r="B3333" s="5" t="s">
        <v>2140</v>
      </c>
      <c r="C3333" s="5" t="s">
        <v>2237</v>
      </c>
      <c r="D3333" s="6">
        <v>-39125</v>
      </c>
      <c r="E3333" s="6">
        <v>-80742</v>
      </c>
      <c r="F3333" s="7">
        <v>5.7039999999999997</v>
      </c>
      <c r="G3333" s="7">
        <v>6.0659999999999998</v>
      </c>
      <c r="H3333" s="7">
        <v>5.9029999999999996</v>
      </c>
      <c r="I3333" s="7">
        <v>5.8849999999999998</v>
      </c>
      <c r="J3333" s="7">
        <v>5.46</v>
      </c>
      <c r="K3333" s="7">
        <v>4.7649999999999997</v>
      </c>
      <c r="L3333" s="7">
        <v>4.4370000000000003</v>
      </c>
      <c r="M3333" s="7">
        <v>4.7380000000000004</v>
      </c>
      <c r="N3333" s="7">
        <v>5.53</v>
      </c>
      <c r="O3333" s="7">
        <v>6.3630000000000004</v>
      </c>
      <c r="P3333" s="7">
        <v>6.4359999999999999</v>
      </c>
      <c r="Q3333" s="7">
        <v>6.5990000000000002</v>
      </c>
      <c r="R3333" s="7">
        <v>6.2640000000000002</v>
      </c>
      <c r="S3333" s="7">
        <f t="shared" si="52"/>
        <v>5.7038333333333329</v>
      </c>
    </row>
    <row r="3334" spans="1:19">
      <c r="A3334" s="5" t="str">
        <f>B3334&amp;"-"&amp;COUNTIF($B$2:B3334,B3334)</f>
        <v>PERNAMBUCO-149</v>
      </c>
      <c r="B3334" s="5" t="s">
        <v>2140</v>
      </c>
      <c r="C3334" s="5" t="s">
        <v>5685</v>
      </c>
      <c r="D3334" s="6">
        <v>-366913</v>
      </c>
      <c r="E3334" s="6">
        <v>-89727</v>
      </c>
      <c r="F3334" s="7">
        <v>5.3490000000000002</v>
      </c>
      <c r="G3334" s="7">
        <v>6.0789999999999997</v>
      </c>
      <c r="H3334" s="7">
        <v>5.85</v>
      </c>
      <c r="I3334" s="7">
        <v>5.8970000000000002</v>
      </c>
      <c r="J3334" s="7">
        <v>5.2329999999999997</v>
      </c>
      <c r="K3334" s="7">
        <v>4.2519999999999998</v>
      </c>
      <c r="L3334" s="7">
        <v>3.8029999999999999</v>
      </c>
      <c r="M3334" s="7">
        <v>3.9529999999999998</v>
      </c>
      <c r="N3334" s="7">
        <v>4.6059999999999999</v>
      </c>
      <c r="O3334" s="7">
        <v>5.569</v>
      </c>
      <c r="P3334" s="7">
        <v>5.9870000000000001</v>
      </c>
      <c r="Q3334" s="7">
        <v>6.5620000000000003</v>
      </c>
      <c r="R3334" s="7">
        <v>6.4029999999999996</v>
      </c>
      <c r="S3334" s="7">
        <f t="shared" si="52"/>
        <v>5.3494999999999999</v>
      </c>
    </row>
    <row r="3335" spans="1:19">
      <c r="A3335" s="5" t="str">
        <f>B3335&amp;"-"&amp;COUNTIF($B$2:B3335,B3335)</f>
        <v>PERNAMBUCO-150</v>
      </c>
      <c r="B3335" s="5" t="s">
        <v>2140</v>
      </c>
      <c r="C3335" s="5" t="s">
        <v>5187</v>
      </c>
      <c r="D3335" s="6">
        <v>-365632</v>
      </c>
      <c r="E3335" s="6">
        <v>-83618</v>
      </c>
      <c r="F3335" s="7">
        <v>5.3769999999999998</v>
      </c>
      <c r="G3335" s="7">
        <v>6.0119999999999996</v>
      </c>
      <c r="H3335" s="7">
        <v>5.867</v>
      </c>
      <c r="I3335" s="7">
        <v>5.92</v>
      </c>
      <c r="J3335" s="7">
        <v>5.3339999999999996</v>
      </c>
      <c r="K3335" s="7">
        <v>4.399</v>
      </c>
      <c r="L3335" s="7">
        <v>3.9060000000000001</v>
      </c>
      <c r="M3335" s="7">
        <v>4.01</v>
      </c>
      <c r="N3335" s="7">
        <v>4.7539999999999996</v>
      </c>
      <c r="O3335" s="7">
        <v>5.633</v>
      </c>
      <c r="P3335" s="7">
        <v>6.0140000000000002</v>
      </c>
      <c r="Q3335" s="7">
        <v>6.4009999999999998</v>
      </c>
      <c r="R3335" s="7">
        <v>6.27</v>
      </c>
      <c r="S3335" s="7">
        <f t="shared" si="52"/>
        <v>5.376666666666666</v>
      </c>
    </row>
    <row r="3336" spans="1:19">
      <c r="A3336" s="5" t="str">
        <f>B3336&amp;"-"&amp;COUNTIF($B$2:B3336,B3336)</f>
        <v>PERNAMBUCO-151</v>
      </c>
      <c r="B3336" s="5" t="s">
        <v>2140</v>
      </c>
      <c r="C3336" s="5" t="s">
        <v>1904</v>
      </c>
      <c r="D3336" s="6">
        <v>-403376</v>
      </c>
      <c r="E3336" s="6">
        <v>-8241</v>
      </c>
      <c r="F3336" s="7">
        <v>5.5910000000000002</v>
      </c>
      <c r="G3336" s="7">
        <v>5.87</v>
      </c>
      <c r="H3336" s="7">
        <v>5.5960000000000001</v>
      </c>
      <c r="I3336" s="7">
        <v>5.6660000000000004</v>
      </c>
      <c r="J3336" s="7">
        <v>5.101</v>
      </c>
      <c r="K3336" s="7">
        <v>4.6639999999999997</v>
      </c>
      <c r="L3336" s="7">
        <v>4.4569999999999999</v>
      </c>
      <c r="M3336" s="7">
        <v>4.827</v>
      </c>
      <c r="N3336" s="7">
        <v>5.694</v>
      </c>
      <c r="O3336" s="7">
        <v>6.3780000000000001</v>
      </c>
      <c r="P3336" s="7">
        <v>6.3819999999999997</v>
      </c>
      <c r="Q3336" s="7">
        <v>6.3609999999999998</v>
      </c>
      <c r="R3336" s="7">
        <v>6.1029999999999998</v>
      </c>
      <c r="S3336" s="7">
        <f t="shared" si="52"/>
        <v>5.5915833333333325</v>
      </c>
    </row>
    <row r="3337" spans="1:19">
      <c r="A3337" s="5" t="str">
        <f>B3337&amp;"-"&amp;COUNTIF($B$2:B3337,B3337)</f>
        <v>PERNAMBUCO-152</v>
      </c>
      <c r="B3337" s="5" t="s">
        <v>2140</v>
      </c>
      <c r="C3337" s="5" t="s">
        <v>2238</v>
      </c>
      <c r="D3337" s="6">
        <v>-381522</v>
      </c>
      <c r="E3337" s="6">
        <v>-78211</v>
      </c>
      <c r="F3337" s="7">
        <v>5.8639999999999999</v>
      </c>
      <c r="G3337" s="7">
        <v>6.1369999999999996</v>
      </c>
      <c r="H3337" s="7">
        <v>6.07</v>
      </c>
      <c r="I3337" s="7">
        <v>6.101</v>
      </c>
      <c r="J3337" s="7">
        <v>5.7069999999999999</v>
      </c>
      <c r="K3337" s="7">
        <v>4.9530000000000003</v>
      </c>
      <c r="L3337" s="7">
        <v>4.617</v>
      </c>
      <c r="M3337" s="7">
        <v>4.8760000000000003</v>
      </c>
      <c r="N3337" s="7">
        <v>5.7510000000000003</v>
      </c>
      <c r="O3337" s="7">
        <v>6.5289999999999999</v>
      </c>
      <c r="P3337" s="7">
        <v>6.5869999999999997</v>
      </c>
      <c r="Q3337" s="7">
        <v>6.7130000000000001</v>
      </c>
      <c r="R3337" s="7">
        <v>6.3319999999999999</v>
      </c>
      <c r="S3337" s="7">
        <f t="shared" si="52"/>
        <v>5.8644166666666662</v>
      </c>
    </row>
    <row r="3338" spans="1:19">
      <c r="A3338" s="5" t="str">
        <f>B3338&amp;"-"&amp;COUNTIF($B$2:B3338,B3338)</f>
        <v>PERNAMBUCO-153</v>
      </c>
      <c r="B3338" s="5" t="s">
        <v>2140</v>
      </c>
      <c r="C3338" s="5" t="s">
        <v>2239</v>
      </c>
      <c r="D3338" s="6">
        <v>-362064</v>
      </c>
      <c r="E3338" s="6">
        <v>-79484</v>
      </c>
      <c r="F3338" s="7">
        <v>5.4290000000000003</v>
      </c>
      <c r="G3338" s="7">
        <v>5.8890000000000002</v>
      </c>
      <c r="H3338" s="7">
        <v>5.8860000000000001</v>
      </c>
      <c r="I3338" s="7">
        <v>5.8620000000000001</v>
      </c>
      <c r="J3338" s="7">
        <v>5.3659999999999997</v>
      </c>
      <c r="K3338" s="7">
        <v>4.63</v>
      </c>
      <c r="L3338" s="7">
        <v>4.1989999999999998</v>
      </c>
      <c r="M3338" s="7">
        <v>4.3369999999999997</v>
      </c>
      <c r="N3338" s="7">
        <v>5.0270000000000001</v>
      </c>
      <c r="O3338" s="7">
        <v>5.7140000000000004</v>
      </c>
      <c r="P3338" s="7">
        <v>6.0149999999999997</v>
      </c>
      <c r="Q3338" s="7">
        <v>6.2480000000000002</v>
      </c>
      <c r="R3338" s="7">
        <v>5.9820000000000002</v>
      </c>
      <c r="S3338" s="7">
        <f t="shared" si="52"/>
        <v>5.4295833333333334</v>
      </c>
    </row>
    <row r="3339" spans="1:19">
      <c r="A3339" s="5" t="str">
        <f>B3339&amp;"-"&amp;COUNTIF($B$2:B3339,B3339)</f>
        <v>PERNAMBUCO-154</v>
      </c>
      <c r="B3339" s="5" t="s">
        <v>2140</v>
      </c>
      <c r="C3339" s="5" t="s">
        <v>2240</v>
      </c>
      <c r="D3339" s="6">
        <v>-406119</v>
      </c>
      <c r="E3339" s="6">
        <v>-81605</v>
      </c>
      <c r="F3339" s="7">
        <v>5.7709999999999999</v>
      </c>
      <c r="G3339" s="7">
        <v>5.9290000000000003</v>
      </c>
      <c r="H3339" s="7">
        <v>5.7089999999999996</v>
      </c>
      <c r="I3339" s="7">
        <v>5.7329999999999997</v>
      </c>
      <c r="J3339" s="7">
        <v>5.26</v>
      </c>
      <c r="K3339" s="7">
        <v>4.899</v>
      </c>
      <c r="L3339" s="7">
        <v>4.7489999999999997</v>
      </c>
      <c r="M3339" s="7">
        <v>5.0830000000000002</v>
      </c>
      <c r="N3339" s="7">
        <v>6.0430000000000001</v>
      </c>
      <c r="O3339" s="7">
        <v>6.6349999999999998</v>
      </c>
      <c r="P3339" s="7">
        <v>6.5709999999999997</v>
      </c>
      <c r="Q3339" s="7">
        <v>6.4669999999999996</v>
      </c>
      <c r="R3339" s="7">
        <v>6.1779999999999999</v>
      </c>
      <c r="S3339" s="7">
        <f t="shared" si="52"/>
        <v>5.7713333333333336</v>
      </c>
    </row>
    <row r="3340" spans="1:19">
      <c r="A3340" s="5" t="str">
        <f>B3340&amp;"-"&amp;COUNTIF($B$2:B3340,B3340)</f>
        <v>PERNAMBUCO-155</v>
      </c>
      <c r="B3340" s="5" t="s">
        <v>2140</v>
      </c>
      <c r="C3340" s="5" t="s">
        <v>2241</v>
      </c>
      <c r="D3340" s="6">
        <v>-398244</v>
      </c>
      <c r="E3340" s="6">
        <v>-87981</v>
      </c>
      <c r="F3340" s="7">
        <v>5.67</v>
      </c>
      <c r="G3340" s="7">
        <v>6.1929999999999996</v>
      </c>
      <c r="H3340" s="7">
        <v>5.9340000000000002</v>
      </c>
      <c r="I3340" s="7">
        <v>5.9619999999999997</v>
      </c>
      <c r="J3340" s="7">
        <v>5.3250000000000002</v>
      </c>
      <c r="K3340" s="7">
        <v>4.7080000000000002</v>
      </c>
      <c r="L3340" s="7">
        <v>4.4080000000000004</v>
      </c>
      <c r="M3340" s="7">
        <v>4.6029999999999998</v>
      </c>
      <c r="N3340" s="7">
        <v>5.391</v>
      </c>
      <c r="O3340" s="7">
        <v>6.2709999999999999</v>
      </c>
      <c r="P3340" s="7">
        <v>6.3959999999999999</v>
      </c>
      <c r="Q3340" s="7">
        <v>6.5389999999999997</v>
      </c>
      <c r="R3340" s="7">
        <v>6.3170000000000002</v>
      </c>
      <c r="S3340" s="7">
        <f t="shared" si="52"/>
        <v>5.6705833333333331</v>
      </c>
    </row>
    <row r="3341" spans="1:19">
      <c r="A3341" s="5" t="str">
        <f>B3341&amp;"-"&amp;COUNTIF($B$2:B3341,B3341)</f>
        <v>PERNAMBUCO-156</v>
      </c>
      <c r="B3341" s="5" t="s">
        <v>2140</v>
      </c>
      <c r="C3341" s="5" t="s">
        <v>5686</v>
      </c>
      <c r="D3341" s="6">
        <v>-358813</v>
      </c>
      <c r="E3341" s="6">
        <v>-7833</v>
      </c>
      <c r="F3341" s="7">
        <v>5.3410000000000002</v>
      </c>
      <c r="G3341" s="7">
        <v>5.7910000000000004</v>
      </c>
      <c r="H3341" s="7">
        <v>5.8109999999999999</v>
      </c>
      <c r="I3341" s="7">
        <v>5.87</v>
      </c>
      <c r="J3341" s="7">
        <v>5.26</v>
      </c>
      <c r="K3341" s="7">
        <v>4.5730000000000004</v>
      </c>
      <c r="L3341" s="7">
        <v>4.0910000000000002</v>
      </c>
      <c r="M3341" s="7">
        <v>4.2880000000000003</v>
      </c>
      <c r="N3341" s="7">
        <v>4.9669999999999996</v>
      </c>
      <c r="O3341" s="7">
        <v>5.5439999999999996</v>
      </c>
      <c r="P3341" s="7">
        <v>5.8209999999999997</v>
      </c>
      <c r="Q3341" s="7">
        <v>6.1230000000000002</v>
      </c>
      <c r="R3341" s="7">
        <v>5.9530000000000003</v>
      </c>
      <c r="S3341" s="7">
        <f t="shared" si="52"/>
        <v>5.3409999999999984</v>
      </c>
    </row>
    <row r="3342" spans="1:19">
      <c r="A3342" s="5" t="str">
        <f>B3342&amp;"-"&amp;COUNTIF($B$2:B3342,B3342)</f>
        <v>PERNAMBUCO-157</v>
      </c>
      <c r="B3342" s="5" t="s">
        <v>2140</v>
      </c>
      <c r="C3342" s="5" t="s">
        <v>1064</v>
      </c>
      <c r="D3342" s="6">
        <v>-374791</v>
      </c>
      <c r="E3342" s="6">
        <v>-73774</v>
      </c>
      <c r="F3342" s="7">
        <v>5.8650000000000002</v>
      </c>
      <c r="G3342" s="7">
        <v>6.101</v>
      </c>
      <c r="H3342" s="7">
        <v>6.0119999999999996</v>
      </c>
      <c r="I3342" s="7">
        <v>6.0090000000000003</v>
      </c>
      <c r="J3342" s="7">
        <v>5.7389999999999999</v>
      </c>
      <c r="K3342" s="7">
        <v>5.0519999999999996</v>
      </c>
      <c r="L3342" s="7">
        <v>4.6580000000000004</v>
      </c>
      <c r="M3342" s="7">
        <v>4.9960000000000004</v>
      </c>
      <c r="N3342" s="7">
        <v>5.7939999999999996</v>
      </c>
      <c r="O3342" s="7">
        <v>6.4770000000000003</v>
      </c>
      <c r="P3342" s="7">
        <v>6.5629999999999997</v>
      </c>
      <c r="Q3342" s="7">
        <v>6.68</v>
      </c>
      <c r="R3342" s="7">
        <v>6.3010000000000002</v>
      </c>
      <c r="S3342" s="7">
        <f t="shared" si="52"/>
        <v>5.8651666666666662</v>
      </c>
    </row>
    <row r="3343" spans="1:19">
      <c r="A3343" s="5" t="str">
        <f>B3343&amp;"-"&amp;COUNTIF($B$2:B3343,B3343)</f>
        <v>PERNAMBUCO-158</v>
      </c>
      <c r="B3343" s="5" t="s">
        <v>2140</v>
      </c>
      <c r="C3343" s="5" t="s">
        <v>2242</v>
      </c>
      <c r="D3343" s="6">
        <v>-382893</v>
      </c>
      <c r="E3343" s="6">
        <v>-79822</v>
      </c>
      <c r="F3343" s="7">
        <v>5.8310000000000004</v>
      </c>
      <c r="G3343" s="7">
        <v>6.2809999999999997</v>
      </c>
      <c r="H3343" s="7">
        <v>6.2050000000000001</v>
      </c>
      <c r="I3343" s="7">
        <v>6.1210000000000004</v>
      </c>
      <c r="J3343" s="7">
        <v>5.7060000000000004</v>
      </c>
      <c r="K3343" s="7">
        <v>4.8499999999999996</v>
      </c>
      <c r="L3343" s="7">
        <v>4.4080000000000004</v>
      </c>
      <c r="M3343" s="7">
        <v>4.6580000000000004</v>
      </c>
      <c r="N3343" s="7">
        <v>5.5129999999999999</v>
      </c>
      <c r="O3343" s="7">
        <v>6.4189999999999996</v>
      </c>
      <c r="P3343" s="7">
        <v>6.5919999999999996</v>
      </c>
      <c r="Q3343" s="7">
        <v>6.77</v>
      </c>
      <c r="R3343" s="7">
        <v>6.4530000000000003</v>
      </c>
      <c r="S3343" s="7">
        <f t="shared" si="52"/>
        <v>5.8313333333333333</v>
      </c>
    </row>
    <row r="3344" spans="1:19">
      <c r="A3344" s="5" t="str">
        <f>B3344&amp;"-"&amp;COUNTIF($B$2:B3344,B3344)</f>
        <v>PERNAMBUCO-159</v>
      </c>
      <c r="B3344" s="5" t="s">
        <v>2140</v>
      </c>
      <c r="C3344" s="5" t="s">
        <v>2243</v>
      </c>
      <c r="D3344" s="6">
        <v>-392954</v>
      </c>
      <c r="E3344" s="6">
        <v>-79408</v>
      </c>
      <c r="F3344" s="7">
        <v>5.694</v>
      </c>
      <c r="G3344" s="7">
        <v>6.0289999999999999</v>
      </c>
      <c r="H3344" s="7">
        <v>5.8940000000000001</v>
      </c>
      <c r="I3344" s="7">
        <v>5.7809999999999997</v>
      </c>
      <c r="J3344" s="7">
        <v>5.4260000000000002</v>
      </c>
      <c r="K3344" s="7">
        <v>4.718</v>
      </c>
      <c r="L3344" s="7">
        <v>4.4429999999999996</v>
      </c>
      <c r="M3344" s="7">
        <v>4.7009999999999996</v>
      </c>
      <c r="N3344" s="7">
        <v>5.5220000000000002</v>
      </c>
      <c r="O3344" s="7">
        <v>6.4370000000000003</v>
      </c>
      <c r="P3344" s="7">
        <v>6.468</v>
      </c>
      <c r="Q3344" s="7">
        <v>6.6230000000000002</v>
      </c>
      <c r="R3344" s="7">
        <v>6.282</v>
      </c>
      <c r="S3344" s="7">
        <f t="shared" si="52"/>
        <v>5.6936666666666662</v>
      </c>
    </row>
    <row r="3345" spans="1:19">
      <c r="A3345" s="5" t="str">
        <f>B3345&amp;"-"&amp;COUNTIF($B$2:B3345,B3345)</f>
        <v>PERNAMBUCO-160</v>
      </c>
      <c r="B3345" s="5" t="s">
        <v>2140</v>
      </c>
      <c r="C3345" s="5" t="s">
        <v>5003</v>
      </c>
      <c r="D3345" s="6">
        <v>-372687</v>
      </c>
      <c r="E3345" s="6">
        <v>-80689</v>
      </c>
      <c r="F3345" s="7">
        <v>5.7290000000000001</v>
      </c>
      <c r="G3345" s="7">
        <v>6.2679999999999998</v>
      </c>
      <c r="H3345" s="7">
        <v>6.1269999999999998</v>
      </c>
      <c r="I3345" s="7">
        <v>6.0389999999999997</v>
      </c>
      <c r="J3345" s="7">
        <v>5.5810000000000004</v>
      </c>
      <c r="K3345" s="7">
        <v>4.8019999999999996</v>
      </c>
      <c r="L3345" s="7">
        <v>4.3</v>
      </c>
      <c r="M3345" s="7">
        <v>4.4749999999999996</v>
      </c>
      <c r="N3345" s="7">
        <v>5.2619999999999996</v>
      </c>
      <c r="O3345" s="7">
        <v>6.1840000000000002</v>
      </c>
      <c r="P3345" s="7">
        <v>6.4340000000000002</v>
      </c>
      <c r="Q3345" s="7">
        <v>6.7569999999999997</v>
      </c>
      <c r="R3345" s="7">
        <v>6.5220000000000002</v>
      </c>
      <c r="S3345" s="7">
        <f t="shared" si="52"/>
        <v>5.7292499999999995</v>
      </c>
    </row>
    <row r="3346" spans="1:19">
      <c r="A3346" s="5" t="str">
        <f>B3346&amp;"-"&amp;COUNTIF($B$2:B3346,B3346)</f>
        <v>PERNAMBUCO-161</v>
      </c>
      <c r="B3346" s="5" t="s">
        <v>2140</v>
      </c>
      <c r="C3346" s="5" t="s">
        <v>4439</v>
      </c>
      <c r="D3346" s="6">
        <v>-351129</v>
      </c>
      <c r="E3346" s="6">
        <v>-85882</v>
      </c>
      <c r="F3346" s="7">
        <v>5.2770000000000001</v>
      </c>
      <c r="G3346" s="7">
        <v>5.7359999999999998</v>
      </c>
      <c r="H3346" s="7">
        <v>5.915</v>
      </c>
      <c r="I3346" s="7">
        <v>5.952</v>
      </c>
      <c r="J3346" s="7">
        <v>5.0549999999999997</v>
      </c>
      <c r="K3346" s="7">
        <v>4.3979999999999997</v>
      </c>
      <c r="L3346" s="7">
        <v>4.0309999999999997</v>
      </c>
      <c r="M3346" s="7">
        <v>4.1459999999999999</v>
      </c>
      <c r="N3346" s="7">
        <v>4.7939999999999996</v>
      </c>
      <c r="O3346" s="7">
        <v>5.4489999999999998</v>
      </c>
      <c r="P3346" s="7">
        <v>5.7750000000000004</v>
      </c>
      <c r="Q3346" s="7">
        <v>6.0389999999999997</v>
      </c>
      <c r="R3346" s="7">
        <v>6.0369999999999999</v>
      </c>
      <c r="S3346" s="7">
        <f t="shared" si="52"/>
        <v>5.2772499999999996</v>
      </c>
    </row>
    <row r="3347" spans="1:19">
      <c r="A3347" s="5" t="str">
        <f>B3347&amp;"-"&amp;COUNTIF($B$2:B3347,B3347)</f>
        <v>PERNAMBUCO-162</v>
      </c>
      <c r="B3347" s="5" t="s">
        <v>2140</v>
      </c>
      <c r="C3347" s="5" t="s">
        <v>4104</v>
      </c>
      <c r="D3347" s="6">
        <v>-376488</v>
      </c>
      <c r="E3347" s="6">
        <v>-7601</v>
      </c>
      <c r="F3347" s="7">
        <v>5.8789999999999996</v>
      </c>
      <c r="G3347" s="7">
        <v>6.1520000000000001</v>
      </c>
      <c r="H3347" s="7">
        <v>6.1740000000000004</v>
      </c>
      <c r="I3347" s="7">
        <v>6.1420000000000003</v>
      </c>
      <c r="J3347" s="7">
        <v>5.7960000000000003</v>
      </c>
      <c r="K3347" s="7">
        <v>5.016</v>
      </c>
      <c r="L3347" s="7">
        <v>4.6529999999999996</v>
      </c>
      <c r="M3347" s="7">
        <v>4.827</v>
      </c>
      <c r="N3347" s="7">
        <v>5.7069999999999999</v>
      </c>
      <c r="O3347" s="7">
        <v>6.4489999999999998</v>
      </c>
      <c r="P3347" s="7">
        <v>6.5830000000000002</v>
      </c>
      <c r="Q3347" s="7">
        <v>6.7229999999999999</v>
      </c>
      <c r="R3347" s="7">
        <v>6.3289999999999997</v>
      </c>
      <c r="S3347" s="7">
        <f t="shared" si="52"/>
        <v>5.879249999999999</v>
      </c>
    </row>
    <row r="3348" spans="1:19">
      <c r="A3348" s="5" t="str">
        <f>B3348&amp;"-"&amp;COUNTIF($B$2:B3348,B3348)</f>
        <v>PERNAMBUCO-163</v>
      </c>
      <c r="B3348" s="5" t="s">
        <v>2140</v>
      </c>
      <c r="C3348" s="5" t="s">
        <v>2244</v>
      </c>
      <c r="D3348" s="6">
        <v>-357605</v>
      </c>
      <c r="E3348" s="6">
        <v>-78471</v>
      </c>
      <c r="F3348" s="7">
        <v>5.3</v>
      </c>
      <c r="G3348" s="7">
        <v>5.7930000000000001</v>
      </c>
      <c r="H3348" s="7">
        <v>5.7270000000000003</v>
      </c>
      <c r="I3348" s="7">
        <v>5.8070000000000004</v>
      </c>
      <c r="J3348" s="7">
        <v>5.2409999999999997</v>
      </c>
      <c r="K3348" s="7">
        <v>4.5199999999999996</v>
      </c>
      <c r="L3348" s="7">
        <v>4.0819999999999999</v>
      </c>
      <c r="M3348" s="7">
        <v>4.2439999999999998</v>
      </c>
      <c r="N3348" s="7">
        <v>4.9320000000000004</v>
      </c>
      <c r="O3348" s="7">
        <v>5.5389999999999997</v>
      </c>
      <c r="P3348" s="7">
        <v>5.75</v>
      </c>
      <c r="Q3348" s="7">
        <v>6.0609999999999999</v>
      </c>
      <c r="R3348" s="7">
        <v>5.9039999999999999</v>
      </c>
      <c r="S3348" s="7">
        <f t="shared" si="52"/>
        <v>5.3000000000000007</v>
      </c>
    </row>
    <row r="3349" spans="1:19">
      <c r="A3349" s="5" t="str">
        <f>B3349&amp;"-"&amp;COUNTIF($B$2:B3349,B3349)</f>
        <v>PERNAMBUCO-164</v>
      </c>
      <c r="B3349" s="5" t="s">
        <v>2140</v>
      </c>
      <c r="C3349" s="5" t="s">
        <v>2245</v>
      </c>
      <c r="D3349" s="6">
        <v>-37538</v>
      </c>
      <c r="E3349" s="6">
        <v>-75841</v>
      </c>
      <c r="F3349" s="7">
        <v>5.86</v>
      </c>
      <c r="G3349" s="7">
        <v>6.1740000000000004</v>
      </c>
      <c r="H3349" s="7">
        <v>6.2240000000000002</v>
      </c>
      <c r="I3349" s="7">
        <v>6.141</v>
      </c>
      <c r="J3349" s="7">
        <v>5.7930000000000001</v>
      </c>
      <c r="K3349" s="7">
        <v>5.0019999999999998</v>
      </c>
      <c r="L3349" s="7">
        <v>4.5999999999999996</v>
      </c>
      <c r="M3349" s="7">
        <v>4.758</v>
      </c>
      <c r="N3349" s="7">
        <v>5.6159999999999997</v>
      </c>
      <c r="O3349" s="7">
        <v>6.3959999999999999</v>
      </c>
      <c r="P3349" s="7">
        <v>6.5209999999999999</v>
      </c>
      <c r="Q3349" s="7">
        <v>6.7320000000000002</v>
      </c>
      <c r="R3349" s="7">
        <v>6.359</v>
      </c>
      <c r="S3349" s="7">
        <f t="shared" si="52"/>
        <v>5.8596666666666666</v>
      </c>
    </row>
    <row r="3350" spans="1:19">
      <c r="A3350" s="5" t="str">
        <f>B3350&amp;"-"&amp;COUNTIF($B$2:B3350,B3350)</f>
        <v>PERNAMBUCO-165</v>
      </c>
      <c r="B3350" s="5" t="s">
        <v>2140</v>
      </c>
      <c r="C3350" s="5" t="s">
        <v>5188</v>
      </c>
      <c r="D3350" s="6">
        <v>-362919</v>
      </c>
      <c r="E3350" s="6">
        <v>-83169</v>
      </c>
      <c r="F3350" s="7">
        <v>5.2670000000000003</v>
      </c>
      <c r="G3350" s="7">
        <v>5.8289999999999997</v>
      </c>
      <c r="H3350" s="7">
        <v>5.6710000000000003</v>
      </c>
      <c r="I3350" s="7">
        <v>5.73</v>
      </c>
      <c r="J3350" s="7">
        <v>5.2229999999999999</v>
      </c>
      <c r="K3350" s="7">
        <v>4.4429999999999996</v>
      </c>
      <c r="L3350" s="7">
        <v>3.988</v>
      </c>
      <c r="M3350" s="7">
        <v>4.0620000000000003</v>
      </c>
      <c r="N3350" s="7">
        <v>4.7939999999999996</v>
      </c>
      <c r="O3350" s="7">
        <v>5.5170000000000003</v>
      </c>
      <c r="P3350" s="7">
        <v>5.8</v>
      </c>
      <c r="Q3350" s="7">
        <v>6.1689999999999996</v>
      </c>
      <c r="R3350" s="7">
        <v>5.9850000000000003</v>
      </c>
      <c r="S3350" s="7">
        <f t="shared" si="52"/>
        <v>5.2675833333333326</v>
      </c>
    </row>
    <row r="3351" spans="1:19">
      <c r="A3351" s="5" t="str">
        <f>B3351&amp;"-"&amp;COUNTIF($B$2:B3351,B3351)</f>
        <v>PERNAMBUCO-166</v>
      </c>
      <c r="B3351" s="5" t="s">
        <v>2140</v>
      </c>
      <c r="C3351" s="5" t="s">
        <v>2246</v>
      </c>
      <c r="D3351" s="6">
        <v>-381498</v>
      </c>
      <c r="E3351" s="6">
        <v>-91034</v>
      </c>
      <c r="F3351" s="7">
        <v>5.6369999999999996</v>
      </c>
      <c r="G3351" s="7">
        <v>6.3819999999999997</v>
      </c>
      <c r="H3351" s="7">
        <v>6.117</v>
      </c>
      <c r="I3351" s="7">
        <v>6.056</v>
      </c>
      <c r="J3351" s="7">
        <v>5.3970000000000002</v>
      </c>
      <c r="K3351" s="7">
        <v>4.62</v>
      </c>
      <c r="L3351" s="7">
        <v>4.1349999999999998</v>
      </c>
      <c r="M3351" s="7">
        <v>4.3209999999999997</v>
      </c>
      <c r="N3351" s="7">
        <v>5.085</v>
      </c>
      <c r="O3351" s="7">
        <v>6.0709999999999997</v>
      </c>
      <c r="P3351" s="7">
        <v>6.2919999999999998</v>
      </c>
      <c r="Q3351" s="7">
        <v>6.7039999999999997</v>
      </c>
      <c r="R3351" s="7">
        <v>6.4710000000000001</v>
      </c>
      <c r="S3351" s="7">
        <f t="shared" si="52"/>
        <v>5.6375833333333327</v>
      </c>
    </row>
    <row r="3352" spans="1:19">
      <c r="A3352" s="5" t="str">
        <f>B3352&amp;"-"&amp;COUNTIF($B$2:B3352,B3352)</f>
        <v>PERNAMBUCO-167</v>
      </c>
      <c r="B3352" s="5" t="s">
        <v>2140</v>
      </c>
      <c r="C3352" s="5" t="s">
        <v>4440</v>
      </c>
      <c r="D3352" s="6">
        <v>-351036</v>
      </c>
      <c r="E3352" s="6">
        <v>-87571</v>
      </c>
      <c r="F3352" s="7">
        <v>5.3369999999999997</v>
      </c>
      <c r="G3352" s="7">
        <v>5.8319999999999999</v>
      </c>
      <c r="H3352" s="7">
        <v>5.9169999999999998</v>
      </c>
      <c r="I3352" s="7">
        <v>6.0010000000000003</v>
      </c>
      <c r="J3352" s="7">
        <v>5.0750000000000002</v>
      </c>
      <c r="K3352" s="7">
        <v>4.3319999999999999</v>
      </c>
      <c r="L3352" s="7">
        <v>4.0949999999999998</v>
      </c>
      <c r="M3352" s="7">
        <v>4.173</v>
      </c>
      <c r="N3352" s="7">
        <v>4.8550000000000004</v>
      </c>
      <c r="O3352" s="7">
        <v>5.5659999999999998</v>
      </c>
      <c r="P3352" s="7">
        <v>5.8940000000000001</v>
      </c>
      <c r="Q3352" s="7">
        <v>6.1289999999999996</v>
      </c>
      <c r="R3352" s="7">
        <v>6.1760000000000002</v>
      </c>
      <c r="S3352" s="7">
        <f t="shared" si="52"/>
        <v>5.3370833333333332</v>
      </c>
    </row>
    <row r="3353" spans="1:19">
      <c r="A3353" s="5" t="str">
        <f>B3353&amp;"-"&amp;COUNTIF($B$2:B3353,B3353)</f>
        <v>PERNAMBUCO-168</v>
      </c>
      <c r="B3353" s="5" t="s">
        <v>2140</v>
      </c>
      <c r="C3353" s="5" t="s">
        <v>2247</v>
      </c>
      <c r="D3353" s="6">
        <v>-360497</v>
      </c>
      <c r="E3353" s="6">
        <v>-7898</v>
      </c>
      <c r="F3353" s="7">
        <v>5.4020000000000001</v>
      </c>
      <c r="G3353" s="7">
        <v>5.8979999999999997</v>
      </c>
      <c r="H3353" s="7">
        <v>5.8940000000000001</v>
      </c>
      <c r="I3353" s="7">
        <v>5.9130000000000003</v>
      </c>
      <c r="J3353" s="7">
        <v>5.2960000000000003</v>
      </c>
      <c r="K3353" s="7">
        <v>4.6130000000000004</v>
      </c>
      <c r="L3353" s="7">
        <v>4.1029999999999998</v>
      </c>
      <c r="M3353" s="7">
        <v>4.226</v>
      </c>
      <c r="N3353" s="7">
        <v>4.9160000000000004</v>
      </c>
      <c r="O3353" s="7">
        <v>5.6369999999999996</v>
      </c>
      <c r="P3353" s="7">
        <v>5.9880000000000004</v>
      </c>
      <c r="Q3353" s="7">
        <v>6.2679999999999998</v>
      </c>
      <c r="R3353" s="7">
        <v>6.07</v>
      </c>
      <c r="S3353" s="7">
        <f t="shared" si="52"/>
        <v>5.4018333333333333</v>
      </c>
    </row>
    <row r="3354" spans="1:19">
      <c r="A3354" s="5" t="str">
        <f>B3354&amp;"-"&amp;COUNTIF($B$2:B3354,B3354)</f>
        <v>PERNAMBUCO-169</v>
      </c>
      <c r="B3354" s="5" t="s">
        <v>2140</v>
      </c>
      <c r="C3354" s="5" t="s">
        <v>2248</v>
      </c>
      <c r="D3354" s="6">
        <v>-366245</v>
      </c>
      <c r="E3354" s="6">
        <v>-9056</v>
      </c>
      <c r="F3354" s="7">
        <v>5.3979999999999997</v>
      </c>
      <c r="G3354" s="7">
        <v>6.0620000000000003</v>
      </c>
      <c r="H3354" s="7">
        <v>5.9160000000000004</v>
      </c>
      <c r="I3354" s="7">
        <v>5.9359999999999999</v>
      </c>
      <c r="J3354" s="7">
        <v>5.258</v>
      </c>
      <c r="K3354" s="7">
        <v>4.282</v>
      </c>
      <c r="L3354" s="7">
        <v>3.9249999999999998</v>
      </c>
      <c r="M3354" s="7">
        <v>4.0529999999999999</v>
      </c>
      <c r="N3354" s="7">
        <v>4.6989999999999998</v>
      </c>
      <c r="O3354" s="7">
        <v>5.6230000000000002</v>
      </c>
      <c r="P3354" s="7">
        <v>6.0049999999999999</v>
      </c>
      <c r="Q3354" s="7">
        <v>6.577</v>
      </c>
      <c r="R3354" s="7">
        <v>6.4349999999999996</v>
      </c>
      <c r="S3354" s="7">
        <f t="shared" si="52"/>
        <v>5.3975833333333334</v>
      </c>
    </row>
    <row r="3355" spans="1:19">
      <c r="A3355" s="5" t="str">
        <f>B3355&amp;"-"&amp;COUNTIF($B$2:B3355,B3355)</f>
        <v>PERNAMBUCO-170</v>
      </c>
      <c r="B3355" s="5" t="s">
        <v>2140</v>
      </c>
      <c r="C3355" s="5" t="s">
        <v>541</v>
      </c>
      <c r="D3355" s="6">
        <v>-393789</v>
      </c>
      <c r="E3355" s="6">
        <v>-82286</v>
      </c>
      <c r="F3355" s="7">
        <v>5.7229999999999999</v>
      </c>
      <c r="G3355" s="7">
        <v>6.1790000000000003</v>
      </c>
      <c r="H3355" s="7">
        <v>5.9189999999999996</v>
      </c>
      <c r="I3355" s="7">
        <v>5.87</v>
      </c>
      <c r="J3355" s="7">
        <v>5.4420000000000002</v>
      </c>
      <c r="K3355" s="7">
        <v>4.8070000000000004</v>
      </c>
      <c r="L3355" s="7">
        <v>4.4089999999999998</v>
      </c>
      <c r="M3355" s="7">
        <v>4.718</v>
      </c>
      <c r="N3355" s="7">
        <v>5.4690000000000003</v>
      </c>
      <c r="O3355" s="7">
        <v>6.4039999999999999</v>
      </c>
      <c r="P3355" s="7">
        <v>6.5010000000000003</v>
      </c>
      <c r="Q3355" s="7">
        <v>6.6230000000000002</v>
      </c>
      <c r="R3355" s="7">
        <v>6.34</v>
      </c>
      <c r="S3355" s="7">
        <f t="shared" si="52"/>
        <v>5.7234166666666662</v>
      </c>
    </row>
    <row r="3356" spans="1:19">
      <c r="A3356" s="5" t="str">
        <f>B3356&amp;"-"&amp;COUNTIF($B$2:B3356,B3356)</f>
        <v>PERNAMBUCO-171</v>
      </c>
      <c r="B3356" s="5" t="s">
        <v>2140</v>
      </c>
      <c r="C3356" s="5" t="s">
        <v>4864</v>
      </c>
      <c r="D3356" s="6">
        <v>-353172</v>
      </c>
      <c r="E3356" s="6">
        <v>-75104</v>
      </c>
      <c r="F3356" s="7">
        <v>5.2220000000000004</v>
      </c>
      <c r="G3356" s="7">
        <v>5.5279999999999996</v>
      </c>
      <c r="H3356" s="7">
        <v>5.7060000000000004</v>
      </c>
      <c r="I3356" s="7">
        <v>5.718</v>
      </c>
      <c r="J3356" s="7">
        <v>5.157</v>
      </c>
      <c r="K3356" s="7">
        <v>4.4850000000000003</v>
      </c>
      <c r="L3356" s="7">
        <v>4.1379999999999999</v>
      </c>
      <c r="M3356" s="7">
        <v>4.2430000000000003</v>
      </c>
      <c r="N3356" s="7">
        <v>4.9850000000000003</v>
      </c>
      <c r="O3356" s="7">
        <v>5.4269999999999996</v>
      </c>
      <c r="P3356" s="7">
        <v>5.6150000000000002</v>
      </c>
      <c r="Q3356" s="7">
        <v>5.8849999999999998</v>
      </c>
      <c r="R3356" s="7">
        <v>5.7729999999999997</v>
      </c>
      <c r="S3356" s="7">
        <f t="shared" si="52"/>
        <v>5.2216666666666667</v>
      </c>
    </row>
    <row r="3357" spans="1:19">
      <c r="A3357" s="5" t="str">
        <f>B3357&amp;"-"&amp;COUNTIF($B$2:B3357,B3357)</f>
        <v>PERNAMBUCO-172</v>
      </c>
      <c r="B3357" s="5" t="s">
        <v>2140</v>
      </c>
      <c r="C3357" s="5" t="s">
        <v>2249</v>
      </c>
      <c r="D3357" s="6">
        <v>-360569</v>
      </c>
      <c r="E3357" s="6">
        <v>-80042</v>
      </c>
      <c r="F3357" s="7">
        <v>5.335</v>
      </c>
      <c r="G3357" s="7">
        <v>5.851</v>
      </c>
      <c r="H3357" s="7">
        <v>5.8070000000000004</v>
      </c>
      <c r="I3357" s="7">
        <v>5.8689999999999998</v>
      </c>
      <c r="J3357" s="7">
        <v>5.3280000000000003</v>
      </c>
      <c r="K3357" s="7">
        <v>4.5430000000000001</v>
      </c>
      <c r="L3357" s="7">
        <v>4.0279999999999996</v>
      </c>
      <c r="M3357" s="7">
        <v>4.1269999999999998</v>
      </c>
      <c r="N3357" s="7">
        <v>4.798</v>
      </c>
      <c r="O3357" s="7">
        <v>5.5090000000000003</v>
      </c>
      <c r="P3357" s="7">
        <v>5.8719999999999999</v>
      </c>
      <c r="Q3357" s="7">
        <v>6.2160000000000002</v>
      </c>
      <c r="R3357" s="7">
        <v>6.07</v>
      </c>
      <c r="S3357" s="7">
        <f t="shared" si="52"/>
        <v>5.3348333333333331</v>
      </c>
    </row>
    <row r="3358" spans="1:19">
      <c r="A3358" s="5" t="str">
        <f>B3358&amp;"-"&amp;COUNTIF($B$2:B3358,B3358)</f>
        <v>PERNAMBUCO-173</v>
      </c>
      <c r="B3358" s="5" t="s">
        <v>2140</v>
      </c>
      <c r="C3358" s="5" t="s">
        <v>4441</v>
      </c>
      <c r="D3358" s="6">
        <v>-352363</v>
      </c>
      <c r="E3358" s="6">
        <v>-78033</v>
      </c>
      <c r="F3358" s="7">
        <v>5.2649999999999997</v>
      </c>
      <c r="G3358" s="7">
        <v>5.6529999999999996</v>
      </c>
      <c r="H3358" s="7">
        <v>5.774</v>
      </c>
      <c r="I3358" s="7">
        <v>5.774</v>
      </c>
      <c r="J3358" s="7">
        <v>5.1719999999999997</v>
      </c>
      <c r="K3358" s="7">
        <v>4.4710000000000001</v>
      </c>
      <c r="L3358" s="7">
        <v>4.1289999999999996</v>
      </c>
      <c r="M3358" s="7">
        <v>4.2300000000000004</v>
      </c>
      <c r="N3358" s="7">
        <v>4.9470000000000001</v>
      </c>
      <c r="O3358" s="7">
        <v>5.4820000000000002</v>
      </c>
      <c r="P3358" s="7">
        <v>5.6959999999999997</v>
      </c>
      <c r="Q3358" s="7">
        <v>5.9669999999999996</v>
      </c>
      <c r="R3358" s="7">
        <v>5.88</v>
      </c>
      <c r="S3358" s="7">
        <f t="shared" si="52"/>
        <v>5.2645833333333334</v>
      </c>
    </row>
    <row r="3359" spans="1:19">
      <c r="A3359" s="5" t="str">
        <f>B3359&amp;"-"&amp;COUNTIF($B$2:B3359,B3359)</f>
        <v>PERNAMBUCO-174</v>
      </c>
      <c r="B3359" s="5" t="s">
        <v>2140</v>
      </c>
      <c r="C3359" s="5" t="s">
        <v>867</v>
      </c>
      <c r="D3359" s="6">
        <v>-40265</v>
      </c>
      <c r="E3359" s="6">
        <v>-77594</v>
      </c>
      <c r="F3359" s="7">
        <v>5.6360000000000001</v>
      </c>
      <c r="G3359" s="7">
        <v>5.87</v>
      </c>
      <c r="H3359" s="7">
        <v>5.58</v>
      </c>
      <c r="I3359" s="7">
        <v>5.7610000000000001</v>
      </c>
      <c r="J3359" s="7">
        <v>5.1989999999999998</v>
      </c>
      <c r="K3359" s="7">
        <v>4.74</v>
      </c>
      <c r="L3359" s="7">
        <v>4.484</v>
      </c>
      <c r="M3359" s="7">
        <v>4.7450000000000001</v>
      </c>
      <c r="N3359" s="7">
        <v>5.73</v>
      </c>
      <c r="O3359" s="7">
        <v>6.3440000000000003</v>
      </c>
      <c r="P3359" s="7">
        <v>6.4210000000000003</v>
      </c>
      <c r="Q3359" s="7">
        <v>6.4889999999999999</v>
      </c>
      <c r="R3359" s="7">
        <v>6.2679999999999998</v>
      </c>
      <c r="S3359" s="7">
        <f t="shared" si="52"/>
        <v>5.6359166666666658</v>
      </c>
    </row>
    <row r="3360" spans="1:19">
      <c r="A3360" s="5" t="str">
        <f>B3360&amp;"-"&amp;COUNTIF($B$2:B3360,B3360)</f>
        <v>PERNAMBUCO-175</v>
      </c>
      <c r="B3360" s="5" t="s">
        <v>2140</v>
      </c>
      <c r="C3360" s="5" t="s">
        <v>1918</v>
      </c>
      <c r="D3360" s="6">
        <v>-381055</v>
      </c>
      <c r="E3360" s="6">
        <v>-78344</v>
      </c>
      <c r="F3360" s="7">
        <v>5.8639999999999999</v>
      </c>
      <c r="G3360" s="7">
        <v>6.1369999999999996</v>
      </c>
      <c r="H3360" s="7">
        <v>6.07</v>
      </c>
      <c r="I3360" s="7">
        <v>6.101</v>
      </c>
      <c r="J3360" s="7">
        <v>5.7069999999999999</v>
      </c>
      <c r="K3360" s="7">
        <v>4.9530000000000003</v>
      </c>
      <c r="L3360" s="7">
        <v>4.617</v>
      </c>
      <c r="M3360" s="7">
        <v>4.8760000000000003</v>
      </c>
      <c r="N3360" s="7">
        <v>5.7510000000000003</v>
      </c>
      <c r="O3360" s="7">
        <v>6.5289999999999999</v>
      </c>
      <c r="P3360" s="7">
        <v>6.5869999999999997</v>
      </c>
      <c r="Q3360" s="7">
        <v>6.7130000000000001</v>
      </c>
      <c r="R3360" s="7">
        <v>6.3319999999999999</v>
      </c>
      <c r="S3360" s="7">
        <f t="shared" si="52"/>
        <v>5.8644166666666662</v>
      </c>
    </row>
    <row r="3361" spans="1:19">
      <c r="A3361" s="5" t="str">
        <f>B3361&amp;"-"&amp;COUNTIF($B$2:B3361,B3361)</f>
        <v>PERNAMBUCO-176</v>
      </c>
      <c r="B3361" s="5" t="s">
        <v>2140</v>
      </c>
      <c r="C3361" s="5" t="s">
        <v>2250</v>
      </c>
      <c r="D3361" s="6">
        <v>-373432</v>
      </c>
      <c r="E3361" s="6">
        <v>-87536</v>
      </c>
      <c r="F3361" s="7">
        <v>5.6340000000000003</v>
      </c>
      <c r="G3361" s="7">
        <v>6.343</v>
      </c>
      <c r="H3361" s="7">
        <v>6.1470000000000002</v>
      </c>
      <c r="I3361" s="7">
        <v>6.1989999999999998</v>
      </c>
      <c r="J3361" s="7">
        <v>5.55</v>
      </c>
      <c r="K3361" s="7">
        <v>4.5149999999999997</v>
      </c>
      <c r="L3361" s="7">
        <v>4.0149999999999997</v>
      </c>
      <c r="M3361" s="7">
        <v>4.18</v>
      </c>
      <c r="N3361" s="7">
        <v>4.9560000000000004</v>
      </c>
      <c r="O3361" s="7">
        <v>5.9859999999999998</v>
      </c>
      <c r="P3361" s="7">
        <v>6.3609999999999998</v>
      </c>
      <c r="Q3361" s="7">
        <v>6.7789999999999999</v>
      </c>
      <c r="R3361" s="7">
        <v>6.5789999999999997</v>
      </c>
      <c r="S3361" s="7">
        <f t="shared" si="52"/>
        <v>5.6341666666666654</v>
      </c>
    </row>
    <row r="3362" spans="1:19">
      <c r="A3362" s="5" t="str">
        <f>B3362&amp;"-"&amp;COUNTIF($B$2:B3362,B3362)</f>
        <v>PERNAMBUCO-177</v>
      </c>
      <c r="B3362" s="5" t="s">
        <v>2140</v>
      </c>
      <c r="C3362" s="5" t="s">
        <v>2251</v>
      </c>
      <c r="D3362" s="5" t="s">
        <v>2252</v>
      </c>
      <c r="E3362" s="6">
        <v>-76015</v>
      </c>
      <c r="F3362" s="7">
        <v>5.8049999999999997</v>
      </c>
      <c r="G3362" s="7">
        <v>6.2389999999999999</v>
      </c>
      <c r="H3362" s="7">
        <v>6.06</v>
      </c>
      <c r="I3362" s="7">
        <v>6.0789999999999997</v>
      </c>
      <c r="J3362" s="7">
        <v>5.6680000000000001</v>
      </c>
      <c r="K3362" s="7">
        <v>4.9809999999999999</v>
      </c>
      <c r="L3362" s="7">
        <v>4.5039999999999996</v>
      </c>
      <c r="M3362" s="7">
        <v>4.694</v>
      </c>
      <c r="N3362" s="7">
        <v>5.51</v>
      </c>
      <c r="O3362" s="7">
        <v>6.343</v>
      </c>
      <c r="P3362" s="7">
        <v>6.5250000000000004</v>
      </c>
      <c r="Q3362" s="7">
        <v>6.7130000000000001</v>
      </c>
      <c r="R3362" s="7">
        <v>6.3410000000000002</v>
      </c>
      <c r="S3362" s="7">
        <f t="shared" si="52"/>
        <v>5.8047499999999994</v>
      </c>
    </row>
    <row r="3363" spans="1:19">
      <c r="A3363" s="5" t="str">
        <f>B3363&amp;"-"&amp;COUNTIF($B$2:B3363,B3363)</f>
        <v>PERNAMBUCO-178</v>
      </c>
      <c r="B3363" s="5" t="s">
        <v>2140</v>
      </c>
      <c r="C3363" s="5" t="s">
        <v>2253</v>
      </c>
      <c r="D3363" s="6">
        <v>-368762</v>
      </c>
      <c r="E3363" s="6">
        <v>-85765</v>
      </c>
      <c r="F3363" s="7">
        <v>5.508</v>
      </c>
      <c r="G3363" s="7">
        <v>6.2469999999999999</v>
      </c>
      <c r="H3363" s="7">
        <v>6.008</v>
      </c>
      <c r="I3363" s="7">
        <v>6.0339999999999998</v>
      </c>
      <c r="J3363" s="7">
        <v>5.4329999999999998</v>
      </c>
      <c r="K3363" s="7">
        <v>4.4729999999999999</v>
      </c>
      <c r="L3363" s="7">
        <v>3.9940000000000002</v>
      </c>
      <c r="M3363" s="7">
        <v>4.0209999999999999</v>
      </c>
      <c r="N3363" s="7">
        <v>4.843</v>
      </c>
      <c r="O3363" s="7">
        <v>5.806</v>
      </c>
      <c r="P3363" s="7">
        <v>6.1820000000000004</v>
      </c>
      <c r="Q3363" s="7">
        <v>6.6289999999999996</v>
      </c>
      <c r="R3363" s="7">
        <v>6.4329999999999998</v>
      </c>
      <c r="S3363" s="7">
        <f t="shared" si="52"/>
        <v>5.5085833333333332</v>
      </c>
    </row>
    <row r="3364" spans="1:19">
      <c r="A3364" s="5" t="str">
        <f>B3364&amp;"-"&amp;COUNTIF($B$2:B3364,B3364)</f>
        <v>PERNAMBUCO-179</v>
      </c>
      <c r="B3364" s="5" t="s">
        <v>2140</v>
      </c>
      <c r="C3364" s="5" t="s">
        <v>2254</v>
      </c>
      <c r="D3364" s="6">
        <v>-389699</v>
      </c>
      <c r="E3364" s="6">
        <v>-79305</v>
      </c>
      <c r="F3364" s="7">
        <v>5.7329999999999997</v>
      </c>
      <c r="G3364" s="7">
        <v>5.9960000000000004</v>
      </c>
      <c r="H3364" s="7">
        <v>5.93</v>
      </c>
      <c r="I3364" s="7">
        <v>5.9219999999999997</v>
      </c>
      <c r="J3364" s="7">
        <v>5.4630000000000001</v>
      </c>
      <c r="K3364" s="7">
        <v>4.8579999999999997</v>
      </c>
      <c r="L3364" s="7">
        <v>4.5090000000000003</v>
      </c>
      <c r="M3364" s="7">
        <v>4.7960000000000003</v>
      </c>
      <c r="N3364" s="7">
        <v>5.5659999999999998</v>
      </c>
      <c r="O3364" s="7">
        <v>6.4580000000000002</v>
      </c>
      <c r="P3364" s="7">
        <v>6.444</v>
      </c>
      <c r="Q3364" s="7">
        <v>6.5979999999999999</v>
      </c>
      <c r="R3364" s="7">
        <v>6.2530000000000001</v>
      </c>
      <c r="S3364" s="7">
        <f t="shared" si="52"/>
        <v>5.7327500000000002</v>
      </c>
    </row>
    <row r="3365" spans="1:19">
      <c r="A3365" s="5" t="str">
        <f>B3365&amp;"-"&amp;COUNTIF($B$2:B3365,B3365)</f>
        <v>PERNAMBUCO-180</v>
      </c>
      <c r="B3365" s="5" t="s">
        <v>2140</v>
      </c>
      <c r="C3365" s="5" t="s">
        <v>4442</v>
      </c>
      <c r="D3365" s="6">
        <v>-358493</v>
      </c>
      <c r="E3365" s="6">
        <v>-77713</v>
      </c>
      <c r="F3365" s="7">
        <v>5.3410000000000002</v>
      </c>
      <c r="G3365" s="7">
        <v>5.7910000000000004</v>
      </c>
      <c r="H3365" s="7">
        <v>5.8109999999999999</v>
      </c>
      <c r="I3365" s="7">
        <v>5.87</v>
      </c>
      <c r="J3365" s="7">
        <v>5.26</v>
      </c>
      <c r="K3365" s="7">
        <v>4.5730000000000004</v>
      </c>
      <c r="L3365" s="7">
        <v>4.0910000000000002</v>
      </c>
      <c r="M3365" s="7">
        <v>4.2880000000000003</v>
      </c>
      <c r="N3365" s="7">
        <v>4.9669999999999996</v>
      </c>
      <c r="O3365" s="7">
        <v>5.5439999999999996</v>
      </c>
      <c r="P3365" s="7">
        <v>5.8209999999999997</v>
      </c>
      <c r="Q3365" s="7">
        <v>6.1230000000000002</v>
      </c>
      <c r="R3365" s="7">
        <v>5.9530000000000003</v>
      </c>
      <c r="S3365" s="7">
        <f t="shared" si="52"/>
        <v>5.3409999999999984</v>
      </c>
    </row>
    <row r="3366" spans="1:19">
      <c r="A3366" s="5" t="str">
        <f>B3366&amp;"-"&amp;COUNTIF($B$2:B3366,B3366)</f>
        <v>PERNAMBUCO-181</v>
      </c>
      <c r="B3366" s="5" t="s">
        <v>2140</v>
      </c>
      <c r="C3366" s="5" t="s">
        <v>2255</v>
      </c>
      <c r="D3366" s="6">
        <v>-359867</v>
      </c>
      <c r="E3366" s="6">
        <v>-79036</v>
      </c>
      <c r="F3366" s="7">
        <v>5.3019999999999996</v>
      </c>
      <c r="G3366" s="7">
        <v>5.7220000000000004</v>
      </c>
      <c r="H3366" s="7">
        <v>5.7729999999999997</v>
      </c>
      <c r="I3366" s="7">
        <v>5.8419999999999996</v>
      </c>
      <c r="J3366" s="7">
        <v>5.1920000000000002</v>
      </c>
      <c r="K3366" s="7">
        <v>4.5620000000000003</v>
      </c>
      <c r="L3366" s="7">
        <v>4.0439999999999996</v>
      </c>
      <c r="M3366" s="7">
        <v>4.2610000000000001</v>
      </c>
      <c r="N3366" s="7">
        <v>4.8739999999999997</v>
      </c>
      <c r="O3366" s="7">
        <v>5.4729999999999999</v>
      </c>
      <c r="P3366" s="7">
        <v>5.7949999999999999</v>
      </c>
      <c r="Q3366" s="7">
        <v>6.1059999999999999</v>
      </c>
      <c r="R3366" s="7">
        <v>5.9829999999999997</v>
      </c>
      <c r="S3366" s="7">
        <f t="shared" si="52"/>
        <v>5.3022499999999999</v>
      </c>
    </row>
    <row r="3367" spans="1:19">
      <c r="A3367" s="5" t="str">
        <f>B3367&amp;"-"&amp;COUNTIF($B$2:B3367,B3367)</f>
        <v>PERNAMBUCO-182</v>
      </c>
      <c r="B3367" s="5" t="s">
        <v>2140</v>
      </c>
      <c r="C3367" s="5" t="s">
        <v>5309</v>
      </c>
      <c r="D3367" s="6">
        <v>-353218</v>
      </c>
      <c r="E3367" s="6">
        <v>-76565</v>
      </c>
      <c r="F3367" s="7">
        <v>5.141</v>
      </c>
      <c r="G3367" s="7">
        <v>5.4669999999999996</v>
      </c>
      <c r="H3367" s="7">
        <v>5.6150000000000002</v>
      </c>
      <c r="I3367" s="7">
        <v>5.6950000000000003</v>
      </c>
      <c r="J3367" s="7">
        <v>5.0830000000000002</v>
      </c>
      <c r="K3367" s="7">
        <v>4.3789999999999996</v>
      </c>
      <c r="L3367" s="7">
        <v>4.0190000000000001</v>
      </c>
      <c r="M3367" s="7">
        <v>4.0960000000000001</v>
      </c>
      <c r="N3367" s="7">
        <v>4.8209999999999997</v>
      </c>
      <c r="O3367" s="7">
        <v>5.3540000000000001</v>
      </c>
      <c r="P3367" s="7">
        <v>5.5460000000000003</v>
      </c>
      <c r="Q3367" s="7">
        <v>5.8860000000000001</v>
      </c>
      <c r="R3367" s="7">
        <v>5.726</v>
      </c>
      <c r="S3367" s="7">
        <f t="shared" si="52"/>
        <v>5.1405833333333328</v>
      </c>
    </row>
    <row r="3368" spans="1:19">
      <c r="A3368" s="5" t="str">
        <f>B3368&amp;"-"&amp;COUNTIF($B$2:B3368,B3368)</f>
        <v>PERNAMBUCO-183</v>
      </c>
      <c r="B3368" s="5" t="s">
        <v>2140</v>
      </c>
      <c r="C3368" s="5" t="s">
        <v>5189</v>
      </c>
      <c r="D3368" s="6">
        <v>-352979</v>
      </c>
      <c r="E3368" s="6">
        <v>-81286</v>
      </c>
      <c r="F3368" s="7">
        <v>5.2610000000000001</v>
      </c>
      <c r="G3368" s="7">
        <v>5.7270000000000003</v>
      </c>
      <c r="H3368" s="7">
        <v>5.77</v>
      </c>
      <c r="I3368" s="7">
        <v>5.7750000000000004</v>
      </c>
      <c r="J3368" s="7">
        <v>5.0579999999999998</v>
      </c>
      <c r="K3368" s="7">
        <v>4.4160000000000004</v>
      </c>
      <c r="L3368" s="7">
        <v>4.0960000000000001</v>
      </c>
      <c r="M3368" s="7">
        <v>4.194</v>
      </c>
      <c r="N3368" s="7">
        <v>4.8810000000000002</v>
      </c>
      <c r="O3368" s="7">
        <v>5.53</v>
      </c>
      <c r="P3368" s="7">
        <v>5.7309999999999999</v>
      </c>
      <c r="Q3368" s="7">
        <v>5.9379999999999997</v>
      </c>
      <c r="R3368" s="7">
        <v>6.0119999999999996</v>
      </c>
      <c r="S3368" s="7">
        <f t="shared" si="52"/>
        <v>5.2606666666666673</v>
      </c>
    </row>
    <row r="3369" spans="1:19">
      <c r="A3369" s="5" t="str">
        <f>B3369&amp;"-"&amp;COUNTIF($B$2:B3369,B3369)</f>
        <v>PERNAMBUCO-184</v>
      </c>
      <c r="B3369" s="5" t="s">
        <v>2140</v>
      </c>
      <c r="C3369" s="5" t="s">
        <v>4443</v>
      </c>
      <c r="D3369" s="6">
        <v>-356215</v>
      </c>
      <c r="E3369" s="6">
        <v>-8805</v>
      </c>
      <c r="F3369" s="7">
        <v>5.0869999999999997</v>
      </c>
      <c r="G3369" s="7">
        <v>5.6340000000000003</v>
      </c>
      <c r="H3369" s="7">
        <v>5.5910000000000002</v>
      </c>
      <c r="I3369" s="7">
        <v>5.6470000000000002</v>
      </c>
      <c r="J3369" s="7">
        <v>5.0019999999999998</v>
      </c>
      <c r="K3369" s="7">
        <v>4.2229999999999999</v>
      </c>
      <c r="L3369" s="7">
        <v>3.88</v>
      </c>
      <c r="M3369" s="7">
        <v>3.9169999999999998</v>
      </c>
      <c r="N3369" s="7">
        <v>4.5469999999999997</v>
      </c>
      <c r="O3369" s="7">
        <v>5.2880000000000003</v>
      </c>
      <c r="P3369" s="7">
        <v>5.4960000000000004</v>
      </c>
      <c r="Q3369" s="7">
        <v>5.9260000000000002</v>
      </c>
      <c r="R3369" s="7">
        <v>5.8940000000000001</v>
      </c>
      <c r="S3369" s="7">
        <f t="shared" si="52"/>
        <v>5.0870833333333332</v>
      </c>
    </row>
    <row r="3370" spans="1:19">
      <c r="A3370" s="5" t="str">
        <f>B3370&amp;"-"&amp;COUNTIF($B$2:B3370,B3370)</f>
        <v>PIAUI-1</v>
      </c>
      <c r="B3370" s="5" t="s">
        <v>2256</v>
      </c>
      <c r="C3370" s="5" t="s">
        <v>1790</v>
      </c>
      <c r="D3370" s="6">
        <v>-426341</v>
      </c>
      <c r="E3370" s="6">
        <v>-58919</v>
      </c>
      <c r="F3370" s="7">
        <v>5.6449999999999996</v>
      </c>
      <c r="G3370" s="7">
        <v>5.0439999999999996</v>
      </c>
      <c r="H3370" s="7">
        <v>5.2610000000000001</v>
      </c>
      <c r="I3370" s="7">
        <v>5.26</v>
      </c>
      <c r="J3370" s="7">
        <v>5.1189999999999998</v>
      </c>
      <c r="K3370" s="7">
        <v>5.2270000000000003</v>
      </c>
      <c r="L3370" s="7">
        <v>5.4139999999999997</v>
      </c>
      <c r="M3370" s="7">
        <v>5.6760000000000002</v>
      </c>
      <c r="N3370" s="7">
        <v>6.1959999999999997</v>
      </c>
      <c r="O3370" s="7">
        <v>6.5670000000000002</v>
      </c>
      <c r="P3370" s="7">
        <v>6.3639999999999999</v>
      </c>
      <c r="Q3370" s="7">
        <v>5.9960000000000004</v>
      </c>
      <c r="R3370" s="7">
        <v>5.6189999999999998</v>
      </c>
      <c r="S3370" s="7">
        <f t="shared" si="52"/>
        <v>5.6452499999999999</v>
      </c>
    </row>
    <row r="3371" spans="1:19">
      <c r="A3371" s="5" t="str">
        <f>B3371&amp;"-"&amp;COUNTIF($B$2:B3371,B3371)</f>
        <v>PIAUI-2</v>
      </c>
      <c r="B3371" s="5" t="s">
        <v>2256</v>
      </c>
      <c r="C3371" s="5" t="s">
        <v>5395</v>
      </c>
      <c r="D3371" s="6">
        <v>-410821</v>
      </c>
      <c r="E3371" s="6">
        <v>-82176</v>
      </c>
      <c r="F3371" s="7">
        <v>5.8689999999999998</v>
      </c>
      <c r="G3371" s="7">
        <v>6.0140000000000002</v>
      </c>
      <c r="H3371" s="7">
        <v>5.7670000000000003</v>
      </c>
      <c r="I3371" s="7">
        <v>5.7679999999999998</v>
      </c>
      <c r="J3371" s="7">
        <v>5.39</v>
      </c>
      <c r="K3371" s="7">
        <v>5.0819999999999999</v>
      </c>
      <c r="L3371" s="7">
        <v>4.9950000000000001</v>
      </c>
      <c r="M3371" s="7">
        <v>5.35</v>
      </c>
      <c r="N3371" s="7">
        <v>6.1639999999999997</v>
      </c>
      <c r="O3371" s="7">
        <v>6.601</v>
      </c>
      <c r="P3371" s="7">
        <v>6.6280000000000001</v>
      </c>
      <c r="Q3371" s="7">
        <v>6.4690000000000003</v>
      </c>
      <c r="R3371" s="7">
        <v>6.1989999999999998</v>
      </c>
      <c r="S3371" s="7">
        <f t="shared" si="52"/>
        <v>5.8689166666666663</v>
      </c>
    </row>
    <row r="3372" spans="1:19">
      <c r="A3372" s="5" t="str">
        <f>B3372&amp;"-"&amp;COUNTIF($B$2:B3372,B3372)</f>
        <v>PIAUI-3</v>
      </c>
      <c r="B3372" s="5" t="s">
        <v>2256</v>
      </c>
      <c r="C3372" s="5" t="s">
        <v>5004</v>
      </c>
      <c r="D3372" s="6">
        <v>-426585</v>
      </c>
      <c r="E3372" s="6">
        <v>-5798</v>
      </c>
      <c r="F3372" s="7">
        <v>5.6369999999999996</v>
      </c>
      <c r="G3372" s="7">
        <v>4.9610000000000003</v>
      </c>
      <c r="H3372" s="7">
        <v>5.2380000000000004</v>
      </c>
      <c r="I3372" s="7">
        <v>5.2130000000000001</v>
      </c>
      <c r="J3372" s="7">
        <v>5.1130000000000004</v>
      </c>
      <c r="K3372" s="7">
        <v>5.2140000000000004</v>
      </c>
      <c r="L3372" s="7">
        <v>5.431</v>
      </c>
      <c r="M3372" s="7">
        <v>5.6840000000000002</v>
      </c>
      <c r="N3372" s="7">
        <v>6.2439999999999998</v>
      </c>
      <c r="O3372" s="7">
        <v>6.5960000000000001</v>
      </c>
      <c r="P3372" s="7">
        <v>6.3620000000000001</v>
      </c>
      <c r="Q3372" s="7">
        <v>5.9930000000000003</v>
      </c>
      <c r="R3372" s="7">
        <v>5.593</v>
      </c>
      <c r="S3372" s="7">
        <f t="shared" si="52"/>
        <v>5.6368333333333345</v>
      </c>
    </row>
    <row r="3373" spans="1:19">
      <c r="A3373" s="5" t="str">
        <f>B3373&amp;"-"&amp;COUNTIF($B$2:B3373,B3373)</f>
        <v>PIAUI-4</v>
      </c>
      <c r="B3373" s="5" t="s">
        <v>2256</v>
      </c>
      <c r="C3373" s="5" t="s">
        <v>2257</v>
      </c>
      <c r="D3373" s="6">
        <v>-40937</v>
      </c>
      <c r="E3373" s="6">
        <v>-70087</v>
      </c>
      <c r="F3373" s="7">
        <v>5.7709999999999999</v>
      </c>
      <c r="G3373" s="7">
        <v>5.5460000000000003</v>
      </c>
      <c r="H3373" s="7">
        <v>5.4279999999999999</v>
      </c>
      <c r="I3373" s="7">
        <v>5.6360000000000001</v>
      </c>
      <c r="J3373" s="7">
        <v>5.298</v>
      </c>
      <c r="K3373" s="7">
        <v>5.085</v>
      </c>
      <c r="L3373" s="7">
        <v>5.0519999999999996</v>
      </c>
      <c r="M3373" s="7">
        <v>5.4710000000000001</v>
      </c>
      <c r="N3373" s="7">
        <v>6.2249999999999996</v>
      </c>
      <c r="O3373" s="7">
        <v>6.65</v>
      </c>
      <c r="P3373" s="7">
        <v>6.4569999999999999</v>
      </c>
      <c r="Q3373" s="7">
        <v>6.3940000000000001</v>
      </c>
      <c r="R3373" s="7">
        <v>6.0119999999999996</v>
      </c>
      <c r="S3373" s="7">
        <f t="shared" si="52"/>
        <v>5.7711666666666668</v>
      </c>
    </row>
    <row r="3374" spans="1:19">
      <c r="A3374" s="5" t="str">
        <f>B3374&amp;"-"&amp;COUNTIF($B$2:B3374,B3374)</f>
        <v>PIAUI-5</v>
      </c>
      <c r="B3374" s="5" t="s">
        <v>2256</v>
      </c>
      <c r="C3374" s="5" t="s">
        <v>2258</v>
      </c>
      <c r="D3374" s="6">
        <v>-408569</v>
      </c>
      <c r="E3374" s="6">
        <v>-72424</v>
      </c>
      <c r="F3374" s="7">
        <v>5.7720000000000002</v>
      </c>
      <c r="G3374" s="7">
        <v>5.6109999999999998</v>
      </c>
      <c r="H3374" s="7">
        <v>5.4880000000000004</v>
      </c>
      <c r="I3374" s="7">
        <v>5.6130000000000004</v>
      </c>
      <c r="J3374" s="7">
        <v>5.2729999999999997</v>
      </c>
      <c r="K3374" s="7">
        <v>5.1689999999999996</v>
      </c>
      <c r="L3374" s="7">
        <v>5.0819999999999999</v>
      </c>
      <c r="M3374" s="7">
        <v>5.5</v>
      </c>
      <c r="N3374" s="7">
        <v>6.0750000000000002</v>
      </c>
      <c r="O3374" s="7">
        <v>6.6020000000000003</v>
      </c>
      <c r="P3374" s="7">
        <v>6.4329999999999998</v>
      </c>
      <c r="Q3374" s="7">
        <v>6.399</v>
      </c>
      <c r="R3374" s="7">
        <v>6.0170000000000003</v>
      </c>
      <c r="S3374" s="7">
        <f t="shared" si="52"/>
        <v>5.7718333333333334</v>
      </c>
    </row>
    <row r="3375" spans="1:19">
      <c r="A3375" s="5" t="str">
        <f>B3375&amp;"-"&amp;COUNTIF($B$2:B3375,B3375)</f>
        <v>PIAUI-6</v>
      </c>
      <c r="B3375" s="5" t="s">
        <v>2256</v>
      </c>
      <c r="C3375" s="5" t="s">
        <v>5687</v>
      </c>
      <c r="D3375" s="6">
        <v>-422099</v>
      </c>
      <c r="E3375" s="6">
        <v>-52567</v>
      </c>
      <c r="F3375" s="7">
        <v>5.6959999999999997</v>
      </c>
      <c r="G3375" s="7">
        <v>5.2080000000000002</v>
      </c>
      <c r="H3375" s="7">
        <v>5.306</v>
      </c>
      <c r="I3375" s="7">
        <v>5.3570000000000002</v>
      </c>
      <c r="J3375" s="7">
        <v>5.1429999999999998</v>
      </c>
      <c r="K3375" s="7">
        <v>5.1559999999999997</v>
      </c>
      <c r="L3375" s="7">
        <v>5.2990000000000004</v>
      </c>
      <c r="M3375" s="7">
        <v>5.601</v>
      </c>
      <c r="N3375" s="7">
        <v>6.2039999999999997</v>
      </c>
      <c r="O3375" s="7">
        <v>6.5620000000000003</v>
      </c>
      <c r="P3375" s="7">
        <v>6.4630000000000001</v>
      </c>
      <c r="Q3375" s="7">
        <v>6.242</v>
      </c>
      <c r="R3375" s="7">
        <v>5.8040000000000003</v>
      </c>
      <c r="S3375" s="7">
        <f t="shared" si="52"/>
        <v>5.6954166666666666</v>
      </c>
    </row>
    <row r="3376" spans="1:19">
      <c r="A3376" s="5" t="str">
        <f>B3376&amp;"-"&amp;COUNTIF($B$2:B3376,B3376)</f>
        <v>PIAUI-7</v>
      </c>
      <c r="B3376" s="5" t="s">
        <v>2256</v>
      </c>
      <c r="C3376" s="5" t="s">
        <v>2259</v>
      </c>
      <c r="D3376" s="6">
        <v>-424615</v>
      </c>
      <c r="E3376" s="6">
        <v>-50393</v>
      </c>
      <c r="F3376" s="7">
        <v>5.6459999999999999</v>
      </c>
      <c r="G3376" s="7">
        <v>5.1509999999999998</v>
      </c>
      <c r="H3376" s="7">
        <v>5.2489999999999997</v>
      </c>
      <c r="I3376" s="7">
        <v>5.3239999999999998</v>
      </c>
      <c r="J3376" s="7">
        <v>5.0750000000000002</v>
      </c>
      <c r="K3376" s="7">
        <v>5.1029999999999998</v>
      </c>
      <c r="L3376" s="7">
        <v>5.27</v>
      </c>
      <c r="M3376" s="7">
        <v>5.5670000000000002</v>
      </c>
      <c r="N3376" s="7">
        <v>6.1840000000000002</v>
      </c>
      <c r="O3376" s="7">
        <v>6.5389999999999997</v>
      </c>
      <c r="P3376" s="7">
        <v>6.43</v>
      </c>
      <c r="Q3376" s="7">
        <v>6.1840000000000002</v>
      </c>
      <c r="R3376" s="7">
        <v>5.681</v>
      </c>
      <c r="S3376" s="7">
        <f t="shared" si="52"/>
        <v>5.6464166666666671</v>
      </c>
    </row>
    <row r="3377" spans="1:19">
      <c r="A3377" s="5" t="str">
        <f>B3377&amp;"-"&amp;COUNTIF($B$2:B3377,B3377)</f>
        <v>PIAUI-8</v>
      </c>
      <c r="B3377" s="5" t="s">
        <v>2256</v>
      </c>
      <c r="C3377" s="5" t="s">
        <v>4444</v>
      </c>
      <c r="D3377" s="6">
        <v>-438652</v>
      </c>
      <c r="E3377" s="6">
        <v>-84442</v>
      </c>
      <c r="F3377" s="7">
        <v>5.6669999999999998</v>
      </c>
      <c r="G3377" s="7">
        <v>5.5369999999999999</v>
      </c>
      <c r="H3377" s="7">
        <v>5.3129999999999997</v>
      </c>
      <c r="I3377" s="7">
        <v>5.3019999999999996</v>
      </c>
      <c r="J3377" s="7">
        <v>5.367</v>
      </c>
      <c r="K3377" s="7">
        <v>5.3280000000000003</v>
      </c>
      <c r="L3377" s="7">
        <v>5.2850000000000001</v>
      </c>
      <c r="M3377" s="7">
        <v>5.57</v>
      </c>
      <c r="N3377" s="7">
        <v>6.1840000000000002</v>
      </c>
      <c r="O3377" s="7">
        <v>6.5519999999999996</v>
      </c>
      <c r="P3377" s="7">
        <v>6.1920000000000002</v>
      </c>
      <c r="Q3377" s="7">
        <v>5.8049999999999997</v>
      </c>
      <c r="R3377" s="7">
        <v>5.5730000000000004</v>
      </c>
      <c r="S3377" s="7">
        <f t="shared" si="52"/>
        <v>5.6673333333333344</v>
      </c>
    </row>
    <row r="3378" spans="1:19">
      <c r="A3378" s="5" t="str">
        <f>B3378&amp;"-"&amp;COUNTIF($B$2:B3378,B3378)</f>
        <v>PIAUI-9</v>
      </c>
      <c r="B3378" s="5" t="s">
        <v>2256</v>
      </c>
      <c r="C3378" s="5" t="s">
        <v>2260</v>
      </c>
      <c r="D3378" s="6">
        <v>-428508</v>
      </c>
      <c r="E3378" s="6">
        <v>-62449</v>
      </c>
      <c r="F3378" s="7">
        <v>5.62</v>
      </c>
      <c r="G3378" s="7">
        <v>5.0620000000000003</v>
      </c>
      <c r="H3378" s="7">
        <v>5.2140000000000004</v>
      </c>
      <c r="I3378" s="7">
        <v>5.2039999999999997</v>
      </c>
      <c r="J3378" s="7">
        <v>5.1369999999999996</v>
      </c>
      <c r="K3378" s="7">
        <v>5.2629999999999999</v>
      </c>
      <c r="L3378" s="7">
        <v>5.4059999999999997</v>
      </c>
      <c r="M3378" s="7">
        <v>5.66</v>
      </c>
      <c r="N3378" s="7">
        <v>6.1550000000000002</v>
      </c>
      <c r="O3378" s="7">
        <v>6.56</v>
      </c>
      <c r="P3378" s="7">
        <v>6.2720000000000002</v>
      </c>
      <c r="Q3378" s="7">
        <v>6.0010000000000003</v>
      </c>
      <c r="R3378" s="7">
        <v>5.51</v>
      </c>
      <c r="S3378" s="7">
        <f t="shared" si="52"/>
        <v>5.6203333333333338</v>
      </c>
    </row>
    <row r="3379" spans="1:19">
      <c r="A3379" s="5" t="str">
        <f>B3379&amp;"-"&amp;COUNTIF($B$2:B3379,B3379)</f>
        <v>PIAUI-10</v>
      </c>
      <c r="B3379" s="5" t="s">
        <v>2256</v>
      </c>
      <c r="C3379" s="5" t="s">
        <v>2261</v>
      </c>
      <c r="D3379" s="6">
        <v>-430498</v>
      </c>
      <c r="E3379" s="6">
        <v>-91861</v>
      </c>
      <c r="F3379" s="7">
        <v>5.9020000000000001</v>
      </c>
      <c r="G3379" s="7">
        <v>6.0389999999999997</v>
      </c>
      <c r="H3379" s="7">
        <v>5.734</v>
      </c>
      <c r="I3379" s="7">
        <v>5.6429999999999998</v>
      </c>
      <c r="J3379" s="7">
        <v>5.4370000000000003</v>
      </c>
      <c r="K3379" s="7">
        <v>5.258</v>
      </c>
      <c r="L3379" s="7">
        <v>5.2629999999999999</v>
      </c>
      <c r="M3379" s="7">
        <v>5.649</v>
      </c>
      <c r="N3379" s="7">
        <v>6.3890000000000002</v>
      </c>
      <c r="O3379" s="7">
        <v>6.6710000000000003</v>
      </c>
      <c r="P3379" s="7">
        <v>6.476</v>
      </c>
      <c r="Q3379" s="7">
        <v>6.202</v>
      </c>
      <c r="R3379" s="7">
        <v>6.0620000000000003</v>
      </c>
      <c r="S3379" s="7">
        <f t="shared" si="52"/>
        <v>5.9019166666666676</v>
      </c>
    </row>
    <row r="3380" spans="1:19">
      <c r="A3380" s="5" t="str">
        <f>B3380&amp;"-"&amp;COUNTIF($B$2:B3380,B3380)</f>
        <v>PIAUI-11</v>
      </c>
      <c r="B3380" s="5" t="s">
        <v>2256</v>
      </c>
      <c r="C3380" s="5" t="s">
        <v>2262</v>
      </c>
      <c r="D3380" s="6">
        <v>-427404</v>
      </c>
      <c r="E3380" s="6">
        <v>-60883</v>
      </c>
      <c r="F3380" s="7">
        <v>5.6070000000000002</v>
      </c>
      <c r="G3380" s="7">
        <v>5.0599999999999996</v>
      </c>
      <c r="H3380" s="7">
        <v>5.2039999999999997</v>
      </c>
      <c r="I3380" s="7">
        <v>5.2080000000000002</v>
      </c>
      <c r="J3380" s="7">
        <v>5.1130000000000004</v>
      </c>
      <c r="K3380" s="7">
        <v>5.1989999999999998</v>
      </c>
      <c r="L3380" s="7">
        <v>5.359</v>
      </c>
      <c r="M3380" s="7">
        <v>5.665</v>
      </c>
      <c r="N3380" s="7">
        <v>6.2389999999999999</v>
      </c>
      <c r="O3380" s="7">
        <v>6.5460000000000003</v>
      </c>
      <c r="P3380" s="7">
        <v>6.2510000000000003</v>
      </c>
      <c r="Q3380" s="7">
        <v>5.9749999999999996</v>
      </c>
      <c r="R3380" s="7">
        <v>5.4660000000000002</v>
      </c>
      <c r="S3380" s="7">
        <f t="shared" si="52"/>
        <v>5.6070833333333328</v>
      </c>
    </row>
    <row r="3381" spans="1:19">
      <c r="A3381" s="5" t="str">
        <f>B3381&amp;"-"&amp;COUNTIF($B$2:B3381,B3381)</f>
        <v>PIAUI-12</v>
      </c>
      <c r="B3381" s="5" t="s">
        <v>2256</v>
      </c>
      <c r="C3381" s="5" t="s">
        <v>4571</v>
      </c>
      <c r="D3381" s="6">
        <v>-441935</v>
      </c>
      <c r="E3381" s="6">
        <v>-72195</v>
      </c>
      <c r="F3381" s="7">
        <v>5.53</v>
      </c>
      <c r="G3381" s="7">
        <v>5.0730000000000004</v>
      </c>
      <c r="H3381" s="7">
        <v>5.0529999999999999</v>
      </c>
      <c r="I3381" s="7">
        <v>4.9729999999999999</v>
      </c>
      <c r="J3381" s="7">
        <v>5.1349999999999998</v>
      </c>
      <c r="K3381" s="7">
        <v>5.3029999999999999</v>
      </c>
      <c r="L3381" s="7">
        <v>5.4139999999999997</v>
      </c>
      <c r="M3381" s="7">
        <v>5.6159999999999997</v>
      </c>
      <c r="N3381" s="7">
        <v>6.1349999999999998</v>
      </c>
      <c r="O3381" s="7">
        <v>6.6079999999999997</v>
      </c>
      <c r="P3381" s="7">
        <v>6.1269999999999998</v>
      </c>
      <c r="Q3381" s="7">
        <v>5.64</v>
      </c>
      <c r="R3381" s="7">
        <v>5.2779999999999996</v>
      </c>
      <c r="S3381" s="7">
        <f t="shared" si="52"/>
        <v>5.529583333333334</v>
      </c>
    </row>
    <row r="3382" spans="1:19">
      <c r="A3382" s="5" t="str">
        <f>B3382&amp;"-"&amp;COUNTIF($B$2:B3382,B3382)</f>
        <v>PIAUI-13</v>
      </c>
      <c r="B3382" s="5" t="s">
        <v>2256</v>
      </c>
      <c r="C3382" s="5" t="s">
        <v>2263</v>
      </c>
      <c r="D3382" s="6">
        <v>-417825</v>
      </c>
      <c r="E3382" s="6">
        <v>-61106</v>
      </c>
      <c r="F3382" s="7">
        <v>5.6520000000000001</v>
      </c>
      <c r="G3382" s="7">
        <v>5.1859999999999999</v>
      </c>
      <c r="H3382" s="7">
        <v>5.1890000000000001</v>
      </c>
      <c r="I3382" s="7">
        <v>5.15</v>
      </c>
      <c r="J3382" s="7">
        <v>5.1959999999999997</v>
      </c>
      <c r="K3382" s="7">
        <v>5.2069999999999999</v>
      </c>
      <c r="L3382" s="7">
        <v>5.2569999999999997</v>
      </c>
      <c r="M3382" s="7">
        <v>5.5910000000000002</v>
      </c>
      <c r="N3382" s="7">
        <v>6.1909999999999998</v>
      </c>
      <c r="O3382" s="7">
        <v>6.6070000000000002</v>
      </c>
      <c r="P3382" s="7">
        <v>6.3949999999999996</v>
      </c>
      <c r="Q3382" s="7">
        <v>6.1689999999999996</v>
      </c>
      <c r="R3382" s="7">
        <v>5.6859999999999999</v>
      </c>
      <c r="S3382" s="7">
        <f t="shared" si="52"/>
        <v>5.652000000000001</v>
      </c>
    </row>
    <row r="3383" spans="1:19">
      <c r="A3383" s="5" t="str">
        <f>B3383&amp;"-"&amp;COUNTIF($B$2:B3383,B3383)</f>
        <v>PIAUI-14</v>
      </c>
      <c r="B3383" s="5" t="s">
        <v>2256</v>
      </c>
      <c r="C3383" s="5" t="s">
        <v>2264</v>
      </c>
      <c r="D3383" s="6">
        <v>-415652</v>
      </c>
      <c r="E3383" s="6">
        <v>-72773</v>
      </c>
      <c r="F3383" s="7">
        <v>5.8029999999999999</v>
      </c>
      <c r="G3383" s="7">
        <v>5.5019999999999998</v>
      </c>
      <c r="H3383" s="7">
        <v>5.4790000000000001</v>
      </c>
      <c r="I3383" s="7">
        <v>5.609</v>
      </c>
      <c r="J3383" s="7">
        <v>5.3289999999999997</v>
      </c>
      <c r="K3383" s="7">
        <v>5.2480000000000002</v>
      </c>
      <c r="L3383" s="7">
        <v>5.2430000000000003</v>
      </c>
      <c r="M3383" s="7">
        <v>5.59</v>
      </c>
      <c r="N3383" s="7">
        <v>6.2069999999999999</v>
      </c>
      <c r="O3383" s="7">
        <v>6.6859999999999999</v>
      </c>
      <c r="P3383" s="7">
        <v>6.5090000000000003</v>
      </c>
      <c r="Q3383" s="7">
        <v>6.2969999999999997</v>
      </c>
      <c r="R3383" s="7">
        <v>5.9409999999999998</v>
      </c>
      <c r="S3383" s="7">
        <f t="shared" si="52"/>
        <v>5.8033333333333337</v>
      </c>
    </row>
    <row r="3384" spans="1:19">
      <c r="A3384" s="5" t="str">
        <f>B3384&amp;"-"&amp;COUNTIF($B$2:B3384,B3384)</f>
        <v>PIAUI-15</v>
      </c>
      <c r="B3384" s="5" t="s">
        <v>2256</v>
      </c>
      <c r="C3384" s="5" t="s">
        <v>2265</v>
      </c>
      <c r="D3384" s="6">
        <v>-425349</v>
      </c>
      <c r="E3384" s="6">
        <v>-66518</v>
      </c>
      <c r="F3384" s="7">
        <v>5.6859999999999999</v>
      </c>
      <c r="G3384" s="7">
        <v>5.2370000000000001</v>
      </c>
      <c r="H3384" s="7">
        <v>5.3319999999999999</v>
      </c>
      <c r="I3384" s="7">
        <v>5.266</v>
      </c>
      <c r="J3384" s="7">
        <v>5.2770000000000001</v>
      </c>
      <c r="K3384" s="7">
        <v>5.2930000000000001</v>
      </c>
      <c r="L3384" s="7">
        <v>5.2939999999999996</v>
      </c>
      <c r="M3384" s="7">
        <v>5.6479999999999997</v>
      </c>
      <c r="N3384" s="7">
        <v>6.1509999999999998</v>
      </c>
      <c r="O3384" s="7">
        <v>6.492</v>
      </c>
      <c r="P3384" s="7">
        <v>6.4219999999999997</v>
      </c>
      <c r="Q3384" s="7">
        <v>6.1189999999999998</v>
      </c>
      <c r="R3384" s="7">
        <v>5.7050000000000001</v>
      </c>
      <c r="S3384" s="7">
        <f t="shared" si="52"/>
        <v>5.6863333333333328</v>
      </c>
    </row>
    <row r="3385" spans="1:19">
      <c r="A3385" s="5" t="str">
        <f>B3385&amp;"-"&amp;COUNTIF($B$2:B3385,B3385)</f>
        <v>PIAUI-16</v>
      </c>
      <c r="B3385" s="5" t="s">
        <v>2256</v>
      </c>
      <c r="C3385" s="5" t="s">
        <v>4737</v>
      </c>
      <c r="D3385" s="6">
        <v>-410392</v>
      </c>
      <c r="E3385" s="6">
        <v>-58654</v>
      </c>
      <c r="F3385" s="7">
        <v>5.7489999999999997</v>
      </c>
      <c r="G3385" s="7">
        <v>5.3579999999999997</v>
      </c>
      <c r="H3385" s="7">
        <v>5.266</v>
      </c>
      <c r="I3385" s="7">
        <v>5.399</v>
      </c>
      <c r="J3385" s="7">
        <v>5.1120000000000001</v>
      </c>
      <c r="K3385" s="7">
        <v>5.1079999999999997</v>
      </c>
      <c r="L3385" s="7">
        <v>5.165</v>
      </c>
      <c r="M3385" s="7">
        <v>5.5330000000000004</v>
      </c>
      <c r="N3385" s="7">
        <v>6.2839999999999998</v>
      </c>
      <c r="O3385" s="7">
        <v>6.7060000000000004</v>
      </c>
      <c r="P3385" s="7">
        <v>6.6310000000000002</v>
      </c>
      <c r="Q3385" s="7">
        <v>6.5110000000000001</v>
      </c>
      <c r="R3385" s="7">
        <v>5.9080000000000004</v>
      </c>
      <c r="S3385" s="7">
        <f t="shared" si="52"/>
        <v>5.7484166666666665</v>
      </c>
    </row>
    <row r="3386" spans="1:19">
      <c r="A3386" s="5" t="str">
        <f>B3386&amp;"-"&amp;COUNTIF($B$2:B3386,B3386)</f>
        <v>PIAUI-17</v>
      </c>
      <c r="B3386" s="5" t="s">
        <v>2256</v>
      </c>
      <c r="C3386" s="5" t="s">
        <v>2266</v>
      </c>
      <c r="D3386" s="6">
        <v>-439496</v>
      </c>
      <c r="E3386" s="6">
        <v>-101347</v>
      </c>
      <c r="F3386" s="7">
        <v>5.8659999999999997</v>
      </c>
      <c r="G3386" s="7">
        <v>6.0810000000000004</v>
      </c>
      <c r="H3386" s="7">
        <v>5.79</v>
      </c>
      <c r="I3386" s="7">
        <v>5.6840000000000002</v>
      </c>
      <c r="J3386" s="7">
        <v>5.5279999999999996</v>
      </c>
      <c r="K3386" s="7">
        <v>5.391</v>
      </c>
      <c r="L3386" s="7">
        <v>5.258</v>
      </c>
      <c r="M3386" s="7">
        <v>5.54</v>
      </c>
      <c r="N3386" s="7">
        <v>6.2350000000000003</v>
      </c>
      <c r="O3386" s="7">
        <v>6.4850000000000003</v>
      </c>
      <c r="P3386" s="7">
        <v>6.3289999999999997</v>
      </c>
      <c r="Q3386" s="7">
        <v>6.0140000000000002</v>
      </c>
      <c r="R3386" s="7">
        <v>6.0529999999999999</v>
      </c>
      <c r="S3386" s="7">
        <f t="shared" si="52"/>
        <v>5.8656666666666659</v>
      </c>
    </row>
    <row r="3387" spans="1:19">
      <c r="A3387" s="5" t="str">
        <f>B3387&amp;"-"&amp;COUNTIF($B$2:B3387,B3387)</f>
        <v>PIAUI-18</v>
      </c>
      <c r="B3387" s="5" t="s">
        <v>2256</v>
      </c>
      <c r="C3387" s="5" t="s">
        <v>2267</v>
      </c>
      <c r="D3387" s="6">
        <v>-452098</v>
      </c>
      <c r="E3387" s="6">
        <v>-78599</v>
      </c>
      <c r="F3387" s="7">
        <v>5.4390000000000001</v>
      </c>
      <c r="G3387" s="7">
        <v>5.0199999999999996</v>
      </c>
      <c r="H3387" s="7">
        <v>5.08</v>
      </c>
      <c r="I3387" s="7">
        <v>4.9210000000000003</v>
      </c>
      <c r="J3387" s="7">
        <v>5.1829999999999998</v>
      </c>
      <c r="K3387" s="7">
        <v>5.3019999999999996</v>
      </c>
      <c r="L3387" s="7">
        <v>5.3330000000000002</v>
      </c>
      <c r="M3387" s="7">
        <v>5.5350000000000001</v>
      </c>
      <c r="N3387" s="7">
        <v>6.0339999999999998</v>
      </c>
      <c r="O3387" s="7">
        <v>6.4779999999999998</v>
      </c>
      <c r="P3387" s="7">
        <v>5.915</v>
      </c>
      <c r="Q3387" s="7">
        <v>5.3159999999999998</v>
      </c>
      <c r="R3387" s="7">
        <v>5.1539999999999999</v>
      </c>
      <c r="S3387" s="7">
        <f t="shared" si="52"/>
        <v>5.4392500000000004</v>
      </c>
    </row>
    <row r="3388" spans="1:19">
      <c r="A3388" s="5" t="str">
        <f>B3388&amp;"-"&amp;COUNTIF($B$2:B3388,B3388)</f>
        <v>PIAUI-19</v>
      </c>
      <c r="B3388" s="5" t="s">
        <v>2256</v>
      </c>
      <c r="C3388" s="5" t="s">
        <v>5005</v>
      </c>
      <c r="D3388" s="6">
        <v>-421067</v>
      </c>
      <c r="E3388" s="6">
        <v>-65194</v>
      </c>
      <c r="F3388" s="7">
        <v>5.6379999999999999</v>
      </c>
      <c r="G3388" s="7">
        <v>5.18</v>
      </c>
      <c r="H3388" s="7">
        <v>5.2169999999999996</v>
      </c>
      <c r="I3388" s="7">
        <v>5.173</v>
      </c>
      <c r="J3388" s="7">
        <v>5.1420000000000003</v>
      </c>
      <c r="K3388" s="7">
        <v>5.2119999999999997</v>
      </c>
      <c r="L3388" s="7">
        <v>5.2539999999999996</v>
      </c>
      <c r="M3388" s="7">
        <v>5.6139999999999999</v>
      </c>
      <c r="N3388" s="7">
        <v>6.1790000000000003</v>
      </c>
      <c r="O3388" s="7">
        <v>6.5949999999999998</v>
      </c>
      <c r="P3388" s="7">
        <v>6.2960000000000003</v>
      </c>
      <c r="Q3388" s="7">
        <v>6.11</v>
      </c>
      <c r="R3388" s="7">
        <v>5.68</v>
      </c>
      <c r="S3388" s="7">
        <f t="shared" si="52"/>
        <v>5.6376666666666653</v>
      </c>
    </row>
    <row r="3389" spans="1:19">
      <c r="A3389" s="5" t="str">
        <f>B3389&amp;"-"&amp;COUNTIF($B$2:B3389,B3389)</f>
        <v>PIAUI-20</v>
      </c>
      <c r="B3389" s="5" t="s">
        <v>2256</v>
      </c>
      <c r="C3389" s="5" t="s">
        <v>2268</v>
      </c>
      <c r="D3389" s="6">
        <v>-422925</v>
      </c>
      <c r="E3389" s="6">
        <v>-42451</v>
      </c>
      <c r="F3389" s="7">
        <v>5.6689999999999996</v>
      </c>
      <c r="G3389" s="7">
        <v>5.3209999999999997</v>
      </c>
      <c r="H3389" s="7">
        <v>5.3650000000000002</v>
      </c>
      <c r="I3389" s="7">
        <v>5.24</v>
      </c>
      <c r="J3389" s="7">
        <v>4.9809999999999999</v>
      </c>
      <c r="K3389" s="7">
        <v>5.0609999999999999</v>
      </c>
      <c r="L3389" s="7">
        <v>5.25</v>
      </c>
      <c r="M3389" s="7">
        <v>5.58</v>
      </c>
      <c r="N3389" s="7">
        <v>6.2089999999999996</v>
      </c>
      <c r="O3389" s="7">
        <v>6.4749999999999996</v>
      </c>
      <c r="P3389" s="7">
        <v>6.4349999999999996</v>
      </c>
      <c r="Q3389" s="7">
        <v>6.3230000000000004</v>
      </c>
      <c r="R3389" s="7">
        <v>5.7869999999999999</v>
      </c>
      <c r="S3389" s="7">
        <f t="shared" si="52"/>
        <v>5.6689166666666679</v>
      </c>
    </row>
    <row r="3390" spans="1:19">
      <c r="A3390" s="5" t="str">
        <f>B3390&amp;"-"&amp;COUNTIF($B$2:B3390,B3390)</f>
        <v>PIAUI-21</v>
      </c>
      <c r="B3390" s="5" t="s">
        <v>2256</v>
      </c>
      <c r="C3390" s="5" t="s">
        <v>2269</v>
      </c>
      <c r="D3390" s="6">
        <v>-454735</v>
      </c>
      <c r="E3390" s="6">
        <v>-99239</v>
      </c>
      <c r="F3390" s="7">
        <v>5.6760000000000002</v>
      </c>
      <c r="G3390" s="7">
        <v>5.8440000000000003</v>
      </c>
      <c r="H3390" s="7">
        <v>5.7350000000000003</v>
      </c>
      <c r="I3390" s="7">
        <v>5.4809999999999999</v>
      </c>
      <c r="J3390" s="7">
        <v>5.3390000000000004</v>
      </c>
      <c r="K3390" s="7">
        <v>5.4260000000000002</v>
      </c>
      <c r="L3390" s="7">
        <v>5.2</v>
      </c>
      <c r="M3390" s="7">
        <v>5.2530000000000001</v>
      </c>
      <c r="N3390" s="7">
        <v>5.8849999999999998</v>
      </c>
      <c r="O3390" s="7">
        <v>6.2850000000000001</v>
      </c>
      <c r="P3390" s="7">
        <v>6.1349999999999998</v>
      </c>
      <c r="Q3390" s="7">
        <v>5.6920000000000002</v>
      </c>
      <c r="R3390" s="7">
        <v>5.84</v>
      </c>
      <c r="S3390" s="7">
        <f t="shared" si="52"/>
        <v>5.6762500000000005</v>
      </c>
    </row>
    <row r="3391" spans="1:19">
      <c r="A3391" s="5" t="str">
        <f>B3391&amp;"-"&amp;COUNTIF($B$2:B3391,B3391)</f>
        <v>PIAUI-22</v>
      </c>
      <c r="B3391" s="5" t="s">
        <v>2256</v>
      </c>
      <c r="C3391" s="5" t="s">
        <v>2270</v>
      </c>
      <c r="D3391" s="6">
        <v>-42515</v>
      </c>
      <c r="E3391" s="6">
        <v>-58171</v>
      </c>
      <c r="F3391" s="7">
        <v>5.6420000000000003</v>
      </c>
      <c r="G3391" s="7">
        <v>4.9749999999999996</v>
      </c>
      <c r="H3391" s="7">
        <v>5.2060000000000004</v>
      </c>
      <c r="I3391" s="7">
        <v>5.1929999999999996</v>
      </c>
      <c r="J3391" s="7">
        <v>5.1070000000000002</v>
      </c>
      <c r="K3391" s="7">
        <v>5.2190000000000003</v>
      </c>
      <c r="L3391" s="7">
        <v>5.4029999999999996</v>
      </c>
      <c r="M3391" s="7">
        <v>5.673</v>
      </c>
      <c r="N3391" s="7">
        <v>6.2370000000000001</v>
      </c>
      <c r="O3391" s="7">
        <v>6.6269999999999998</v>
      </c>
      <c r="P3391" s="7">
        <v>6.3959999999999999</v>
      </c>
      <c r="Q3391" s="7">
        <v>6.07</v>
      </c>
      <c r="R3391" s="7">
        <v>5.5949999999999998</v>
      </c>
      <c r="S3391" s="7">
        <f t="shared" si="52"/>
        <v>5.6417500000000009</v>
      </c>
    </row>
    <row r="3392" spans="1:19">
      <c r="A3392" s="5" t="str">
        <f>B3392&amp;"-"&amp;COUNTIF($B$2:B3392,B3392)</f>
        <v>PIAUI-23</v>
      </c>
      <c r="B3392" s="5" t="s">
        <v>2256</v>
      </c>
      <c r="C3392" s="5" t="s">
        <v>104</v>
      </c>
      <c r="D3392" s="6">
        <v>-42079</v>
      </c>
      <c r="E3392" s="6">
        <v>-40227</v>
      </c>
      <c r="F3392" s="7">
        <v>5.7080000000000002</v>
      </c>
      <c r="G3392" s="7">
        <v>5.319</v>
      </c>
      <c r="H3392" s="7">
        <v>5.4619999999999997</v>
      </c>
      <c r="I3392" s="7">
        <v>5.3890000000000002</v>
      </c>
      <c r="J3392" s="7">
        <v>5.1859999999999999</v>
      </c>
      <c r="K3392" s="7">
        <v>5.2089999999999996</v>
      </c>
      <c r="L3392" s="7">
        <v>5.3090000000000002</v>
      </c>
      <c r="M3392" s="7">
        <v>5.58</v>
      </c>
      <c r="N3392" s="7">
        <v>6.0880000000000001</v>
      </c>
      <c r="O3392" s="7">
        <v>6.4530000000000003</v>
      </c>
      <c r="P3392" s="7">
        <v>6.49</v>
      </c>
      <c r="Q3392" s="7">
        <v>6.2880000000000003</v>
      </c>
      <c r="R3392" s="7">
        <v>5.7130000000000001</v>
      </c>
      <c r="S3392" s="7">
        <f t="shared" si="52"/>
        <v>5.7071666666666667</v>
      </c>
    </row>
    <row r="3393" spans="1:19">
      <c r="A3393" s="5" t="str">
        <f>B3393&amp;"-"&amp;COUNTIF($B$2:B3393,B3393)</f>
        <v>PIAUI-24</v>
      </c>
      <c r="B3393" s="5" t="s">
        <v>2256</v>
      </c>
      <c r="C3393" s="5" t="s">
        <v>2271</v>
      </c>
      <c r="D3393" s="6">
        <v>-418679</v>
      </c>
      <c r="E3393" s="6">
        <v>-79885</v>
      </c>
      <c r="F3393" s="7">
        <v>5.843</v>
      </c>
      <c r="G3393" s="7">
        <v>5.7469999999999999</v>
      </c>
      <c r="H3393" s="7">
        <v>5.6360000000000001</v>
      </c>
      <c r="I3393" s="7">
        <v>5.62</v>
      </c>
      <c r="J3393" s="7">
        <v>5.3159999999999998</v>
      </c>
      <c r="K3393" s="7">
        <v>5.2619999999999996</v>
      </c>
      <c r="L3393" s="7">
        <v>5.2320000000000002</v>
      </c>
      <c r="M3393" s="7">
        <v>5.55</v>
      </c>
      <c r="N3393" s="7">
        <v>6.2709999999999999</v>
      </c>
      <c r="O3393" s="7">
        <v>6.5910000000000002</v>
      </c>
      <c r="P3393" s="7">
        <v>6.5640000000000001</v>
      </c>
      <c r="Q3393" s="7">
        <v>6.3159999999999998</v>
      </c>
      <c r="R3393" s="7">
        <v>6.0060000000000002</v>
      </c>
      <c r="S3393" s="7">
        <f t="shared" si="52"/>
        <v>5.8425833333333337</v>
      </c>
    </row>
    <row r="3394" spans="1:19">
      <c r="A3394" s="5" t="str">
        <f>B3394&amp;"-"&amp;COUNTIF($B$2:B3394,B3394)</f>
        <v>PIAUI-25</v>
      </c>
      <c r="B3394" s="5" t="s">
        <v>2256</v>
      </c>
      <c r="C3394" s="5" t="s">
        <v>4445</v>
      </c>
      <c r="D3394" s="6">
        <v>-409691</v>
      </c>
      <c r="E3394" s="6">
        <v>-73669</v>
      </c>
      <c r="F3394" s="7">
        <v>5.8010000000000002</v>
      </c>
      <c r="G3394" s="7">
        <v>5.6079999999999997</v>
      </c>
      <c r="H3394" s="7">
        <v>5.5309999999999997</v>
      </c>
      <c r="I3394" s="7">
        <v>5.56</v>
      </c>
      <c r="J3394" s="7">
        <v>5.2809999999999997</v>
      </c>
      <c r="K3394" s="7">
        <v>5.1849999999999996</v>
      </c>
      <c r="L3394" s="7">
        <v>5.1520000000000001</v>
      </c>
      <c r="M3394" s="7">
        <v>5.5090000000000003</v>
      </c>
      <c r="N3394" s="7">
        <v>6.2050000000000001</v>
      </c>
      <c r="O3394" s="7">
        <v>6.6760000000000002</v>
      </c>
      <c r="P3394" s="7">
        <v>6.4950000000000001</v>
      </c>
      <c r="Q3394" s="7">
        <v>6.3819999999999997</v>
      </c>
      <c r="R3394" s="7">
        <v>6.0289999999999999</v>
      </c>
      <c r="S3394" s="7">
        <f t="shared" si="52"/>
        <v>5.8010833333333318</v>
      </c>
    </row>
    <row r="3395" spans="1:19">
      <c r="A3395" s="5" t="str">
        <f>B3395&amp;"-"&amp;COUNTIF($B$2:B3395,B3395)</f>
        <v>PIAUI-26</v>
      </c>
      <c r="B3395" s="5" t="s">
        <v>2256</v>
      </c>
      <c r="C3395" s="5" t="s">
        <v>2272</v>
      </c>
      <c r="D3395" s="6">
        <v>-423598</v>
      </c>
      <c r="E3395" s="6">
        <v>-54568</v>
      </c>
      <c r="F3395" s="7">
        <v>5.7069999999999999</v>
      </c>
      <c r="G3395" s="7">
        <v>5.2270000000000003</v>
      </c>
      <c r="H3395" s="7">
        <v>5.3259999999999996</v>
      </c>
      <c r="I3395" s="7">
        <v>5.2919999999999998</v>
      </c>
      <c r="J3395" s="7">
        <v>5.2</v>
      </c>
      <c r="K3395" s="7">
        <v>5.2290000000000001</v>
      </c>
      <c r="L3395" s="7">
        <v>5.3719999999999999</v>
      </c>
      <c r="M3395" s="7">
        <v>5.6289999999999996</v>
      </c>
      <c r="N3395" s="7">
        <v>6.141</v>
      </c>
      <c r="O3395" s="7">
        <v>6.5519999999999996</v>
      </c>
      <c r="P3395" s="7">
        <v>6.45</v>
      </c>
      <c r="Q3395" s="7">
        <v>6.25</v>
      </c>
      <c r="R3395" s="7">
        <v>5.819</v>
      </c>
      <c r="S3395" s="7">
        <f t="shared" ref="S3395:S3458" si="53">(G3395+H3395+I3395+J3395+K3395+L3395+M3395+N3395+O3395+P3395+Q3395+R3395)/12</f>
        <v>5.7072499999999993</v>
      </c>
    </row>
    <row r="3396" spans="1:19">
      <c r="A3396" s="5" t="str">
        <f>B3396&amp;"-"&amp;COUNTIF($B$2:B3396,B3396)</f>
        <v>PIAUI-27</v>
      </c>
      <c r="B3396" s="5" t="s">
        <v>2256</v>
      </c>
      <c r="C3396" s="5" t="s">
        <v>2273</v>
      </c>
      <c r="D3396" s="6">
        <v>-439501</v>
      </c>
      <c r="E3396" s="6">
        <v>-76338</v>
      </c>
      <c r="F3396" s="7">
        <v>5.61</v>
      </c>
      <c r="G3396" s="7">
        <v>5.25</v>
      </c>
      <c r="H3396" s="7">
        <v>5.2130000000000001</v>
      </c>
      <c r="I3396" s="7">
        <v>5.1210000000000004</v>
      </c>
      <c r="J3396" s="7">
        <v>5.1749999999999998</v>
      </c>
      <c r="K3396" s="7">
        <v>5.3029999999999999</v>
      </c>
      <c r="L3396" s="7">
        <v>5.3710000000000004</v>
      </c>
      <c r="M3396" s="7">
        <v>5.6020000000000003</v>
      </c>
      <c r="N3396" s="7">
        <v>6.2249999999999996</v>
      </c>
      <c r="O3396" s="7">
        <v>6.56</v>
      </c>
      <c r="P3396" s="7">
        <v>6.2530000000000001</v>
      </c>
      <c r="Q3396" s="7">
        <v>5.75</v>
      </c>
      <c r="R3396" s="7">
        <v>5.5010000000000003</v>
      </c>
      <c r="S3396" s="7">
        <f t="shared" si="53"/>
        <v>5.6103333333333332</v>
      </c>
    </row>
    <row r="3397" spans="1:19">
      <c r="A3397" s="5" t="str">
        <f>B3397&amp;"-"&amp;COUNTIF($B$2:B3397,B3397)</f>
        <v>PIAUI-28</v>
      </c>
      <c r="B3397" s="5" t="s">
        <v>2256</v>
      </c>
      <c r="C3397" s="5" t="s">
        <v>5006</v>
      </c>
      <c r="D3397" s="6">
        <v>-407992</v>
      </c>
      <c r="E3397" s="6">
        <v>-81442</v>
      </c>
      <c r="F3397" s="7">
        <v>5.8570000000000002</v>
      </c>
      <c r="G3397" s="7">
        <v>5.9509999999999996</v>
      </c>
      <c r="H3397" s="7">
        <v>5.7039999999999997</v>
      </c>
      <c r="I3397" s="7">
        <v>5.8070000000000004</v>
      </c>
      <c r="J3397" s="7">
        <v>5.3310000000000004</v>
      </c>
      <c r="K3397" s="7">
        <v>5.0430000000000001</v>
      </c>
      <c r="L3397" s="7">
        <v>4.9260000000000002</v>
      </c>
      <c r="M3397" s="7">
        <v>5.3109999999999999</v>
      </c>
      <c r="N3397" s="7">
        <v>6.1779999999999999</v>
      </c>
      <c r="O3397" s="7">
        <v>6.65</v>
      </c>
      <c r="P3397" s="7">
        <v>6.6630000000000003</v>
      </c>
      <c r="Q3397" s="7">
        <v>6.5170000000000003</v>
      </c>
      <c r="R3397" s="7">
        <v>6.1970000000000001</v>
      </c>
      <c r="S3397" s="7">
        <f t="shared" si="53"/>
        <v>5.8564999999999996</v>
      </c>
    </row>
    <row r="3398" spans="1:19">
      <c r="A3398" s="5" t="str">
        <f>B3398&amp;"-"&amp;COUNTIF($B$2:B3398,B3398)</f>
        <v>PIAUI-29</v>
      </c>
      <c r="B3398" s="5" t="s">
        <v>2256</v>
      </c>
      <c r="C3398" s="5" t="s">
        <v>2274</v>
      </c>
      <c r="D3398" s="6">
        <v>-421222</v>
      </c>
      <c r="E3398" s="6">
        <v>-44081</v>
      </c>
      <c r="F3398" s="7">
        <v>5.6580000000000004</v>
      </c>
      <c r="G3398" s="7">
        <v>5.2720000000000002</v>
      </c>
      <c r="H3398" s="7">
        <v>5.335</v>
      </c>
      <c r="I3398" s="7">
        <v>5.2930000000000001</v>
      </c>
      <c r="J3398" s="7">
        <v>5.0350000000000001</v>
      </c>
      <c r="K3398" s="7">
        <v>5.1230000000000002</v>
      </c>
      <c r="L3398" s="7">
        <v>5.2949999999999999</v>
      </c>
      <c r="M3398" s="7">
        <v>5.556</v>
      </c>
      <c r="N3398" s="7">
        <v>6.1130000000000004</v>
      </c>
      <c r="O3398" s="7">
        <v>6.4729999999999999</v>
      </c>
      <c r="P3398" s="7">
        <v>6.3719999999999999</v>
      </c>
      <c r="Q3398" s="7">
        <v>6.2809999999999997</v>
      </c>
      <c r="R3398" s="7">
        <v>5.7460000000000004</v>
      </c>
      <c r="S3398" s="7">
        <f t="shared" si="53"/>
        <v>5.6578333333333326</v>
      </c>
    </row>
    <row r="3399" spans="1:19">
      <c r="A3399" s="5" t="str">
        <f>B3399&amp;"-"&amp;COUNTIF($B$2:B3399,B3399)</f>
        <v>PIAUI-30</v>
      </c>
      <c r="B3399" s="5" t="s">
        <v>2256</v>
      </c>
      <c r="C3399" s="5" t="s">
        <v>2275</v>
      </c>
      <c r="D3399" s="6">
        <v>-413237</v>
      </c>
      <c r="E3399" s="6">
        <v>-69456</v>
      </c>
      <c r="F3399" s="7">
        <v>5.766</v>
      </c>
      <c r="G3399" s="7">
        <v>5.5270000000000001</v>
      </c>
      <c r="H3399" s="7">
        <v>5.423</v>
      </c>
      <c r="I3399" s="7">
        <v>5.4779999999999998</v>
      </c>
      <c r="J3399" s="7">
        <v>5.3049999999999997</v>
      </c>
      <c r="K3399" s="7">
        <v>5.1349999999999998</v>
      </c>
      <c r="L3399" s="7">
        <v>5.1050000000000004</v>
      </c>
      <c r="M3399" s="7">
        <v>5.5289999999999999</v>
      </c>
      <c r="N3399" s="7">
        <v>6.2610000000000001</v>
      </c>
      <c r="O3399" s="7">
        <v>6.6959999999999997</v>
      </c>
      <c r="P3399" s="7">
        <v>6.4530000000000003</v>
      </c>
      <c r="Q3399" s="7">
        <v>6.3579999999999997</v>
      </c>
      <c r="R3399" s="7">
        <v>5.9219999999999997</v>
      </c>
      <c r="S3399" s="7">
        <f t="shared" si="53"/>
        <v>5.7659999999999991</v>
      </c>
    </row>
    <row r="3400" spans="1:19">
      <c r="A3400" s="5" t="str">
        <f>B3400&amp;"-"&amp;COUNTIF($B$2:B3400,B3400)</f>
        <v>PIAUI-31</v>
      </c>
      <c r="B3400" s="5" t="s">
        <v>2256</v>
      </c>
      <c r="C3400" s="5" t="s">
        <v>1811</v>
      </c>
      <c r="D3400" s="6">
        <v>-443593</v>
      </c>
      <c r="E3400" s="6">
        <v>-90717</v>
      </c>
      <c r="F3400" s="7">
        <v>5.7149999999999999</v>
      </c>
      <c r="G3400" s="7">
        <v>5.6909999999999998</v>
      </c>
      <c r="H3400" s="7">
        <v>5.5</v>
      </c>
      <c r="I3400" s="7">
        <v>5.4809999999999999</v>
      </c>
      <c r="J3400" s="7">
        <v>5.431</v>
      </c>
      <c r="K3400" s="7">
        <v>5.3650000000000002</v>
      </c>
      <c r="L3400" s="7">
        <v>5.2649999999999997</v>
      </c>
      <c r="M3400" s="7">
        <v>5.5659999999999998</v>
      </c>
      <c r="N3400" s="7">
        <v>6.1849999999999996</v>
      </c>
      <c r="O3400" s="7">
        <v>6.5090000000000003</v>
      </c>
      <c r="P3400" s="7">
        <v>6.141</v>
      </c>
      <c r="Q3400" s="7">
        <v>5.7619999999999996</v>
      </c>
      <c r="R3400" s="7">
        <v>5.69</v>
      </c>
      <c r="S3400" s="7">
        <f t="shared" si="53"/>
        <v>5.7154999999999996</v>
      </c>
    </row>
    <row r="3401" spans="1:19">
      <c r="A3401" s="5" t="str">
        <f>B3401&amp;"-"&amp;COUNTIF($B$2:B3401,B3401)</f>
        <v>PIAUI-32</v>
      </c>
      <c r="B3401" s="5" t="s">
        <v>2256</v>
      </c>
      <c r="C3401" s="5" t="s">
        <v>2276</v>
      </c>
      <c r="D3401" s="6">
        <v>-416444</v>
      </c>
      <c r="E3401" s="6">
        <v>-31912</v>
      </c>
      <c r="F3401" s="7">
        <v>5.6459999999999999</v>
      </c>
      <c r="G3401" s="7">
        <v>5.2839999999999998</v>
      </c>
      <c r="H3401" s="7">
        <v>5.2409999999999997</v>
      </c>
      <c r="I3401" s="7">
        <v>5.157</v>
      </c>
      <c r="J3401" s="7">
        <v>4.9130000000000003</v>
      </c>
      <c r="K3401" s="7">
        <v>5.15</v>
      </c>
      <c r="L3401" s="7">
        <v>5.31</v>
      </c>
      <c r="M3401" s="7">
        <v>5.4459999999999997</v>
      </c>
      <c r="N3401" s="7">
        <v>6.0389999999999997</v>
      </c>
      <c r="O3401" s="7">
        <v>6.4950000000000001</v>
      </c>
      <c r="P3401" s="7">
        <v>6.601</v>
      </c>
      <c r="Q3401" s="7">
        <v>6.4180000000000001</v>
      </c>
      <c r="R3401" s="7">
        <v>5.7030000000000003</v>
      </c>
      <c r="S3401" s="7">
        <f t="shared" si="53"/>
        <v>5.6464166666666662</v>
      </c>
    </row>
    <row r="3402" spans="1:19">
      <c r="A3402" s="5" t="str">
        <f>B3402&amp;"-"&amp;COUNTIF($B$2:B3402,B3402)</f>
        <v>PIAUI-33</v>
      </c>
      <c r="B3402" s="5" t="s">
        <v>2256</v>
      </c>
      <c r="C3402" s="5" t="s">
        <v>2277</v>
      </c>
      <c r="D3402" s="6">
        <v>-428836</v>
      </c>
      <c r="E3402" s="6">
        <v>-91602</v>
      </c>
      <c r="F3402" s="7">
        <v>5.8949999999999996</v>
      </c>
      <c r="G3402" s="7">
        <v>5.9649999999999999</v>
      </c>
      <c r="H3402" s="7">
        <v>5.73</v>
      </c>
      <c r="I3402" s="7">
        <v>5.6440000000000001</v>
      </c>
      <c r="J3402" s="7">
        <v>5.4509999999999996</v>
      </c>
      <c r="K3402" s="7">
        <v>5.2690000000000001</v>
      </c>
      <c r="L3402" s="7">
        <v>5.2350000000000003</v>
      </c>
      <c r="M3402" s="7">
        <v>5.63</v>
      </c>
      <c r="N3402" s="7">
        <v>6.3840000000000003</v>
      </c>
      <c r="O3402" s="7">
        <v>6.6020000000000003</v>
      </c>
      <c r="P3402" s="7">
        <v>6.4969999999999999</v>
      </c>
      <c r="Q3402" s="7">
        <v>6.2359999999999998</v>
      </c>
      <c r="R3402" s="7">
        <v>6.0940000000000003</v>
      </c>
      <c r="S3402" s="7">
        <f t="shared" si="53"/>
        <v>5.8947499999999993</v>
      </c>
    </row>
    <row r="3403" spans="1:19">
      <c r="A3403" s="5" t="str">
        <f>B3403&amp;"-"&amp;COUNTIF($B$2:B3403,B3403)</f>
        <v>PIAUI-34</v>
      </c>
      <c r="B3403" s="5" t="s">
        <v>2256</v>
      </c>
      <c r="C3403" s="5" t="s">
        <v>4105</v>
      </c>
      <c r="D3403" s="6">
        <v>-421048</v>
      </c>
      <c r="E3403" s="6">
        <v>-44886</v>
      </c>
      <c r="F3403" s="7">
        <v>5.6619999999999999</v>
      </c>
      <c r="G3403" s="7">
        <v>5.226</v>
      </c>
      <c r="H3403" s="7">
        <v>5.3090000000000002</v>
      </c>
      <c r="I3403" s="7">
        <v>5.3079999999999998</v>
      </c>
      <c r="J3403" s="7">
        <v>5.0469999999999997</v>
      </c>
      <c r="K3403" s="7">
        <v>5.1529999999999996</v>
      </c>
      <c r="L3403" s="7">
        <v>5.319</v>
      </c>
      <c r="M3403" s="7">
        <v>5.5510000000000002</v>
      </c>
      <c r="N3403" s="7">
        <v>6.1360000000000001</v>
      </c>
      <c r="O3403" s="7">
        <v>6.4909999999999997</v>
      </c>
      <c r="P3403" s="7">
        <v>6.4109999999999996</v>
      </c>
      <c r="Q3403" s="7">
        <v>6.27</v>
      </c>
      <c r="R3403" s="7">
        <v>5.718</v>
      </c>
      <c r="S3403" s="7">
        <f t="shared" si="53"/>
        <v>5.6615833333333336</v>
      </c>
    </row>
    <row r="3404" spans="1:19">
      <c r="A3404" s="5" t="str">
        <f>B3404&amp;"-"&amp;COUNTIF($B$2:B3404,B3404)</f>
        <v>PIAUI-35</v>
      </c>
      <c r="B3404" s="5" t="s">
        <v>2256</v>
      </c>
      <c r="C3404" s="5" t="s">
        <v>2278</v>
      </c>
      <c r="D3404" s="6">
        <v>-417862</v>
      </c>
      <c r="E3404" s="6">
        <v>-41341</v>
      </c>
      <c r="F3404" s="7">
        <v>5.742</v>
      </c>
      <c r="G3404" s="7">
        <v>5.3529999999999998</v>
      </c>
      <c r="H3404" s="7">
        <v>5.4589999999999996</v>
      </c>
      <c r="I3404" s="7">
        <v>5.3970000000000002</v>
      </c>
      <c r="J3404" s="7">
        <v>5.1539999999999999</v>
      </c>
      <c r="K3404" s="7">
        <v>5.2380000000000004</v>
      </c>
      <c r="L3404" s="7">
        <v>5.335</v>
      </c>
      <c r="M3404" s="7">
        <v>5.6139999999999999</v>
      </c>
      <c r="N3404" s="7">
        <v>6.1470000000000002</v>
      </c>
      <c r="O3404" s="7">
        <v>6.5359999999999996</v>
      </c>
      <c r="P3404" s="7">
        <v>6.5380000000000003</v>
      </c>
      <c r="Q3404" s="7">
        <v>6.3780000000000001</v>
      </c>
      <c r="R3404" s="7">
        <v>5.75</v>
      </c>
      <c r="S3404" s="7">
        <f t="shared" si="53"/>
        <v>5.7415833333333337</v>
      </c>
    </row>
    <row r="3405" spans="1:19">
      <c r="A3405" s="5" t="str">
        <f>B3405&amp;"-"&amp;COUNTIF($B$2:B3405,B3405)</f>
        <v>PIAUI-36</v>
      </c>
      <c r="B3405" s="5" t="s">
        <v>2256</v>
      </c>
      <c r="C3405" s="5" t="s">
        <v>2279</v>
      </c>
      <c r="D3405" s="6">
        <v>-428356</v>
      </c>
      <c r="E3405" s="6">
        <v>-82078</v>
      </c>
      <c r="F3405" s="7">
        <v>5.8</v>
      </c>
      <c r="G3405" s="7">
        <v>5.6349999999999998</v>
      </c>
      <c r="H3405" s="7">
        <v>5.6180000000000003</v>
      </c>
      <c r="I3405" s="7">
        <v>5.5209999999999999</v>
      </c>
      <c r="J3405" s="7">
        <v>5.3659999999999997</v>
      </c>
      <c r="K3405" s="7">
        <v>5.3049999999999997</v>
      </c>
      <c r="L3405" s="7">
        <v>5.2519999999999998</v>
      </c>
      <c r="M3405" s="7">
        <v>5.5410000000000004</v>
      </c>
      <c r="N3405" s="7">
        <v>6.359</v>
      </c>
      <c r="O3405" s="7">
        <v>6.5129999999999999</v>
      </c>
      <c r="P3405" s="7">
        <v>6.4569999999999999</v>
      </c>
      <c r="Q3405" s="7">
        <v>6.117</v>
      </c>
      <c r="R3405" s="7">
        <v>5.9210000000000003</v>
      </c>
      <c r="S3405" s="7">
        <f t="shared" si="53"/>
        <v>5.800416666666667</v>
      </c>
    </row>
    <row r="3406" spans="1:19">
      <c r="A3406" s="5" t="str">
        <f>B3406&amp;"-"&amp;COUNTIF($B$2:B3406,B3406)</f>
        <v>PIAUI-37</v>
      </c>
      <c r="B3406" s="5" t="s">
        <v>2256</v>
      </c>
      <c r="C3406" s="5" t="s">
        <v>2280</v>
      </c>
      <c r="D3406" s="6">
        <v>-418703</v>
      </c>
      <c r="E3406" s="6">
        <v>-31789</v>
      </c>
      <c r="F3406" s="7">
        <v>5.548</v>
      </c>
      <c r="G3406" s="7">
        <v>5.1639999999999997</v>
      </c>
      <c r="H3406" s="7">
        <v>5.1520000000000001</v>
      </c>
      <c r="I3406" s="7">
        <v>5.056</v>
      </c>
      <c r="J3406" s="7">
        <v>4.8819999999999997</v>
      </c>
      <c r="K3406" s="7">
        <v>5.0030000000000001</v>
      </c>
      <c r="L3406" s="7">
        <v>5.266</v>
      </c>
      <c r="M3406" s="7">
        <v>5.4</v>
      </c>
      <c r="N3406" s="7">
        <v>5.9630000000000001</v>
      </c>
      <c r="O3406" s="7">
        <v>6.3639999999999999</v>
      </c>
      <c r="P3406" s="7">
        <v>6.4550000000000001</v>
      </c>
      <c r="Q3406" s="7">
        <v>6.2679999999999998</v>
      </c>
      <c r="R3406" s="7">
        <v>5.6029999999999998</v>
      </c>
      <c r="S3406" s="7">
        <f t="shared" si="53"/>
        <v>5.5479999999999992</v>
      </c>
    </row>
    <row r="3407" spans="1:19">
      <c r="A3407" s="5" t="str">
        <f>B3407&amp;"-"&amp;COUNTIF($B$2:B3407,B3407)</f>
        <v>PIAUI-38</v>
      </c>
      <c r="B3407" s="5" t="s">
        <v>2256</v>
      </c>
      <c r="C3407" s="5" t="s">
        <v>2281</v>
      </c>
      <c r="D3407" s="6">
        <v>-410937</v>
      </c>
      <c r="E3407" s="6">
        <v>-53062</v>
      </c>
      <c r="F3407" s="7">
        <v>5.7610000000000001</v>
      </c>
      <c r="G3407" s="7">
        <v>5.2530000000000001</v>
      </c>
      <c r="H3407" s="7">
        <v>5.2930000000000001</v>
      </c>
      <c r="I3407" s="7">
        <v>5.4340000000000002</v>
      </c>
      <c r="J3407" s="7">
        <v>5.016</v>
      </c>
      <c r="K3407" s="7">
        <v>5.0540000000000003</v>
      </c>
      <c r="L3407" s="7">
        <v>5.226</v>
      </c>
      <c r="M3407" s="7">
        <v>5.6210000000000004</v>
      </c>
      <c r="N3407" s="7">
        <v>6.3419999999999996</v>
      </c>
      <c r="O3407" s="7">
        <v>6.742</v>
      </c>
      <c r="P3407" s="7">
        <v>6.6890000000000001</v>
      </c>
      <c r="Q3407" s="7">
        <v>6.5469999999999997</v>
      </c>
      <c r="R3407" s="7">
        <v>5.9169999999999998</v>
      </c>
      <c r="S3407" s="7">
        <f t="shared" si="53"/>
        <v>5.761166666666667</v>
      </c>
    </row>
    <row r="3408" spans="1:19">
      <c r="A3408" s="5" t="str">
        <f>B3408&amp;"-"&amp;COUNTIF($B$2:B3408,B3408)</f>
        <v>PIAUI-39</v>
      </c>
      <c r="B3408" s="5" t="s">
        <v>2256</v>
      </c>
      <c r="C3408" s="5" t="s">
        <v>2282</v>
      </c>
      <c r="D3408" s="6">
        <v>-423064</v>
      </c>
      <c r="E3408" s="6">
        <v>-44726</v>
      </c>
      <c r="F3408" s="7">
        <v>5.6479999999999997</v>
      </c>
      <c r="G3408" s="7">
        <v>5.1369999999999996</v>
      </c>
      <c r="H3408" s="7">
        <v>5.3470000000000004</v>
      </c>
      <c r="I3408" s="7">
        <v>5.3520000000000003</v>
      </c>
      <c r="J3408" s="7">
        <v>5.1139999999999999</v>
      </c>
      <c r="K3408" s="7">
        <v>5.1360000000000001</v>
      </c>
      <c r="L3408" s="7">
        <v>5.2880000000000003</v>
      </c>
      <c r="M3408" s="7">
        <v>5.5359999999999996</v>
      </c>
      <c r="N3408" s="7">
        <v>6.1369999999999996</v>
      </c>
      <c r="O3408" s="7">
        <v>6.4539999999999997</v>
      </c>
      <c r="P3408" s="7">
        <v>6.383</v>
      </c>
      <c r="Q3408" s="7">
        <v>6.2080000000000002</v>
      </c>
      <c r="R3408" s="7">
        <v>5.6829999999999998</v>
      </c>
      <c r="S3408" s="7">
        <f t="shared" si="53"/>
        <v>5.6479166666666671</v>
      </c>
    </row>
    <row r="3409" spans="1:19">
      <c r="A3409" s="5" t="str">
        <f>B3409&amp;"-"&amp;COUNTIF($B$2:B3409,B3409)</f>
        <v>PIAUI-40</v>
      </c>
      <c r="B3409" s="5" t="s">
        <v>2256</v>
      </c>
      <c r="C3409" s="5" t="s">
        <v>2283</v>
      </c>
      <c r="D3409" s="6">
        <v>-423906</v>
      </c>
      <c r="E3409" s="6">
        <v>-67971</v>
      </c>
      <c r="F3409" s="7">
        <v>5.7169999999999996</v>
      </c>
      <c r="G3409" s="7">
        <v>5.306</v>
      </c>
      <c r="H3409" s="7">
        <v>5.4109999999999996</v>
      </c>
      <c r="I3409" s="7">
        <v>5.2969999999999997</v>
      </c>
      <c r="J3409" s="7">
        <v>5.2709999999999999</v>
      </c>
      <c r="K3409" s="7">
        <v>5.3470000000000004</v>
      </c>
      <c r="L3409" s="7">
        <v>5.2610000000000001</v>
      </c>
      <c r="M3409" s="7">
        <v>5.6150000000000002</v>
      </c>
      <c r="N3409" s="7">
        <v>6.141</v>
      </c>
      <c r="O3409" s="7">
        <v>6.524</v>
      </c>
      <c r="P3409" s="7">
        <v>6.4429999999999996</v>
      </c>
      <c r="Q3409" s="7">
        <v>6.242</v>
      </c>
      <c r="R3409" s="7">
        <v>5.7409999999999997</v>
      </c>
      <c r="S3409" s="7">
        <f t="shared" si="53"/>
        <v>5.7165833333333325</v>
      </c>
    </row>
    <row r="3410" spans="1:19">
      <c r="A3410" s="5" t="str">
        <f>B3410&amp;"-"&amp;COUNTIF($B$2:B3410,B3410)</f>
        <v>PIAUI-41</v>
      </c>
      <c r="B3410" s="5" t="s">
        <v>2256</v>
      </c>
      <c r="C3410" s="5" t="s">
        <v>2284</v>
      </c>
      <c r="D3410" s="6">
        <v>-413411</v>
      </c>
      <c r="E3410" s="6">
        <v>-29315</v>
      </c>
      <c r="F3410" s="7">
        <v>5.6349999999999998</v>
      </c>
      <c r="G3410" s="7">
        <v>5.6580000000000004</v>
      </c>
      <c r="H3410" s="7">
        <v>5.4660000000000002</v>
      </c>
      <c r="I3410" s="7">
        <v>5.2320000000000002</v>
      </c>
      <c r="J3410" s="7">
        <v>4.9610000000000003</v>
      </c>
      <c r="K3410" s="7">
        <v>5.194</v>
      </c>
      <c r="L3410" s="7">
        <v>5.3490000000000002</v>
      </c>
      <c r="M3410" s="7">
        <v>5.5629999999999997</v>
      </c>
      <c r="N3410" s="7">
        <v>5.9340000000000002</v>
      </c>
      <c r="O3410" s="7">
        <v>5.8769999999999998</v>
      </c>
      <c r="P3410" s="7">
        <v>5.931</v>
      </c>
      <c r="Q3410" s="7">
        <v>6.3259999999999996</v>
      </c>
      <c r="R3410" s="7">
        <v>6.1280000000000001</v>
      </c>
      <c r="S3410" s="7">
        <f t="shared" si="53"/>
        <v>5.6349166666666664</v>
      </c>
    </row>
    <row r="3411" spans="1:19">
      <c r="A3411" s="5" t="str">
        <f>B3411&amp;"-"&amp;COUNTIF($B$2:B3411,B3411)</f>
        <v>PIAUI-42</v>
      </c>
      <c r="B3411" s="5" t="s">
        <v>2256</v>
      </c>
      <c r="C3411" s="5" t="s">
        <v>4106</v>
      </c>
      <c r="D3411" s="6">
        <v>-406369</v>
      </c>
      <c r="E3411" s="6">
        <v>-73318</v>
      </c>
      <c r="F3411" s="7">
        <v>5.8250000000000002</v>
      </c>
      <c r="G3411" s="7">
        <v>5.44</v>
      </c>
      <c r="H3411" s="7">
        <v>5.4820000000000002</v>
      </c>
      <c r="I3411" s="7">
        <v>5.4489999999999998</v>
      </c>
      <c r="J3411" s="7">
        <v>5.3419999999999996</v>
      </c>
      <c r="K3411" s="7">
        <v>5.234</v>
      </c>
      <c r="L3411" s="7">
        <v>5.2320000000000002</v>
      </c>
      <c r="M3411" s="7">
        <v>5.6630000000000003</v>
      </c>
      <c r="N3411" s="7">
        <v>6.31</v>
      </c>
      <c r="O3411" s="7">
        <v>6.742</v>
      </c>
      <c r="P3411" s="7">
        <v>6.577</v>
      </c>
      <c r="Q3411" s="7">
        <v>6.4260000000000002</v>
      </c>
      <c r="R3411" s="7">
        <v>5.9969999999999999</v>
      </c>
      <c r="S3411" s="7">
        <f t="shared" si="53"/>
        <v>5.8245000000000005</v>
      </c>
    </row>
    <row r="3412" spans="1:19">
      <c r="A3412" s="5" t="str">
        <f>B3412&amp;"-"&amp;COUNTIF($B$2:B3412,B3412)</f>
        <v>PIAUI-43</v>
      </c>
      <c r="B3412" s="5" t="s">
        <v>2256</v>
      </c>
      <c r="C3412" s="5" t="s">
        <v>2285</v>
      </c>
      <c r="D3412" s="6">
        <v>-418778</v>
      </c>
      <c r="E3412" s="6">
        <v>-76597</v>
      </c>
      <c r="F3412" s="7">
        <v>5.8360000000000003</v>
      </c>
      <c r="G3412" s="7">
        <v>5.7649999999999997</v>
      </c>
      <c r="H3412" s="7">
        <v>5.609</v>
      </c>
      <c r="I3412" s="7">
        <v>5.6550000000000002</v>
      </c>
      <c r="J3412" s="7">
        <v>5.3550000000000004</v>
      </c>
      <c r="K3412" s="7">
        <v>5.2430000000000003</v>
      </c>
      <c r="L3412" s="7">
        <v>5.2489999999999997</v>
      </c>
      <c r="M3412" s="7">
        <v>5.5060000000000002</v>
      </c>
      <c r="N3412" s="7">
        <v>6.1820000000000004</v>
      </c>
      <c r="O3412" s="7">
        <v>6.5529999999999999</v>
      </c>
      <c r="P3412" s="7">
        <v>6.5410000000000004</v>
      </c>
      <c r="Q3412" s="7">
        <v>6.3659999999999997</v>
      </c>
      <c r="R3412" s="7">
        <v>6.0110000000000001</v>
      </c>
      <c r="S3412" s="7">
        <f t="shared" si="53"/>
        <v>5.8362499999999997</v>
      </c>
    </row>
    <row r="3413" spans="1:19">
      <c r="A3413" s="5" t="str">
        <f>B3413&amp;"-"&amp;COUNTIF($B$2:B3413,B3413)</f>
        <v>PIAUI-44</v>
      </c>
      <c r="B3413" s="5" t="s">
        <v>2256</v>
      </c>
      <c r="C3413" s="5" t="s">
        <v>2286</v>
      </c>
      <c r="D3413" s="6">
        <v>-418369</v>
      </c>
      <c r="E3413" s="6">
        <v>-83773</v>
      </c>
      <c r="F3413" s="7">
        <v>5.8730000000000002</v>
      </c>
      <c r="G3413" s="7">
        <v>5.8120000000000003</v>
      </c>
      <c r="H3413" s="7">
        <v>5.7430000000000003</v>
      </c>
      <c r="I3413" s="7">
        <v>5.6509999999999998</v>
      </c>
      <c r="J3413" s="7">
        <v>5.3419999999999996</v>
      </c>
      <c r="K3413" s="7">
        <v>5.2690000000000001</v>
      </c>
      <c r="L3413" s="7">
        <v>5.2060000000000004</v>
      </c>
      <c r="M3413" s="7">
        <v>5.5780000000000003</v>
      </c>
      <c r="N3413" s="7">
        <v>6.3490000000000002</v>
      </c>
      <c r="O3413" s="7">
        <v>6.5720000000000001</v>
      </c>
      <c r="P3413" s="7">
        <v>6.6139999999999999</v>
      </c>
      <c r="Q3413" s="7">
        <v>6.2990000000000004</v>
      </c>
      <c r="R3413" s="7">
        <v>6.0410000000000004</v>
      </c>
      <c r="S3413" s="7">
        <f t="shared" si="53"/>
        <v>5.8730000000000002</v>
      </c>
    </row>
    <row r="3414" spans="1:19">
      <c r="A3414" s="5" t="str">
        <f>B3414&amp;"-"&amp;COUNTIF($B$2:B3414,B3414)</f>
        <v>PIAUI-45</v>
      </c>
      <c r="B3414" s="5" t="s">
        <v>2256</v>
      </c>
      <c r="C3414" s="5" t="s">
        <v>2287</v>
      </c>
      <c r="D3414" s="6">
        <v>-410318</v>
      </c>
      <c r="E3414" s="6">
        <v>-71287</v>
      </c>
      <c r="F3414" s="7">
        <v>5.7679999999999998</v>
      </c>
      <c r="G3414" s="7">
        <v>5.58</v>
      </c>
      <c r="H3414" s="7">
        <v>5.47</v>
      </c>
      <c r="I3414" s="7">
        <v>5.61</v>
      </c>
      <c r="J3414" s="7">
        <v>5.2910000000000004</v>
      </c>
      <c r="K3414" s="7">
        <v>5.1150000000000002</v>
      </c>
      <c r="L3414" s="7">
        <v>5.0670000000000002</v>
      </c>
      <c r="M3414" s="7">
        <v>5.5060000000000002</v>
      </c>
      <c r="N3414" s="7">
        <v>6.1710000000000003</v>
      </c>
      <c r="O3414" s="7">
        <v>6.61</v>
      </c>
      <c r="P3414" s="7">
        <v>6.4420000000000002</v>
      </c>
      <c r="Q3414" s="7">
        <v>6.3710000000000004</v>
      </c>
      <c r="R3414" s="7">
        <v>5.9850000000000003</v>
      </c>
      <c r="S3414" s="7">
        <f t="shared" si="53"/>
        <v>5.7681666666666667</v>
      </c>
    </row>
    <row r="3415" spans="1:19">
      <c r="A3415" s="5" t="str">
        <f>B3415&amp;"-"&amp;COUNTIF($B$2:B3415,B3415)</f>
        <v>PIAUI-46</v>
      </c>
      <c r="B3415" s="5" t="s">
        <v>2256</v>
      </c>
      <c r="C3415" s="5" t="s">
        <v>2288</v>
      </c>
      <c r="D3415" s="6">
        <v>-426298</v>
      </c>
      <c r="E3415" s="6">
        <v>-3811</v>
      </c>
      <c r="F3415" s="7">
        <v>5.6159999999999997</v>
      </c>
      <c r="G3415" s="7">
        <v>5.242</v>
      </c>
      <c r="H3415" s="7">
        <v>5.3460000000000001</v>
      </c>
      <c r="I3415" s="7">
        <v>5.3170000000000002</v>
      </c>
      <c r="J3415" s="7">
        <v>5.1210000000000004</v>
      </c>
      <c r="K3415" s="7">
        <v>5.1390000000000002</v>
      </c>
      <c r="L3415" s="7">
        <v>5.2839999999999998</v>
      </c>
      <c r="M3415" s="7">
        <v>5.5019999999999998</v>
      </c>
      <c r="N3415" s="7">
        <v>6.0119999999999996</v>
      </c>
      <c r="O3415" s="7">
        <v>6.367</v>
      </c>
      <c r="P3415" s="7">
        <v>6.3209999999999997</v>
      </c>
      <c r="Q3415" s="7">
        <v>6.1420000000000003</v>
      </c>
      <c r="R3415" s="7">
        <v>5.5979999999999999</v>
      </c>
      <c r="S3415" s="7">
        <f t="shared" si="53"/>
        <v>5.6159166666666671</v>
      </c>
    </row>
    <row r="3416" spans="1:19">
      <c r="A3416" s="5" t="str">
        <f>B3416&amp;"-"&amp;COUNTIF($B$2:B3416,B3416)</f>
        <v>PIAUI-47</v>
      </c>
      <c r="B3416" s="5" t="s">
        <v>2256</v>
      </c>
      <c r="C3416" s="5" t="s">
        <v>2289</v>
      </c>
      <c r="D3416" s="6">
        <v>-421647</v>
      </c>
      <c r="E3416" s="6">
        <v>-48263</v>
      </c>
      <c r="F3416" s="7">
        <v>5.6950000000000003</v>
      </c>
      <c r="G3416" s="7">
        <v>5.3250000000000002</v>
      </c>
      <c r="H3416" s="7">
        <v>5.4290000000000003</v>
      </c>
      <c r="I3416" s="7">
        <v>5.51</v>
      </c>
      <c r="J3416" s="7">
        <v>5.2880000000000003</v>
      </c>
      <c r="K3416" s="7">
        <v>5.2080000000000002</v>
      </c>
      <c r="L3416" s="7">
        <v>5.2610000000000001</v>
      </c>
      <c r="M3416" s="7">
        <v>5.4450000000000003</v>
      </c>
      <c r="N3416" s="7">
        <v>6.0419999999999998</v>
      </c>
      <c r="O3416" s="7">
        <v>6.4550000000000001</v>
      </c>
      <c r="P3416" s="7">
        <v>6.4379999999999997</v>
      </c>
      <c r="Q3416" s="7">
        <v>6.2320000000000002</v>
      </c>
      <c r="R3416" s="7">
        <v>5.71</v>
      </c>
      <c r="S3416" s="7">
        <f t="shared" si="53"/>
        <v>5.6952500000000006</v>
      </c>
    </row>
    <row r="3417" spans="1:19">
      <c r="A3417" s="5" t="str">
        <f>B3417&amp;"-"&amp;COUNTIF($B$2:B3417,B3417)</f>
        <v>PIAUI-48</v>
      </c>
      <c r="B3417" s="5" t="s">
        <v>2256</v>
      </c>
      <c r="C3417" s="5" t="s">
        <v>2290</v>
      </c>
      <c r="D3417" s="6">
        <v>-437174</v>
      </c>
      <c r="E3417" s="6">
        <v>-76925</v>
      </c>
      <c r="F3417" s="7">
        <v>5.6479999999999997</v>
      </c>
      <c r="G3417" s="7">
        <v>5.3380000000000001</v>
      </c>
      <c r="H3417" s="7">
        <v>5.2679999999999998</v>
      </c>
      <c r="I3417" s="7">
        <v>5.2320000000000002</v>
      </c>
      <c r="J3417" s="7">
        <v>5.2</v>
      </c>
      <c r="K3417" s="7">
        <v>5.33</v>
      </c>
      <c r="L3417" s="7">
        <v>5.359</v>
      </c>
      <c r="M3417" s="7">
        <v>5.66</v>
      </c>
      <c r="N3417" s="7">
        <v>6.1769999999999996</v>
      </c>
      <c r="O3417" s="7">
        <v>6.52</v>
      </c>
      <c r="P3417" s="7">
        <v>6.2839999999999998</v>
      </c>
      <c r="Q3417" s="7">
        <v>5.851</v>
      </c>
      <c r="R3417" s="7">
        <v>5.5529999999999999</v>
      </c>
      <c r="S3417" s="7">
        <f t="shared" si="53"/>
        <v>5.6476666666666668</v>
      </c>
    </row>
    <row r="3418" spans="1:19">
      <c r="A3418" s="5" t="str">
        <f>B3418&amp;"-"&amp;COUNTIF($B$2:B3418,B3418)</f>
        <v>PIAUI-49</v>
      </c>
      <c r="B3418" s="5" t="s">
        <v>2256</v>
      </c>
      <c r="C3418" s="5" t="s">
        <v>2291</v>
      </c>
      <c r="D3418" s="6">
        <v>-429521</v>
      </c>
      <c r="E3418" s="6">
        <v>-81115</v>
      </c>
      <c r="F3418" s="7">
        <v>5.7720000000000002</v>
      </c>
      <c r="G3418" s="7">
        <v>5.5490000000000004</v>
      </c>
      <c r="H3418" s="7">
        <v>5.5659999999999998</v>
      </c>
      <c r="I3418" s="7">
        <v>5.4779999999999998</v>
      </c>
      <c r="J3418" s="7">
        <v>5.3929999999999998</v>
      </c>
      <c r="K3418" s="7">
        <v>5.3040000000000003</v>
      </c>
      <c r="L3418" s="7">
        <v>5.2869999999999999</v>
      </c>
      <c r="M3418" s="7">
        <v>5.54</v>
      </c>
      <c r="N3418" s="7">
        <v>6.3120000000000003</v>
      </c>
      <c r="O3418" s="7">
        <v>6.516</v>
      </c>
      <c r="P3418" s="7">
        <v>6.4240000000000004</v>
      </c>
      <c r="Q3418" s="7">
        <v>6.04</v>
      </c>
      <c r="R3418" s="7">
        <v>5.8529999999999998</v>
      </c>
      <c r="S3418" s="7">
        <f t="shared" si="53"/>
        <v>5.7718333333333325</v>
      </c>
    </row>
    <row r="3419" spans="1:19">
      <c r="A3419" s="5" t="str">
        <f>B3419&amp;"-"&amp;COUNTIF($B$2:B3419,B3419)</f>
        <v>PIAUI-50</v>
      </c>
      <c r="B3419" s="5" t="s">
        <v>2256</v>
      </c>
      <c r="C3419" s="5" t="s">
        <v>4107</v>
      </c>
      <c r="D3419" s="6">
        <v>-419443</v>
      </c>
      <c r="E3419" s="6">
        <v>-44574</v>
      </c>
      <c r="F3419" s="7">
        <v>5.6790000000000003</v>
      </c>
      <c r="G3419" s="7">
        <v>5.1980000000000004</v>
      </c>
      <c r="H3419" s="7">
        <v>5.3369999999999997</v>
      </c>
      <c r="I3419" s="7">
        <v>5.3239999999999998</v>
      </c>
      <c r="J3419" s="7">
        <v>5.0380000000000003</v>
      </c>
      <c r="K3419" s="7">
        <v>5.157</v>
      </c>
      <c r="L3419" s="7">
        <v>5.3</v>
      </c>
      <c r="M3419" s="7">
        <v>5.585</v>
      </c>
      <c r="N3419" s="7">
        <v>6.1769999999999996</v>
      </c>
      <c r="O3419" s="7">
        <v>6.5730000000000004</v>
      </c>
      <c r="P3419" s="7">
        <v>6.4480000000000004</v>
      </c>
      <c r="Q3419" s="7">
        <v>6.2869999999999999</v>
      </c>
      <c r="R3419" s="7">
        <v>5.7229999999999999</v>
      </c>
      <c r="S3419" s="7">
        <f t="shared" si="53"/>
        <v>5.6789166666666668</v>
      </c>
    </row>
    <row r="3420" spans="1:19">
      <c r="A3420" s="5" t="str">
        <f>B3420&amp;"-"&amp;COUNTIF($B$2:B3420,B3420)</f>
        <v>PIAUI-51</v>
      </c>
      <c r="B3420" s="5" t="s">
        <v>2256</v>
      </c>
      <c r="C3420" s="5" t="s">
        <v>5688</v>
      </c>
      <c r="D3420" s="6">
        <v>-418167</v>
      </c>
      <c r="E3420" s="6">
        <v>-84963</v>
      </c>
      <c r="F3420" s="7">
        <v>5.8550000000000004</v>
      </c>
      <c r="G3420" s="7">
        <v>5.9020000000000001</v>
      </c>
      <c r="H3420" s="7">
        <v>5.7350000000000003</v>
      </c>
      <c r="I3420" s="7">
        <v>5.64</v>
      </c>
      <c r="J3420" s="7">
        <v>5.3179999999999996</v>
      </c>
      <c r="K3420" s="7">
        <v>5.165</v>
      </c>
      <c r="L3420" s="7">
        <v>5.1139999999999999</v>
      </c>
      <c r="M3420" s="7">
        <v>5.5369999999999999</v>
      </c>
      <c r="N3420" s="7">
        <v>6.3470000000000004</v>
      </c>
      <c r="O3420" s="7">
        <v>6.577</v>
      </c>
      <c r="P3420" s="7">
        <v>6.5590000000000002</v>
      </c>
      <c r="Q3420" s="7">
        <v>6.2880000000000003</v>
      </c>
      <c r="R3420" s="7">
        <v>6.0789999999999997</v>
      </c>
      <c r="S3420" s="7">
        <f t="shared" si="53"/>
        <v>5.8550833333333321</v>
      </c>
    </row>
    <row r="3421" spans="1:19">
      <c r="A3421" s="5" t="str">
        <f>B3421&amp;"-"&amp;COUNTIF($B$2:B3421,B3421)</f>
        <v>PIAUI-52</v>
      </c>
      <c r="B3421" s="5" t="s">
        <v>2256</v>
      </c>
      <c r="C3421" s="5" t="s">
        <v>4865</v>
      </c>
      <c r="D3421" s="6">
        <v>-418429</v>
      </c>
      <c r="E3421" s="6">
        <v>-34756</v>
      </c>
      <c r="F3421" s="7">
        <v>5.577</v>
      </c>
      <c r="G3421" s="7">
        <v>5.1269999999999998</v>
      </c>
      <c r="H3421" s="7">
        <v>5.2469999999999999</v>
      </c>
      <c r="I3421" s="7">
        <v>5.1710000000000003</v>
      </c>
      <c r="J3421" s="7">
        <v>4.9050000000000002</v>
      </c>
      <c r="K3421" s="7">
        <v>5.16</v>
      </c>
      <c r="L3421" s="7">
        <v>5.343</v>
      </c>
      <c r="M3421" s="7">
        <v>5.5019999999999998</v>
      </c>
      <c r="N3421" s="7">
        <v>5.9269999999999996</v>
      </c>
      <c r="O3421" s="7">
        <v>6.4020000000000001</v>
      </c>
      <c r="P3421" s="7">
        <v>6.4359999999999999</v>
      </c>
      <c r="Q3421" s="7">
        <v>6.1989999999999998</v>
      </c>
      <c r="R3421" s="7">
        <v>5.5019999999999998</v>
      </c>
      <c r="S3421" s="7">
        <f t="shared" si="53"/>
        <v>5.5767499999999997</v>
      </c>
    </row>
    <row r="3422" spans="1:19">
      <c r="A3422" s="5" t="str">
        <f>B3422&amp;"-"&amp;COUNTIF($B$2:B3422,B3422)</f>
        <v>PIAUI-53</v>
      </c>
      <c r="B3422" s="5" t="s">
        <v>2256</v>
      </c>
      <c r="C3422" s="5" t="s">
        <v>1086</v>
      </c>
      <c r="D3422" s="6">
        <v>-433293</v>
      </c>
      <c r="E3422" s="6">
        <v>-92798</v>
      </c>
      <c r="F3422" s="7">
        <v>5.8570000000000002</v>
      </c>
      <c r="G3422" s="7">
        <v>5.9640000000000004</v>
      </c>
      <c r="H3422" s="7">
        <v>5.65</v>
      </c>
      <c r="I3422" s="7">
        <v>5.601</v>
      </c>
      <c r="J3422" s="7">
        <v>5.3449999999999998</v>
      </c>
      <c r="K3422" s="7">
        <v>5.2889999999999997</v>
      </c>
      <c r="L3422" s="7">
        <v>5.2839999999999998</v>
      </c>
      <c r="M3422" s="7">
        <v>5.6689999999999996</v>
      </c>
      <c r="N3422" s="7">
        <v>6.4489999999999998</v>
      </c>
      <c r="O3422" s="7">
        <v>6.5709999999999997</v>
      </c>
      <c r="P3422" s="7">
        <v>6.4269999999999996</v>
      </c>
      <c r="Q3422" s="7">
        <v>6.0910000000000002</v>
      </c>
      <c r="R3422" s="7">
        <v>5.952</v>
      </c>
      <c r="S3422" s="7">
        <f t="shared" si="53"/>
        <v>5.8576666666666659</v>
      </c>
    </row>
    <row r="3423" spans="1:19">
      <c r="A3423" s="5" t="str">
        <f>B3423&amp;"-"&amp;COUNTIF($B$2:B3423,B3423)</f>
        <v>PIAUI-54</v>
      </c>
      <c r="B3423" s="5" t="s">
        <v>2256</v>
      </c>
      <c r="C3423" s="5" t="s">
        <v>2292</v>
      </c>
      <c r="D3423" s="6">
        <v>-409851</v>
      </c>
      <c r="E3423" s="6">
        <v>-77348</v>
      </c>
      <c r="F3423" s="7">
        <v>5.851</v>
      </c>
      <c r="G3423" s="7">
        <v>5.7009999999999996</v>
      </c>
      <c r="H3423" s="7">
        <v>5.5540000000000003</v>
      </c>
      <c r="I3423" s="7">
        <v>5.6660000000000004</v>
      </c>
      <c r="J3423" s="7">
        <v>5.3310000000000004</v>
      </c>
      <c r="K3423" s="7">
        <v>5.157</v>
      </c>
      <c r="L3423" s="7">
        <v>5.1230000000000002</v>
      </c>
      <c r="M3423" s="7">
        <v>5.5439999999999996</v>
      </c>
      <c r="N3423" s="7">
        <v>6.3150000000000004</v>
      </c>
      <c r="O3423" s="7">
        <v>6.6870000000000003</v>
      </c>
      <c r="P3423" s="7">
        <v>6.593</v>
      </c>
      <c r="Q3423" s="7">
        <v>6.4349999999999996</v>
      </c>
      <c r="R3423" s="7">
        <v>6.1109999999999998</v>
      </c>
      <c r="S3423" s="7">
        <f t="shared" si="53"/>
        <v>5.8514166666666663</v>
      </c>
    </row>
    <row r="3424" spans="1:19">
      <c r="A3424" s="5" t="str">
        <f>B3424&amp;"-"&amp;COUNTIF($B$2:B3424,B3424)</f>
        <v>PIAUI-55</v>
      </c>
      <c r="B3424" s="5" t="s">
        <v>2256</v>
      </c>
      <c r="C3424" s="5" t="s">
        <v>2293</v>
      </c>
      <c r="D3424" s="6">
        <v>-415502</v>
      </c>
      <c r="E3424" s="6">
        <v>-53191</v>
      </c>
      <c r="F3424" s="7">
        <v>5.66</v>
      </c>
      <c r="G3424" s="7">
        <v>5.1360000000000001</v>
      </c>
      <c r="H3424" s="7">
        <v>5.2649999999999997</v>
      </c>
      <c r="I3424" s="7">
        <v>5.33</v>
      </c>
      <c r="J3424" s="7">
        <v>5.0999999999999996</v>
      </c>
      <c r="K3424" s="7">
        <v>5.1280000000000001</v>
      </c>
      <c r="L3424" s="7">
        <v>5.1429999999999998</v>
      </c>
      <c r="M3424" s="7">
        <v>5.4580000000000002</v>
      </c>
      <c r="N3424" s="7">
        <v>6.2050000000000001</v>
      </c>
      <c r="O3424" s="7">
        <v>6.6150000000000002</v>
      </c>
      <c r="P3424" s="7">
        <v>6.48</v>
      </c>
      <c r="Q3424" s="7">
        <v>6.3179999999999996</v>
      </c>
      <c r="R3424" s="7">
        <v>5.7469999999999999</v>
      </c>
      <c r="S3424" s="7">
        <f t="shared" si="53"/>
        <v>5.6604166666666664</v>
      </c>
    </row>
    <row r="3425" spans="1:19">
      <c r="A3425" s="5" t="str">
        <f>B3425&amp;"-"&amp;COUNTIF($B$2:B3425,B3425)</f>
        <v>PIAUI-56</v>
      </c>
      <c r="B3425" s="5" t="s">
        <v>2256</v>
      </c>
      <c r="C3425" s="5" t="s">
        <v>5190</v>
      </c>
      <c r="D3425" s="6">
        <v>-418925</v>
      </c>
      <c r="E3425" s="6">
        <v>-34208</v>
      </c>
      <c r="F3425" s="7">
        <v>5.57</v>
      </c>
      <c r="G3425" s="7">
        <v>5.1349999999999998</v>
      </c>
      <c r="H3425" s="7">
        <v>5.2329999999999997</v>
      </c>
      <c r="I3425" s="7">
        <v>5.1070000000000002</v>
      </c>
      <c r="J3425" s="7">
        <v>4.8310000000000004</v>
      </c>
      <c r="K3425" s="7">
        <v>5.0890000000000004</v>
      </c>
      <c r="L3425" s="7">
        <v>5.3339999999999996</v>
      </c>
      <c r="M3425" s="7">
        <v>5.5389999999999997</v>
      </c>
      <c r="N3425" s="7">
        <v>5.9980000000000002</v>
      </c>
      <c r="O3425" s="7">
        <v>6.4269999999999996</v>
      </c>
      <c r="P3425" s="7">
        <v>6.4569999999999999</v>
      </c>
      <c r="Q3425" s="7">
        <v>6.2130000000000001</v>
      </c>
      <c r="R3425" s="7">
        <v>5.48</v>
      </c>
      <c r="S3425" s="7">
        <f t="shared" si="53"/>
        <v>5.5702499999999988</v>
      </c>
    </row>
    <row r="3426" spans="1:19">
      <c r="A3426" s="5" t="str">
        <f>B3426&amp;"-"&amp;COUNTIF($B$2:B3426,B3426)</f>
        <v>PIAUI-57</v>
      </c>
      <c r="B3426" s="5" t="s">
        <v>2256</v>
      </c>
      <c r="C3426" s="5" t="s">
        <v>2294</v>
      </c>
      <c r="D3426" s="6">
        <v>-41555</v>
      </c>
      <c r="E3426" s="6">
        <v>-34732</v>
      </c>
      <c r="F3426" s="7">
        <v>5.57</v>
      </c>
      <c r="G3426" s="7">
        <v>5.1459999999999999</v>
      </c>
      <c r="H3426" s="7">
        <v>5.2279999999999998</v>
      </c>
      <c r="I3426" s="7">
        <v>5.1070000000000002</v>
      </c>
      <c r="J3426" s="7">
        <v>4.8109999999999999</v>
      </c>
      <c r="K3426" s="7">
        <v>5.0359999999999996</v>
      </c>
      <c r="L3426" s="7">
        <v>5.2160000000000002</v>
      </c>
      <c r="M3426" s="7">
        <v>5.4429999999999996</v>
      </c>
      <c r="N3426" s="7">
        <v>6.0350000000000001</v>
      </c>
      <c r="O3426" s="7">
        <v>6.4530000000000003</v>
      </c>
      <c r="P3426" s="7">
        <v>6.4930000000000003</v>
      </c>
      <c r="Q3426" s="7">
        <v>6.29</v>
      </c>
      <c r="R3426" s="7">
        <v>5.5819999999999999</v>
      </c>
      <c r="S3426" s="7">
        <f t="shared" si="53"/>
        <v>5.5699999999999994</v>
      </c>
    </row>
    <row r="3427" spans="1:19">
      <c r="A3427" s="5" t="str">
        <f>B3427&amp;"-"&amp;COUNTIF($B$2:B3427,B3427)</f>
        <v>PIAUI-58</v>
      </c>
      <c r="B3427" s="5" t="s">
        <v>2256</v>
      </c>
      <c r="C3427" s="5" t="s">
        <v>2295</v>
      </c>
      <c r="D3427" s="6">
        <v>-419683</v>
      </c>
      <c r="E3427" s="6">
        <v>-45546</v>
      </c>
      <c r="F3427" s="7">
        <v>5.67</v>
      </c>
      <c r="G3427" s="7">
        <v>5.1769999999999996</v>
      </c>
      <c r="H3427" s="7">
        <v>5.327</v>
      </c>
      <c r="I3427" s="7">
        <v>5.2930000000000001</v>
      </c>
      <c r="J3427" s="7">
        <v>5.0439999999999996</v>
      </c>
      <c r="K3427" s="7">
        <v>5.1120000000000001</v>
      </c>
      <c r="L3427" s="7">
        <v>5.2930000000000001</v>
      </c>
      <c r="M3427" s="7">
        <v>5.5730000000000004</v>
      </c>
      <c r="N3427" s="7">
        <v>6.1920000000000002</v>
      </c>
      <c r="O3427" s="7">
        <v>6.5640000000000001</v>
      </c>
      <c r="P3427" s="7">
        <v>6.4790000000000001</v>
      </c>
      <c r="Q3427" s="7">
        <v>6.2850000000000001</v>
      </c>
      <c r="R3427" s="7">
        <v>5.7039999999999997</v>
      </c>
      <c r="S3427" s="7">
        <f t="shared" si="53"/>
        <v>5.6702499999999993</v>
      </c>
    </row>
    <row r="3428" spans="1:19">
      <c r="A3428" s="5" t="str">
        <f>B3428&amp;"-"&amp;COUNTIF($B$2:B3428,B3428)</f>
        <v>PIAUI-59</v>
      </c>
      <c r="B3428" s="5" t="s">
        <v>2256</v>
      </c>
      <c r="C3428" s="5" t="s">
        <v>2296</v>
      </c>
      <c r="D3428" s="6">
        <v>-414405</v>
      </c>
      <c r="E3428" s="6">
        <v>-36209</v>
      </c>
      <c r="F3428" s="7">
        <v>5.5419999999999998</v>
      </c>
      <c r="G3428" s="7">
        <v>5.1479999999999997</v>
      </c>
      <c r="H3428" s="7">
        <v>5.1580000000000004</v>
      </c>
      <c r="I3428" s="7">
        <v>5.0119999999999996</v>
      </c>
      <c r="J3428" s="7">
        <v>4.7640000000000002</v>
      </c>
      <c r="K3428" s="7">
        <v>5.0229999999999997</v>
      </c>
      <c r="L3428" s="7">
        <v>5.1550000000000002</v>
      </c>
      <c r="M3428" s="7">
        <v>5.3609999999999998</v>
      </c>
      <c r="N3428" s="7">
        <v>5.931</v>
      </c>
      <c r="O3428" s="7">
        <v>6.4489999999999998</v>
      </c>
      <c r="P3428" s="7">
        <v>6.508</v>
      </c>
      <c r="Q3428" s="7">
        <v>6.39</v>
      </c>
      <c r="R3428" s="7">
        <v>5.6109999999999998</v>
      </c>
      <c r="S3428" s="7">
        <f t="shared" si="53"/>
        <v>5.5425000000000004</v>
      </c>
    </row>
    <row r="3429" spans="1:19">
      <c r="A3429" s="5" t="str">
        <f>B3429&amp;"-"&amp;COUNTIF($B$2:B3429,B3429)</f>
        <v>PIAUI-60</v>
      </c>
      <c r="B3429" s="5" t="s">
        <v>2256</v>
      </c>
      <c r="C3429" s="5" t="s">
        <v>2297</v>
      </c>
      <c r="D3429" s="6">
        <v>-422083</v>
      </c>
      <c r="E3429" s="6">
        <v>-50926</v>
      </c>
      <c r="F3429" s="7">
        <v>5.6769999999999996</v>
      </c>
      <c r="G3429" s="7">
        <v>5.1580000000000004</v>
      </c>
      <c r="H3429" s="7">
        <v>5.2859999999999996</v>
      </c>
      <c r="I3429" s="7">
        <v>5.407</v>
      </c>
      <c r="J3429" s="7">
        <v>5.1319999999999997</v>
      </c>
      <c r="K3429" s="7">
        <v>5.1230000000000002</v>
      </c>
      <c r="L3429" s="7">
        <v>5.2939999999999996</v>
      </c>
      <c r="M3429" s="7">
        <v>5.556</v>
      </c>
      <c r="N3429" s="7">
        <v>6.2229999999999999</v>
      </c>
      <c r="O3429" s="7">
        <v>6.508</v>
      </c>
      <c r="P3429" s="7">
        <v>6.4349999999999996</v>
      </c>
      <c r="Q3429" s="7">
        <v>6.2629999999999999</v>
      </c>
      <c r="R3429" s="7">
        <v>5.7350000000000003</v>
      </c>
      <c r="S3429" s="7">
        <f t="shared" si="53"/>
        <v>5.6766666666666667</v>
      </c>
    </row>
    <row r="3430" spans="1:19">
      <c r="A3430" s="5" t="str">
        <f>B3430&amp;"-"&amp;COUNTIF($B$2:B3430,B3430)</f>
        <v>PIAUI-61</v>
      </c>
      <c r="B3430" s="5" t="s">
        <v>2256</v>
      </c>
      <c r="C3430" s="5" t="s">
        <v>4572</v>
      </c>
      <c r="D3430" s="6">
        <v>-437944</v>
      </c>
      <c r="E3430" s="6">
        <v>-81841</v>
      </c>
      <c r="F3430" s="7">
        <v>5.6440000000000001</v>
      </c>
      <c r="G3430" s="7">
        <v>5.41</v>
      </c>
      <c r="H3430" s="7">
        <v>5.3540000000000001</v>
      </c>
      <c r="I3430" s="7">
        <v>5.2629999999999999</v>
      </c>
      <c r="J3430" s="7">
        <v>5.2569999999999997</v>
      </c>
      <c r="K3430" s="7">
        <v>5.31</v>
      </c>
      <c r="L3430" s="7">
        <v>5.3079999999999998</v>
      </c>
      <c r="M3430" s="7">
        <v>5.5679999999999996</v>
      </c>
      <c r="N3430" s="7">
        <v>6.1779999999999999</v>
      </c>
      <c r="O3430" s="7">
        <v>6.4930000000000003</v>
      </c>
      <c r="P3430" s="7">
        <v>6.2060000000000004</v>
      </c>
      <c r="Q3430" s="7">
        <v>5.798</v>
      </c>
      <c r="R3430" s="7">
        <v>5.5860000000000003</v>
      </c>
      <c r="S3430" s="7">
        <f t="shared" si="53"/>
        <v>5.6442500000000004</v>
      </c>
    </row>
    <row r="3431" spans="1:19">
      <c r="A3431" s="5" t="str">
        <f>B3431&amp;"-"&amp;COUNTIF($B$2:B3431,B3431)</f>
        <v>PIAUI-62</v>
      </c>
      <c r="B3431" s="5" t="s">
        <v>2256</v>
      </c>
      <c r="C3431" s="5" t="s">
        <v>4573</v>
      </c>
      <c r="D3431" s="6">
        <v>-421759</v>
      </c>
      <c r="E3431" s="6">
        <v>-72269</v>
      </c>
      <c r="F3431" s="7">
        <v>5.7850000000000001</v>
      </c>
      <c r="G3431" s="7">
        <v>5.5209999999999999</v>
      </c>
      <c r="H3431" s="7">
        <v>5.4050000000000002</v>
      </c>
      <c r="I3431" s="7">
        <v>5.4219999999999997</v>
      </c>
      <c r="J3431" s="7">
        <v>5.2960000000000003</v>
      </c>
      <c r="K3431" s="7">
        <v>5.3559999999999999</v>
      </c>
      <c r="L3431" s="7">
        <v>5.2640000000000002</v>
      </c>
      <c r="M3431" s="7">
        <v>5.609</v>
      </c>
      <c r="N3431" s="7">
        <v>6.2039999999999997</v>
      </c>
      <c r="O3431" s="7">
        <v>6.7119999999999997</v>
      </c>
      <c r="P3431" s="7">
        <v>6.4749999999999996</v>
      </c>
      <c r="Q3431" s="7">
        <v>6.2969999999999997</v>
      </c>
      <c r="R3431" s="7">
        <v>5.8609999999999998</v>
      </c>
      <c r="S3431" s="7">
        <f t="shared" si="53"/>
        <v>5.7851666666666661</v>
      </c>
    </row>
    <row r="3432" spans="1:19">
      <c r="A3432" s="5" t="str">
        <f>B3432&amp;"-"&amp;COUNTIF($B$2:B3432,B3432)</f>
        <v>PIAUI-63</v>
      </c>
      <c r="B3432" s="5" t="s">
        <v>2256</v>
      </c>
      <c r="C3432" s="5" t="s">
        <v>4738</v>
      </c>
      <c r="D3432" s="6">
        <v>-415945</v>
      </c>
      <c r="E3432" s="6">
        <v>-78768</v>
      </c>
      <c r="F3432" s="7">
        <v>5.85</v>
      </c>
      <c r="G3432" s="7">
        <v>5.7779999999999996</v>
      </c>
      <c r="H3432" s="7">
        <v>5.6260000000000003</v>
      </c>
      <c r="I3432" s="7">
        <v>5.6479999999999997</v>
      </c>
      <c r="J3432" s="7">
        <v>5.399</v>
      </c>
      <c r="K3432" s="7">
        <v>5.2270000000000003</v>
      </c>
      <c r="L3432" s="7">
        <v>5.2389999999999999</v>
      </c>
      <c r="M3432" s="7">
        <v>5.52</v>
      </c>
      <c r="N3432" s="7">
        <v>6.2510000000000003</v>
      </c>
      <c r="O3432" s="7">
        <v>6.6529999999999996</v>
      </c>
      <c r="P3432" s="7">
        <v>6.5339999999999998</v>
      </c>
      <c r="Q3432" s="7">
        <v>6.33</v>
      </c>
      <c r="R3432" s="7">
        <v>6</v>
      </c>
      <c r="S3432" s="7">
        <f t="shared" si="53"/>
        <v>5.8504166666666668</v>
      </c>
    </row>
    <row r="3433" spans="1:19">
      <c r="A3433" s="5" t="str">
        <f>B3433&amp;"-"&amp;COUNTIF($B$2:B3433,B3433)</f>
        <v>PIAUI-64</v>
      </c>
      <c r="B3433" s="5" t="s">
        <v>2256</v>
      </c>
      <c r="C3433" s="5" t="s">
        <v>4446</v>
      </c>
      <c r="D3433" s="6">
        <v>-42478</v>
      </c>
      <c r="E3433" s="6">
        <v>-88255</v>
      </c>
      <c r="F3433" s="7">
        <v>5.8650000000000002</v>
      </c>
      <c r="G3433" s="7">
        <v>5.8780000000000001</v>
      </c>
      <c r="H3433" s="7">
        <v>5.6959999999999997</v>
      </c>
      <c r="I3433" s="7">
        <v>5.5679999999999996</v>
      </c>
      <c r="J3433" s="7">
        <v>5.3419999999999996</v>
      </c>
      <c r="K3433" s="7">
        <v>5.23</v>
      </c>
      <c r="L3433" s="7">
        <v>5.2089999999999996</v>
      </c>
      <c r="M3433" s="7">
        <v>5.6520000000000001</v>
      </c>
      <c r="N3433" s="7">
        <v>6.4240000000000004</v>
      </c>
      <c r="O3433" s="7">
        <v>6.6609999999999996</v>
      </c>
      <c r="P3433" s="7">
        <v>6.5469999999999997</v>
      </c>
      <c r="Q3433" s="7">
        <v>6.2</v>
      </c>
      <c r="R3433" s="7">
        <v>5.9710000000000001</v>
      </c>
      <c r="S3433" s="7">
        <f t="shared" si="53"/>
        <v>5.8648333333333333</v>
      </c>
    </row>
    <row r="3434" spans="1:19">
      <c r="A3434" s="5" t="str">
        <f>B3434&amp;"-"&amp;COUNTIF($B$2:B3434,B3434)</f>
        <v>PIAUI-65</v>
      </c>
      <c r="B3434" s="5" t="s">
        <v>2256</v>
      </c>
      <c r="C3434" s="5" t="s">
        <v>2298</v>
      </c>
      <c r="D3434" s="6">
        <v>-451637</v>
      </c>
      <c r="E3434" s="6">
        <v>-104338</v>
      </c>
      <c r="F3434" s="7">
        <v>5.7679999999999998</v>
      </c>
      <c r="G3434" s="7">
        <v>5.835</v>
      </c>
      <c r="H3434" s="7">
        <v>5.702</v>
      </c>
      <c r="I3434" s="7">
        <v>5.4649999999999999</v>
      </c>
      <c r="J3434" s="7">
        <v>5.3849999999999998</v>
      </c>
      <c r="K3434" s="7">
        <v>5.4080000000000004</v>
      </c>
      <c r="L3434" s="7">
        <v>5.32</v>
      </c>
      <c r="M3434" s="7">
        <v>5.5739999999999998</v>
      </c>
      <c r="N3434" s="7">
        <v>6.2220000000000004</v>
      </c>
      <c r="O3434" s="7">
        <v>6.3550000000000004</v>
      </c>
      <c r="P3434" s="7">
        <v>6.1269999999999998</v>
      </c>
      <c r="Q3434" s="7">
        <v>5.8659999999999997</v>
      </c>
      <c r="R3434" s="7">
        <v>5.9630000000000001</v>
      </c>
      <c r="S3434" s="7">
        <f t="shared" si="53"/>
        <v>5.7685000000000004</v>
      </c>
    </row>
    <row r="3435" spans="1:19">
      <c r="A3435" s="5" t="str">
        <f>B3435&amp;"-"&amp;COUNTIF($B$2:B3435,B3435)</f>
        <v>PIAUI-66</v>
      </c>
      <c r="B3435" s="5" t="s">
        <v>2256</v>
      </c>
      <c r="C3435" s="5" t="s">
        <v>5007</v>
      </c>
      <c r="D3435" s="6">
        <v>-451896</v>
      </c>
      <c r="E3435" s="6">
        <v>-106447</v>
      </c>
      <c r="F3435" s="7">
        <v>5.7930000000000001</v>
      </c>
      <c r="G3435" s="7">
        <v>5.9569999999999999</v>
      </c>
      <c r="H3435" s="7">
        <v>5.7460000000000004</v>
      </c>
      <c r="I3435" s="7">
        <v>5.5469999999999997</v>
      </c>
      <c r="J3435" s="7">
        <v>5.4180000000000001</v>
      </c>
      <c r="K3435" s="7">
        <v>5.38</v>
      </c>
      <c r="L3435" s="7">
        <v>5.3170000000000002</v>
      </c>
      <c r="M3435" s="7">
        <v>5.5620000000000003</v>
      </c>
      <c r="N3435" s="7">
        <v>6.2619999999999996</v>
      </c>
      <c r="O3435" s="7">
        <v>6.3929999999999998</v>
      </c>
      <c r="P3435" s="7">
        <v>6.1050000000000004</v>
      </c>
      <c r="Q3435" s="7">
        <v>5.8120000000000003</v>
      </c>
      <c r="R3435" s="7">
        <v>6.02</v>
      </c>
      <c r="S3435" s="7">
        <f t="shared" si="53"/>
        <v>5.7932499999999996</v>
      </c>
    </row>
    <row r="3436" spans="1:19">
      <c r="A3436" s="5" t="str">
        <f>B3436&amp;"-"&amp;COUNTIF($B$2:B3436,B3436)</f>
        <v>PIAUI-67</v>
      </c>
      <c r="B3436" s="5" t="s">
        <v>2256</v>
      </c>
      <c r="C3436" s="5" t="s">
        <v>2299</v>
      </c>
      <c r="D3436" s="6">
        <v>-442233</v>
      </c>
      <c r="E3436" s="6">
        <v>-88232</v>
      </c>
      <c r="F3436" s="7">
        <v>5.7270000000000003</v>
      </c>
      <c r="G3436" s="7">
        <v>5.6219999999999999</v>
      </c>
      <c r="H3436" s="7">
        <v>5.4139999999999997</v>
      </c>
      <c r="I3436" s="7">
        <v>5.367</v>
      </c>
      <c r="J3436" s="7">
        <v>5.3959999999999999</v>
      </c>
      <c r="K3436" s="7">
        <v>5.3860000000000001</v>
      </c>
      <c r="L3436" s="7">
        <v>5.2830000000000004</v>
      </c>
      <c r="M3436" s="7">
        <v>5.6630000000000003</v>
      </c>
      <c r="N3436" s="7">
        <v>6.37</v>
      </c>
      <c r="O3436" s="7">
        <v>6.6680000000000001</v>
      </c>
      <c r="P3436" s="7">
        <v>6.1440000000000001</v>
      </c>
      <c r="Q3436" s="7">
        <v>5.7569999999999997</v>
      </c>
      <c r="R3436" s="7">
        <v>5.6539999999999999</v>
      </c>
      <c r="S3436" s="7">
        <f t="shared" si="53"/>
        <v>5.7269999999999994</v>
      </c>
    </row>
    <row r="3437" spans="1:19">
      <c r="A3437" s="5" t="str">
        <f>B3437&amp;"-"&amp;COUNTIF($B$2:B3437,B3437)</f>
        <v>PIAUI-68</v>
      </c>
      <c r="B3437" s="5" t="s">
        <v>2256</v>
      </c>
      <c r="C3437" s="5" t="s">
        <v>5689</v>
      </c>
      <c r="D3437" s="6">
        <v>-443006</v>
      </c>
      <c r="E3437" s="6">
        <v>-10033</v>
      </c>
      <c r="F3437" s="7">
        <v>5.8529999999999998</v>
      </c>
      <c r="G3437" s="7">
        <v>6.0209999999999999</v>
      </c>
      <c r="H3437" s="7">
        <v>5.8109999999999999</v>
      </c>
      <c r="I3437" s="7">
        <v>5.6980000000000004</v>
      </c>
      <c r="J3437" s="7">
        <v>5.5439999999999996</v>
      </c>
      <c r="K3437" s="7">
        <v>5.4240000000000004</v>
      </c>
      <c r="L3437" s="7">
        <v>5.28</v>
      </c>
      <c r="M3437" s="7">
        <v>5.55</v>
      </c>
      <c r="N3437" s="7">
        <v>6.1909999999999998</v>
      </c>
      <c r="O3437" s="7">
        <v>6.476</v>
      </c>
      <c r="P3437" s="7">
        <v>6.2649999999999997</v>
      </c>
      <c r="Q3437" s="7">
        <v>5.9589999999999996</v>
      </c>
      <c r="R3437" s="7">
        <v>6.0179999999999998</v>
      </c>
      <c r="S3437" s="7">
        <f t="shared" si="53"/>
        <v>5.8530833333333332</v>
      </c>
    </row>
    <row r="3438" spans="1:19">
      <c r="A3438" s="5" t="str">
        <f>B3438&amp;"-"&amp;COUNTIF($B$2:B3438,B3438)</f>
        <v>PIAUI-69</v>
      </c>
      <c r="B3438" s="5" t="s">
        <v>2256</v>
      </c>
      <c r="C3438" s="5" t="s">
        <v>2300</v>
      </c>
      <c r="D3438" s="6">
        <v>-444029</v>
      </c>
      <c r="E3438" s="6">
        <v>-90143</v>
      </c>
      <c r="F3438" s="7">
        <v>5.7329999999999997</v>
      </c>
      <c r="G3438" s="7">
        <v>5.6319999999999997</v>
      </c>
      <c r="H3438" s="7">
        <v>5.5019999999999998</v>
      </c>
      <c r="I3438" s="7">
        <v>5.3780000000000001</v>
      </c>
      <c r="J3438" s="7">
        <v>5.3970000000000002</v>
      </c>
      <c r="K3438" s="7">
        <v>5.3780000000000001</v>
      </c>
      <c r="L3438" s="7">
        <v>5.3140000000000001</v>
      </c>
      <c r="M3438" s="7">
        <v>5.66</v>
      </c>
      <c r="N3438" s="7">
        <v>6.3419999999999996</v>
      </c>
      <c r="O3438" s="7">
        <v>6.6420000000000003</v>
      </c>
      <c r="P3438" s="7">
        <v>6.1479999999999997</v>
      </c>
      <c r="Q3438" s="7">
        <v>5.734</v>
      </c>
      <c r="R3438" s="7">
        <v>5.6740000000000004</v>
      </c>
      <c r="S3438" s="7">
        <f t="shared" si="53"/>
        <v>5.7334166666666668</v>
      </c>
    </row>
    <row r="3439" spans="1:19">
      <c r="A3439" s="5" t="str">
        <f>B3439&amp;"-"&amp;COUNTIF($B$2:B3439,B3439)</f>
        <v>PIAUI-70</v>
      </c>
      <c r="B3439" s="5" t="s">
        <v>2256</v>
      </c>
      <c r="C3439" s="5" t="s">
        <v>2301</v>
      </c>
      <c r="D3439" s="6">
        <v>-409009</v>
      </c>
      <c r="E3439" s="6">
        <v>-78316</v>
      </c>
      <c r="F3439" s="7">
        <v>5.8710000000000004</v>
      </c>
      <c r="G3439" s="7">
        <v>5.7990000000000004</v>
      </c>
      <c r="H3439" s="7">
        <v>5.6059999999999999</v>
      </c>
      <c r="I3439" s="7">
        <v>5.74</v>
      </c>
      <c r="J3439" s="7">
        <v>5.36</v>
      </c>
      <c r="K3439" s="7">
        <v>5.1559999999999997</v>
      </c>
      <c r="L3439" s="7">
        <v>5.1139999999999999</v>
      </c>
      <c r="M3439" s="7">
        <v>5.524</v>
      </c>
      <c r="N3439" s="7">
        <v>6.28</v>
      </c>
      <c r="O3439" s="7">
        <v>6.6609999999999996</v>
      </c>
      <c r="P3439" s="7">
        <v>6.6070000000000002</v>
      </c>
      <c r="Q3439" s="7">
        <v>6.4770000000000003</v>
      </c>
      <c r="R3439" s="7">
        <v>6.1230000000000002</v>
      </c>
      <c r="S3439" s="7">
        <f t="shared" si="53"/>
        <v>5.8705833333333333</v>
      </c>
    </row>
    <row r="3440" spans="1:19">
      <c r="A3440" s="5" t="str">
        <f>B3440&amp;"-"&amp;COUNTIF($B$2:B3440,B3440)</f>
        <v>PIAUI-71</v>
      </c>
      <c r="B3440" s="5" t="s">
        <v>2256</v>
      </c>
      <c r="C3440" s="5" t="s">
        <v>2302</v>
      </c>
      <c r="D3440" s="6">
        <v>-428309</v>
      </c>
      <c r="E3440" s="6">
        <v>-56182</v>
      </c>
      <c r="F3440" s="7">
        <v>5.5730000000000004</v>
      </c>
      <c r="G3440" s="7">
        <v>4.93</v>
      </c>
      <c r="H3440" s="7">
        <v>5.1040000000000001</v>
      </c>
      <c r="I3440" s="7">
        <v>5.1420000000000003</v>
      </c>
      <c r="J3440" s="7">
        <v>5.0460000000000003</v>
      </c>
      <c r="K3440" s="7">
        <v>5.12</v>
      </c>
      <c r="L3440" s="7">
        <v>5.3940000000000001</v>
      </c>
      <c r="M3440" s="7">
        <v>5.5830000000000002</v>
      </c>
      <c r="N3440" s="7">
        <v>6.2380000000000004</v>
      </c>
      <c r="O3440" s="7">
        <v>6.5410000000000004</v>
      </c>
      <c r="P3440" s="7">
        <v>6.2930000000000001</v>
      </c>
      <c r="Q3440" s="7">
        <v>5.9660000000000002</v>
      </c>
      <c r="R3440" s="7">
        <v>5.5190000000000001</v>
      </c>
      <c r="S3440" s="7">
        <f t="shared" si="53"/>
        <v>5.5730000000000004</v>
      </c>
    </row>
    <row r="3441" spans="1:19">
      <c r="A3441" s="5" t="str">
        <f>B3441&amp;"-"&amp;COUNTIF($B$2:B3441,B3441)</f>
        <v>PIAUI-72</v>
      </c>
      <c r="B3441" s="5" t="s">
        <v>2256</v>
      </c>
      <c r="C3441" s="5" t="s">
        <v>4108</v>
      </c>
      <c r="D3441" s="6">
        <v>-426779</v>
      </c>
      <c r="E3441" s="6">
        <v>-53592</v>
      </c>
      <c r="F3441" s="7">
        <v>5.6449999999999996</v>
      </c>
      <c r="G3441" s="7">
        <v>5.0830000000000002</v>
      </c>
      <c r="H3441" s="7">
        <v>5.1539999999999999</v>
      </c>
      <c r="I3441" s="7">
        <v>5.2549999999999999</v>
      </c>
      <c r="J3441" s="7">
        <v>5.1100000000000003</v>
      </c>
      <c r="K3441" s="7">
        <v>5.1349999999999998</v>
      </c>
      <c r="L3441" s="7">
        <v>5.3330000000000002</v>
      </c>
      <c r="M3441" s="7">
        <v>5.6050000000000004</v>
      </c>
      <c r="N3441" s="7">
        <v>6.1920000000000002</v>
      </c>
      <c r="O3441" s="7">
        <v>6.609</v>
      </c>
      <c r="P3441" s="7">
        <v>6.4119999999999999</v>
      </c>
      <c r="Q3441" s="7">
        <v>6.133</v>
      </c>
      <c r="R3441" s="7">
        <v>5.726</v>
      </c>
      <c r="S3441" s="7">
        <f t="shared" si="53"/>
        <v>5.6455833333333336</v>
      </c>
    </row>
    <row r="3442" spans="1:19">
      <c r="A3442" s="5" t="str">
        <f>B3442&amp;"-"&amp;COUNTIF($B$2:B3442,B3442)</f>
        <v>PIAUI-73</v>
      </c>
      <c r="B3442" s="5" t="s">
        <v>2256</v>
      </c>
      <c r="C3442" s="5" t="s">
        <v>2303</v>
      </c>
      <c r="D3442" s="6">
        <v>-424351</v>
      </c>
      <c r="E3442" s="6">
        <v>-93398</v>
      </c>
      <c r="F3442" s="7">
        <v>5.9020000000000001</v>
      </c>
      <c r="G3442" s="7">
        <v>6.0670000000000002</v>
      </c>
      <c r="H3442" s="7">
        <v>5.8010000000000002</v>
      </c>
      <c r="I3442" s="7">
        <v>5.65</v>
      </c>
      <c r="J3442" s="7">
        <v>5.4390000000000001</v>
      </c>
      <c r="K3442" s="7">
        <v>5.2549999999999999</v>
      </c>
      <c r="L3442" s="7">
        <v>5.2050000000000001</v>
      </c>
      <c r="M3442" s="7">
        <v>5.5759999999999996</v>
      </c>
      <c r="N3442" s="7">
        <v>6.3380000000000001</v>
      </c>
      <c r="O3442" s="7">
        <v>6.5730000000000004</v>
      </c>
      <c r="P3442" s="7">
        <v>6.5110000000000001</v>
      </c>
      <c r="Q3442" s="7">
        <v>6.3079999999999998</v>
      </c>
      <c r="R3442" s="7">
        <v>6.1029999999999998</v>
      </c>
      <c r="S3442" s="7">
        <f t="shared" si="53"/>
        <v>5.902166666666667</v>
      </c>
    </row>
    <row r="3443" spans="1:19">
      <c r="A3443" s="5" t="str">
        <f>B3443&amp;"-"&amp;COUNTIF($B$2:B3443,B3443)</f>
        <v>PIAUI-74</v>
      </c>
      <c r="B3443" s="5" t="s">
        <v>2256</v>
      </c>
      <c r="C3443" s="5" t="s">
        <v>2304</v>
      </c>
      <c r="D3443" s="6">
        <v>-416481</v>
      </c>
      <c r="E3443" s="6">
        <v>-69591</v>
      </c>
      <c r="F3443" s="7">
        <v>5.8</v>
      </c>
      <c r="G3443" s="7">
        <v>5.468</v>
      </c>
      <c r="H3443" s="7">
        <v>5.3490000000000002</v>
      </c>
      <c r="I3443" s="7">
        <v>5.452</v>
      </c>
      <c r="J3443" s="7">
        <v>5.3540000000000001</v>
      </c>
      <c r="K3443" s="7">
        <v>5.25</v>
      </c>
      <c r="L3443" s="7">
        <v>5.1980000000000004</v>
      </c>
      <c r="M3443" s="7">
        <v>5.6520000000000001</v>
      </c>
      <c r="N3443" s="7">
        <v>6.3470000000000004</v>
      </c>
      <c r="O3443" s="7">
        <v>6.7590000000000003</v>
      </c>
      <c r="P3443" s="7">
        <v>6.5460000000000003</v>
      </c>
      <c r="Q3443" s="7">
        <v>6.327</v>
      </c>
      <c r="R3443" s="7">
        <v>5.899</v>
      </c>
      <c r="S3443" s="7">
        <f t="shared" si="53"/>
        <v>5.8000833333333333</v>
      </c>
    </row>
    <row r="3444" spans="1:19">
      <c r="A3444" s="5" t="str">
        <f>B3444&amp;"-"&amp;COUNTIF($B$2:B3444,B3444)</f>
        <v>PIAUI-75</v>
      </c>
      <c r="B3444" s="5" t="s">
        <v>2256</v>
      </c>
      <c r="C3444" s="5" t="s">
        <v>5310</v>
      </c>
      <c r="D3444" s="6">
        <v>-419737</v>
      </c>
      <c r="E3444" s="6">
        <v>-90054</v>
      </c>
      <c r="F3444" s="7">
        <v>5.9459999999999997</v>
      </c>
      <c r="G3444" s="7">
        <v>6.1449999999999996</v>
      </c>
      <c r="H3444" s="7">
        <v>5.9450000000000003</v>
      </c>
      <c r="I3444" s="7">
        <v>5.7919999999999998</v>
      </c>
      <c r="J3444" s="7">
        <v>5.3879999999999999</v>
      </c>
      <c r="K3444" s="7">
        <v>5.2460000000000004</v>
      </c>
      <c r="L3444" s="7">
        <v>5.21</v>
      </c>
      <c r="M3444" s="7">
        <v>5.6040000000000001</v>
      </c>
      <c r="N3444" s="7">
        <v>6.3520000000000003</v>
      </c>
      <c r="O3444" s="7">
        <v>6.5380000000000003</v>
      </c>
      <c r="P3444" s="7">
        <v>6.617</v>
      </c>
      <c r="Q3444" s="7">
        <v>6.343</v>
      </c>
      <c r="R3444" s="7">
        <v>6.17</v>
      </c>
      <c r="S3444" s="7">
        <f t="shared" si="53"/>
        <v>5.9458333333333329</v>
      </c>
    </row>
    <row r="3445" spans="1:19">
      <c r="A3445" s="5" t="str">
        <f>B3445&amp;"-"&amp;COUNTIF($B$2:B3445,B3445)</f>
        <v>PIAUI-76</v>
      </c>
      <c r="B3445" s="5" t="s">
        <v>2256</v>
      </c>
      <c r="C3445" s="5" t="s">
        <v>4109</v>
      </c>
      <c r="D3445" s="6">
        <v>-412714</v>
      </c>
      <c r="E3445" s="6">
        <v>-42535</v>
      </c>
      <c r="F3445" s="7">
        <v>5.6280000000000001</v>
      </c>
      <c r="G3445" s="7">
        <v>5.1219999999999999</v>
      </c>
      <c r="H3445" s="7">
        <v>5.27</v>
      </c>
      <c r="I3445" s="7">
        <v>5.3179999999999996</v>
      </c>
      <c r="J3445" s="7">
        <v>5.0339999999999998</v>
      </c>
      <c r="K3445" s="7">
        <v>5.077</v>
      </c>
      <c r="L3445" s="7">
        <v>5.117</v>
      </c>
      <c r="M3445" s="7">
        <v>5.3920000000000003</v>
      </c>
      <c r="N3445" s="7">
        <v>6.0490000000000004</v>
      </c>
      <c r="O3445" s="7">
        <v>6.5469999999999997</v>
      </c>
      <c r="P3445" s="7">
        <v>6.5380000000000003</v>
      </c>
      <c r="Q3445" s="7">
        <v>6.4059999999999997</v>
      </c>
      <c r="R3445" s="7">
        <v>5.6660000000000004</v>
      </c>
      <c r="S3445" s="7">
        <f t="shared" si="53"/>
        <v>5.6280000000000001</v>
      </c>
    </row>
    <row r="3446" spans="1:19">
      <c r="A3446" s="5" t="str">
        <f>B3446&amp;"-"&amp;COUNTIF($B$2:B3446,B3446)</f>
        <v>PIAUI-77</v>
      </c>
      <c r="B3446" s="5" t="s">
        <v>2256</v>
      </c>
      <c r="C3446" s="5" t="s">
        <v>4110</v>
      </c>
      <c r="D3446" s="6">
        <v>-421358</v>
      </c>
      <c r="E3446" s="6">
        <v>-61999</v>
      </c>
      <c r="F3446" s="7">
        <v>5.6959999999999997</v>
      </c>
      <c r="G3446" s="7">
        <v>5.29</v>
      </c>
      <c r="H3446" s="7">
        <v>5.3689999999999998</v>
      </c>
      <c r="I3446" s="7">
        <v>5.3090000000000002</v>
      </c>
      <c r="J3446" s="7">
        <v>5.3140000000000001</v>
      </c>
      <c r="K3446" s="7">
        <v>5.2069999999999999</v>
      </c>
      <c r="L3446" s="7">
        <v>5.1959999999999997</v>
      </c>
      <c r="M3446" s="7">
        <v>5.52</v>
      </c>
      <c r="N3446" s="7">
        <v>6.1619999999999999</v>
      </c>
      <c r="O3446" s="7">
        <v>6.5759999999999996</v>
      </c>
      <c r="P3446" s="7">
        <v>6.359</v>
      </c>
      <c r="Q3446" s="7">
        <v>6.2389999999999999</v>
      </c>
      <c r="R3446" s="7">
        <v>5.8090000000000002</v>
      </c>
      <c r="S3446" s="7">
        <f t="shared" si="53"/>
        <v>5.6958333333333329</v>
      </c>
    </row>
    <row r="3447" spans="1:19">
      <c r="A3447" s="5" t="str">
        <f>B3447&amp;"-"&amp;COUNTIF($B$2:B3447,B3447)</f>
        <v>PIAUI-78</v>
      </c>
      <c r="B3447" s="5" t="s">
        <v>2256</v>
      </c>
      <c r="C3447" s="5" t="s">
        <v>2305</v>
      </c>
      <c r="D3447" s="6">
        <v>-436587</v>
      </c>
      <c r="E3447" s="6">
        <v>-81007</v>
      </c>
      <c r="F3447" s="7">
        <v>5.6529999999999996</v>
      </c>
      <c r="G3447" s="7">
        <v>5.4359999999999999</v>
      </c>
      <c r="H3447" s="7">
        <v>5.3730000000000002</v>
      </c>
      <c r="I3447" s="7">
        <v>5.2489999999999997</v>
      </c>
      <c r="J3447" s="7">
        <v>5.2889999999999997</v>
      </c>
      <c r="K3447" s="7">
        <v>5.2709999999999999</v>
      </c>
      <c r="L3447" s="7">
        <v>5.26</v>
      </c>
      <c r="M3447" s="7">
        <v>5.6340000000000003</v>
      </c>
      <c r="N3447" s="7">
        <v>6.14</v>
      </c>
      <c r="O3447" s="7">
        <v>6.5140000000000002</v>
      </c>
      <c r="P3447" s="7">
        <v>6.2859999999999996</v>
      </c>
      <c r="Q3447" s="7">
        <v>5.7850000000000001</v>
      </c>
      <c r="R3447" s="7">
        <v>5.5970000000000004</v>
      </c>
      <c r="S3447" s="7">
        <f t="shared" si="53"/>
        <v>5.6528333333333336</v>
      </c>
    </row>
    <row r="3448" spans="1:19">
      <c r="A3448" s="5" t="str">
        <f>B3448&amp;"-"&amp;COUNTIF($B$2:B3448,B3448)</f>
        <v>PIAUI-79</v>
      </c>
      <c r="B3448" s="5" t="s">
        <v>2256</v>
      </c>
      <c r="C3448" s="5" t="s">
        <v>2306</v>
      </c>
      <c r="D3448" s="6">
        <v>-422328</v>
      </c>
      <c r="E3448" s="6">
        <v>-3889</v>
      </c>
      <c r="F3448" s="7">
        <v>5.7130000000000001</v>
      </c>
      <c r="G3448" s="7">
        <v>5.3040000000000003</v>
      </c>
      <c r="H3448" s="7">
        <v>5.5010000000000003</v>
      </c>
      <c r="I3448" s="7">
        <v>5.3959999999999999</v>
      </c>
      <c r="J3448" s="7">
        <v>5.1440000000000001</v>
      </c>
      <c r="K3448" s="7">
        <v>5.1879999999999997</v>
      </c>
      <c r="L3448" s="7">
        <v>5.3230000000000004</v>
      </c>
      <c r="M3448" s="7">
        <v>5.5270000000000001</v>
      </c>
      <c r="N3448" s="7">
        <v>6.149</v>
      </c>
      <c r="O3448" s="7">
        <v>6.4969999999999999</v>
      </c>
      <c r="P3448" s="7">
        <v>6.4820000000000002</v>
      </c>
      <c r="Q3448" s="7">
        <v>6.3250000000000002</v>
      </c>
      <c r="R3448" s="7">
        <v>5.7149999999999999</v>
      </c>
      <c r="S3448" s="7">
        <f t="shared" si="53"/>
        <v>5.7125833333333338</v>
      </c>
    </row>
    <row r="3449" spans="1:19">
      <c r="A3449" s="5" t="str">
        <f>B3449&amp;"-"&amp;COUNTIF($B$2:B3449,B3449)</f>
        <v>PIAUI-80</v>
      </c>
      <c r="B3449" s="5" t="s">
        <v>2256</v>
      </c>
      <c r="C3449" s="5" t="s">
        <v>2307</v>
      </c>
      <c r="D3449" s="6">
        <v>-427906</v>
      </c>
      <c r="E3449" s="6">
        <v>-94791</v>
      </c>
      <c r="F3449" s="7">
        <v>5.899</v>
      </c>
      <c r="G3449" s="7">
        <v>6.0549999999999997</v>
      </c>
      <c r="H3449" s="7">
        <v>5.8150000000000004</v>
      </c>
      <c r="I3449" s="7">
        <v>5.6959999999999997</v>
      </c>
      <c r="J3449" s="7">
        <v>5.4050000000000002</v>
      </c>
      <c r="K3449" s="7">
        <v>5.2510000000000003</v>
      </c>
      <c r="L3449" s="7">
        <v>5.2229999999999999</v>
      </c>
      <c r="M3449" s="7">
        <v>5.6319999999999997</v>
      </c>
      <c r="N3449" s="7">
        <v>6.3609999999999998</v>
      </c>
      <c r="O3449" s="7">
        <v>6.6219999999999999</v>
      </c>
      <c r="P3449" s="7">
        <v>6.4630000000000001</v>
      </c>
      <c r="Q3449" s="7">
        <v>6.1840000000000002</v>
      </c>
      <c r="R3449" s="7">
        <v>6.0890000000000004</v>
      </c>
      <c r="S3449" s="7">
        <f t="shared" si="53"/>
        <v>5.8996666666666675</v>
      </c>
    </row>
    <row r="3450" spans="1:19">
      <c r="A3450" s="5" t="str">
        <f>B3450&amp;"-"&amp;COUNTIF($B$2:B3450,B3450)</f>
        <v>PIAUI-81</v>
      </c>
      <c r="B3450" s="5" t="s">
        <v>2256</v>
      </c>
      <c r="C3450" s="5" t="s">
        <v>2308</v>
      </c>
      <c r="D3450" s="6">
        <v>-429247</v>
      </c>
      <c r="E3450" s="6">
        <v>-77938</v>
      </c>
      <c r="F3450" s="7">
        <v>5.7270000000000003</v>
      </c>
      <c r="G3450" s="7">
        <v>5.431</v>
      </c>
      <c r="H3450" s="7">
        <v>5.3579999999999997</v>
      </c>
      <c r="I3450" s="7">
        <v>5.298</v>
      </c>
      <c r="J3450" s="7">
        <v>5.306</v>
      </c>
      <c r="K3450" s="7">
        <v>5.2839999999999998</v>
      </c>
      <c r="L3450" s="7">
        <v>5.3220000000000001</v>
      </c>
      <c r="M3450" s="7">
        <v>5.5979999999999999</v>
      </c>
      <c r="N3450" s="7">
        <v>6.2759999999999998</v>
      </c>
      <c r="O3450" s="7">
        <v>6.7130000000000001</v>
      </c>
      <c r="P3450" s="7">
        <v>6.4089999999999998</v>
      </c>
      <c r="Q3450" s="7">
        <v>5.9649999999999999</v>
      </c>
      <c r="R3450" s="7">
        <v>5.7629999999999999</v>
      </c>
      <c r="S3450" s="7">
        <f t="shared" si="53"/>
        <v>5.7269166666666678</v>
      </c>
    </row>
    <row r="3451" spans="1:19">
      <c r="A3451" s="5" t="str">
        <f>B3451&amp;"-"&amp;COUNTIF($B$2:B3451,B3451)</f>
        <v>PIAUI-82</v>
      </c>
      <c r="B3451" s="5" t="s">
        <v>2256</v>
      </c>
      <c r="C3451" s="5" t="s">
        <v>2309</v>
      </c>
      <c r="D3451" s="6">
        <v>-417997</v>
      </c>
      <c r="E3451" s="6">
        <v>-74669</v>
      </c>
      <c r="F3451" s="7">
        <v>5.798</v>
      </c>
      <c r="G3451" s="7">
        <v>5.6669999999999998</v>
      </c>
      <c r="H3451" s="7">
        <v>5.52</v>
      </c>
      <c r="I3451" s="7">
        <v>5.5730000000000004</v>
      </c>
      <c r="J3451" s="7">
        <v>5.3129999999999997</v>
      </c>
      <c r="K3451" s="7">
        <v>5.2569999999999997</v>
      </c>
      <c r="L3451" s="7">
        <v>5.2510000000000003</v>
      </c>
      <c r="M3451" s="7">
        <v>5.5519999999999996</v>
      </c>
      <c r="N3451" s="7">
        <v>6.1580000000000004</v>
      </c>
      <c r="O3451" s="7">
        <v>6.6070000000000002</v>
      </c>
      <c r="P3451" s="7">
        <v>6.4930000000000003</v>
      </c>
      <c r="Q3451" s="7">
        <v>6.2830000000000004</v>
      </c>
      <c r="R3451" s="7">
        <v>5.907</v>
      </c>
      <c r="S3451" s="7">
        <f t="shared" si="53"/>
        <v>5.7984166666666672</v>
      </c>
    </row>
    <row r="3452" spans="1:19">
      <c r="A3452" s="5" t="str">
        <f>B3452&amp;"-"&amp;COUNTIF($B$2:B3452,B3452)</f>
        <v>PIAUI-83</v>
      </c>
      <c r="B3452" s="5" t="s">
        <v>2256</v>
      </c>
      <c r="C3452" s="5" t="s">
        <v>2310</v>
      </c>
      <c r="D3452" s="6">
        <v>-430245</v>
      </c>
      <c r="E3452" s="6">
        <v>-67722</v>
      </c>
      <c r="F3452" s="7">
        <v>5.641</v>
      </c>
      <c r="G3452" s="7">
        <v>5.24</v>
      </c>
      <c r="H3452" s="7">
        <v>5.306</v>
      </c>
      <c r="I3452" s="7">
        <v>5.2649999999999997</v>
      </c>
      <c r="J3452" s="7">
        <v>5.1829999999999998</v>
      </c>
      <c r="K3452" s="7">
        <v>5.21</v>
      </c>
      <c r="L3452" s="7">
        <v>5.34</v>
      </c>
      <c r="M3452" s="7">
        <v>5.5679999999999996</v>
      </c>
      <c r="N3452" s="7">
        <v>6.0890000000000004</v>
      </c>
      <c r="O3452" s="7">
        <v>6.5830000000000002</v>
      </c>
      <c r="P3452" s="7">
        <v>6.3559999999999999</v>
      </c>
      <c r="Q3452" s="7">
        <v>5.9950000000000001</v>
      </c>
      <c r="R3452" s="7">
        <v>5.5650000000000004</v>
      </c>
      <c r="S3452" s="7">
        <f t="shared" si="53"/>
        <v>5.6416666666666666</v>
      </c>
    </row>
    <row r="3453" spans="1:19">
      <c r="A3453" s="5" t="str">
        <f>B3453&amp;"-"&amp;COUNTIF($B$2:B3453,B3453)</f>
        <v>PIAUI-84</v>
      </c>
      <c r="B3453" s="5" t="s">
        <v>2256</v>
      </c>
      <c r="C3453" s="5" t="s">
        <v>5191</v>
      </c>
      <c r="D3453" s="6">
        <v>-422669</v>
      </c>
      <c r="E3453" s="6">
        <v>-63969</v>
      </c>
      <c r="F3453" s="7">
        <v>5.6520000000000001</v>
      </c>
      <c r="G3453" s="7">
        <v>5.1859999999999999</v>
      </c>
      <c r="H3453" s="7">
        <v>5.2949999999999999</v>
      </c>
      <c r="I3453" s="7">
        <v>5.2169999999999996</v>
      </c>
      <c r="J3453" s="7">
        <v>5.1479999999999997</v>
      </c>
      <c r="K3453" s="7">
        <v>5.2380000000000004</v>
      </c>
      <c r="L3453" s="7">
        <v>5.2670000000000003</v>
      </c>
      <c r="M3453" s="7">
        <v>5.5830000000000002</v>
      </c>
      <c r="N3453" s="7">
        <v>6.22</v>
      </c>
      <c r="O3453" s="7">
        <v>6.5670000000000002</v>
      </c>
      <c r="P3453" s="7">
        <v>6.2839999999999998</v>
      </c>
      <c r="Q3453" s="7">
        <v>6.1189999999999998</v>
      </c>
      <c r="R3453" s="7">
        <v>5.6989999999999998</v>
      </c>
      <c r="S3453" s="7">
        <f t="shared" si="53"/>
        <v>5.6519166666666658</v>
      </c>
    </row>
    <row r="3454" spans="1:19">
      <c r="A3454" s="5" t="str">
        <f>B3454&amp;"-"&amp;COUNTIF($B$2:B3454,B3454)</f>
        <v>PIAUI-85</v>
      </c>
      <c r="B3454" s="5" t="s">
        <v>2256</v>
      </c>
      <c r="C3454" s="5" t="s">
        <v>2311</v>
      </c>
      <c r="D3454" s="6">
        <v>-426936</v>
      </c>
      <c r="E3454" s="6">
        <v>-66252</v>
      </c>
      <c r="F3454" s="7">
        <v>5.67</v>
      </c>
      <c r="G3454" s="7">
        <v>5.1989999999999998</v>
      </c>
      <c r="H3454" s="7">
        <v>5.2850000000000001</v>
      </c>
      <c r="I3454" s="7">
        <v>5.24</v>
      </c>
      <c r="J3454" s="7">
        <v>5.2030000000000003</v>
      </c>
      <c r="K3454" s="7">
        <v>5.2919999999999998</v>
      </c>
      <c r="L3454" s="7">
        <v>5.367</v>
      </c>
      <c r="M3454" s="7">
        <v>5.6289999999999996</v>
      </c>
      <c r="N3454" s="7">
        <v>6.1589999999999998</v>
      </c>
      <c r="O3454" s="7">
        <v>6.5170000000000003</v>
      </c>
      <c r="P3454" s="7">
        <v>6.3920000000000003</v>
      </c>
      <c r="Q3454" s="7">
        <v>6.077</v>
      </c>
      <c r="R3454" s="7">
        <v>5.67</v>
      </c>
      <c r="S3454" s="7">
        <f t="shared" si="53"/>
        <v>5.6691666666666665</v>
      </c>
    </row>
    <row r="3455" spans="1:19">
      <c r="A3455" s="5" t="str">
        <f>B3455&amp;"-"&amp;COUNTIF($B$2:B3455,B3455)</f>
        <v>PIAUI-86</v>
      </c>
      <c r="B3455" s="5" t="s">
        <v>2256</v>
      </c>
      <c r="C3455" s="5" t="s">
        <v>2312</v>
      </c>
      <c r="D3455" s="6">
        <v>-407931</v>
      </c>
      <c r="E3455" s="6">
        <v>-73274</v>
      </c>
      <c r="F3455" s="7">
        <v>5.8179999999999996</v>
      </c>
      <c r="G3455" s="7">
        <v>5.5039999999999996</v>
      </c>
      <c r="H3455" s="7">
        <v>5.4880000000000004</v>
      </c>
      <c r="I3455" s="7">
        <v>5.4989999999999997</v>
      </c>
      <c r="J3455" s="7">
        <v>5.3360000000000003</v>
      </c>
      <c r="K3455" s="7">
        <v>5.2149999999999999</v>
      </c>
      <c r="L3455" s="7">
        <v>5.1859999999999999</v>
      </c>
      <c r="M3455" s="7">
        <v>5.6150000000000002</v>
      </c>
      <c r="N3455" s="7">
        <v>6.319</v>
      </c>
      <c r="O3455" s="7">
        <v>6.7190000000000003</v>
      </c>
      <c r="P3455" s="7">
        <v>6.5250000000000004</v>
      </c>
      <c r="Q3455" s="7">
        <v>6.4219999999999997</v>
      </c>
      <c r="R3455" s="7">
        <v>5.9859999999999998</v>
      </c>
      <c r="S3455" s="7">
        <f t="shared" si="53"/>
        <v>5.8178333333333327</v>
      </c>
    </row>
    <row r="3456" spans="1:19">
      <c r="A3456" s="5" t="str">
        <f>B3456&amp;"-"&amp;COUNTIF($B$2:B3456,B3456)</f>
        <v>PIAUI-87</v>
      </c>
      <c r="B3456" s="5" t="s">
        <v>2256</v>
      </c>
      <c r="C3456" s="5" t="s">
        <v>2313</v>
      </c>
      <c r="D3456" s="6">
        <v>-411344</v>
      </c>
      <c r="E3456" s="6">
        <v>-69937</v>
      </c>
      <c r="F3456" s="7">
        <v>5.8230000000000004</v>
      </c>
      <c r="G3456" s="7">
        <v>5.6829999999999998</v>
      </c>
      <c r="H3456" s="7">
        <v>5.4859999999999998</v>
      </c>
      <c r="I3456" s="7">
        <v>5.6349999999999998</v>
      </c>
      <c r="J3456" s="7">
        <v>5.3129999999999997</v>
      </c>
      <c r="K3456" s="7">
        <v>5.18</v>
      </c>
      <c r="L3456" s="7">
        <v>5.0759999999999996</v>
      </c>
      <c r="M3456" s="7">
        <v>5.5519999999999996</v>
      </c>
      <c r="N3456" s="7">
        <v>6.22</v>
      </c>
      <c r="O3456" s="7">
        <v>6.6760000000000002</v>
      </c>
      <c r="P3456" s="7">
        <v>6.5190000000000001</v>
      </c>
      <c r="Q3456" s="7">
        <v>6.4770000000000003</v>
      </c>
      <c r="R3456" s="7">
        <v>6.056</v>
      </c>
      <c r="S3456" s="7">
        <f t="shared" si="53"/>
        <v>5.8227499999999992</v>
      </c>
    </row>
    <row r="3457" spans="1:19">
      <c r="A3457" s="5" t="str">
        <f>B3457&amp;"-"&amp;COUNTIF($B$2:B3457,B3457)</f>
        <v>PIAUI-88</v>
      </c>
      <c r="B3457" s="5" t="s">
        <v>2256</v>
      </c>
      <c r="C3457" s="5" t="s">
        <v>2314</v>
      </c>
      <c r="D3457" s="6">
        <v>-406149</v>
      </c>
      <c r="E3457" s="6">
        <v>-70877</v>
      </c>
      <c r="F3457" s="7">
        <v>5.8049999999999997</v>
      </c>
      <c r="G3457" s="7">
        <v>5.5549999999999997</v>
      </c>
      <c r="H3457" s="7">
        <v>5.5389999999999997</v>
      </c>
      <c r="I3457" s="7">
        <v>5.5860000000000003</v>
      </c>
      <c r="J3457" s="7">
        <v>5.2880000000000003</v>
      </c>
      <c r="K3457" s="7">
        <v>5.1529999999999996</v>
      </c>
      <c r="L3457" s="7">
        <v>5.1159999999999997</v>
      </c>
      <c r="M3457" s="7">
        <v>5.476</v>
      </c>
      <c r="N3457" s="7">
        <v>6.2610000000000001</v>
      </c>
      <c r="O3457" s="7">
        <v>6.6820000000000004</v>
      </c>
      <c r="P3457" s="7">
        <v>6.5190000000000001</v>
      </c>
      <c r="Q3457" s="7">
        <v>6.4649999999999999</v>
      </c>
      <c r="R3457" s="7">
        <v>6.0170000000000003</v>
      </c>
      <c r="S3457" s="7">
        <f t="shared" si="53"/>
        <v>5.8047499999999994</v>
      </c>
    </row>
    <row r="3458" spans="1:19">
      <c r="A3458" s="5" t="str">
        <f>B3458&amp;"-"&amp;COUNTIF($B$2:B3458,B3458)</f>
        <v>PIAUI-89</v>
      </c>
      <c r="B3458" s="5" t="s">
        <v>2256</v>
      </c>
      <c r="C3458" s="5" t="s">
        <v>2315</v>
      </c>
      <c r="D3458" s="6">
        <v>-413634</v>
      </c>
      <c r="E3458" s="6">
        <v>-71585</v>
      </c>
      <c r="F3458" s="7">
        <v>5.7610000000000001</v>
      </c>
      <c r="G3458" s="7">
        <v>5.5019999999999998</v>
      </c>
      <c r="H3458" s="7">
        <v>5.4029999999999996</v>
      </c>
      <c r="I3458" s="7">
        <v>5.4889999999999999</v>
      </c>
      <c r="J3458" s="7">
        <v>5.2939999999999996</v>
      </c>
      <c r="K3458" s="7">
        <v>5.2350000000000003</v>
      </c>
      <c r="L3458" s="7">
        <v>5.1470000000000002</v>
      </c>
      <c r="M3458" s="7">
        <v>5.5279999999999996</v>
      </c>
      <c r="N3458" s="7">
        <v>6.2480000000000002</v>
      </c>
      <c r="O3458" s="7">
        <v>6.6669999999999998</v>
      </c>
      <c r="P3458" s="7">
        <v>6.43</v>
      </c>
      <c r="Q3458" s="7">
        <v>6.2869999999999999</v>
      </c>
      <c r="R3458" s="7">
        <v>5.899</v>
      </c>
      <c r="S3458" s="7">
        <f t="shared" si="53"/>
        <v>5.7607499999999989</v>
      </c>
    </row>
    <row r="3459" spans="1:19">
      <c r="A3459" s="5" t="str">
        <f>B3459&amp;"-"&amp;COUNTIF($B$2:B3459,B3459)</f>
        <v>PIAUI-90</v>
      </c>
      <c r="B3459" s="5" t="s">
        <v>2256</v>
      </c>
      <c r="C3459" s="5" t="s">
        <v>4447</v>
      </c>
      <c r="D3459" s="6">
        <v>-45337</v>
      </c>
      <c r="E3459" s="6">
        <v>-98309</v>
      </c>
      <c r="F3459" s="7">
        <v>5.7030000000000003</v>
      </c>
      <c r="G3459" s="7">
        <v>5.7859999999999996</v>
      </c>
      <c r="H3459" s="7">
        <v>5.6669999999999998</v>
      </c>
      <c r="I3459" s="7">
        <v>5.4530000000000003</v>
      </c>
      <c r="J3459" s="7">
        <v>5.3860000000000001</v>
      </c>
      <c r="K3459" s="7">
        <v>5.4809999999999999</v>
      </c>
      <c r="L3459" s="7">
        <v>5.2210000000000001</v>
      </c>
      <c r="M3459" s="7">
        <v>5.3559999999999999</v>
      </c>
      <c r="N3459" s="7">
        <v>6.0659999999999998</v>
      </c>
      <c r="O3459" s="7">
        <v>6.3760000000000003</v>
      </c>
      <c r="P3459" s="7">
        <v>6.1319999999999997</v>
      </c>
      <c r="Q3459" s="7">
        <v>5.7039999999999997</v>
      </c>
      <c r="R3459" s="7">
        <v>5.8079999999999998</v>
      </c>
      <c r="S3459" s="7">
        <f t="shared" ref="S3459:S3522" si="54">(G3459+H3459+I3459+J3459+K3459+L3459+M3459+N3459+O3459+P3459+Q3459+R3459)/12</f>
        <v>5.7030000000000003</v>
      </c>
    </row>
    <row r="3460" spans="1:19">
      <c r="A3460" s="5" t="str">
        <f>B3460&amp;"-"&amp;COUNTIF($B$2:B3460,B3460)</f>
        <v>PIAUI-91</v>
      </c>
      <c r="B3460" s="5" t="s">
        <v>2256</v>
      </c>
      <c r="C3460" s="5" t="s">
        <v>2316</v>
      </c>
      <c r="D3460" s="6">
        <v>-435598</v>
      </c>
      <c r="E3460" s="6">
        <v>-67833</v>
      </c>
      <c r="F3460" s="7">
        <v>5.59</v>
      </c>
      <c r="G3460" s="7">
        <v>5.08</v>
      </c>
      <c r="H3460" s="7">
        <v>5.1859999999999999</v>
      </c>
      <c r="I3460" s="7">
        <v>5.1520000000000001</v>
      </c>
      <c r="J3460" s="7">
        <v>5.1890000000000001</v>
      </c>
      <c r="K3460" s="7">
        <v>5.1689999999999996</v>
      </c>
      <c r="L3460" s="7">
        <v>5.3760000000000003</v>
      </c>
      <c r="M3460" s="7">
        <v>5.649</v>
      </c>
      <c r="N3460" s="7">
        <v>6.1310000000000002</v>
      </c>
      <c r="O3460" s="7">
        <v>6.5629999999999997</v>
      </c>
      <c r="P3460" s="7">
        <v>6.2690000000000001</v>
      </c>
      <c r="Q3460" s="7">
        <v>5.8789999999999996</v>
      </c>
      <c r="R3460" s="7">
        <v>5.4359999999999999</v>
      </c>
      <c r="S3460" s="7">
        <f t="shared" si="54"/>
        <v>5.5899166666666673</v>
      </c>
    </row>
    <row r="3461" spans="1:19">
      <c r="A3461" s="5" t="str">
        <f>B3461&amp;"-"&amp;COUNTIF($B$2:B3461,B3461)</f>
        <v>PIAUI-92</v>
      </c>
      <c r="B3461" s="5" t="s">
        <v>2256</v>
      </c>
      <c r="C3461" s="5" t="s">
        <v>2317</v>
      </c>
      <c r="D3461" s="6">
        <v>-436918</v>
      </c>
      <c r="E3461" s="6">
        <v>-93944</v>
      </c>
      <c r="F3461" s="7">
        <v>5.8230000000000004</v>
      </c>
      <c r="G3461" s="7">
        <v>5.8520000000000003</v>
      </c>
      <c r="H3461" s="7">
        <v>5.569</v>
      </c>
      <c r="I3461" s="7">
        <v>5.4470000000000001</v>
      </c>
      <c r="J3461" s="7">
        <v>5.3419999999999996</v>
      </c>
      <c r="K3461" s="7">
        <v>5.4119999999999999</v>
      </c>
      <c r="L3461" s="7">
        <v>5.3780000000000001</v>
      </c>
      <c r="M3461" s="7">
        <v>5.7119999999999997</v>
      </c>
      <c r="N3461" s="7">
        <v>6.4509999999999996</v>
      </c>
      <c r="O3461" s="7">
        <v>6.6680000000000001</v>
      </c>
      <c r="P3461" s="7">
        <v>6.3129999999999997</v>
      </c>
      <c r="Q3461" s="7">
        <v>5.907</v>
      </c>
      <c r="R3461" s="7">
        <v>5.8170000000000002</v>
      </c>
      <c r="S3461" s="7">
        <f t="shared" si="54"/>
        <v>5.8223333333333329</v>
      </c>
    </row>
    <row r="3462" spans="1:19">
      <c r="A3462" s="5" t="str">
        <f>B3462&amp;"-"&amp;COUNTIF($B$2:B3462,B3462)</f>
        <v>PIAUI-93</v>
      </c>
      <c r="B3462" s="5" t="s">
        <v>2256</v>
      </c>
      <c r="C3462" s="5" t="s">
        <v>4111</v>
      </c>
      <c r="D3462" s="6">
        <v>-425601</v>
      </c>
      <c r="E3462" s="6">
        <v>-5989</v>
      </c>
      <c r="F3462" s="7">
        <v>5.6360000000000001</v>
      </c>
      <c r="G3462" s="7">
        <v>5.0679999999999996</v>
      </c>
      <c r="H3462" s="7">
        <v>5.2270000000000003</v>
      </c>
      <c r="I3462" s="7">
        <v>5.298</v>
      </c>
      <c r="J3462" s="7">
        <v>5.16</v>
      </c>
      <c r="K3462" s="7">
        <v>5.2169999999999996</v>
      </c>
      <c r="L3462" s="7">
        <v>5.39</v>
      </c>
      <c r="M3462" s="7">
        <v>5.6159999999999997</v>
      </c>
      <c r="N3462" s="7">
        <v>6.2030000000000003</v>
      </c>
      <c r="O3462" s="7">
        <v>6.5789999999999997</v>
      </c>
      <c r="P3462" s="7">
        <v>6.2939999999999996</v>
      </c>
      <c r="Q3462" s="7">
        <v>5.984</v>
      </c>
      <c r="R3462" s="7">
        <v>5.5970000000000004</v>
      </c>
      <c r="S3462" s="7">
        <f t="shared" si="54"/>
        <v>5.6360833333333327</v>
      </c>
    </row>
    <row r="3463" spans="1:19">
      <c r="A3463" s="5" t="str">
        <f>B3463&amp;"-"&amp;COUNTIF($B$2:B3463,B3463)</f>
        <v>PIAUI-94</v>
      </c>
      <c r="B3463" s="5" t="s">
        <v>2256</v>
      </c>
      <c r="C3463" s="5" t="s">
        <v>2318</v>
      </c>
      <c r="D3463" s="6">
        <v>-418189</v>
      </c>
      <c r="E3463" s="6">
        <v>-28581</v>
      </c>
      <c r="F3463" s="7">
        <v>5.6769999999999996</v>
      </c>
      <c r="G3463" s="7">
        <v>5.6130000000000004</v>
      </c>
      <c r="H3463" s="7">
        <v>5.4619999999999997</v>
      </c>
      <c r="I3463" s="7">
        <v>5.3330000000000002</v>
      </c>
      <c r="J3463" s="7">
        <v>5.0019999999999998</v>
      </c>
      <c r="K3463" s="7">
        <v>5.1959999999999997</v>
      </c>
      <c r="L3463" s="7">
        <v>5.3360000000000003</v>
      </c>
      <c r="M3463" s="7">
        <v>5.5090000000000003</v>
      </c>
      <c r="N3463" s="7">
        <v>6.0890000000000004</v>
      </c>
      <c r="O3463" s="7">
        <v>6.093</v>
      </c>
      <c r="P3463" s="7">
        <v>6.05</v>
      </c>
      <c r="Q3463" s="7">
        <v>6.3659999999999997</v>
      </c>
      <c r="R3463" s="7">
        <v>6.08</v>
      </c>
      <c r="S3463" s="7">
        <f t="shared" si="54"/>
        <v>5.6774166666666659</v>
      </c>
    </row>
    <row r="3464" spans="1:19">
      <c r="A3464" s="5" t="str">
        <f>B3464&amp;"-"&amp;COUNTIF($B$2:B3464,B3464)</f>
        <v>PIAUI-95</v>
      </c>
      <c r="B3464" s="5" t="s">
        <v>2256</v>
      </c>
      <c r="C3464" s="5" t="s">
        <v>2319</v>
      </c>
      <c r="D3464" s="6">
        <v>-417096</v>
      </c>
      <c r="E3464" s="6">
        <v>-6668</v>
      </c>
      <c r="F3464" s="7">
        <v>5.6760000000000002</v>
      </c>
      <c r="G3464" s="7">
        <v>5.2249999999999996</v>
      </c>
      <c r="H3464" s="7">
        <v>5.2770000000000001</v>
      </c>
      <c r="I3464" s="7">
        <v>5.1859999999999999</v>
      </c>
      <c r="J3464" s="7">
        <v>5.149</v>
      </c>
      <c r="K3464" s="7">
        <v>5.2619999999999996</v>
      </c>
      <c r="L3464" s="7">
        <v>5.165</v>
      </c>
      <c r="M3464" s="7">
        <v>5.6079999999999997</v>
      </c>
      <c r="N3464" s="7">
        <v>6.2210000000000001</v>
      </c>
      <c r="O3464" s="7">
        <v>6.6609999999999996</v>
      </c>
      <c r="P3464" s="7">
        <v>6.4349999999999996</v>
      </c>
      <c r="Q3464" s="7">
        <v>6.1639999999999997</v>
      </c>
      <c r="R3464" s="7">
        <v>5.758</v>
      </c>
      <c r="S3464" s="7">
        <f t="shared" si="54"/>
        <v>5.6759166666666667</v>
      </c>
    </row>
    <row r="3465" spans="1:19">
      <c r="A3465" s="5" t="str">
        <f>B3465&amp;"-"&amp;COUNTIF($B$2:B3465,B3465)</f>
        <v>PIAUI-96</v>
      </c>
      <c r="B3465" s="5" t="s">
        <v>2256</v>
      </c>
      <c r="C3465" s="5" t="s">
        <v>2320</v>
      </c>
      <c r="D3465" s="6">
        <v>-417384</v>
      </c>
      <c r="E3465" s="6">
        <v>-68246</v>
      </c>
      <c r="F3465" s="7">
        <v>5.6680000000000001</v>
      </c>
      <c r="G3465" s="7">
        <v>5.1859999999999999</v>
      </c>
      <c r="H3465" s="7">
        <v>5.226</v>
      </c>
      <c r="I3465" s="7">
        <v>5.2140000000000004</v>
      </c>
      <c r="J3465" s="7">
        <v>5.19</v>
      </c>
      <c r="K3465" s="7">
        <v>5.2370000000000001</v>
      </c>
      <c r="L3465" s="7">
        <v>5.1470000000000002</v>
      </c>
      <c r="M3465" s="7">
        <v>5.6210000000000004</v>
      </c>
      <c r="N3465" s="7">
        <v>6.2329999999999997</v>
      </c>
      <c r="O3465" s="7">
        <v>6.6870000000000003</v>
      </c>
      <c r="P3465" s="7">
        <v>6.4029999999999996</v>
      </c>
      <c r="Q3465" s="7">
        <v>6.1550000000000002</v>
      </c>
      <c r="R3465" s="7">
        <v>5.7119999999999997</v>
      </c>
      <c r="S3465" s="7">
        <f t="shared" si="54"/>
        <v>5.667583333333333</v>
      </c>
    </row>
    <row r="3466" spans="1:19">
      <c r="A3466" s="5" t="str">
        <f>B3466&amp;"-"&amp;COUNTIF($B$2:B3466,B3466)</f>
        <v>PIAUI-97</v>
      </c>
      <c r="B3466" s="5" t="s">
        <v>2256</v>
      </c>
      <c r="C3466" s="5" t="s">
        <v>2321</v>
      </c>
      <c r="D3466" s="6">
        <v>-416777</v>
      </c>
      <c r="E3466" s="6">
        <v>-77374</v>
      </c>
      <c r="F3466" s="7">
        <v>5.8479999999999999</v>
      </c>
      <c r="G3466" s="7">
        <v>5.718</v>
      </c>
      <c r="H3466" s="7">
        <v>5.601</v>
      </c>
      <c r="I3466" s="7">
        <v>5.5880000000000001</v>
      </c>
      <c r="J3466" s="7">
        <v>5.3289999999999997</v>
      </c>
      <c r="K3466" s="7">
        <v>5.2469999999999999</v>
      </c>
      <c r="L3466" s="7">
        <v>5.2149999999999999</v>
      </c>
      <c r="M3466" s="7">
        <v>5.5449999999999999</v>
      </c>
      <c r="N3466" s="7">
        <v>6.2830000000000004</v>
      </c>
      <c r="O3466" s="7">
        <v>6.6989999999999998</v>
      </c>
      <c r="P3466" s="7">
        <v>6.5709999999999997</v>
      </c>
      <c r="Q3466" s="7">
        <v>6.3620000000000001</v>
      </c>
      <c r="R3466" s="7">
        <v>6.0140000000000002</v>
      </c>
      <c r="S3466" s="7">
        <f t="shared" si="54"/>
        <v>5.8476666666666661</v>
      </c>
    </row>
    <row r="3467" spans="1:19">
      <c r="A3467" s="5" t="str">
        <f>B3467&amp;"-"&amp;COUNTIF($B$2:B3467,B3467)</f>
        <v>PIAUI-98</v>
      </c>
      <c r="B3467" s="5" t="s">
        <v>2256</v>
      </c>
      <c r="C3467" s="5" t="s">
        <v>5192</v>
      </c>
      <c r="D3467" s="6">
        <v>-414803</v>
      </c>
      <c r="E3467" s="6">
        <v>-74491</v>
      </c>
      <c r="F3467" s="7">
        <v>5.8079999999999998</v>
      </c>
      <c r="G3467" s="7">
        <v>5.556</v>
      </c>
      <c r="H3467" s="7">
        <v>5.5110000000000001</v>
      </c>
      <c r="I3467" s="7">
        <v>5.5940000000000003</v>
      </c>
      <c r="J3467" s="7">
        <v>5.3289999999999997</v>
      </c>
      <c r="K3467" s="7">
        <v>5.258</v>
      </c>
      <c r="L3467" s="7">
        <v>5.2149999999999999</v>
      </c>
      <c r="M3467" s="7">
        <v>5.5830000000000002</v>
      </c>
      <c r="N3467" s="7">
        <v>6.2089999999999996</v>
      </c>
      <c r="O3467" s="7">
        <v>6.6929999999999996</v>
      </c>
      <c r="P3467" s="7">
        <v>6.5170000000000003</v>
      </c>
      <c r="Q3467" s="7">
        <v>6.319</v>
      </c>
      <c r="R3467" s="7">
        <v>5.9109999999999996</v>
      </c>
      <c r="S3467" s="7">
        <f t="shared" si="54"/>
        <v>5.8079166666666664</v>
      </c>
    </row>
    <row r="3468" spans="1:19">
      <c r="A3468" s="5" t="str">
        <f>B3468&amp;"-"&amp;COUNTIF($B$2:B3468,B3468)</f>
        <v>PIAUI-99</v>
      </c>
      <c r="B3468" s="5" t="s">
        <v>2256</v>
      </c>
      <c r="C3468" s="5" t="s">
        <v>2322</v>
      </c>
      <c r="D3468" s="6">
        <v>-430252</v>
      </c>
      <c r="E3468" s="6">
        <v>-76003</v>
      </c>
      <c r="F3468" s="7">
        <v>5.7050000000000001</v>
      </c>
      <c r="G3468" s="7">
        <v>5.41</v>
      </c>
      <c r="H3468" s="7">
        <v>5.3570000000000002</v>
      </c>
      <c r="I3468" s="7">
        <v>5.3310000000000004</v>
      </c>
      <c r="J3468" s="7">
        <v>5.2830000000000004</v>
      </c>
      <c r="K3468" s="7">
        <v>5.28</v>
      </c>
      <c r="L3468" s="7">
        <v>5.282</v>
      </c>
      <c r="M3468" s="7">
        <v>5.6130000000000004</v>
      </c>
      <c r="N3468" s="7">
        <v>6.1630000000000003</v>
      </c>
      <c r="O3468" s="7">
        <v>6.5750000000000002</v>
      </c>
      <c r="P3468" s="7">
        <v>6.3780000000000001</v>
      </c>
      <c r="Q3468" s="7">
        <v>5.9930000000000003</v>
      </c>
      <c r="R3468" s="7">
        <v>5.7910000000000004</v>
      </c>
      <c r="S3468" s="7">
        <f t="shared" si="54"/>
        <v>5.7046666666666681</v>
      </c>
    </row>
    <row r="3469" spans="1:19">
      <c r="A3469" s="5" t="str">
        <f>B3469&amp;"-"&amp;COUNTIF($B$2:B3469,B3469)</f>
        <v>PIAUI-100</v>
      </c>
      <c r="B3469" s="5" t="s">
        <v>2256</v>
      </c>
      <c r="C3469" s="5" t="s">
        <v>2323</v>
      </c>
      <c r="D3469" s="6">
        <v>-412081</v>
      </c>
      <c r="E3469" s="6">
        <v>-79316</v>
      </c>
      <c r="F3469" s="7">
        <v>5.8659999999999997</v>
      </c>
      <c r="G3469" s="7">
        <v>5.8739999999999997</v>
      </c>
      <c r="H3469" s="7">
        <v>5.6639999999999997</v>
      </c>
      <c r="I3469" s="7">
        <v>5.6749999999999998</v>
      </c>
      <c r="J3469" s="7">
        <v>5.3460000000000001</v>
      </c>
      <c r="K3469" s="7">
        <v>5.1429999999999998</v>
      </c>
      <c r="L3469" s="7">
        <v>5.1429999999999998</v>
      </c>
      <c r="M3469" s="7">
        <v>5.4909999999999997</v>
      </c>
      <c r="N3469" s="7">
        <v>6.31</v>
      </c>
      <c r="O3469" s="7">
        <v>6.6559999999999997</v>
      </c>
      <c r="P3469" s="7">
        <v>6.5860000000000003</v>
      </c>
      <c r="Q3469" s="7">
        <v>6.407</v>
      </c>
      <c r="R3469" s="7">
        <v>6.0949999999999998</v>
      </c>
      <c r="S3469" s="7">
        <f t="shared" si="54"/>
        <v>5.8658333333333337</v>
      </c>
    </row>
    <row r="3470" spans="1:19">
      <c r="A3470" s="5" t="str">
        <f>B3470&amp;"-"&amp;COUNTIF($B$2:B3470,B3470)</f>
        <v>PIAUI-101</v>
      </c>
      <c r="B3470" s="5" t="s">
        <v>2256</v>
      </c>
      <c r="C3470" s="5" t="s">
        <v>5193</v>
      </c>
      <c r="D3470" s="6">
        <v>-411409</v>
      </c>
      <c r="E3470" s="6">
        <v>-73605</v>
      </c>
      <c r="F3470" s="7">
        <v>5.8019999999999996</v>
      </c>
      <c r="G3470" s="7">
        <v>5.6</v>
      </c>
      <c r="H3470" s="7">
        <v>5.5389999999999997</v>
      </c>
      <c r="I3470" s="7">
        <v>5.6</v>
      </c>
      <c r="J3470" s="7">
        <v>5.3280000000000003</v>
      </c>
      <c r="K3470" s="7">
        <v>5.202</v>
      </c>
      <c r="L3470" s="7">
        <v>5.19</v>
      </c>
      <c r="M3470" s="7">
        <v>5.4950000000000001</v>
      </c>
      <c r="N3470" s="7">
        <v>6.21</v>
      </c>
      <c r="O3470" s="7">
        <v>6.6849999999999996</v>
      </c>
      <c r="P3470" s="7">
        <v>6.5119999999999996</v>
      </c>
      <c r="Q3470" s="7">
        <v>6.3079999999999998</v>
      </c>
      <c r="R3470" s="7">
        <v>5.9610000000000003</v>
      </c>
      <c r="S3470" s="7">
        <f t="shared" si="54"/>
        <v>5.8024999999999993</v>
      </c>
    </row>
    <row r="3471" spans="1:19">
      <c r="A3471" s="5" t="str">
        <f>B3471&amp;"-"&amp;COUNTIF($B$2:B3471,B3471)</f>
        <v>PIAUI-102</v>
      </c>
      <c r="B3471" s="5" t="s">
        <v>2256</v>
      </c>
      <c r="C3471" s="5" t="s">
        <v>4866</v>
      </c>
      <c r="D3471" s="6">
        <v>-442391</v>
      </c>
      <c r="E3471" s="6">
        <v>-103274</v>
      </c>
      <c r="F3471" s="7">
        <v>5.8449999999999998</v>
      </c>
      <c r="G3471" s="7">
        <v>5.9749999999999996</v>
      </c>
      <c r="H3471" s="7">
        <v>5.8390000000000004</v>
      </c>
      <c r="I3471" s="7">
        <v>5.6870000000000003</v>
      </c>
      <c r="J3471" s="7">
        <v>5.4550000000000001</v>
      </c>
      <c r="K3471" s="7">
        <v>5.3620000000000001</v>
      </c>
      <c r="L3471" s="7">
        <v>5.2859999999999996</v>
      </c>
      <c r="M3471" s="7">
        <v>5.5789999999999997</v>
      </c>
      <c r="N3471" s="7">
        <v>6.27</v>
      </c>
      <c r="O3471" s="7">
        <v>6.6059999999999999</v>
      </c>
      <c r="P3471" s="7">
        <v>6.21</v>
      </c>
      <c r="Q3471" s="7">
        <v>5.8650000000000002</v>
      </c>
      <c r="R3471" s="7">
        <v>5.9989999999999997</v>
      </c>
      <c r="S3471" s="7">
        <f t="shared" si="54"/>
        <v>5.8444166666666666</v>
      </c>
    </row>
    <row r="3472" spans="1:19">
      <c r="A3472" s="5" t="str">
        <f>B3472&amp;"-"&amp;COUNTIF($B$2:B3472,B3472)</f>
        <v>PIAUI-103</v>
      </c>
      <c r="B3472" s="5" t="s">
        <v>2256</v>
      </c>
      <c r="C3472" s="5" t="s">
        <v>2324</v>
      </c>
      <c r="D3472" s="6">
        <v>-426303</v>
      </c>
      <c r="E3472" s="6">
        <v>-60994</v>
      </c>
      <c r="F3472" s="7">
        <v>5.6230000000000002</v>
      </c>
      <c r="G3472" s="7">
        <v>5.0170000000000003</v>
      </c>
      <c r="H3472" s="7">
        <v>5.2409999999999997</v>
      </c>
      <c r="I3472" s="7">
        <v>5.2320000000000002</v>
      </c>
      <c r="J3472" s="7">
        <v>5.1239999999999997</v>
      </c>
      <c r="K3472" s="7">
        <v>5.2210000000000001</v>
      </c>
      <c r="L3472" s="7">
        <v>5.3319999999999999</v>
      </c>
      <c r="M3472" s="7">
        <v>5.6740000000000004</v>
      </c>
      <c r="N3472" s="7">
        <v>6.2939999999999996</v>
      </c>
      <c r="O3472" s="7">
        <v>6.57</v>
      </c>
      <c r="P3472" s="7">
        <v>6.2930000000000001</v>
      </c>
      <c r="Q3472" s="7">
        <v>5.9960000000000004</v>
      </c>
      <c r="R3472" s="7">
        <v>5.4829999999999997</v>
      </c>
      <c r="S3472" s="7">
        <f t="shared" si="54"/>
        <v>5.6230833333333337</v>
      </c>
    </row>
    <row r="3473" spans="1:19">
      <c r="A3473" s="5" t="str">
        <f>B3473&amp;"-"&amp;COUNTIF($B$2:B3473,B3473)</f>
        <v>PIAUI-104</v>
      </c>
      <c r="B3473" s="5" t="s">
        <v>2256</v>
      </c>
      <c r="C3473" s="5" t="s">
        <v>5690</v>
      </c>
      <c r="D3473" s="6">
        <v>-418173</v>
      </c>
      <c r="E3473" s="6">
        <v>-47707</v>
      </c>
      <c r="F3473" s="7">
        <v>5.6669999999999998</v>
      </c>
      <c r="G3473" s="7">
        <v>5.2389999999999999</v>
      </c>
      <c r="H3473" s="7">
        <v>5.3449999999999998</v>
      </c>
      <c r="I3473" s="7">
        <v>5.42</v>
      </c>
      <c r="J3473" s="7">
        <v>5.1130000000000004</v>
      </c>
      <c r="K3473" s="7">
        <v>5.1529999999999996</v>
      </c>
      <c r="L3473" s="7">
        <v>5.1760000000000002</v>
      </c>
      <c r="M3473" s="7">
        <v>5.45</v>
      </c>
      <c r="N3473" s="7">
        <v>6.0830000000000002</v>
      </c>
      <c r="O3473" s="7">
        <v>6.53</v>
      </c>
      <c r="P3473" s="7">
        <v>6.4989999999999997</v>
      </c>
      <c r="Q3473" s="7">
        <v>6.2990000000000004</v>
      </c>
      <c r="R3473" s="7">
        <v>5.702</v>
      </c>
      <c r="S3473" s="7">
        <f t="shared" si="54"/>
        <v>5.667416666666667</v>
      </c>
    </row>
    <row r="3474" spans="1:19">
      <c r="A3474" s="5" t="str">
        <f>B3474&amp;"-"&amp;COUNTIF($B$2:B3474,B3474)</f>
        <v>PIAUI-105</v>
      </c>
      <c r="B3474" s="5" t="s">
        <v>2256</v>
      </c>
      <c r="C3474" s="5" t="s">
        <v>2325</v>
      </c>
      <c r="D3474" s="6">
        <v>-435037</v>
      </c>
      <c r="E3474" s="6">
        <v>-70917</v>
      </c>
      <c r="F3474" s="7">
        <v>5.6310000000000002</v>
      </c>
      <c r="G3474" s="7">
        <v>5.1840000000000002</v>
      </c>
      <c r="H3474" s="7">
        <v>5.18</v>
      </c>
      <c r="I3474" s="7">
        <v>5.157</v>
      </c>
      <c r="J3474" s="7">
        <v>5.1559999999999997</v>
      </c>
      <c r="K3474" s="7">
        <v>5.2530000000000001</v>
      </c>
      <c r="L3474" s="7">
        <v>5.399</v>
      </c>
      <c r="M3474" s="7">
        <v>5.6120000000000001</v>
      </c>
      <c r="N3474" s="7">
        <v>6.194</v>
      </c>
      <c r="O3474" s="7">
        <v>6.601</v>
      </c>
      <c r="P3474" s="7">
        <v>6.343</v>
      </c>
      <c r="Q3474" s="7">
        <v>5.9109999999999996</v>
      </c>
      <c r="R3474" s="7">
        <v>5.58</v>
      </c>
      <c r="S3474" s="7">
        <f t="shared" si="54"/>
        <v>5.6308333333333342</v>
      </c>
    </row>
    <row r="3475" spans="1:19">
      <c r="A3475" s="5" t="str">
        <f>B3475&amp;"-"&amp;COUNTIF($B$2:B3475,B3475)</f>
        <v>PIAUI-106</v>
      </c>
      <c r="B3475" s="5" t="s">
        <v>2256</v>
      </c>
      <c r="C3475" s="5" t="s">
        <v>4112</v>
      </c>
      <c r="D3475" s="6">
        <v>-424152</v>
      </c>
      <c r="E3475" s="6">
        <v>-85124</v>
      </c>
      <c r="F3475" s="7">
        <v>5.867</v>
      </c>
      <c r="G3475" s="7">
        <v>5.798</v>
      </c>
      <c r="H3475" s="7">
        <v>5.7389999999999999</v>
      </c>
      <c r="I3475" s="7">
        <v>5.5609999999999999</v>
      </c>
      <c r="J3475" s="7">
        <v>5.3860000000000001</v>
      </c>
      <c r="K3475" s="7">
        <v>5.29</v>
      </c>
      <c r="L3475" s="7">
        <v>5.2720000000000002</v>
      </c>
      <c r="M3475" s="7">
        <v>5.593</v>
      </c>
      <c r="N3475" s="7">
        <v>6.4279999999999999</v>
      </c>
      <c r="O3475" s="7">
        <v>6.63</v>
      </c>
      <c r="P3475" s="7">
        <v>6.54</v>
      </c>
      <c r="Q3475" s="7">
        <v>6.2009999999999996</v>
      </c>
      <c r="R3475" s="7">
        <v>5.9710000000000001</v>
      </c>
      <c r="S3475" s="7">
        <f t="shared" si="54"/>
        <v>5.8674166666666663</v>
      </c>
    </row>
    <row r="3476" spans="1:19">
      <c r="A3476" s="5" t="str">
        <f>B3476&amp;"-"&amp;COUNTIF($B$2:B3476,B3476)</f>
        <v>PIAUI-107</v>
      </c>
      <c r="B3476" s="5" t="s">
        <v>2256</v>
      </c>
      <c r="C3476" s="5" t="s">
        <v>2326</v>
      </c>
      <c r="D3476" s="6">
        <v>-421954</v>
      </c>
      <c r="E3476" s="6">
        <v>-35084</v>
      </c>
      <c r="F3476" s="7">
        <v>5.5819999999999999</v>
      </c>
      <c r="G3476" s="7">
        <v>5.1950000000000003</v>
      </c>
      <c r="H3476" s="7">
        <v>5.319</v>
      </c>
      <c r="I3476" s="7">
        <v>5.1840000000000002</v>
      </c>
      <c r="J3476" s="7">
        <v>4.9939999999999998</v>
      </c>
      <c r="K3476" s="7">
        <v>5.1740000000000004</v>
      </c>
      <c r="L3476" s="7">
        <v>5.3479999999999999</v>
      </c>
      <c r="M3476" s="7">
        <v>5.4950000000000001</v>
      </c>
      <c r="N3476" s="7">
        <v>5.9459999999999997</v>
      </c>
      <c r="O3476" s="7">
        <v>6.343</v>
      </c>
      <c r="P3476" s="7">
        <v>6.3849999999999998</v>
      </c>
      <c r="Q3476" s="7">
        <v>6.09</v>
      </c>
      <c r="R3476" s="7">
        <v>5.508</v>
      </c>
      <c r="S3476" s="7">
        <f t="shared" si="54"/>
        <v>5.5817499999999987</v>
      </c>
    </row>
    <row r="3477" spans="1:19">
      <c r="A3477" s="5" t="str">
        <f>B3477&amp;"-"&amp;COUNTIF($B$2:B3477,B3477)</f>
        <v>PIAUI-108</v>
      </c>
      <c r="B3477" s="5" t="s">
        <v>2256</v>
      </c>
      <c r="C3477" s="5" t="s">
        <v>2327</v>
      </c>
      <c r="D3477" s="6">
        <v>-42433</v>
      </c>
      <c r="E3477" s="6">
        <v>-34989</v>
      </c>
      <c r="F3477" s="7">
        <v>5.625</v>
      </c>
      <c r="G3477" s="7">
        <v>5.2880000000000003</v>
      </c>
      <c r="H3477" s="7">
        <v>5.3460000000000001</v>
      </c>
      <c r="I3477" s="7">
        <v>5.383</v>
      </c>
      <c r="J3477" s="7">
        <v>5.1079999999999997</v>
      </c>
      <c r="K3477" s="7">
        <v>5.1760000000000002</v>
      </c>
      <c r="L3477" s="7">
        <v>5.2939999999999996</v>
      </c>
      <c r="M3477" s="7">
        <v>5.5220000000000002</v>
      </c>
      <c r="N3477" s="7">
        <v>6.0190000000000001</v>
      </c>
      <c r="O3477" s="7">
        <v>6.3680000000000003</v>
      </c>
      <c r="P3477" s="7">
        <v>6.35</v>
      </c>
      <c r="Q3477" s="7">
        <v>6.1020000000000003</v>
      </c>
      <c r="R3477" s="7">
        <v>5.5469999999999997</v>
      </c>
      <c r="S3477" s="7">
        <f t="shared" si="54"/>
        <v>5.6252500000000003</v>
      </c>
    </row>
    <row r="3478" spans="1:19">
      <c r="A3478" s="5" t="str">
        <f>B3478&amp;"-"&amp;COUNTIF($B$2:B3478,B3478)</f>
        <v>PIAUI-109</v>
      </c>
      <c r="B3478" s="5" t="s">
        <v>2256</v>
      </c>
      <c r="C3478" s="5" t="s">
        <v>4448</v>
      </c>
      <c r="D3478" s="6">
        <v>-425749</v>
      </c>
      <c r="E3478" s="6">
        <v>-47519</v>
      </c>
      <c r="F3478" s="7">
        <v>5.6390000000000002</v>
      </c>
      <c r="G3478" s="7">
        <v>5.181</v>
      </c>
      <c r="H3478" s="7">
        <v>5.2850000000000001</v>
      </c>
      <c r="I3478" s="7">
        <v>5.3079999999999998</v>
      </c>
      <c r="J3478" s="7">
        <v>5.1289999999999996</v>
      </c>
      <c r="K3478" s="7">
        <v>5.0730000000000004</v>
      </c>
      <c r="L3478" s="7">
        <v>5.2629999999999999</v>
      </c>
      <c r="M3478" s="7">
        <v>5.5430000000000001</v>
      </c>
      <c r="N3478" s="7">
        <v>6.1390000000000002</v>
      </c>
      <c r="O3478" s="7">
        <v>6.4939999999999998</v>
      </c>
      <c r="P3478" s="7">
        <v>6.3940000000000001</v>
      </c>
      <c r="Q3478" s="7">
        <v>6.1749999999999998</v>
      </c>
      <c r="R3478" s="7">
        <v>5.6840000000000002</v>
      </c>
      <c r="S3478" s="7">
        <f t="shared" si="54"/>
        <v>5.6389999999999993</v>
      </c>
    </row>
    <row r="3479" spans="1:19">
      <c r="A3479" s="5" t="str">
        <f>B3479&amp;"-"&amp;COUNTIF($B$2:B3479,B3479)</f>
        <v>PIAUI-110</v>
      </c>
      <c r="B3479" s="5" t="s">
        <v>2256</v>
      </c>
      <c r="C3479" s="5" t="s">
        <v>2328</v>
      </c>
      <c r="D3479" s="6">
        <v>-416979</v>
      </c>
      <c r="E3479" s="6">
        <v>-5175</v>
      </c>
      <c r="F3479" s="7">
        <v>5.6740000000000004</v>
      </c>
      <c r="G3479" s="7">
        <v>5.1879999999999997</v>
      </c>
      <c r="H3479" s="7">
        <v>5.3410000000000002</v>
      </c>
      <c r="I3479" s="7">
        <v>5.4009999999999998</v>
      </c>
      <c r="J3479" s="7">
        <v>5.1479999999999997</v>
      </c>
      <c r="K3479" s="7">
        <v>5.1630000000000003</v>
      </c>
      <c r="L3479" s="7">
        <v>5.157</v>
      </c>
      <c r="M3479" s="7">
        <v>5.4240000000000004</v>
      </c>
      <c r="N3479" s="7">
        <v>6.149</v>
      </c>
      <c r="O3479" s="7">
        <v>6.5590000000000002</v>
      </c>
      <c r="P3479" s="7">
        <v>6.4359999999999999</v>
      </c>
      <c r="Q3479" s="7">
        <v>6.3</v>
      </c>
      <c r="R3479" s="7">
        <v>5.8159999999999998</v>
      </c>
      <c r="S3479" s="7">
        <f t="shared" si="54"/>
        <v>5.6734999999999998</v>
      </c>
    </row>
    <row r="3480" spans="1:19">
      <c r="A3480" s="5" t="str">
        <f>B3480&amp;"-"&amp;COUNTIF($B$2:B3480,B3480)</f>
        <v>PIAUI-111</v>
      </c>
      <c r="B3480" s="5" t="s">
        <v>2256</v>
      </c>
      <c r="C3480" s="5" t="s">
        <v>2204</v>
      </c>
      <c r="D3480" s="6">
        <v>-431303</v>
      </c>
      <c r="E3480" s="6">
        <v>-92254</v>
      </c>
      <c r="F3480" s="7">
        <v>5.8760000000000003</v>
      </c>
      <c r="G3480" s="7">
        <v>6.0289999999999999</v>
      </c>
      <c r="H3480" s="7">
        <v>5.6959999999999997</v>
      </c>
      <c r="I3480" s="7">
        <v>5.5759999999999996</v>
      </c>
      <c r="J3480" s="7">
        <v>5.3680000000000003</v>
      </c>
      <c r="K3480" s="7">
        <v>5.274</v>
      </c>
      <c r="L3480" s="7">
        <v>5.2649999999999997</v>
      </c>
      <c r="M3480" s="7">
        <v>5.665</v>
      </c>
      <c r="N3480" s="7">
        <v>6.383</v>
      </c>
      <c r="O3480" s="7">
        <v>6.68</v>
      </c>
      <c r="P3480" s="7">
        <v>6.4829999999999997</v>
      </c>
      <c r="Q3480" s="7">
        <v>6.125</v>
      </c>
      <c r="R3480" s="7">
        <v>5.9729999999999999</v>
      </c>
      <c r="S3480" s="7">
        <f t="shared" si="54"/>
        <v>5.8764166666666666</v>
      </c>
    </row>
    <row r="3481" spans="1:19">
      <c r="A3481" s="5" t="str">
        <f>B3481&amp;"-"&amp;COUNTIF($B$2:B3481,B3481)</f>
        <v>PIAUI-112</v>
      </c>
      <c r="B3481" s="5" t="s">
        <v>2256</v>
      </c>
      <c r="C3481" s="5" t="s">
        <v>2329</v>
      </c>
      <c r="D3481" s="6">
        <v>-426179</v>
      </c>
      <c r="E3481" s="6">
        <v>-45119</v>
      </c>
      <c r="F3481" s="7">
        <v>5.625</v>
      </c>
      <c r="G3481" s="7">
        <v>5.1449999999999996</v>
      </c>
      <c r="H3481" s="7">
        <v>5.2039999999999997</v>
      </c>
      <c r="I3481" s="7">
        <v>5.2910000000000004</v>
      </c>
      <c r="J3481" s="7">
        <v>5.1139999999999999</v>
      </c>
      <c r="K3481" s="7">
        <v>5.0789999999999997</v>
      </c>
      <c r="L3481" s="7">
        <v>5.2750000000000004</v>
      </c>
      <c r="M3481" s="7">
        <v>5.556</v>
      </c>
      <c r="N3481" s="7">
        <v>6.0759999999999996</v>
      </c>
      <c r="O3481" s="7">
        <v>6.5179999999999998</v>
      </c>
      <c r="P3481" s="7">
        <v>6.4390000000000001</v>
      </c>
      <c r="Q3481" s="7">
        <v>6.1479999999999997</v>
      </c>
      <c r="R3481" s="7">
        <v>5.6559999999999997</v>
      </c>
      <c r="S3481" s="7">
        <f t="shared" si="54"/>
        <v>5.6250833333333334</v>
      </c>
    </row>
    <row r="3482" spans="1:19">
      <c r="A3482" s="5" t="str">
        <f>B3482&amp;"-"&amp;COUNTIF($B$2:B3482,B3482)</f>
        <v>PIAUI-113</v>
      </c>
      <c r="B3482" s="5" t="s">
        <v>2256</v>
      </c>
      <c r="C3482" s="5" t="s">
        <v>4113</v>
      </c>
      <c r="D3482" s="6">
        <v>-415993</v>
      </c>
      <c r="E3482" s="6">
        <v>-43934</v>
      </c>
      <c r="F3482" s="7">
        <v>5.6210000000000004</v>
      </c>
      <c r="G3482" s="7">
        <v>5.1260000000000003</v>
      </c>
      <c r="H3482" s="7">
        <v>5.282</v>
      </c>
      <c r="I3482" s="7">
        <v>5.2480000000000002</v>
      </c>
      <c r="J3482" s="7">
        <v>4.9409999999999998</v>
      </c>
      <c r="K3482" s="7">
        <v>5.1059999999999999</v>
      </c>
      <c r="L3482" s="7">
        <v>5.2229999999999999</v>
      </c>
      <c r="M3482" s="7">
        <v>5.4589999999999996</v>
      </c>
      <c r="N3482" s="7">
        <v>6.1340000000000003</v>
      </c>
      <c r="O3482" s="7">
        <v>6.5640000000000001</v>
      </c>
      <c r="P3482" s="7">
        <v>6.4660000000000002</v>
      </c>
      <c r="Q3482" s="7">
        <v>6.2569999999999997</v>
      </c>
      <c r="R3482" s="7">
        <v>5.64</v>
      </c>
      <c r="S3482" s="7">
        <f t="shared" si="54"/>
        <v>5.6204999999999998</v>
      </c>
    </row>
    <row r="3483" spans="1:19">
      <c r="A3483" s="5" t="str">
        <f>B3483&amp;"-"&amp;COUNTIF($B$2:B3483,B3483)</f>
        <v>PIAUI-114</v>
      </c>
      <c r="B3483" s="5" t="s">
        <v>2256</v>
      </c>
      <c r="C3483" s="5" t="s">
        <v>2330</v>
      </c>
      <c r="D3483" s="6">
        <v>-415376</v>
      </c>
      <c r="E3483" s="6">
        <v>-84769</v>
      </c>
      <c r="F3483" s="7">
        <v>5.9269999999999996</v>
      </c>
      <c r="G3483" s="7">
        <v>6.0359999999999996</v>
      </c>
      <c r="H3483" s="7">
        <v>5.88</v>
      </c>
      <c r="I3483" s="7">
        <v>5.7670000000000003</v>
      </c>
      <c r="J3483" s="7">
        <v>5.4119999999999999</v>
      </c>
      <c r="K3483" s="7">
        <v>5.24</v>
      </c>
      <c r="L3483" s="7">
        <v>5.1580000000000004</v>
      </c>
      <c r="M3483" s="7">
        <v>5.53</v>
      </c>
      <c r="N3483" s="7">
        <v>6.3170000000000002</v>
      </c>
      <c r="O3483" s="7">
        <v>6.508</v>
      </c>
      <c r="P3483" s="7">
        <v>6.641</v>
      </c>
      <c r="Q3483" s="7">
        <v>6.4589999999999996</v>
      </c>
      <c r="R3483" s="7">
        <v>6.181</v>
      </c>
      <c r="S3483" s="7">
        <f t="shared" si="54"/>
        <v>5.9274166666666668</v>
      </c>
    </row>
    <row r="3484" spans="1:19">
      <c r="A3484" s="5" t="str">
        <f>B3484&amp;"-"&amp;COUNTIF($B$2:B3484,B3484)</f>
        <v>PIAUI-115</v>
      </c>
      <c r="B3484" s="5" t="s">
        <v>2256</v>
      </c>
      <c r="C3484" s="5" t="s">
        <v>2331</v>
      </c>
      <c r="D3484" s="6">
        <v>-42647</v>
      </c>
      <c r="E3484" s="6">
        <v>-54135</v>
      </c>
      <c r="F3484" s="7">
        <v>5.6449999999999996</v>
      </c>
      <c r="G3484" s="7">
        <v>5.0830000000000002</v>
      </c>
      <c r="H3484" s="7">
        <v>5.1539999999999999</v>
      </c>
      <c r="I3484" s="7">
        <v>5.2549999999999999</v>
      </c>
      <c r="J3484" s="7">
        <v>5.1100000000000003</v>
      </c>
      <c r="K3484" s="7">
        <v>5.1349999999999998</v>
      </c>
      <c r="L3484" s="7">
        <v>5.3330000000000002</v>
      </c>
      <c r="M3484" s="7">
        <v>5.6050000000000004</v>
      </c>
      <c r="N3484" s="7">
        <v>6.1920000000000002</v>
      </c>
      <c r="O3484" s="7">
        <v>6.609</v>
      </c>
      <c r="P3484" s="7">
        <v>6.4119999999999999</v>
      </c>
      <c r="Q3484" s="7">
        <v>6.133</v>
      </c>
      <c r="R3484" s="7">
        <v>5.726</v>
      </c>
      <c r="S3484" s="7">
        <f t="shared" si="54"/>
        <v>5.6455833333333336</v>
      </c>
    </row>
    <row r="3485" spans="1:19">
      <c r="A3485" s="5" t="str">
        <f>B3485&amp;"-"&amp;COUNTIF($B$2:B3485,B3485)</f>
        <v>PIAUI-116</v>
      </c>
      <c r="B3485" s="5" t="s">
        <v>2256</v>
      </c>
      <c r="C3485" s="5" t="s">
        <v>2332</v>
      </c>
      <c r="D3485" s="6">
        <v>-415727</v>
      </c>
      <c r="E3485" s="6">
        <v>-6521</v>
      </c>
      <c r="F3485" s="7">
        <v>5.6529999999999996</v>
      </c>
      <c r="G3485" s="7">
        <v>5.21</v>
      </c>
      <c r="H3485" s="7">
        <v>5.28</v>
      </c>
      <c r="I3485" s="7">
        <v>5.226</v>
      </c>
      <c r="J3485" s="7">
        <v>5.1710000000000003</v>
      </c>
      <c r="K3485" s="7">
        <v>5.1790000000000003</v>
      </c>
      <c r="L3485" s="7">
        <v>5.1769999999999996</v>
      </c>
      <c r="M3485" s="7">
        <v>5.6059999999999999</v>
      </c>
      <c r="N3485" s="7">
        <v>6.24</v>
      </c>
      <c r="O3485" s="7">
        <v>6.5869999999999997</v>
      </c>
      <c r="P3485" s="7">
        <v>6.36</v>
      </c>
      <c r="Q3485" s="7">
        <v>6.1449999999999996</v>
      </c>
      <c r="R3485" s="7">
        <v>5.6630000000000003</v>
      </c>
      <c r="S3485" s="7">
        <f t="shared" si="54"/>
        <v>5.6536666666666662</v>
      </c>
    </row>
    <row r="3486" spans="1:19">
      <c r="A3486" s="5" t="str">
        <f>B3486&amp;"-"&amp;COUNTIF($B$2:B3486,B3486)</f>
        <v>PIAUI-117</v>
      </c>
      <c r="B3486" s="5" t="s">
        <v>2256</v>
      </c>
      <c r="C3486" s="5" t="s">
        <v>2333</v>
      </c>
      <c r="D3486" s="6">
        <v>-426338</v>
      </c>
      <c r="E3486" s="6">
        <v>-58316</v>
      </c>
      <c r="F3486" s="7">
        <v>5.6369999999999996</v>
      </c>
      <c r="G3486" s="7">
        <v>4.9610000000000003</v>
      </c>
      <c r="H3486" s="7">
        <v>5.2380000000000004</v>
      </c>
      <c r="I3486" s="7">
        <v>5.2130000000000001</v>
      </c>
      <c r="J3486" s="7">
        <v>5.1130000000000004</v>
      </c>
      <c r="K3486" s="7">
        <v>5.2140000000000004</v>
      </c>
      <c r="L3486" s="7">
        <v>5.431</v>
      </c>
      <c r="M3486" s="7">
        <v>5.6840000000000002</v>
      </c>
      <c r="N3486" s="7">
        <v>6.2439999999999998</v>
      </c>
      <c r="O3486" s="7">
        <v>6.5960000000000001</v>
      </c>
      <c r="P3486" s="7">
        <v>6.3620000000000001</v>
      </c>
      <c r="Q3486" s="7">
        <v>5.9930000000000003</v>
      </c>
      <c r="R3486" s="7">
        <v>5.593</v>
      </c>
      <c r="S3486" s="7">
        <f t="shared" si="54"/>
        <v>5.6368333333333345</v>
      </c>
    </row>
    <row r="3487" spans="1:19">
      <c r="A3487" s="5" t="str">
        <f>B3487&amp;"-"&amp;COUNTIF($B$2:B3487,B3487)</f>
        <v>PIAUI-118</v>
      </c>
      <c r="B3487" s="5" t="s">
        <v>2256</v>
      </c>
      <c r="C3487" s="5" t="s">
        <v>2334</v>
      </c>
      <c r="D3487" s="6">
        <v>-439316</v>
      </c>
      <c r="E3487" s="6">
        <v>-72628</v>
      </c>
      <c r="F3487" s="7">
        <v>5.5819999999999999</v>
      </c>
      <c r="G3487" s="7">
        <v>5.1459999999999999</v>
      </c>
      <c r="H3487" s="7">
        <v>5.1379999999999999</v>
      </c>
      <c r="I3487" s="7">
        <v>5.0380000000000003</v>
      </c>
      <c r="J3487" s="7">
        <v>5.13</v>
      </c>
      <c r="K3487" s="7">
        <v>5.3</v>
      </c>
      <c r="L3487" s="7">
        <v>5.3970000000000002</v>
      </c>
      <c r="M3487" s="7">
        <v>5.6420000000000003</v>
      </c>
      <c r="N3487" s="7">
        <v>6.157</v>
      </c>
      <c r="O3487" s="7">
        <v>6.6139999999999999</v>
      </c>
      <c r="P3487" s="7">
        <v>6.2430000000000003</v>
      </c>
      <c r="Q3487" s="7">
        <v>5.7549999999999999</v>
      </c>
      <c r="R3487" s="7">
        <v>5.4169999999999998</v>
      </c>
      <c r="S3487" s="7">
        <f t="shared" si="54"/>
        <v>5.5814166666666667</v>
      </c>
    </row>
    <row r="3488" spans="1:19">
      <c r="A3488" s="5" t="str">
        <f>B3488&amp;"-"&amp;COUNTIF($B$2:B3488,B3488)</f>
        <v>PIAUI-119</v>
      </c>
      <c r="B3488" s="5" t="s">
        <v>2256</v>
      </c>
      <c r="C3488" s="5" t="s">
        <v>2335</v>
      </c>
      <c r="D3488" s="6">
        <v>-416645</v>
      </c>
      <c r="E3488" s="6">
        <v>-28848</v>
      </c>
      <c r="F3488" s="7">
        <v>5.484</v>
      </c>
      <c r="G3488" s="7">
        <v>5.601</v>
      </c>
      <c r="H3488" s="7">
        <v>5.5049999999999999</v>
      </c>
      <c r="I3488" s="7">
        <v>5.3250000000000002</v>
      </c>
      <c r="J3488" s="7">
        <v>4.9980000000000002</v>
      </c>
      <c r="K3488" s="7">
        <v>5.1589999999999998</v>
      </c>
      <c r="L3488" s="7">
        <v>5.2830000000000004</v>
      </c>
      <c r="M3488" s="7">
        <v>5.3810000000000002</v>
      </c>
      <c r="N3488" s="7">
        <v>5.65</v>
      </c>
      <c r="O3488" s="7">
        <v>5.431</v>
      </c>
      <c r="P3488" s="7">
        <v>5.593</v>
      </c>
      <c r="Q3488" s="7">
        <v>5.976</v>
      </c>
      <c r="R3488" s="7">
        <v>5.9050000000000002</v>
      </c>
      <c r="S3488" s="7">
        <f t="shared" si="54"/>
        <v>5.4839166666666666</v>
      </c>
    </row>
    <row r="3489" spans="1:19">
      <c r="A3489" s="5" t="str">
        <f>B3489&amp;"-"&amp;COUNTIF($B$2:B3489,B3489)</f>
        <v>PIAUI-120</v>
      </c>
      <c r="B3489" s="5" t="s">
        <v>2256</v>
      </c>
      <c r="C3489" s="5" t="s">
        <v>5008</v>
      </c>
      <c r="D3489" s="6">
        <v>-423721</v>
      </c>
      <c r="E3489" s="6">
        <v>-34617</v>
      </c>
      <c r="F3489" s="7">
        <v>5.6120000000000001</v>
      </c>
      <c r="G3489" s="7">
        <v>5.2510000000000003</v>
      </c>
      <c r="H3489" s="7">
        <v>5.4059999999999997</v>
      </c>
      <c r="I3489" s="7">
        <v>5.3129999999999997</v>
      </c>
      <c r="J3489" s="7">
        <v>5.0999999999999996</v>
      </c>
      <c r="K3489" s="7">
        <v>5.2030000000000003</v>
      </c>
      <c r="L3489" s="7">
        <v>5.2779999999999996</v>
      </c>
      <c r="M3489" s="7">
        <v>5.5140000000000002</v>
      </c>
      <c r="N3489" s="7">
        <v>5.984</v>
      </c>
      <c r="O3489" s="7">
        <v>6.3079999999999998</v>
      </c>
      <c r="P3489" s="7">
        <v>6.335</v>
      </c>
      <c r="Q3489" s="7">
        <v>6.0960000000000001</v>
      </c>
      <c r="R3489" s="7">
        <v>5.5490000000000004</v>
      </c>
      <c r="S3489" s="7">
        <f t="shared" si="54"/>
        <v>5.6114166666666669</v>
      </c>
    </row>
    <row r="3490" spans="1:19">
      <c r="A3490" s="5" t="str">
        <f>B3490&amp;"-"&amp;COUNTIF($B$2:B3490,B3490)</f>
        <v>PIAUI-121</v>
      </c>
      <c r="B3490" s="5" t="s">
        <v>2256</v>
      </c>
      <c r="C3490" s="5" t="s">
        <v>2336</v>
      </c>
      <c r="D3490" s="6">
        <v>-425031</v>
      </c>
      <c r="E3490" s="6">
        <v>-34848</v>
      </c>
      <c r="F3490" s="7">
        <v>5.6180000000000003</v>
      </c>
      <c r="G3490" s="7">
        <v>5.2770000000000001</v>
      </c>
      <c r="H3490" s="7">
        <v>5.3029999999999999</v>
      </c>
      <c r="I3490" s="7">
        <v>5.4029999999999996</v>
      </c>
      <c r="J3490" s="7">
        <v>5.1459999999999999</v>
      </c>
      <c r="K3490" s="7">
        <v>5.15</v>
      </c>
      <c r="L3490" s="7">
        <v>5.2990000000000004</v>
      </c>
      <c r="M3490" s="7">
        <v>5.5220000000000002</v>
      </c>
      <c r="N3490" s="7">
        <v>5.9960000000000004</v>
      </c>
      <c r="O3490" s="7">
        <v>6.3179999999999996</v>
      </c>
      <c r="P3490" s="7">
        <v>6.3339999999999996</v>
      </c>
      <c r="Q3490" s="7">
        <v>6.09</v>
      </c>
      <c r="R3490" s="7">
        <v>5.577</v>
      </c>
      <c r="S3490" s="7">
        <f t="shared" si="54"/>
        <v>5.6179166666666669</v>
      </c>
    </row>
    <row r="3491" spans="1:19">
      <c r="A3491" s="5" t="str">
        <f>B3491&amp;"-"&amp;COUNTIF($B$2:B3491,B3491)</f>
        <v>PIAUI-122</v>
      </c>
      <c r="B3491" s="5" t="s">
        <v>2256</v>
      </c>
      <c r="C3491" s="5" t="s">
        <v>2337</v>
      </c>
      <c r="D3491" s="6">
        <v>-438723</v>
      </c>
      <c r="E3491" s="6">
        <v>-80043</v>
      </c>
      <c r="F3491" s="7">
        <v>5.673</v>
      </c>
      <c r="G3491" s="7">
        <v>5.3970000000000002</v>
      </c>
      <c r="H3491" s="7">
        <v>5.3109999999999999</v>
      </c>
      <c r="I3491" s="7">
        <v>5.2249999999999996</v>
      </c>
      <c r="J3491" s="7">
        <v>5.335</v>
      </c>
      <c r="K3491" s="7">
        <v>5.3369999999999997</v>
      </c>
      <c r="L3491" s="7">
        <v>5.3689999999999998</v>
      </c>
      <c r="M3491" s="7">
        <v>5.6390000000000002</v>
      </c>
      <c r="N3491" s="7">
        <v>6.26</v>
      </c>
      <c r="O3491" s="7">
        <v>6.5570000000000004</v>
      </c>
      <c r="P3491" s="7">
        <v>6.2549999999999999</v>
      </c>
      <c r="Q3491" s="7">
        <v>5.8319999999999999</v>
      </c>
      <c r="R3491" s="7">
        <v>5.5590000000000002</v>
      </c>
      <c r="S3491" s="7">
        <f t="shared" si="54"/>
        <v>5.6730000000000009</v>
      </c>
    </row>
    <row r="3492" spans="1:19">
      <c r="A3492" s="5" t="str">
        <f>B3492&amp;"-"&amp;COUNTIF($B$2:B3492,B3492)</f>
        <v>PIAUI-123</v>
      </c>
      <c r="B3492" s="5" t="s">
        <v>2256</v>
      </c>
      <c r="C3492" s="5" t="s">
        <v>5009</v>
      </c>
      <c r="D3492" s="6">
        <v>-406605</v>
      </c>
      <c r="E3492" s="6">
        <v>-74421</v>
      </c>
      <c r="F3492" s="7">
        <v>5.7679999999999998</v>
      </c>
      <c r="G3492" s="7">
        <v>5.54</v>
      </c>
      <c r="H3492" s="7">
        <v>5.492</v>
      </c>
      <c r="I3492" s="7">
        <v>5.452</v>
      </c>
      <c r="J3492" s="7">
        <v>5.3449999999999998</v>
      </c>
      <c r="K3492" s="7">
        <v>5.2229999999999999</v>
      </c>
      <c r="L3492" s="7">
        <v>5.1840000000000002</v>
      </c>
      <c r="M3492" s="7">
        <v>5.5149999999999997</v>
      </c>
      <c r="N3492" s="7">
        <v>6.0659999999999998</v>
      </c>
      <c r="O3492" s="7">
        <v>6.53</v>
      </c>
      <c r="P3492" s="7">
        <v>6.5129999999999999</v>
      </c>
      <c r="Q3492" s="7">
        <v>6.37</v>
      </c>
      <c r="R3492" s="7">
        <v>5.98</v>
      </c>
      <c r="S3492" s="7">
        <f t="shared" si="54"/>
        <v>5.7674999999999992</v>
      </c>
    </row>
    <row r="3493" spans="1:19">
      <c r="A3493" s="5" t="str">
        <f>B3493&amp;"-"&amp;COUNTIF($B$2:B3493,B3493)</f>
        <v>PIAUI-124</v>
      </c>
      <c r="B3493" s="5" t="s">
        <v>2256</v>
      </c>
      <c r="C3493" s="5" t="s">
        <v>2338</v>
      </c>
      <c r="D3493" s="6">
        <v>-43893</v>
      </c>
      <c r="E3493" s="6">
        <v>-71161</v>
      </c>
      <c r="F3493" s="7">
        <v>5.577</v>
      </c>
      <c r="G3493" s="7">
        <v>5.1180000000000003</v>
      </c>
      <c r="H3493" s="7">
        <v>5.093</v>
      </c>
      <c r="I3493" s="7">
        <v>5.0679999999999996</v>
      </c>
      <c r="J3493" s="7">
        <v>5.0599999999999996</v>
      </c>
      <c r="K3493" s="7">
        <v>5.2489999999999997</v>
      </c>
      <c r="L3493" s="7">
        <v>5.4039999999999999</v>
      </c>
      <c r="M3493" s="7">
        <v>5.6890000000000001</v>
      </c>
      <c r="N3493" s="7">
        <v>6.1520000000000001</v>
      </c>
      <c r="O3493" s="7">
        <v>6.6390000000000002</v>
      </c>
      <c r="P3493" s="7">
        <v>6.2549999999999999</v>
      </c>
      <c r="Q3493" s="7">
        <v>5.7709999999999999</v>
      </c>
      <c r="R3493" s="7">
        <v>5.4290000000000003</v>
      </c>
      <c r="S3493" s="7">
        <f t="shared" si="54"/>
        <v>5.5772500000000003</v>
      </c>
    </row>
    <row r="3494" spans="1:19">
      <c r="A3494" s="5" t="str">
        <f>B3494&amp;"-"&amp;COUNTIF($B$2:B3494,B3494)</f>
        <v>PIAUI-125</v>
      </c>
      <c r="B3494" s="5" t="s">
        <v>2256</v>
      </c>
      <c r="C3494" s="5" t="s">
        <v>5311</v>
      </c>
      <c r="D3494" s="6">
        <v>-411107</v>
      </c>
      <c r="E3494" s="6">
        <v>-74751</v>
      </c>
      <c r="F3494" s="7">
        <v>5.8239999999999998</v>
      </c>
      <c r="G3494" s="7">
        <v>5.67</v>
      </c>
      <c r="H3494" s="7">
        <v>5.6210000000000004</v>
      </c>
      <c r="I3494" s="7">
        <v>5.6719999999999997</v>
      </c>
      <c r="J3494" s="7">
        <v>5.3209999999999997</v>
      </c>
      <c r="K3494" s="7">
        <v>5.1820000000000004</v>
      </c>
      <c r="L3494" s="7">
        <v>5.1459999999999999</v>
      </c>
      <c r="M3494" s="7">
        <v>5.4809999999999999</v>
      </c>
      <c r="N3494" s="7">
        <v>6.2110000000000003</v>
      </c>
      <c r="O3494" s="7">
        <v>6.6470000000000002</v>
      </c>
      <c r="P3494" s="7">
        <v>6.5510000000000002</v>
      </c>
      <c r="Q3494" s="7">
        <v>6.3659999999999997</v>
      </c>
      <c r="R3494" s="7">
        <v>6.0220000000000002</v>
      </c>
      <c r="S3494" s="7">
        <f t="shared" si="54"/>
        <v>5.8241666666666667</v>
      </c>
    </row>
    <row r="3495" spans="1:19">
      <c r="A3495" s="5" t="str">
        <f>B3495&amp;"-"&amp;COUNTIF($B$2:B3495,B3495)</f>
        <v>PIAUI-126</v>
      </c>
      <c r="B3495" s="5" t="s">
        <v>2256</v>
      </c>
      <c r="C3495" s="5" t="s">
        <v>2339</v>
      </c>
      <c r="D3495" s="6">
        <v>-42555</v>
      </c>
      <c r="E3495" s="6">
        <v>-37149</v>
      </c>
      <c r="F3495" s="7">
        <v>5.6289999999999996</v>
      </c>
      <c r="G3495" s="7">
        <v>5.2</v>
      </c>
      <c r="H3495" s="7">
        <v>5.3719999999999999</v>
      </c>
      <c r="I3495" s="7">
        <v>5.375</v>
      </c>
      <c r="J3495" s="7">
        <v>5.1440000000000001</v>
      </c>
      <c r="K3495" s="7">
        <v>5.1120000000000001</v>
      </c>
      <c r="L3495" s="7">
        <v>5.3170000000000002</v>
      </c>
      <c r="M3495" s="7">
        <v>5.4939999999999998</v>
      </c>
      <c r="N3495" s="7">
        <v>6.1109999999999998</v>
      </c>
      <c r="O3495" s="7">
        <v>6.4459999999999997</v>
      </c>
      <c r="P3495" s="7">
        <v>6.36</v>
      </c>
      <c r="Q3495" s="7">
        <v>6.09</v>
      </c>
      <c r="R3495" s="7">
        <v>5.5350000000000001</v>
      </c>
      <c r="S3495" s="7">
        <f t="shared" si="54"/>
        <v>5.6296666666666662</v>
      </c>
    </row>
    <row r="3496" spans="1:19">
      <c r="A3496" s="5" t="str">
        <f>B3496&amp;"-"&amp;COUNTIF($B$2:B3496,B3496)</f>
        <v>PIAUI-127</v>
      </c>
      <c r="B3496" s="5" t="s">
        <v>2256</v>
      </c>
      <c r="C3496" s="5" t="s">
        <v>2340</v>
      </c>
      <c r="D3496" s="6">
        <v>-428966</v>
      </c>
      <c r="E3496" s="6">
        <v>-4169</v>
      </c>
      <c r="F3496" s="7">
        <v>5.5709999999999997</v>
      </c>
      <c r="G3496" s="7">
        <v>5.0810000000000004</v>
      </c>
      <c r="H3496" s="7">
        <v>5.282</v>
      </c>
      <c r="I3496" s="7">
        <v>5.24</v>
      </c>
      <c r="J3496" s="7">
        <v>5.0739999999999998</v>
      </c>
      <c r="K3496" s="7">
        <v>5.0709999999999997</v>
      </c>
      <c r="L3496" s="7">
        <v>5.2519999999999998</v>
      </c>
      <c r="M3496" s="7">
        <v>5.4589999999999996</v>
      </c>
      <c r="N3496" s="7">
        <v>5.99</v>
      </c>
      <c r="O3496" s="7">
        <v>6.3979999999999997</v>
      </c>
      <c r="P3496" s="7">
        <v>6.36</v>
      </c>
      <c r="Q3496" s="7">
        <v>6.0540000000000003</v>
      </c>
      <c r="R3496" s="7">
        <v>5.5869999999999997</v>
      </c>
      <c r="S3496" s="7">
        <f t="shared" si="54"/>
        <v>5.5706666666666669</v>
      </c>
    </row>
    <row r="3497" spans="1:19">
      <c r="A3497" s="5" t="str">
        <f>B3497&amp;"-"&amp;COUNTIF($B$2:B3497,B3497)</f>
        <v>PIAUI-128</v>
      </c>
      <c r="B3497" s="5" t="s">
        <v>2256</v>
      </c>
      <c r="C3497" s="5" t="s">
        <v>4114</v>
      </c>
      <c r="D3497" s="6">
        <v>-427364</v>
      </c>
      <c r="E3497" s="6">
        <v>-56827</v>
      </c>
      <c r="F3497" s="7">
        <v>5.57</v>
      </c>
      <c r="G3497" s="7">
        <v>4.8899999999999997</v>
      </c>
      <c r="H3497" s="7">
        <v>5.125</v>
      </c>
      <c r="I3497" s="7">
        <v>5.1420000000000003</v>
      </c>
      <c r="J3497" s="7">
        <v>5.0090000000000003</v>
      </c>
      <c r="K3497" s="7">
        <v>5.1550000000000002</v>
      </c>
      <c r="L3497" s="7">
        <v>5.3710000000000004</v>
      </c>
      <c r="M3497" s="7">
        <v>5.657</v>
      </c>
      <c r="N3497" s="7">
        <v>6.194</v>
      </c>
      <c r="O3497" s="7">
        <v>6.532</v>
      </c>
      <c r="P3497" s="7">
        <v>6.3010000000000002</v>
      </c>
      <c r="Q3497" s="7">
        <v>5.9160000000000004</v>
      </c>
      <c r="R3497" s="7">
        <v>5.55</v>
      </c>
      <c r="S3497" s="7">
        <f t="shared" si="54"/>
        <v>5.5701666666666663</v>
      </c>
    </row>
    <row r="3498" spans="1:19">
      <c r="A3498" s="5" t="str">
        <f>B3498&amp;"-"&amp;COUNTIF($B$2:B3498,B3498)</f>
        <v>PIAUI-129</v>
      </c>
      <c r="B3498" s="5" t="s">
        <v>2256</v>
      </c>
      <c r="C3498" s="5" t="s">
        <v>4115</v>
      </c>
      <c r="D3498" s="6">
        <v>-414177</v>
      </c>
      <c r="E3498" s="6">
        <v>-46833</v>
      </c>
      <c r="F3498" s="7">
        <v>5.7089999999999996</v>
      </c>
      <c r="G3498" s="7">
        <v>5.1989999999999998</v>
      </c>
      <c r="H3498" s="7">
        <v>5.3449999999999998</v>
      </c>
      <c r="I3498" s="7">
        <v>5.5010000000000003</v>
      </c>
      <c r="J3498" s="7">
        <v>5.1280000000000001</v>
      </c>
      <c r="K3498" s="7">
        <v>5.1289999999999996</v>
      </c>
      <c r="L3498" s="7">
        <v>5.157</v>
      </c>
      <c r="M3498" s="7">
        <v>5.4580000000000002</v>
      </c>
      <c r="N3498" s="7">
        <v>6.1879999999999997</v>
      </c>
      <c r="O3498" s="7">
        <v>6.6950000000000003</v>
      </c>
      <c r="P3498" s="7">
        <v>6.5810000000000004</v>
      </c>
      <c r="Q3498" s="7">
        <v>6.391</v>
      </c>
      <c r="R3498" s="7">
        <v>5.734</v>
      </c>
      <c r="S3498" s="7">
        <f t="shared" si="54"/>
        <v>5.7088333333333336</v>
      </c>
    </row>
    <row r="3499" spans="1:19">
      <c r="A3499" s="5" t="str">
        <f>B3499&amp;"-"&amp;COUNTIF($B$2:B3499,B3499)</f>
        <v>PIAUI-130</v>
      </c>
      <c r="B3499" s="5" t="s">
        <v>2256</v>
      </c>
      <c r="C3499" s="5" t="s">
        <v>2341</v>
      </c>
      <c r="D3499" s="6">
        <v>-426078</v>
      </c>
      <c r="E3499" s="6">
        <v>-55624</v>
      </c>
      <c r="F3499" s="7">
        <v>5.6390000000000002</v>
      </c>
      <c r="G3499" s="7">
        <v>5.0309999999999997</v>
      </c>
      <c r="H3499" s="7">
        <v>5.1849999999999996</v>
      </c>
      <c r="I3499" s="7">
        <v>5.2030000000000003</v>
      </c>
      <c r="J3499" s="7">
        <v>5.0579999999999998</v>
      </c>
      <c r="K3499" s="7">
        <v>5.1680000000000001</v>
      </c>
      <c r="L3499" s="7">
        <v>5.391</v>
      </c>
      <c r="M3499" s="7">
        <v>5.54</v>
      </c>
      <c r="N3499" s="7">
        <v>6.2560000000000002</v>
      </c>
      <c r="O3499" s="7">
        <v>6.58</v>
      </c>
      <c r="P3499" s="7">
        <v>6.41</v>
      </c>
      <c r="Q3499" s="7">
        <v>6.1260000000000003</v>
      </c>
      <c r="R3499" s="7">
        <v>5.72</v>
      </c>
      <c r="S3499" s="7">
        <f t="shared" si="54"/>
        <v>5.6390000000000002</v>
      </c>
    </row>
    <row r="3500" spans="1:19">
      <c r="A3500" s="5" t="str">
        <f>B3500&amp;"-"&amp;COUNTIF($B$2:B3500,B3500)</f>
        <v>PIAUI-131</v>
      </c>
      <c r="B3500" s="5" t="s">
        <v>2256</v>
      </c>
      <c r="C3500" s="5" t="s">
        <v>5194</v>
      </c>
      <c r="D3500" s="5" t="s">
        <v>2342</v>
      </c>
      <c r="E3500" s="6">
        <v>-69958</v>
      </c>
      <c r="F3500" s="7">
        <v>5.8</v>
      </c>
      <c r="G3500" s="7">
        <v>5.6</v>
      </c>
      <c r="H3500" s="7">
        <v>5.4720000000000004</v>
      </c>
      <c r="I3500" s="7">
        <v>5.67</v>
      </c>
      <c r="J3500" s="7">
        <v>5.3140000000000001</v>
      </c>
      <c r="K3500" s="7">
        <v>5.1239999999999997</v>
      </c>
      <c r="L3500" s="7">
        <v>5.0650000000000004</v>
      </c>
      <c r="M3500" s="7">
        <v>5.4829999999999997</v>
      </c>
      <c r="N3500" s="7">
        <v>6.2309999999999999</v>
      </c>
      <c r="O3500" s="7">
        <v>6.6840000000000002</v>
      </c>
      <c r="P3500" s="7">
        <v>6.4790000000000001</v>
      </c>
      <c r="Q3500" s="7">
        <v>6.4249999999999998</v>
      </c>
      <c r="R3500" s="7">
        <v>6.056</v>
      </c>
      <c r="S3500" s="7">
        <f t="shared" si="54"/>
        <v>5.8002499999999992</v>
      </c>
    </row>
    <row r="3501" spans="1:19">
      <c r="A3501" s="5" t="str">
        <f>B3501&amp;"-"&amp;COUNTIF($B$2:B3501,B3501)</f>
        <v>PIAUI-132</v>
      </c>
      <c r="B3501" s="5" t="s">
        <v>2256</v>
      </c>
      <c r="C3501" s="5" t="s">
        <v>2343</v>
      </c>
      <c r="D3501" s="6">
        <v>-453041</v>
      </c>
      <c r="E3501" s="6">
        <v>-97541</v>
      </c>
      <c r="F3501" s="7">
        <v>5.7030000000000003</v>
      </c>
      <c r="G3501" s="7">
        <v>5.7859999999999996</v>
      </c>
      <c r="H3501" s="7">
        <v>5.6669999999999998</v>
      </c>
      <c r="I3501" s="7">
        <v>5.4530000000000003</v>
      </c>
      <c r="J3501" s="7">
        <v>5.3860000000000001</v>
      </c>
      <c r="K3501" s="7">
        <v>5.4809999999999999</v>
      </c>
      <c r="L3501" s="7">
        <v>5.2210000000000001</v>
      </c>
      <c r="M3501" s="7">
        <v>5.3559999999999999</v>
      </c>
      <c r="N3501" s="7">
        <v>6.0659999999999998</v>
      </c>
      <c r="O3501" s="7">
        <v>6.3760000000000003</v>
      </c>
      <c r="P3501" s="7">
        <v>6.1319999999999997</v>
      </c>
      <c r="Q3501" s="7">
        <v>5.7039999999999997</v>
      </c>
      <c r="R3501" s="7">
        <v>5.8079999999999998</v>
      </c>
      <c r="S3501" s="7">
        <f t="shared" si="54"/>
        <v>5.7030000000000003</v>
      </c>
    </row>
    <row r="3502" spans="1:19">
      <c r="A3502" s="5" t="str">
        <f>B3502&amp;"-"&amp;COUNTIF($B$2:B3502,B3502)</f>
        <v>PIAUI-133</v>
      </c>
      <c r="B3502" s="5" t="s">
        <v>2256</v>
      </c>
      <c r="C3502" s="5" t="s">
        <v>4739</v>
      </c>
      <c r="D3502" s="6">
        <v>-439082</v>
      </c>
      <c r="E3502" s="6">
        <v>-97277</v>
      </c>
      <c r="F3502" s="7">
        <v>5.8730000000000002</v>
      </c>
      <c r="G3502" s="7">
        <v>5.9269999999999996</v>
      </c>
      <c r="H3502" s="7">
        <v>5.6559999999999997</v>
      </c>
      <c r="I3502" s="7">
        <v>5.593</v>
      </c>
      <c r="J3502" s="7">
        <v>5.4249999999999998</v>
      </c>
      <c r="K3502" s="7">
        <v>5.47</v>
      </c>
      <c r="L3502" s="7">
        <v>5.4329999999999998</v>
      </c>
      <c r="M3502" s="7">
        <v>5.77</v>
      </c>
      <c r="N3502" s="7">
        <v>6.4370000000000003</v>
      </c>
      <c r="O3502" s="7">
        <v>6.6980000000000004</v>
      </c>
      <c r="P3502" s="7">
        <v>6.3010000000000002</v>
      </c>
      <c r="Q3502" s="7">
        <v>5.8940000000000001</v>
      </c>
      <c r="R3502" s="7">
        <v>5.867</v>
      </c>
      <c r="S3502" s="7">
        <f t="shared" si="54"/>
        <v>5.8725833333333339</v>
      </c>
    </row>
    <row r="3503" spans="1:19">
      <c r="A3503" s="5" t="str">
        <f>B3503&amp;"-"&amp;COUNTIF($B$2:B3503,B3503)</f>
        <v>PIAUI-134</v>
      </c>
      <c r="B3503" s="5" t="s">
        <v>2256</v>
      </c>
      <c r="C3503" s="5" t="s">
        <v>4449</v>
      </c>
      <c r="D3503" s="6">
        <v>-423103</v>
      </c>
      <c r="E3503" s="6">
        <v>-37434</v>
      </c>
      <c r="F3503" s="7">
        <v>5.657</v>
      </c>
      <c r="G3503" s="7">
        <v>5.27</v>
      </c>
      <c r="H3503" s="7">
        <v>5.42</v>
      </c>
      <c r="I3503" s="7">
        <v>5.3650000000000002</v>
      </c>
      <c r="J3503" s="7">
        <v>5.1470000000000002</v>
      </c>
      <c r="K3503" s="7">
        <v>5.141</v>
      </c>
      <c r="L3503" s="7">
        <v>5.359</v>
      </c>
      <c r="M3503" s="7">
        <v>5.5170000000000003</v>
      </c>
      <c r="N3503" s="7">
        <v>6.0979999999999999</v>
      </c>
      <c r="O3503" s="7">
        <v>6.452</v>
      </c>
      <c r="P3503" s="7">
        <v>6.4180000000000001</v>
      </c>
      <c r="Q3503" s="7">
        <v>6.1269999999999998</v>
      </c>
      <c r="R3503" s="7">
        <v>5.5679999999999996</v>
      </c>
      <c r="S3503" s="7">
        <f t="shared" si="54"/>
        <v>5.656833333333334</v>
      </c>
    </row>
    <row r="3504" spans="1:19">
      <c r="A3504" s="5" t="str">
        <f>B3504&amp;"-"&amp;COUNTIF($B$2:B3504,B3504)</f>
        <v>PIAUI-135</v>
      </c>
      <c r="B3504" s="5" t="s">
        <v>2256</v>
      </c>
      <c r="C3504" s="5" t="s">
        <v>2344</v>
      </c>
      <c r="D3504" s="6">
        <v>-420943</v>
      </c>
      <c r="E3504" s="6">
        <v>-33194</v>
      </c>
      <c r="F3504" s="7">
        <v>5.6079999999999997</v>
      </c>
      <c r="G3504" s="7">
        <v>5.2039999999999997</v>
      </c>
      <c r="H3504" s="7">
        <v>5.2169999999999996</v>
      </c>
      <c r="I3504" s="7">
        <v>5.2119999999999997</v>
      </c>
      <c r="J3504" s="7">
        <v>5.0090000000000003</v>
      </c>
      <c r="K3504" s="7">
        <v>5.1059999999999999</v>
      </c>
      <c r="L3504" s="7">
        <v>5.3719999999999999</v>
      </c>
      <c r="M3504" s="7">
        <v>5.5629999999999997</v>
      </c>
      <c r="N3504" s="7">
        <v>6.03</v>
      </c>
      <c r="O3504" s="7">
        <v>6.3360000000000003</v>
      </c>
      <c r="P3504" s="7">
        <v>6.39</v>
      </c>
      <c r="Q3504" s="7">
        <v>6.2220000000000004</v>
      </c>
      <c r="R3504" s="7">
        <v>5.6379999999999999</v>
      </c>
      <c r="S3504" s="7">
        <f t="shared" si="54"/>
        <v>5.6082500000000008</v>
      </c>
    </row>
    <row r="3505" spans="1:19">
      <c r="A3505" s="5" t="str">
        <f>B3505&amp;"-"&amp;COUNTIF($B$2:B3505,B3505)</f>
        <v>PIAUI-136</v>
      </c>
      <c r="B3505" s="5" t="s">
        <v>2256</v>
      </c>
      <c r="C3505" s="5" t="s">
        <v>5691</v>
      </c>
      <c r="D3505" s="6">
        <v>-428144</v>
      </c>
      <c r="E3505" s="6">
        <v>-53473</v>
      </c>
      <c r="F3505" s="7">
        <v>5.6280000000000001</v>
      </c>
      <c r="G3505" s="7">
        <v>5.0640000000000001</v>
      </c>
      <c r="H3505" s="7">
        <v>5.258</v>
      </c>
      <c r="I3505" s="7">
        <v>5.2220000000000004</v>
      </c>
      <c r="J3505" s="7">
        <v>5.0860000000000003</v>
      </c>
      <c r="K3505" s="7">
        <v>5.0789999999999997</v>
      </c>
      <c r="L3505" s="7">
        <v>5.2930000000000001</v>
      </c>
      <c r="M3505" s="7">
        <v>5.6070000000000002</v>
      </c>
      <c r="N3505" s="7">
        <v>6.1840000000000002</v>
      </c>
      <c r="O3505" s="7">
        <v>6.5609999999999999</v>
      </c>
      <c r="P3505" s="7">
        <v>6.3620000000000001</v>
      </c>
      <c r="Q3505" s="7">
        <v>6.1040000000000001</v>
      </c>
      <c r="R3505" s="7">
        <v>5.7089999999999996</v>
      </c>
      <c r="S3505" s="7">
        <f t="shared" si="54"/>
        <v>5.6274166666666661</v>
      </c>
    </row>
    <row r="3506" spans="1:19">
      <c r="A3506" s="5" t="str">
        <f>B3506&amp;"-"&amp;COUNTIF($B$2:B3506,B3506)</f>
        <v>PIAUI-137</v>
      </c>
      <c r="B3506" s="5" t="s">
        <v>2256</v>
      </c>
      <c r="C3506" s="5" t="s">
        <v>4450</v>
      </c>
      <c r="D3506" s="6">
        <v>-426734</v>
      </c>
      <c r="E3506" s="6">
        <v>-69747</v>
      </c>
      <c r="F3506" s="7">
        <v>5.694</v>
      </c>
      <c r="G3506" s="7">
        <v>5.3040000000000003</v>
      </c>
      <c r="H3506" s="7">
        <v>5.359</v>
      </c>
      <c r="I3506" s="7">
        <v>5.3170000000000002</v>
      </c>
      <c r="J3506" s="7">
        <v>5.3079999999999998</v>
      </c>
      <c r="K3506" s="7">
        <v>5.3280000000000003</v>
      </c>
      <c r="L3506" s="7">
        <v>5.3150000000000004</v>
      </c>
      <c r="M3506" s="7">
        <v>5.5940000000000003</v>
      </c>
      <c r="N3506" s="7">
        <v>6.1580000000000004</v>
      </c>
      <c r="O3506" s="7">
        <v>6.5140000000000002</v>
      </c>
      <c r="P3506" s="7">
        <v>6.3789999999999996</v>
      </c>
      <c r="Q3506" s="7">
        <v>6.0780000000000003</v>
      </c>
      <c r="R3506" s="7">
        <v>5.681</v>
      </c>
      <c r="S3506" s="7">
        <f t="shared" si="54"/>
        <v>5.694583333333334</v>
      </c>
    </row>
    <row r="3507" spans="1:19">
      <c r="A3507" s="5" t="str">
        <f>B3507&amp;"-"&amp;COUNTIF($B$2:B3507,B3507)</f>
        <v>PIAUI-138</v>
      </c>
      <c r="B3507" s="5" t="s">
        <v>2256</v>
      </c>
      <c r="C3507" s="5" t="s">
        <v>4451</v>
      </c>
      <c r="D3507" s="6">
        <v>-421733</v>
      </c>
      <c r="E3507" s="6">
        <v>-46306</v>
      </c>
      <c r="F3507" s="7">
        <v>5.6369999999999996</v>
      </c>
      <c r="G3507" s="7">
        <v>5.2370000000000001</v>
      </c>
      <c r="H3507" s="7">
        <v>5.2709999999999999</v>
      </c>
      <c r="I3507" s="7">
        <v>5.3019999999999996</v>
      </c>
      <c r="J3507" s="7">
        <v>5.0979999999999999</v>
      </c>
      <c r="K3507" s="7">
        <v>5.1189999999999998</v>
      </c>
      <c r="L3507" s="7">
        <v>5.3259999999999996</v>
      </c>
      <c r="M3507" s="7">
        <v>5.5270000000000001</v>
      </c>
      <c r="N3507" s="7">
        <v>6.0460000000000003</v>
      </c>
      <c r="O3507" s="7">
        <v>6.423</v>
      </c>
      <c r="P3507" s="7">
        <v>6.375</v>
      </c>
      <c r="Q3507" s="7">
        <v>6.2080000000000002</v>
      </c>
      <c r="R3507" s="7">
        <v>5.7140000000000004</v>
      </c>
      <c r="S3507" s="7">
        <f t="shared" si="54"/>
        <v>5.6371666666666664</v>
      </c>
    </row>
    <row r="3508" spans="1:19">
      <c r="A3508" s="5" t="str">
        <f>B3508&amp;"-"&amp;COUNTIF($B$2:B3508,B3508)</f>
        <v>PIAUI-139</v>
      </c>
      <c r="B3508" s="5" t="s">
        <v>2256</v>
      </c>
      <c r="C3508" s="5" t="s">
        <v>4452</v>
      </c>
      <c r="D3508" s="6">
        <v>-426208</v>
      </c>
      <c r="E3508" s="6">
        <v>-39818</v>
      </c>
      <c r="F3508" s="7">
        <v>5.641</v>
      </c>
      <c r="G3508" s="7">
        <v>5.2859999999999996</v>
      </c>
      <c r="H3508" s="7">
        <v>5.3259999999999996</v>
      </c>
      <c r="I3508" s="7">
        <v>5.3159999999999998</v>
      </c>
      <c r="J3508" s="7">
        <v>5.03</v>
      </c>
      <c r="K3508" s="7">
        <v>5.0590000000000002</v>
      </c>
      <c r="L3508" s="7">
        <v>5.2720000000000002</v>
      </c>
      <c r="M3508" s="7">
        <v>5.593</v>
      </c>
      <c r="N3508" s="7">
        <v>6.0750000000000002</v>
      </c>
      <c r="O3508" s="7">
        <v>6.4119999999999999</v>
      </c>
      <c r="P3508" s="7">
        <v>6.4560000000000004</v>
      </c>
      <c r="Q3508" s="7">
        <v>6.17</v>
      </c>
      <c r="R3508" s="7">
        <v>5.6989999999999998</v>
      </c>
      <c r="S3508" s="7">
        <f t="shared" si="54"/>
        <v>5.6411666666666678</v>
      </c>
    </row>
    <row r="3509" spans="1:19">
      <c r="A3509" s="5" t="str">
        <f>B3509&amp;"-"&amp;COUNTIF($B$2:B3509,B3509)</f>
        <v>PIAUI-140</v>
      </c>
      <c r="B3509" s="5" t="s">
        <v>2256</v>
      </c>
      <c r="C3509" s="5" t="s">
        <v>2345</v>
      </c>
      <c r="D3509" s="6">
        <v>-420475</v>
      </c>
      <c r="E3509" s="6">
        <v>-80975</v>
      </c>
      <c r="F3509" s="7">
        <v>5.8159999999999998</v>
      </c>
      <c r="G3509" s="7">
        <v>5.6619999999999999</v>
      </c>
      <c r="H3509" s="7">
        <v>5.5739999999999998</v>
      </c>
      <c r="I3509" s="7">
        <v>5.5629999999999997</v>
      </c>
      <c r="J3509" s="7">
        <v>5.3540000000000001</v>
      </c>
      <c r="K3509" s="7">
        <v>5.2640000000000002</v>
      </c>
      <c r="L3509" s="7">
        <v>5.2530000000000001</v>
      </c>
      <c r="M3509" s="7">
        <v>5.5439999999999996</v>
      </c>
      <c r="N3509" s="7">
        <v>6.3070000000000004</v>
      </c>
      <c r="O3509" s="7">
        <v>6.593</v>
      </c>
      <c r="P3509" s="7">
        <v>6.5030000000000001</v>
      </c>
      <c r="Q3509" s="7">
        <v>6.2409999999999997</v>
      </c>
      <c r="R3509" s="7">
        <v>5.9320000000000004</v>
      </c>
      <c r="S3509" s="7">
        <f t="shared" si="54"/>
        <v>5.8158333333333339</v>
      </c>
    </row>
    <row r="3510" spans="1:19">
      <c r="A3510" s="5" t="str">
        <f>B3510&amp;"-"&amp;COUNTIF($B$2:B3510,B3510)</f>
        <v>PIAUI-141</v>
      </c>
      <c r="B3510" s="5" t="s">
        <v>2256</v>
      </c>
      <c r="C3510" s="5" t="s">
        <v>2346</v>
      </c>
      <c r="D3510" s="6">
        <v>-419265</v>
      </c>
      <c r="E3510" s="6">
        <v>-64494</v>
      </c>
      <c r="F3510" s="7">
        <v>5.6909999999999998</v>
      </c>
      <c r="G3510" s="7">
        <v>5.2679999999999998</v>
      </c>
      <c r="H3510" s="7">
        <v>5.306</v>
      </c>
      <c r="I3510" s="7">
        <v>5.3049999999999997</v>
      </c>
      <c r="J3510" s="7">
        <v>5.23</v>
      </c>
      <c r="K3510" s="7">
        <v>5.2549999999999999</v>
      </c>
      <c r="L3510" s="7">
        <v>5.2770000000000001</v>
      </c>
      <c r="M3510" s="7">
        <v>5.5940000000000003</v>
      </c>
      <c r="N3510" s="7">
        <v>6.1790000000000003</v>
      </c>
      <c r="O3510" s="7">
        <v>6.5620000000000003</v>
      </c>
      <c r="P3510" s="7">
        <v>6.35</v>
      </c>
      <c r="Q3510" s="7">
        <v>6.2039999999999997</v>
      </c>
      <c r="R3510" s="7">
        <v>5.7640000000000002</v>
      </c>
      <c r="S3510" s="7">
        <f t="shared" si="54"/>
        <v>5.6911666666666667</v>
      </c>
    </row>
    <row r="3511" spans="1:19">
      <c r="A3511" s="5" t="str">
        <f>B3511&amp;"-"&amp;COUNTIF($B$2:B3511,B3511)</f>
        <v>PIAUI-142</v>
      </c>
      <c r="B3511" s="5" t="s">
        <v>2256</v>
      </c>
      <c r="C3511" s="5" t="s">
        <v>4546</v>
      </c>
      <c r="D3511" s="6">
        <v>-419329</v>
      </c>
      <c r="E3511" s="6">
        <v>-52879</v>
      </c>
      <c r="F3511" s="7">
        <v>5.6890000000000001</v>
      </c>
      <c r="G3511" s="7">
        <v>5.1740000000000004</v>
      </c>
      <c r="H3511" s="7">
        <v>5.3550000000000004</v>
      </c>
      <c r="I3511" s="7">
        <v>5.4429999999999996</v>
      </c>
      <c r="J3511" s="7">
        <v>5.2130000000000001</v>
      </c>
      <c r="K3511" s="7">
        <v>5.16</v>
      </c>
      <c r="L3511" s="7">
        <v>5.2190000000000003</v>
      </c>
      <c r="M3511" s="7">
        <v>5.532</v>
      </c>
      <c r="N3511" s="7">
        <v>6.149</v>
      </c>
      <c r="O3511" s="7">
        <v>6.5490000000000004</v>
      </c>
      <c r="P3511" s="7">
        <v>6.4160000000000004</v>
      </c>
      <c r="Q3511" s="7">
        <v>6.2750000000000004</v>
      </c>
      <c r="R3511" s="7">
        <v>5.7869999999999999</v>
      </c>
      <c r="S3511" s="7">
        <f t="shared" si="54"/>
        <v>5.6893333333333338</v>
      </c>
    </row>
    <row r="3512" spans="1:19">
      <c r="A3512" s="5" t="str">
        <f>B3512&amp;"-"&amp;COUNTIF($B$2:B3512,B3512)</f>
        <v>PIAUI-143</v>
      </c>
      <c r="B3512" s="5" t="s">
        <v>2256</v>
      </c>
      <c r="C3512" s="5" t="s">
        <v>2347</v>
      </c>
      <c r="D3512" s="6">
        <v>-421286</v>
      </c>
      <c r="E3512" s="6">
        <v>-70196</v>
      </c>
      <c r="F3512" s="7">
        <v>5.7770000000000001</v>
      </c>
      <c r="G3512" s="7">
        <v>5.4489999999999998</v>
      </c>
      <c r="H3512" s="7">
        <v>5.3940000000000001</v>
      </c>
      <c r="I3512" s="7">
        <v>5.4009999999999998</v>
      </c>
      <c r="J3512" s="7">
        <v>5.3689999999999998</v>
      </c>
      <c r="K3512" s="7">
        <v>5.3479999999999999</v>
      </c>
      <c r="L3512" s="7">
        <v>5.2779999999999996</v>
      </c>
      <c r="M3512" s="7">
        <v>5.641</v>
      </c>
      <c r="N3512" s="7">
        <v>6.1420000000000003</v>
      </c>
      <c r="O3512" s="7">
        <v>6.64</v>
      </c>
      <c r="P3512" s="7">
        <v>6.5</v>
      </c>
      <c r="Q3512" s="7">
        <v>6.2850000000000001</v>
      </c>
      <c r="R3512" s="7">
        <v>5.88</v>
      </c>
      <c r="S3512" s="7">
        <f t="shared" si="54"/>
        <v>5.7772499999999996</v>
      </c>
    </row>
    <row r="3513" spans="1:19">
      <c r="A3513" s="5" t="str">
        <f>B3513&amp;"-"&amp;COUNTIF($B$2:B3513,B3513)</f>
        <v>PIAUI-144</v>
      </c>
      <c r="B3513" s="5" t="s">
        <v>2256</v>
      </c>
      <c r="C3513" s="5" t="s">
        <v>2348</v>
      </c>
      <c r="D3513" s="6">
        <v>-425749</v>
      </c>
      <c r="E3513" s="6">
        <v>-5848</v>
      </c>
      <c r="F3513" s="7">
        <v>5.6420000000000003</v>
      </c>
      <c r="G3513" s="7">
        <v>4.9749999999999996</v>
      </c>
      <c r="H3513" s="7">
        <v>5.2060000000000004</v>
      </c>
      <c r="I3513" s="7">
        <v>5.1929999999999996</v>
      </c>
      <c r="J3513" s="7">
        <v>5.1070000000000002</v>
      </c>
      <c r="K3513" s="7">
        <v>5.2190000000000003</v>
      </c>
      <c r="L3513" s="7">
        <v>5.4029999999999996</v>
      </c>
      <c r="M3513" s="7">
        <v>5.673</v>
      </c>
      <c r="N3513" s="7">
        <v>6.2370000000000001</v>
      </c>
      <c r="O3513" s="7">
        <v>6.6269999999999998</v>
      </c>
      <c r="P3513" s="7">
        <v>6.3959999999999999</v>
      </c>
      <c r="Q3513" s="7">
        <v>6.07</v>
      </c>
      <c r="R3513" s="7">
        <v>5.5949999999999998</v>
      </c>
      <c r="S3513" s="7">
        <f t="shared" si="54"/>
        <v>5.6417500000000009</v>
      </c>
    </row>
    <row r="3514" spans="1:19">
      <c r="A3514" s="5" t="str">
        <f>B3514&amp;"-"&amp;COUNTIF($B$2:B3514,B3514)</f>
        <v>PIAUI-145</v>
      </c>
      <c r="B3514" s="5" t="s">
        <v>2256</v>
      </c>
      <c r="C3514" s="5" t="s">
        <v>2349</v>
      </c>
      <c r="D3514" s="6">
        <v>-409086</v>
      </c>
      <c r="E3514" s="6">
        <v>-7347</v>
      </c>
      <c r="F3514" s="7">
        <v>5.774</v>
      </c>
      <c r="G3514" s="7">
        <v>5.5439999999999996</v>
      </c>
      <c r="H3514" s="7">
        <v>5.5389999999999997</v>
      </c>
      <c r="I3514" s="7">
        <v>5.57</v>
      </c>
      <c r="J3514" s="7">
        <v>5.2709999999999999</v>
      </c>
      <c r="K3514" s="7">
        <v>5.1870000000000003</v>
      </c>
      <c r="L3514" s="7">
        <v>5.1050000000000004</v>
      </c>
      <c r="M3514" s="7">
        <v>5.4640000000000004</v>
      </c>
      <c r="N3514" s="7">
        <v>6.141</v>
      </c>
      <c r="O3514" s="7">
        <v>6.633</v>
      </c>
      <c r="P3514" s="7">
        <v>6.4530000000000003</v>
      </c>
      <c r="Q3514" s="7">
        <v>6.3570000000000002</v>
      </c>
      <c r="R3514" s="7">
        <v>6.0250000000000004</v>
      </c>
      <c r="S3514" s="7">
        <f t="shared" si="54"/>
        <v>5.7740833333333335</v>
      </c>
    </row>
    <row r="3515" spans="1:19">
      <c r="A3515" s="5" t="str">
        <f>B3515&amp;"-"&amp;COUNTIF($B$2:B3515,B3515)</f>
        <v>PIAUI-146</v>
      </c>
      <c r="B3515" s="5" t="s">
        <v>2256</v>
      </c>
      <c r="C3515" s="5" t="s">
        <v>2350</v>
      </c>
      <c r="D3515" s="6">
        <v>-422548</v>
      </c>
      <c r="E3515" s="6">
        <v>-77767</v>
      </c>
      <c r="F3515" s="7">
        <v>5.806</v>
      </c>
      <c r="G3515" s="7">
        <v>5.633</v>
      </c>
      <c r="H3515" s="7">
        <v>5.5369999999999999</v>
      </c>
      <c r="I3515" s="7">
        <v>5.5949999999999998</v>
      </c>
      <c r="J3515" s="7">
        <v>5.351</v>
      </c>
      <c r="K3515" s="7">
        <v>5.306</v>
      </c>
      <c r="L3515" s="7">
        <v>5.26</v>
      </c>
      <c r="M3515" s="7">
        <v>5.5730000000000004</v>
      </c>
      <c r="N3515" s="7">
        <v>6.2919999999999998</v>
      </c>
      <c r="O3515" s="7">
        <v>6.5789999999999997</v>
      </c>
      <c r="P3515" s="7">
        <v>6.4870000000000001</v>
      </c>
      <c r="Q3515" s="7">
        <v>6.1829999999999998</v>
      </c>
      <c r="R3515" s="7">
        <v>5.8810000000000002</v>
      </c>
      <c r="S3515" s="7">
        <f t="shared" si="54"/>
        <v>5.8064166666666672</v>
      </c>
    </row>
    <row r="3516" spans="1:19">
      <c r="A3516" s="5" t="str">
        <f>B3516&amp;"-"&amp;COUNTIF($B$2:B3516,B3516)</f>
        <v>PIAUI-147</v>
      </c>
      <c r="B3516" s="5" t="s">
        <v>2256</v>
      </c>
      <c r="C3516" s="5" t="s">
        <v>4867</v>
      </c>
      <c r="D3516" s="6">
        <v>-428219</v>
      </c>
      <c r="E3516" s="6">
        <v>-78557</v>
      </c>
      <c r="F3516" s="7">
        <v>5.7649999999999997</v>
      </c>
      <c r="G3516" s="7">
        <v>5.4880000000000004</v>
      </c>
      <c r="H3516" s="7">
        <v>5.3949999999999996</v>
      </c>
      <c r="I3516" s="7">
        <v>5.415</v>
      </c>
      <c r="J3516" s="7">
        <v>5.32</v>
      </c>
      <c r="K3516" s="7">
        <v>5.2709999999999999</v>
      </c>
      <c r="L3516" s="7">
        <v>5.3529999999999998</v>
      </c>
      <c r="M3516" s="7">
        <v>5.61</v>
      </c>
      <c r="N3516" s="7">
        <v>6.3570000000000002</v>
      </c>
      <c r="O3516" s="7">
        <v>6.6870000000000003</v>
      </c>
      <c r="P3516" s="7">
        <v>6.4720000000000004</v>
      </c>
      <c r="Q3516" s="7">
        <v>6.0410000000000004</v>
      </c>
      <c r="R3516" s="7">
        <v>5.766</v>
      </c>
      <c r="S3516" s="7">
        <f t="shared" si="54"/>
        <v>5.7645833333333334</v>
      </c>
    </row>
    <row r="3517" spans="1:19">
      <c r="A3517" s="5" t="str">
        <f>B3517&amp;"-"&amp;COUNTIF($B$2:B3517,B3517)</f>
        <v>PIAUI-148</v>
      </c>
      <c r="B3517" s="5" t="s">
        <v>2256</v>
      </c>
      <c r="C3517" s="5" t="s">
        <v>2351</v>
      </c>
      <c r="D3517" s="6">
        <v>-442471</v>
      </c>
      <c r="E3517" s="6">
        <v>-8732</v>
      </c>
      <c r="F3517" s="7">
        <v>5.7350000000000003</v>
      </c>
      <c r="G3517" s="7">
        <v>5.6280000000000001</v>
      </c>
      <c r="H3517" s="7">
        <v>5.3869999999999996</v>
      </c>
      <c r="I3517" s="7">
        <v>5.37</v>
      </c>
      <c r="J3517" s="7">
        <v>5.4669999999999996</v>
      </c>
      <c r="K3517" s="7">
        <v>5.3879999999999999</v>
      </c>
      <c r="L3517" s="7">
        <v>5.3710000000000004</v>
      </c>
      <c r="M3517" s="7">
        <v>5.6550000000000002</v>
      </c>
      <c r="N3517" s="7">
        <v>6.3869999999999996</v>
      </c>
      <c r="O3517" s="7">
        <v>6.673</v>
      </c>
      <c r="P3517" s="7">
        <v>6.1580000000000004</v>
      </c>
      <c r="Q3517" s="7">
        <v>5.7220000000000004</v>
      </c>
      <c r="R3517" s="7">
        <v>5.62</v>
      </c>
      <c r="S3517" s="7">
        <f t="shared" si="54"/>
        <v>5.7355000000000009</v>
      </c>
    </row>
    <row r="3518" spans="1:19">
      <c r="A3518" s="5" t="str">
        <f>B3518&amp;"-"&amp;COUNTIF($B$2:B3518,B3518)</f>
        <v>PIAUI-149</v>
      </c>
      <c r="B3518" s="5" t="s">
        <v>2256</v>
      </c>
      <c r="C3518" s="5" t="s">
        <v>2352</v>
      </c>
      <c r="D3518" s="6">
        <v>-430564</v>
      </c>
      <c r="E3518" s="6">
        <v>-59713</v>
      </c>
      <c r="F3518" s="7">
        <v>5.5640000000000001</v>
      </c>
      <c r="G3518" s="7">
        <v>4.9749999999999996</v>
      </c>
      <c r="H3518" s="7">
        <v>5.1139999999999999</v>
      </c>
      <c r="I3518" s="7">
        <v>5.056</v>
      </c>
      <c r="J3518" s="7">
        <v>5.0259999999999998</v>
      </c>
      <c r="K3518" s="7">
        <v>5.1120000000000001</v>
      </c>
      <c r="L3518" s="7">
        <v>5.375</v>
      </c>
      <c r="M3518" s="7">
        <v>5.6779999999999999</v>
      </c>
      <c r="N3518" s="7">
        <v>6.2220000000000004</v>
      </c>
      <c r="O3518" s="7">
        <v>6.5759999999999996</v>
      </c>
      <c r="P3518" s="7">
        <v>6.242</v>
      </c>
      <c r="Q3518" s="7">
        <v>5.9020000000000001</v>
      </c>
      <c r="R3518" s="7">
        <v>5.4930000000000003</v>
      </c>
      <c r="S3518" s="7">
        <f t="shared" si="54"/>
        <v>5.5642500000000004</v>
      </c>
    </row>
    <row r="3519" spans="1:19">
      <c r="A3519" s="5" t="str">
        <f>B3519&amp;"-"&amp;COUNTIF($B$2:B3519,B3519)</f>
        <v>PIAUI-150</v>
      </c>
      <c r="B3519" s="5" t="s">
        <v>2256</v>
      </c>
      <c r="C3519" s="5" t="s">
        <v>5692</v>
      </c>
      <c r="D3519" s="6">
        <v>-417004</v>
      </c>
      <c r="E3519" s="6">
        <v>-71034</v>
      </c>
      <c r="F3519" s="7">
        <v>5.8010000000000002</v>
      </c>
      <c r="G3519" s="7">
        <v>5.4340000000000002</v>
      </c>
      <c r="H3519" s="7">
        <v>5.44</v>
      </c>
      <c r="I3519" s="7">
        <v>5.48</v>
      </c>
      <c r="J3519" s="7">
        <v>5.3739999999999997</v>
      </c>
      <c r="K3519" s="7">
        <v>5.2489999999999997</v>
      </c>
      <c r="L3519" s="7">
        <v>5.2240000000000002</v>
      </c>
      <c r="M3519" s="7">
        <v>5.6420000000000003</v>
      </c>
      <c r="N3519" s="7">
        <v>6.2869999999999999</v>
      </c>
      <c r="O3519" s="7">
        <v>6.726</v>
      </c>
      <c r="P3519" s="7">
        <v>6.5469999999999997</v>
      </c>
      <c r="Q3519" s="7">
        <v>6.3449999999999998</v>
      </c>
      <c r="R3519" s="7">
        <v>5.8620000000000001</v>
      </c>
      <c r="S3519" s="7">
        <f t="shared" si="54"/>
        <v>5.8008333333333324</v>
      </c>
    </row>
    <row r="3520" spans="1:19">
      <c r="A3520" s="5" t="str">
        <f>B3520&amp;"-"&amp;COUNTIF($B$2:B3520,B3520)</f>
        <v>PIAUI-151</v>
      </c>
      <c r="B3520" s="5" t="s">
        <v>2256</v>
      </c>
      <c r="C3520" s="5" t="s">
        <v>2353</v>
      </c>
      <c r="D3520" s="6">
        <v>-417757</v>
      </c>
      <c r="E3520" s="6">
        <v>-29062</v>
      </c>
      <c r="F3520" s="7">
        <v>5.577</v>
      </c>
      <c r="G3520" s="7">
        <v>5.5940000000000003</v>
      </c>
      <c r="H3520" s="7">
        <v>5.5309999999999997</v>
      </c>
      <c r="I3520" s="7">
        <v>5.3650000000000002</v>
      </c>
      <c r="J3520" s="7">
        <v>5.0449999999999999</v>
      </c>
      <c r="K3520" s="7">
        <v>5.1539999999999999</v>
      </c>
      <c r="L3520" s="7">
        <v>5.2869999999999999</v>
      </c>
      <c r="M3520" s="7">
        <v>5.4530000000000003</v>
      </c>
      <c r="N3520" s="7">
        <v>5.8410000000000002</v>
      </c>
      <c r="O3520" s="7">
        <v>5.7190000000000003</v>
      </c>
      <c r="P3520" s="7">
        <v>5.7679999999999998</v>
      </c>
      <c r="Q3520" s="7">
        <v>6.18</v>
      </c>
      <c r="R3520" s="7">
        <v>5.992</v>
      </c>
      <c r="S3520" s="7">
        <f t="shared" si="54"/>
        <v>5.5774166666666671</v>
      </c>
    </row>
    <row r="3521" spans="1:19">
      <c r="A3521" s="5" t="str">
        <f>B3521&amp;"-"&amp;COUNTIF($B$2:B3521,B3521)</f>
        <v>PIAUI-152</v>
      </c>
      <c r="B3521" s="5" t="s">
        <v>2256</v>
      </c>
      <c r="C3521" s="5" t="s">
        <v>5693</v>
      </c>
      <c r="D3521" s="6">
        <v>-446376</v>
      </c>
      <c r="E3521" s="6">
        <v>-10224</v>
      </c>
      <c r="F3521" s="7">
        <v>5.8360000000000003</v>
      </c>
      <c r="G3521" s="7">
        <v>5.9960000000000004</v>
      </c>
      <c r="H3521" s="7">
        <v>5.8070000000000004</v>
      </c>
      <c r="I3521" s="7">
        <v>5.6260000000000003</v>
      </c>
      <c r="J3521" s="7">
        <v>5.4950000000000001</v>
      </c>
      <c r="K3521" s="7">
        <v>5.4779999999999998</v>
      </c>
      <c r="L3521" s="7">
        <v>5.3</v>
      </c>
      <c r="M3521" s="7">
        <v>5.5709999999999997</v>
      </c>
      <c r="N3521" s="7">
        <v>6.2</v>
      </c>
      <c r="O3521" s="7">
        <v>6.452</v>
      </c>
      <c r="P3521" s="7">
        <v>6.2279999999999998</v>
      </c>
      <c r="Q3521" s="7">
        <v>5.8879999999999999</v>
      </c>
      <c r="R3521" s="7">
        <v>5.9950000000000001</v>
      </c>
      <c r="S3521" s="7">
        <f t="shared" si="54"/>
        <v>5.8363333333333332</v>
      </c>
    </row>
    <row r="3522" spans="1:19">
      <c r="A3522" s="5" t="str">
        <f>B3522&amp;"-"&amp;COUNTIF($B$2:B3522,B3522)</f>
        <v>PIAUI-153</v>
      </c>
      <c r="B3522" s="5" t="s">
        <v>2256</v>
      </c>
      <c r="C3522" s="5" t="s">
        <v>2354</v>
      </c>
      <c r="D3522" s="6">
        <v>-424412</v>
      </c>
      <c r="E3522" s="6">
        <v>-58571</v>
      </c>
      <c r="F3522" s="7">
        <v>5.6849999999999996</v>
      </c>
      <c r="G3522" s="7">
        <v>5.0830000000000002</v>
      </c>
      <c r="H3522" s="7">
        <v>5.26</v>
      </c>
      <c r="I3522" s="7">
        <v>5.3019999999999996</v>
      </c>
      <c r="J3522" s="7">
        <v>5.1870000000000003</v>
      </c>
      <c r="K3522" s="7">
        <v>5.2460000000000004</v>
      </c>
      <c r="L3522" s="7">
        <v>5.3869999999999996</v>
      </c>
      <c r="M3522" s="7">
        <v>5.6379999999999999</v>
      </c>
      <c r="N3522" s="7">
        <v>6.2469999999999999</v>
      </c>
      <c r="O3522" s="7">
        <v>6.6349999999999998</v>
      </c>
      <c r="P3522" s="7">
        <v>6.4050000000000002</v>
      </c>
      <c r="Q3522" s="7">
        <v>6.133</v>
      </c>
      <c r="R3522" s="7">
        <v>5.702</v>
      </c>
      <c r="S3522" s="7">
        <f t="shared" si="54"/>
        <v>5.6854166666666677</v>
      </c>
    </row>
    <row r="3523" spans="1:19">
      <c r="A3523" s="5" t="str">
        <f>B3523&amp;"-"&amp;COUNTIF($B$2:B3523,B3523)</f>
        <v>PIAUI-154</v>
      </c>
      <c r="B3523" s="5" t="s">
        <v>2256</v>
      </c>
      <c r="C3523" s="5" t="s">
        <v>2355</v>
      </c>
      <c r="D3523" s="6">
        <v>-412445</v>
      </c>
      <c r="E3523" s="6">
        <v>-76785</v>
      </c>
      <c r="F3523" s="7">
        <v>5.8479999999999999</v>
      </c>
      <c r="G3523" s="7">
        <v>5.7850000000000001</v>
      </c>
      <c r="H3523" s="7">
        <v>5.65</v>
      </c>
      <c r="I3523" s="7">
        <v>5.7050000000000001</v>
      </c>
      <c r="J3523" s="7">
        <v>5.343</v>
      </c>
      <c r="K3523" s="7">
        <v>5.149</v>
      </c>
      <c r="L3523" s="7">
        <v>5.14</v>
      </c>
      <c r="M3523" s="7">
        <v>5.508</v>
      </c>
      <c r="N3523" s="7">
        <v>6.2080000000000002</v>
      </c>
      <c r="O3523" s="7">
        <v>6.6289999999999996</v>
      </c>
      <c r="P3523" s="7">
        <v>6.516</v>
      </c>
      <c r="Q3523" s="7">
        <v>6.4340000000000002</v>
      </c>
      <c r="R3523" s="7">
        <v>6.1139999999999999</v>
      </c>
      <c r="S3523" s="7">
        <f t="shared" ref="S3523:S3586" si="55">(G3523+H3523+I3523+J3523+K3523+L3523+M3523+N3523+O3523+P3523+Q3523+R3523)/12</f>
        <v>5.8484166666666662</v>
      </c>
    </row>
    <row r="3524" spans="1:19">
      <c r="A3524" s="5" t="str">
        <f>B3524&amp;"-"&amp;COUNTIF($B$2:B3524,B3524)</f>
        <v>PIAUI-155</v>
      </c>
      <c r="B3524" s="5" t="s">
        <v>2256</v>
      </c>
      <c r="C3524" s="5" t="s">
        <v>2356</v>
      </c>
      <c r="D3524" s="6">
        <v>-42388</v>
      </c>
      <c r="E3524" s="6">
        <v>-52544</v>
      </c>
      <c r="F3524" s="7">
        <v>5.6989999999999998</v>
      </c>
      <c r="G3524" s="7">
        <v>5.2210000000000001</v>
      </c>
      <c r="H3524" s="7">
        <v>5.29</v>
      </c>
      <c r="I3524" s="7">
        <v>5.3369999999999997</v>
      </c>
      <c r="J3524" s="7">
        <v>5.1230000000000002</v>
      </c>
      <c r="K3524" s="7">
        <v>5.1429999999999998</v>
      </c>
      <c r="L3524" s="7">
        <v>5.3019999999999996</v>
      </c>
      <c r="M3524" s="7">
        <v>5.5819999999999999</v>
      </c>
      <c r="N3524" s="7">
        <v>6.258</v>
      </c>
      <c r="O3524" s="7">
        <v>6.5750000000000002</v>
      </c>
      <c r="P3524" s="7">
        <v>6.4619999999999997</v>
      </c>
      <c r="Q3524" s="7">
        <v>6.2720000000000002</v>
      </c>
      <c r="R3524" s="7">
        <v>5.8280000000000003</v>
      </c>
      <c r="S3524" s="7">
        <f t="shared" si="55"/>
        <v>5.699416666666667</v>
      </c>
    </row>
    <row r="3525" spans="1:19">
      <c r="A3525" s="5" t="str">
        <f>B3525&amp;"-"&amp;COUNTIF($B$2:B3525,B3525)</f>
        <v>PIAUI-156</v>
      </c>
      <c r="B3525" s="5" t="s">
        <v>2256</v>
      </c>
      <c r="C3525" s="5" t="s">
        <v>2357</v>
      </c>
      <c r="D3525" s="6">
        <v>-411434</v>
      </c>
      <c r="E3525" s="6">
        <v>-81348</v>
      </c>
      <c r="F3525" s="7">
        <v>5.8559999999999999</v>
      </c>
      <c r="G3525" s="7">
        <v>5.8970000000000002</v>
      </c>
      <c r="H3525" s="7">
        <v>5.67</v>
      </c>
      <c r="I3525" s="7">
        <v>5.7409999999999997</v>
      </c>
      <c r="J3525" s="7">
        <v>5.3949999999999996</v>
      </c>
      <c r="K3525" s="7">
        <v>5.1420000000000003</v>
      </c>
      <c r="L3525" s="7">
        <v>5.0339999999999998</v>
      </c>
      <c r="M3525" s="7">
        <v>5.4169999999999998</v>
      </c>
      <c r="N3525" s="7">
        <v>6.2249999999999996</v>
      </c>
      <c r="O3525" s="7">
        <v>6.5609999999999999</v>
      </c>
      <c r="P3525" s="7">
        <v>6.6219999999999999</v>
      </c>
      <c r="Q3525" s="7">
        <v>6.4420000000000002</v>
      </c>
      <c r="R3525" s="7">
        <v>6.12</v>
      </c>
      <c r="S3525" s="7">
        <f t="shared" si="55"/>
        <v>5.8555000000000001</v>
      </c>
    </row>
    <row r="3526" spans="1:19">
      <c r="A3526" s="5" t="str">
        <f>B3526&amp;"-"&amp;COUNTIF($B$2:B3526,B3526)</f>
        <v>PIAUI-157</v>
      </c>
      <c r="B3526" s="5" t="s">
        <v>2256</v>
      </c>
      <c r="C3526" s="5" t="s">
        <v>2358</v>
      </c>
      <c r="D3526" s="6">
        <v>-432251</v>
      </c>
      <c r="E3526" s="6">
        <v>-7965</v>
      </c>
      <c r="F3526" s="7">
        <v>5.7210000000000001</v>
      </c>
      <c r="G3526" s="7">
        <v>5.4820000000000002</v>
      </c>
      <c r="H3526" s="7">
        <v>5.4509999999999996</v>
      </c>
      <c r="I3526" s="7">
        <v>5.2830000000000004</v>
      </c>
      <c r="J3526" s="7">
        <v>5.24</v>
      </c>
      <c r="K3526" s="7">
        <v>5.3760000000000003</v>
      </c>
      <c r="L3526" s="7">
        <v>5.2880000000000003</v>
      </c>
      <c r="M3526" s="7">
        <v>5.65</v>
      </c>
      <c r="N3526" s="7">
        <v>6.2939999999999996</v>
      </c>
      <c r="O3526" s="7">
        <v>6.601</v>
      </c>
      <c r="P3526" s="7">
        <v>6.3710000000000004</v>
      </c>
      <c r="Q3526" s="7">
        <v>5.9</v>
      </c>
      <c r="R3526" s="7">
        <v>5.7169999999999996</v>
      </c>
      <c r="S3526" s="7">
        <f t="shared" si="55"/>
        <v>5.7210833333333335</v>
      </c>
    </row>
    <row r="3527" spans="1:19">
      <c r="A3527" s="5" t="str">
        <f>B3527&amp;"-"&amp;COUNTIF($B$2:B3527,B3527)</f>
        <v>PIAUI-158</v>
      </c>
      <c r="B3527" s="5" t="s">
        <v>2256</v>
      </c>
      <c r="C3527" s="5" t="s">
        <v>2359</v>
      </c>
      <c r="D3527" s="6">
        <v>-41453</v>
      </c>
      <c r="E3527" s="6">
        <v>-44285</v>
      </c>
      <c r="F3527" s="7">
        <v>5.6859999999999999</v>
      </c>
      <c r="G3527" s="7">
        <v>5.2279999999999998</v>
      </c>
      <c r="H3527" s="7">
        <v>5.3040000000000003</v>
      </c>
      <c r="I3527" s="7">
        <v>5.3250000000000002</v>
      </c>
      <c r="J3527" s="7">
        <v>4.992</v>
      </c>
      <c r="K3527" s="7">
        <v>5.125</v>
      </c>
      <c r="L3527" s="7">
        <v>5.1980000000000004</v>
      </c>
      <c r="M3527" s="7">
        <v>5.5110000000000001</v>
      </c>
      <c r="N3527" s="7">
        <v>6.1760000000000002</v>
      </c>
      <c r="O3527" s="7">
        <v>6.6520000000000001</v>
      </c>
      <c r="P3527" s="7">
        <v>6.54</v>
      </c>
      <c r="Q3527" s="7">
        <v>6.4160000000000004</v>
      </c>
      <c r="R3527" s="7">
        <v>5.7679999999999998</v>
      </c>
      <c r="S3527" s="7">
        <f t="shared" si="55"/>
        <v>5.6862500000000002</v>
      </c>
    </row>
    <row r="3528" spans="1:19">
      <c r="A3528" s="5" t="str">
        <f>B3528&amp;"-"&amp;COUNTIF($B$2:B3528,B3528)</f>
        <v>PIAUI-159</v>
      </c>
      <c r="B3528" s="5" t="s">
        <v>2256</v>
      </c>
      <c r="C3528" s="5" t="s">
        <v>2360</v>
      </c>
      <c r="D3528" s="6">
        <v>-422851</v>
      </c>
      <c r="E3528" s="6">
        <v>-80685</v>
      </c>
      <c r="F3528" s="7">
        <v>5.7949999999999999</v>
      </c>
      <c r="G3528" s="7">
        <v>5.6379999999999999</v>
      </c>
      <c r="H3528" s="7">
        <v>5.5979999999999999</v>
      </c>
      <c r="I3528" s="7">
        <v>5.5629999999999997</v>
      </c>
      <c r="J3528" s="7">
        <v>5.3310000000000004</v>
      </c>
      <c r="K3528" s="7">
        <v>5.2489999999999997</v>
      </c>
      <c r="L3528" s="7">
        <v>5.1769999999999996</v>
      </c>
      <c r="M3528" s="7">
        <v>5.5289999999999999</v>
      </c>
      <c r="N3528" s="7">
        <v>6.3339999999999996</v>
      </c>
      <c r="O3528" s="7">
        <v>6.5650000000000004</v>
      </c>
      <c r="P3528" s="7">
        <v>6.4820000000000002</v>
      </c>
      <c r="Q3528" s="7">
        <v>6.2080000000000002</v>
      </c>
      <c r="R3528" s="7">
        <v>5.859</v>
      </c>
      <c r="S3528" s="7">
        <f t="shared" si="55"/>
        <v>5.7944166666666659</v>
      </c>
    </row>
    <row r="3529" spans="1:19">
      <c r="A3529" s="5" t="str">
        <f>B3529&amp;"-"&amp;COUNTIF($B$2:B3529,B3529)</f>
        <v>PIAUI-160</v>
      </c>
      <c r="B3529" s="5" t="s">
        <v>2256</v>
      </c>
      <c r="C3529" s="5" t="s">
        <v>2361</v>
      </c>
      <c r="D3529" s="6">
        <v>-414673</v>
      </c>
      <c r="E3529" s="6">
        <v>-70776</v>
      </c>
      <c r="F3529" s="7">
        <v>5.8040000000000003</v>
      </c>
      <c r="G3529" s="7">
        <v>5.61</v>
      </c>
      <c r="H3529" s="7">
        <v>5.5069999999999997</v>
      </c>
      <c r="I3529" s="7">
        <v>5.62</v>
      </c>
      <c r="J3529" s="7">
        <v>5.35</v>
      </c>
      <c r="K3529" s="7">
        <v>5.1710000000000003</v>
      </c>
      <c r="L3529" s="7">
        <v>5.109</v>
      </c>
      <c r="M3529" s="7">
        <v>5.5</v>
      </c>
      <c r="N3529" s="7">
        <v>6.2690000000000001</v>
      </c>
      <c r="O3529" s="7">
        <v>6.6749999999999998</v>
      </c>
      <c r="P3529" s="7">
        <v>6.444</v>
      </c>
      <c r="Q3529" s="7">
        <v>6.3719999999999999</v>
      </c>
      <c r="R3529" s="7">
        <v>6.0170000000000003</v>
      </c>
      <c r="S3529" s="7">
        <f t="shared" si="55"/>
        <v>5.8036666666666674</v>
      </c>
    </row>
    <row r="3530" spans="1:19">
      <c r="A3530" s="5" t="str">
        <f>B3530&amp;"-"&amp;COUNTIF($B$2:B3530,B3530)</f>
        <v>PIAUI-161</v>
      </c>
      <c r="B3530" s="5" t="s">
        <v>2256</v>
      </c>
      <c r="C3530" s="5" t="s">
        <v>2362</v>
      </c>
      <c r="D3530" s="6">
        <v>-414116</v>
      </c>
      <c r="E3530" s="6">
        <v>-62388</v>
      </c>
      <c r="F3530" s="7">
        <v>5.6630000000000003</v>
      </c>
      <c r="G3530" s="7">
        <v>5.1790000000000003</v>
      </c>
      <c r="H3530" s="7">
        <v>5.2309999999999999</v>
      </c>
      <c r="I3530" s="7">
        <v>5.2830000000000004</v>
      </c>
      <c r="J3530" s="7">
        <v>5.26</v>
      </c>
      <c r="K3530" s="7">
        <v>5.16</v>
      </c>
      <c r="L3530" s="7">
        <v>5.1820000000000004</v>
      </c>
      <c r="M3530" s="7">
        <v>5.4969999999999999</v>
      </c>
      <c r="N3530" s="7">
        <v>6.1849999999999996</v>
      </c>
      <c r="O3530" s="7">
        <v>6.6269999999999998</v>
      </c>
      <c r="P3530" s="7">
        <v>6.4349999999999996</v>
      </c>
      <c r="Q3530" s="7">
        <v>6.2320000000000002</v>
      </c>
      <c r="R3530" s="7">
        <v>5.6890000000000001</v>
      </c>
      <c r="S3530" s="7">
        <f t="shared" si="55"/>
        <v>5.663333333333334</v>
      </c>
    </row>
    <row r="3531" spans="1:19">
      <c r="A3531" s="5" t="str">
        <f>B3531&amp;"-"&amp;COUNTIF($B$2:B3531,B3531)</f>
        <v>PIAUI-162</v>
      </c>
      <c r="B3531" s="5" t="s">
        <v>2256</v>
      </c>
      <c r="C3531" s="5" t="s">
        <v>2363</v>
      </c>
      <c r="D3531" s="6">
        <v>-40614</v>
      </c>
      <c r="E3531" s="6">
        <v>-68338</v>
      </c>
      <c r="F3531" s="7">
        <v>5.7030000000000003</v>
      </c>
      <c r="G3531" s="7">
        <v>5.4119999999999999</v>
      </c>
      <c r="H3531" s="7">
        <v>5.3479999999999999</v>
      </c>
      <c r="I3531" s="7">
        <v>5.3879999999999999</v>
      </c>
      <c r="J3531" s="7">
        <v>5.13</v>
      </c>
      <c r="K3531" s="7">
        <v>4.9809999999999999</v>
      </c>
      <c r="L3531" s="7">
        <v>4.9660000000000002</v>
      </c>
      <c r="M3531" s="7">
        <v>5.4169999999999998</v>
      </c>
      <c r="N3531" s="7">
        <v>6.2770000000000001</v>
      </c>
      <c r="O3531" s="7">
        <v>6.6840000000000002</v>
      </c>
      <c r="P3531" s="7">
        <v>6.5419999999999998</v>
      </c>
      <c r="Q3531" s="7">
        <v>6.3440000000000003</v>
      </c>
      <c r="R3531" s="7">
        <v>5.9429999999999996</v>
      </c>
      <c r="S3531" s="7">
        <f t="shared" si="55"/>
        <v>5.7026666666666666</v>
      </c>
    </row>
    <row r="3532" spans="1:19">
      <c r="A3532" s="5" t="str">
        <f>B3532&amp;"-"&amp;COUNTIF($B$2:B3532,B3532)</f>
        <v>PIAUI-163</v>
      </c>
      <c r="B3532" s="5" t="s">
        <v>2256</v>
      </c>
      <c r="C3532" s="5" t="s">
        <v>2364</v>
      </c>
      <c r="D3532" s="6">
        <v>-417091</v>
      </c>
      <c r="E3532" s="6">
        <v>-39337</v>
      </c>
      <c r="F3532" s="7">
        <v>5.7069999999999999</v>
      </c>
      <c r="G3532" s="7">
        <v>5.2969999999999997</v>
      </c>
      <c r="H3532" s="7">
        <v>5.3979999999999997</v>
      </c>
      <c r="I3532" s="7">
        <v>5.306</v>
      </c>
      <c r="J3532" s="7">
        <v>5.0380000000000003</v>
      </c>
      <c r="K3532" s="7">
        <v>5.2370000000000001</v>
      </c>
      <c r="L3532" s="7">
        <v>5.4130000000000003</v>
      </c>
      <c r="M3532" s="7">
        <v>5.62</v>
      </c>
      <c r="N3532" s="7">
        <v>6.0629999999999997</v>
      </c>
      <c r="O3532" s="7">
        <v>6.4420000000000002</v>
      </c>
      <c r="P3532" s="7">
        <v>6.5629999999999997</v>
      </c>
      <c r="Q3532" s="7">
        <v>6.3840000000000003</v>
      </c>
      <c r="R3532" s="7">
        <v>5.7190000000000003</v>
      </c>
      <c r="S3532" s="7">
        <f t="shared" si="55"/>
        <v>5.706666666666667</v>
      </c>
    </row>
    <row r="3533" spans="1:19">
      <c r="A3533" s="5" t="str">
        <f>B3533&amp;"-"&amp;COUNTIF($B$2:B3533,B3533)</f>
        <v>PIAUI-164</v>
      </c>
      <c r="B3533" s="5" t="s">
        <v>2256</v>
      </c>
      <c r="C3533" s="5" t="s">
        <v>2365</v>
      </c>
      <c r="D3533" s="6">
        <v>-417762</v>
      </c>
      <c r="E3533" s="6">
        <v>-42747</v>
      </c>
      <c r="F3533" s="7">
        <v>5.6660000000000004</v>
      </c>
      <c r="G3533" s="7">
        <v>5.2119999999999997</v>
      </c>
      <c r="H3533" s="7">
        <v>5.35</v>
      </c>
      <c r="I3533" s="7">
        <v>5.3710000000000004</v>
      </c>
      <c r="J3533" s="7">
        <v>5.0599999999999996</v>
      </c>
      <c r="K3533" s="7">
        <v>5.2240000000000002</v>
      </c>
      <c r="L3533" s="7">
        <v>5.2450000000000001</v>
      </c>
      <c r="M3533" s="7">
        <v>5.4909999999999997</v>
      </c>
      <c r="N3533" s="7">
        <v>6.125</v>
      </c>
      <c r="O3533" s="7">
        <v>6.5190000000000001</v>
      </c>
      <c r="P3533" s="7">
        <v>6.4290000000000003</v>
      </c>
      <c r="Q3533" s="7">
        <v>6.266</v>
      </c>
      <c r="R3533" s="7">
        <v>5.7060000000000004</v>
      </c>
      <c r="S3533" s="7">
        <f t="shared" si="55"/>
        <v>5.6665000000000001</v>
      </c>
    </row>
    <row r="3534" spans="1:19">
      <c r="A3534" s="5" t="str">
        <f>B3534&amp;"-"&amp;COUNTIF($B$2:B3534,B3534)</f>
        <v>PIAUI-165</v>
      </c>
      <c r="B3534" s="5" t="s">
        <v>2256</v>
      </c>
      <c r="C3534" s="5" t="s">
        <v>2366</v>
      </c>
      <c r="D3534" s="6">
        <v>-427115</v>
      </c>
      <c r="E3534" s="6">
        <v>-38917</v>
      </c>
      <c r="F3534" s="7">
        <v>5.6539999999999999</v>
      </c>
      <c r="G3534" s="7">
        <v>5.2750000000000004</v>
      </c>
      <c r="H3534" s="7">
        <v>5.4050000000000002</v>
      </c>
      <c r="I3534" s="7">
        <v>5.3710000000000004</v>
      </c>
      <c r="J3534" s="7">
        <v>5.1870000000000003</v>
      </c>
      <c r="K3534" s="7">
        <v>5.157</v>
      </c>
      <c r="L3534" s="7">
        <v>5.3040000000000003</v>
      </c>
      <c r="M3534" s="7">
        <v>5.5439999999999996</v>
      </c>
      <c r="N3534" s="7">
        <v>6.07</v>
      </c>
      <c r="O3534" s="7">
        <v>6.3849999999999998</v>
      </c>
      <c r="P3534" s="7">
        <v>6.3339999999999996</v>
      </c>
      <c r="Q3534" s="7">
        <v>6.1429999999999998</v>
      </c>
      <c r="R3534" s="7">
        <v>5.6719999999999997</v>
      </c>
      <c r="S3534" s="7">
        <f t="shared" si="55"/>
        <v>5.6539166666666665</v>
      </c>
    </row>
    <row r="3535" spans="1:19">
      <c r="A3535" s="5" t="str">
        <f>B3535&amp;"-"&amp;COUNTIF($B$2:B3535,B3535)</f>
        <v>PIAUI-166</v>
      </c>
      <c r="B3535" s="5" t="s">
        <v>2256</v>
      </c>
      <c r="C3535" s="5" t="s">
        <v>2367</v>
      </c>
      <c r="D3535" s="6">
        <v>-441968</v>
      </c>
      <c r="E3535" s="6">
        <v>-6982</v>
      </c>
      <c r="F3535" s="7">
        <v>5.5170000000000003</v>
      </c>
      <c r="G3535" s="7">
        <v>5.0060000000000002</v>
      </c>
      <c r="H3535" s="7">
        <v>5.0620000000000003</v>
      </c>
      <c r="I3535" s="7">
        <v>5.0190000000000001</v>
      </c>
      <c r="J3535" s="7">
        <v>5.1210000000000004</v>
      </c>
      <c r="K3535" s="7">
        <v>5.2350000000000003</v>
      </c>
      <c r="L3535" s="7">
        <v>5.391</v>
      </c>
      <c r="M3535" s="7">
        <v>5.6040000000000001</v>
      </c>
      <c r="N3535" s="7">
        <v>6.0540000000000003</v>
      </c>
      <c r="O3535" s="7">
        <v>6.5490000000000004</v>
      </c>
      <c r="P3535" s="7">
        <v>6.1379999999999999</v>
      </c>
      <c r="Q3535" s="7">
        <v>5.7039999999999997</v>
      </c>
      <c r="R3535" s="7">
        <v>5.3230000000000004</v>
      </c>
      <c r="S3535" s="7">
        <f t="shared" si="55"/>
        <v>5.5171666666666672</v>
      </c>
    </row>
    <row r="3536" spans="1:19">
      <c r="A3536" s="5" t="str">
        <f>B3536&amp;"-"&amp;COUNTIF($B$2:B3536,B3536)</f>
        <v>PIAUI-167</v>
      </c>
      <c r="B3536" s="5" t="s">
        <v>2256</v>
      </c>
      <c r="C3536" s="5" t="s">
        <v>2368</v>
      </c>
      <c r="D3536" s="6">
        <v>-42205</v>
      </c>
      <c r="E3536" s="6">
        <v>-56731</v>
      </c>
      <c r="F3536" s="7">
        <v>5.7149999999999999</v>
      </c>
      <c r="G3536" s="7">
        <v>5.2949999999999999</v>
      </c>
      <c r="H3536" s="7">
        <v>5.335</v>
      </c>
      <c r="I3536" s="7">
        <v>5.3360000000000003</v>
      </c>
      <c r="J3536" s="7">
        <v>5.2649999999999997</v>
      </c>
      <c r="K3536" s="7">
        <v>5.2590000000000003</v>
      </c>
      <c r="L3536" s="7">
        <v>5.3109999999999999</v>
      </c>
      <c r="M3536" s="7">
        <v>5.5960000000000001</v>
      </c>
      <c r="N3536" s="7">
        <v>6.1379999999999999</v>
      </c>
      <c r="O3536" s="7">
        <v>6.5389999999999997</v>
      </c>
      <c r="P3536" s="7">
        <v>6.4320000000000004</v>
      </c>
      <c r="Q3536" s="7">
        <v>6.2690000000000001</v>
      </c>
      <c r="R3536" s="7">
        <v>5.8049999999999997</v>
      </c>
      <c r="S3536" s="7">
        <f t="shared" si="55"/>
        <v>5.7149999999999999</v>
      </c>
    </row>
    <row r="3537" spans="1:19">
      <c r="A3537" s="5" t="str">
        <f>B3537&amp;"-"&amp;COUNTIF($B$2:B3537,B3537)</f>
        <v>PIAUI-168</v>
      </c>
      <c r="B3537" s="5" t="s">
        <v>2256</v>
      </c>
      <c r="C3537" s="5" t="s">
        <v>2369</v>
      </c>
      <c r="D3537" s="6">
        <v>-414109</v>
      </c>
      <c r="E3537" s="6">
        <v>-85711</v>
      </c>
      <c r="F3537" s="7">
        <v>5.8760000000000003</v>
      </c>
      <c r="G3537" s="7">
        <v>6.0670000000000002</v>
      </c>
      <c r="H3537" s="7">
        <v>5.8339999999999996</v>
      </c>
      <c r="I3537" s="7">
        <v>5.73</v>
      </c>
      <c r="J3537" s="7">
        <v>5.3319999999999999</v>
      </c>
      <c r="K3537" s="7">
        <v>5.1269999999999998</v>
      </c>
      <c r="L3537" s="7">
        <v>5.0709999999999997</v>
      </c>
      <c r="M3537" s="7">
        <v>5.4089999999999998</v>
      </c>
      <c r="N3537" s="7">
        <v>6.2140000000000004</v>
      </c>
      <c r="O3537" s="7">
        <v>6.4749999999999996</v>
      </c>
      <c r="P3537" s="7">
        <v>6.5960000000000001</v>
      </c>
      <c r="Q3537" s="7">
        <v>6.4720000000000004</v>
      </c>
      <c r="R3537" s="7">
        <v>6.1929999999999996</v>
      </c>
      <c r="S3537" s="7">
        <f t="shared" si="55"/>
        <v>5.876666666666666</v>
      </c>
    </row>
    <row r="3538" spans="1:19">
      <c r="A3538" s="5" t="str">
        <f>B3538&amp;"-"&amp;COUNTIF($B$2:B3538,B3538)</f>
        <v>PIAUI-169</v>
      </c>
      <c r="B3538" s="5" t="s">
        <v>2256</v>
      </c>
      <c r="C3538" s="5" t="s">
        <v>4740</v>
      </c>
      <c r="D3538" s="6">
        <v>-445798</v>
      </c>
      <c r="E3538" s="6">
        <v>-94851</v>
      </c>
      <c r="F3538" s="7">
        <v>5.7430000000000003</v>
      </c>
      <c r="G3538" s="7">
        <v>5.7930000000000001</v>
      </c>
      <c r="H3538" s="7">
        <v>5.5629999999999997</v>
      </c>
      <c r="I3538" s="7">
        <v>5.47</v>
      </c>
      <c r="J3538" s="7">
        <v>5.4</v>
      </c>
      <c r="K3538" s="7">
        <v>5.4119999999999999</v>
      </c>
      <c r="L3538" s="7">
        <v>5.3150000000000004</v>
      </c>
      <c r="M3538" s="7">
        <v>5.601</v>
      </c>
      <c r="N3538" s="7">
        <v>6.2130000000000001</v>
      </c>
      <c r="O3538" s="7">
        <v>6.4790000000000001</v>
      </c>
      <c r="P3538" s="7">
        <v>6.157</v>
      </c>
      <c r="Q3538" s="7">
        <v>5.7530000000000001</v>
      </c>
      <c r="R3538" s="7">
        <v>5.7549999999999999</v>
      </c>
      <c r="S3538" s="7">
        <f t="shared" si="55"/>
        <v>5.7425833333333323</v>
      </c>
    </row>
    <row r="3539" spans="1:19">
      <c r="A3539" s="5" t="str">
        <f>B3539&amp;"-"&amp;COUNTIF($B$2:B3539,B3539)</f>
        <v>PIAUI-170</v>
      </c>
      <c r="B3539" s="5" t="s">
        <v>2256</v>
      </c>
      <c r="C3539" s="5" t="s">
        <v>4741</v>
      </c>
      <c r="D3539" s="6">
        <v>-426845</v>
      </c>
      <c r="E3539" s="6">
        <v>-62316</v>
      </c>
      <c r="F3539" s="7">
        <v>5.5869999999999997</v>
      </c>
      <c r="G3539" s="7">
        <v>5.0149999999999997</v>
      </c>
      <c r="H3539" s="7">
        <v>5.18</v>
      </c>
      <c r="I3539" s="7">
        <v>5.1840000000000002</v>
      </c>
      <c r="J3539" s="7">
        <v>5.0750000000000002</v>
      </c>
      <c r="K3539" s="7">
        <v>5.1909999999999998</v>
      </c>
      <c r="L3539" s="7">
        <v>5.2880000000000003</v>
      </c>
      <c r="M3539" s="7">
        <v>5.63</v>
      </c>
      <c r="N3539" s="7">
        <v>6.2690000000000001</v>
      </c>
      <c r="O3539" s="7">
        <v>6.5490000000000004</v>
      </c>
      <c r="P3539" s="7">
        <v>6.2729999999999997</v>
      </c>
      <c r="Q3539" s="7">
        <v>5.9219999999999997</v>
      </c>
      <c r="R3539" s="7">
        <v>5.47</v>
      </c>
      <c r="S3539" s="7">
        <f t="shared" si="55"/>
        <v>5.5871666666666657</v>
      </c>
    </row>
    <row r="3540" spans="1:19">
      <c r="A3540" s="5" t="str">
        <f>B3540&amp;"-"&amp;COUNTIF($B$2:B3540,B3540)</f>
        <v>PIAUI-171</v>
      </c>
      <c r="B3540" s="5" t="s">
        <v>2256</v>
      </c>
      <c r="C3540" s="5" t="s">
        <v>2370</v>
      </c>
      <c r="D3540" s="6">
        <v>-449542</v>
      </c>
      <c r="E3540" s="6">
        <v>-101293</v>
      </c>
      <c r="F3540" s="7">
        <v>5.7869999999999999</v>
      </c>
      <c r="G3540" s="7">
        <v>5.8940000000000001</v>
      </c>
      <c r="H3540" s="7">
        <v>5.77</v>
      </c>
      <c r="I3540" s="7">
        <v>5.532</v>
      </c>
      <c r="J3540" s="7">
        <v>5.4459999999999997</v>
      </c>
      <c r="K3540" s="7">
        <v>5.4489999999999998</v>
      </c>
      <c r="L3540" s="7">
        <v>5.32</v>
      </c>
      <c r="M3540" s="7">
        <v>5.5060000000000002</v>
      </c>
      <c r="N3540" s="7">
        <v>6.16</v>
      </c>
      <c r="O3540" s="7">
        <v>6.4130000000000003</v>
      </c>
      <c r="P3540" s="7">
        <v>6.1970000000000001</v>
      </c>
      <c r="Q3540" s="7">
        <v>5.8449999999999998</v>
      </c>
      <c r="R3540" s="7">
        <v>5.9050000000000002</v>
      </c>
      <c r="S3540" s="7">
        <f t="shared" si="55"/>
        <v>5.7864166666666668</v>
      </c>
    </row>
    <row r="3541" spans="1:19">
      <c r="A3541" s="5" t="str">
        <f>B3541&amp;"-"&amp;COUNTIF($B$2:B3541,B3541)</f>
        <v>PIAUI-172</v>
      </c>
      <c r="B3541" s="5" t="s">
        <v>2256</v>
      </c>
      <c r="C3541" s="5" t="s">
        <v>2371</v>
      </c>
      <c r="D3541" s="6">
        <v>-427131</v>
      </c>
      <c r="E3541" s="6">
        <v>-76907</v>
      </c>
      <c r="F3541" s="7">
        <v>5.7629999999999999</v>
      </c>
      <c r="G3541" s="7">
        <v>5.4969999999999999</v>
      </c>
      <c r="H3541" s="7">
        <v>5.4279999999999999</v>
      </c>
      <c r="I3541" s="7">
        <v>5.415</v>
      </c>
      <c r="J3541" s="7">
        <v>5.2670000000000003</v>
      </c>
      <c r="K3541" s="7">
        <v>5.3289999999999997</v>
      </c>
      <c r="L3541" s="7">
        <v>5.3250000000000002</v>
      </c>
      <c r="M3541" s="7">
        <v>5.58</v>
      </c>
      <c r="N3541" s="7">
        <v>6.3259999999999996</v>
      </c>
      <c r="O3541" s="7">
        <v>6.6849999999999996</v>
      </c>
      <c r="P3541" s="7">
        <v>6.47</v>
      </c>
      <c r="Q3541" s="7">
        <v>6.0359999999999996</v>
      </c>
      <c r="R3541" s="7">
        <v>5.7939999999999996</v>
      </c>
      <c r="S3541" s="7">
        <f t="shared" si="55"/>
        <v>5.762666666666667</v>
      </c>
    </row>
    <row r="3542" spans="1:19">
      <c r="A3542" s="5" t="str">
        <f>B3542&amp;"-"&amp;COUNTIF($B$2:B3542,B3542)</f>
        <v>PIAUI-173</v>
      </c>
      <c r="B3542" s="5" t="s">
        <v>2256</v>
      </c>
      <c r="C3542" s="5" t="s">
        <v>4742</v>
      </c>
      <c r="D3542" s="6">
        <v>-452451</v>
      </c>
      <c r="E3542" s="6">
        <v>-75569</v>
      </c>
      <c r="F3542" s="7">
        <v>5.4669999999999996</v>
      </c>
      <c r="G3542" s="7">
        <v>4.9690000000000003</v>
      </c>
      <c r="H3542" s="7">
        <v>5.1879999999999997</v>
      </c>
      <c r="I3542" s="7">
        <v>4.9950000000000001</v>
      </c>
      <c r="J3542" s="7">
        <v>5.19</v>
      </c>
      <c r="K3542" s="7">
        <v>5.2839999999999998</v>
      </c>
      <c r="L3542" s="7">
        <v>5.3719999999999999</v>
      </c>
      <c r="M3542" s="7">
        <v>5.5279999999999996</v>
      </c>
      <c r="N3542" s="7">
        <v>6.0750000000000002</v>
      </c>
      <c r="O3542" s="7">
        <v>6.5350000000000001</v>
      </c>
      <c r="P3542" s="7">
        <v>5.9269999999999996</v>
      </c>
      <c r="Q3542" s="7">
        <v>5.327</v>
      </c>
      <c r="R3542" s="7">
        <v>5.218</v>
      </c>
      <c r="S3542" s="7">
        <f t="shared" si="55"/>
        <v>5.4673333333333334</v>
      </c>
    </row>
    <row r="3543" spans="1:19">
      <c r="A3543" s="5" t="str">
        <f>B3543&amp;"-"&amp;COUNTIF($B$2:B3543,B3543)</f>
        <v>PIAUI-174</v>
      </c>
      <c r="B3543" s="5" t="s">
        <v>2256</v>
      </c>
      <c r="C3543" s="5" t="s">
        <v>2372</v>
      </c>
      <c r="D3543" s="6">
        <v>-431368</v>
      </c>
      <c r="E3543" s="6">
        <v>-77746</v>
      </c>
      <c r="F3543" s="7">
        <v>5.69</v>
      </c>
      <c r="G3543" s="7">
        <v>5.3650000000000002</v>
      </c>
      <c r="H3543" s="7">
        <v>5.4290000000000003</v>
      </c>
      <c r="I3543" s="7">
        <v>5.3390000000000004</v>
      </c>
      <c r="J3543" s="7">
        <v>5.25</v>
      </c>
      <c r="K3543" s="7">
        <v>5.2690000000000001</v>
      </c>
      <c r="L3543" s="7">
        <v>5.2480000000000002</v>
      </c>
      <c r="M3543" s="7">
        <v>5.6079999999999997</v>
      </c>
      <c r="N3543" s="7">
        <v>6.1870000000000003</v>
      </c>
      <c r="O3543" s="7">
        <v>6.5670000000000002</v>
      </c>
      <c r="P3543" s="7">
        <v>6.38</v>
      </c>
      <c r="Q3543" s="7">
        <v>5.9279999999999999</v>
      </c>
      <c r="R3543" s="7">
        <v>5.7110000000000003</v>
      </c>
      <c r="S3543" s="7">
        <f t="shared" si="55"/>
        <v>5.6900833333333338</v>
      </c>
    </row>
    <row r="3544" spans="1:19">
      <c r="A3544" s="5" t="str">
        <f>B3544&amp;"-"&amp;COUNTIF($B$2:B3544,B3544)</f>
        <v>PIAUI-175</v>
      </c>
      <c r="B3544" s="5" t="s">
        <v>2256</v>
      </c>
      <c r="C3544" s="5" t="s">
        <v>4116</v>
      </c>
      <c r="D3544" s="6">
        <v>-430016</v>
      </c>
      <c r="E3544" s="6">
        <v>-90648</v>
      </c>
      <c r="F3544" s="7">
        <v>5.8860000000000001</v>
      </c>
      <c r="G3544" s="7">
        <v>5.9530000000000003</v>
      </c>
      <c r="H3544" s="7">
        <v>5.6870000000000003</v>
      </c>
      <c r="I3544" s="7">
        <v>5.5750000000000002</v>
      </c>
      <c r="J3544" s="7">
        <v>5.4320000000000004</v>
      </c>
      <c r="K3544" s="7">
        <v>5.29</v>
      </c>
      <c r="L3544" s="7">
        <v>5.2990000000000004</v>
      </c>
      <c r="M3544" s="7">
        <v>5.6769999999999996</v>
      </c>
      <c r="N3544" s="7">
        <v>6.4020000000000001</v>
      </c>
      <c r="O3544" s="7">
        <v>6.7279999999999998</v>
      </c>
      <c r="P3544" s="7">
        <v>6.492</v>
      </c>
      <c r="Q3544" s="7">
        <v>6.1319999999999997</v>
      </c>
      <c r="R3544" s="7">
        <v>5.9720000000000004</v>
      </c>
      <c r="S3544" s="7">
        <f t="shared" si="55"/>
        <v>5.8865833333333333</v>
      </c>
    </row>
    <row r="3545" spans="1:19">
      <c r="A3545" s="5" t="str">
        <f>B3545&amp;"-"&amp;COUNTIF($B$2:B3545,B3545)</f>
        <v>PIAUI-176</v>
      </c>
      <c r="B3545" s="5" t="s">
        <v>2256</v>
      </c>
      <c r="C3545" s="5" t="s">
        <v>4453</v>
      </c>
      <c r="D3545" s="6">
        <v>-421131</v>
      </c>
      <c r="E3545" s="6">
        <v>-59359</v>
      </c>
      <c r="F3545" s="7">
        <v>5.6970000000000001</v>
      </c>
      <c r="G3545" s="7">
        <v>5.2409999999999997</v>
      </c>
      <c r="H3545" s="7">
        <v>5.3390000000000004</v>
      </c>
      <c r="I3545" s="7">
        <v>5.36</v>
      </c>
      <c r="J3545" s="7">
        <v>5.2530000000000001</v>
      </c>
      <c r="K3545" s="7">
        <v>5.2690000000000001</v>
      </c>
      <c r="L3545" s="7">
        <v>5.2839999999999998</v>
      </c>
      <c r="M3545" s="7">
        <v>5.5620000000000003</v>
      </c>
      <c r="N3545" s="7">
        <v>6.1769999999999996</v>
      </c>
      <c r="O3545" s="7">
        <v>6.5490000000000004</v>
      </c>
      <c r="P3545" s="7">
        <v>6.3769999999999998</v>
      </c>
      <c r="Q3545" s="7">
        <v>6.2210000000000001</v>
      </c>
      <c r="R3545" s="7">
        <v>5.7359999999999998</v>
      </c>
      <c r="S3545" s="7">
        <f t="shared" si="55"/>
        <v>5.6973333333333338</v>
      </c>
    </row>
    <row r="3546" spans="1:19">
      <c r="A3546" s="5" t="str">
        <f>B3546&amp;"-"&amp;COUNTIF($B$2:B3546,B3546)</f>
        <v>PIAUI-177</v>
      </c>
      <c r="B3546" s="5" t="s">
        <v>2256</v>
      </c>
      <c r="C3546" s="5" t="s">
        <v>4117</v>
      </c>
      <c r="D3546" s="6">
        <v>-416871</v>
      </c>
      <c r="E3546" s="6">
        <v>-82376</v>
      </c>
      <c r="F3546" s="7">
        <v>5.883</v>
      </c>
      <c r="G3546" s="7">
        <v>5.766</v>
      </c>
      <c r="H3546" s="7">
        <v>5.6790000000000003</v>
      </c>
      <c r="I3546" s="7">
        <v>5.665</v>
      </c>
      <c r="J3546" s="7">
        <v>5.3620000000000001</v>
      </c>
      <c r="K3546" s="7">
        <v>5.2320000000000002</v>
      </c>
      <c r="L3546" s="7">
        <v>5.22</v>
      </c>
      <c r="M3546" s="7">
        <v>5.5640000000000001</v>
      </c>
      <c r="N3546" s="7">
        <v>6.3289999999999997</v>
      </c>
      <c r="O3546" s="7">
        <v>6.6660000000000004</v>
      </c>
      <c r="P3546" s="7">
        <v>6.6529999999999996</v>
      </c>
      <c r="Q3546" s="7">
        <v>6.39</v>
      </c>
      <c r="R3546" s="7">
        <v>6.0629999999999997</v>
      </c>
      <c r="S3546" s="7">
        <f t="shared" si="55"/>
        <v>5.8824166666666668</v>
      </c>
    </row>
    <row r="3547" spans="1:19">
      <c r="A3547" s="5" t="str">
        <f>B3547&amp;"-"&amp;COUNTIF($B$2:B3547,B3547)</f>
        <v>PIAUI-178</v>
      </c>
      <c r="B3547" s="5" t="s">
        <v>2256</v>
      </c>
      <c r="C3547" s="5" t="s">
        <v>4118</v>
      </c>
      <c r="D3547" s="6">
        <v>-425414</v>
      </c>
      <c r="E3547" s="6">
        <v>-72467</v>
      </c>
      <c r="F3547" s="7">
        <v>5.7069999999999999</v>
      </c>
      <c r="G3547" s="7">
        <v>5.391</v>
      </c>
      <c r="H3547" s="7">
        <v>5.3390000000000004</v>
      </c>
      <c r="I3547" s="7">
        <v>5.3220000000000001</v>
      </c>
      <c r="J3547" s="7">
        <v>5.2439999999999998</v>
      </c>
      <c r="K3547" s="7">
        <v>5.2779999999999996</v>
      </c>
      <c r="L3547" s="7">
        <v>5.2359999999999998</v>
      </c>
      <c r="M3547" s="7">
        <v>5.5759999999999996</v>
      </c>
      <c r="N3547" s="7">
        <v>6.181</v>
      </c>
      <c r="O3547" s="7">
        <v>6.6660000000000004</v>
      </c>
      <c r="P3547" s="7">
        <v>6.4</v>
      </c>
      <c r="Q3547" s="7">
        <v>6.0910000000000002</v>
      </c>
      <c r="R3547" s="7">
        <v>5.7590000000000003</v>
      </c>
      <c r="S3547" s="7">
        <f t="shared" si="55"/>
        <v>5.7069166666666655</v>
      </c>
    </row>
    <row r="3548" spans="1:19">
      <c r="A3548" s="5" t="str">
        <f>B3548&amp;"-"&amp;COUNTIF($B$2:B3548,B3548)</f>
        <v>PIAUI-179</v>
      </c>
      <c r="B3548" s="5" t="s">
        <v>2256</v>
      </c>
      <c r="C3548" s="5" t="s">
        <v>4743</v>
      </c>
      <c r="D3548" s="6">
        <v>-453022</v>
      </c>
      <c r="E3548" s="6">
        <v>-100307</v>
      </c>
      <c r="F3548" s="7">
        <v>5.7290000000000001</v>
      </c>
      <c r="G3548" s="7">
        <v>5.843</v>
      </c>
      <c r="H3548" s="7">
        <v>5.6820000000000004</v>
      </c>
      <c r="I3548" s="7">
        <v>5.4219999999999997</v>
      </c>
      <c r="J3548" s="7">
        <v>5.2990000000000004</v>
      </c>
      <c r="K3548" s="7">
        <v>5.4320000000000004</v>
      </c>
      <c r="L3548" s="7">
        <v>5.3230000000000004</v>
      </c>
      <c r="M3548" s="7">
        <v>5.4909999999999997</v>
      </c>
      <c r="N3548" s="7">
        <v>6.1130000000000004</v>
      </c>
      <c r="O3548" s="7">
        <v>6.4240000000000004</v>
      </c>
      <c r="P3548" s="7">
        <v>6.1529999999999996</v>
      </c>
      <c r="Q3548" s="7">
        <v>5.7249999999999996</v>
      </c>
      <c r="R3548" s="7">
        <v>5.8449999999999998</v>
      </c>
      <c r="S3548" s="7">
        <f t="shared" si="55"/>
        <v>5.7293333333333329</v>
      </c>
    </row>
    <row r="3549" spans="1:19">
      <c r="A3549" s="5" t="str">
        <f>B3549&amp;"-"&amp;COUNTIF($B$2:B3549,B3549)</f>
        <v>PIAUI-180</v>
      </c>
      <c r="B3549" s="5" t="s">
        <v>2256</v>
      </c>
      <c r="C3549" s="5" t="s">
        <v>4744</v>
      </c>
      <c r="D3549" s="6">
        <v>-427029</v>
      </c>
      <c r="E3549" s="6">
        <v>-5997</v>
      </c>
      <c r="F3549" s="7">
        <v>5.6040000000000001</v>
      </c>
      <c r="G3549" s="7">
        <v>5.0140000000000002</v>
      </c>
      <c r="H3549" s="7">
        <v>5.1719999999999997</v>
      </c>
      <c r="I3549" s="7">
        <v>5.1639999999999997</v>
      </c>
      <c r="J3549" s="7">
        <v>5.0650000000000004</v>
      </c>
      <c r="K3549" s="7">
        <v>5.1890000000000001</v>
      </c>
      <c r="L3549" s="7">
        <v>5.367</v>
      </c>
      <c r="M3549" s="7">
        <v>5.6710000000000003</v>
      </c>
      <c r="N3549" s="7">
        <v>6.2649999999999997</v>
      </c>
      <c r="O3549" s="7">
        <v>6.5819999999999999</v>
      </c>
      <c r="P3549" s="7">
        <v>6.29</v>
      </c>
      <c r="Q3549" s="7">
        <v>5.9329999999999998</v>
      </c>
      <c r="R3549" s="7">
        <v>5.5369999999999999</v>
      </c>
      <c r="S3549" s="7">
        <f t="shared" si="55"/>
        <v>5.6040833333333344</v>
      </c>
    </row>
    <row r="3550" spans="1:19">
      <c r="A3550" s="5" t="str">
        <f>B3550&amp;"-"&amp;COUNTIF($B$2:B3550,B3550)</f>
        <v>PIAUI-181</v>
      </c>
      <c r="B3550" s="5" t="s">
        <v>2256</v>
      </c>
      <c r="C3550" s="5" t="s">
        <v>4119</v>
      </c>
      <c r="D3550" s="6">
        <v>-413446</v>
      </c>
      <c r="E3550" s="6">
        <v>-68173</v>
      </c>
      <c r="F3550" s="7">
        <v>5.7320000000000002</v>
      </c>
      <c r="G3550" s="7">
        <v>5.4249999999999998</v>
      </c>
      <c r="H3550" s="7">
        <v>5.3230000000000004</v>
      </c>
      <c r="I3550" s="7">
        <v>5.3760000000000003</v>
      </c>
      <c r="J3550" s="7">
        <v>5.25</v>
      </c>
      <c r="K3550" s="7">
        <v>5.18</v>
      </c>
      <c r="L3550" s="7">
        <v>5.1580000000000004</v>
      </c>
      <c r="M3550" s="7">
        <v>5.56</v>
      </c>
      <c r="N3550" s="7">
        <v>6.2910000000000004</v>
      </c>
      <c r="O3550" s="7">
        <v>6.7350000000000003</v>
      </c>
      <c r="P3550" s="7">
        <v>6.4720000000000004</v>
      </c>
      <c r="Q3550" s="7">
        <v>6.2279999999999998</v>
      </c>
      <c r="R3550" s="7">
        <v>5.7880000000000003</v>
      </c>
      <c r="S3550" s="7">
        <f t="shared" si="55"/>
        <v>5.7321666666666671</v>
      </c>
    </row>
    <row r="3551" spans="1:19">
      <c r="A3551" s="5" t="str">
        <f>B3551&amp;"-"&amp;COUNTIF($B$2:B3551,B3551)</f>
        <v>PIAUI-182</v>
      </c>
      <c r="B3551" s="5" t="s">
        <v>2256</v>
      </c>
      <c r="C3551" s="5" t="s">
        <v>4120</v>
      </c>
      <c r="D3551" s="6">
        <v>-412587</v>
      </c>
      <c r="E3551" s="6">
        <v>-39386</v>
      </c>
      <c r="F3551" s="7">
        <v>5.6130000000000004</v>
      </c>
      <c r="G3551" s="7">
        <v>5.2640000000000002</v>
      </c>
      <c r="H3551" s="7">
        <v>5.2690000000000001</v>
      </c>
      <c r="I3551" s="7">
        <v>5.1550000000000002</v>
      </c>
      <c r="J3551" s="7">
        <v>4.83</v>
      </c>
      <c r="K3551" s="7">
        <v>5.024</v>
      </c>
      <c r="L3551" s="7">
        <v>5.0970000000000004</v>
      </c>
      <c r="M3551" s="7">
        <v>5.3419999999999996</v>
      </c>
      <c r="N3551" s="7">
        <v>6.0030000000000001</v>
      </c>
      <c r="O3551" s="7">
        <v>6.5979999999999999</v>
      </c>
      <c r="P3551" s="7">
        <v>6.5860000000000003</v>
      </c>
      <c r="Q3551" s="7">
        <v>6.4459999999999997</v>
      </c>
      <c r="R3551" s="7">
        <v>5.74</v>
      </c>
      <c r="S3551" s="7">
        <f t="shared" si="55"/>
        <v>5.6128333333333336</v>
      </c>
    </row>
    <row r="3552" spans="1:19">
      <c r="A3552" s="5" t="str">
        <f>B3552&amp;"-"&amp;COUNTIF($B$2:B3552,B3552)</f>
        <v>PIAUI-183</v>
      </c>
      <c r="B3552" s="5" t="s">
        <v>2256</v>
      </c>
      <c r="C3552" s="5" t="s">
        <v>4121</v>
      </c>
      <c r="D3552" s="6">
        <v>-418926</v>
      </c>
      <c r="E3552" s="6">
        <v>-55112</v>
      </c>
      <c r="F3552" s="7">
        <v>5.6779999999999999</v>
      </c>
      <c r="G3552" s="7">
        <v>5.1719999999999997</v>
      </c>
      <c r="H3552" s="7">
        <v>5.3390000000000004</v>
      </c>
      <c r="I3552" s="7">
        <v>5.3319999999999999</v>
      </c>
      <c r="J3552" s="7">
        <v>5.1959999999999997</v>
      </c>
      <c r="K3552" s="7">
        <v>5.2050000000000001</v>
      </c>
      <c r="L3552" s="7">
        <v>5.2290000000000001</v>
      </c>
      <c r="M3552" s="7">
        <v>5.52</v>
      </c>
      <c r="N3552" s="7">
        <v>6.1909999999999998</v>
      </c>
      <c r="O3552" s="7">
        <v>6.5659999999999998</v>
      </c>
      <c r="P3552" s="7">
        <v>6.3769999999999998</v>
      </c>
      <c r="Q3552" s="7">
        <v>6.2720000000000002</v>
      </c>
      <c r="R3552" s="7">
        <v>5.7320000000000002</v>
      </c>
      <c r="S3552" s="7">
        <f t="shared" si="55"/>
        <v>5.6775833333333336</v>
      </c>
    </row>
    <row r="3553" spans="1:19">
      <c r="A3553" s="5" t="str">
        <f>B3553&amp;"-"&amp;COUNTIF($B$2:B3553,B3553)</f>
        <v>PIAUI-184</v>
      </c>
      <c r="B3553" s="5" t="s">
        <v>2256</v>
      </c>
      <c r="C3553" s="5" t="s">
        <v>4122</v>
      </c>
      <c r="D3553" s="6">
        <v>-418639</v>
      </c>
      <c r="E3553" s="6">
        <v>-69153</v>
      </c>
      <c r="F3553" s="7">
        <v>5.7069999999999999</v>
      </c>
      <c r="G3553" s="7">
        <v>5.242</v>
      </c>
      <c r="H3553" s="7">
        <v>5.2050000000000001</v>
      </c>
      <c r="I3553" s="7">
        <v>5.2130000000000001</v>
      </c>
      <c r="J3553" s="7">
        <v>5.2409999999999997</v>
      </c>
      <c r="K3553" s="7">
        <v>5.2880000000000003</v>
      </c>
      <c r="L3553" s="7">
        <v>5.2489999999999997</v>
      </c>
      <c r="M3553" s="7">
        <v>5.6440000000000001</v>
      </c>
      <c r="N3553" s="7">
        <v>6.2560000000000002</v>
      </c>
      <c r="O3553" s="7">
        <v>6.7329999999999997</v>
      </c>
      <c r="P3553" s="7">
        <v>6.4660000000000002</v>
      </c>
      <c r="Q3553" s="7">
        <v>6.2009999999999996</v>
      </c>
      <c r="R3553" s="7">
        <v>5.7469999999999999</v>
      </c>
      <c r="S3553" s="7">
        <f t="shared" si="55"/>
        <v>5.7070833333333333</v>
      </c>
    </row>
    <row r="3554" spans="1:19">
      <c r="A3554" s="5" t="str">
        <f>B3554&amp;"-"&amp;COUNTIF($B$2:B3554,B3554)</f>
        <v>PIAUI-185</v>
      </c>
      <c r="B3554" s="5" t="s">
        <v>2256</v>
      </c>
      <c r="C3554" s="5" t="s">
        <v>4123</v>
      </c>
      <c r="D3554" s="6">
        <v>-424519</v>
      </c>
      <c r="E3554" s="6">
        <v>-38157</v>
      </c>
      <c r="F3554" s="7">
        <v>5.6970000000000001</v>
      </c>
      <c r="G3554" s="7">
        <v>5.298</v>
      </c>
      <c r="H3554" s="7">
        <v>5.4660000000000002</v>
      </c>
      <c r="I3554" s="7">
        <v>5.3620000000000001</v>
      </c>
      <c r="J3554" s="7">
        <v>5.1180000000000003</v>
      </c>
      <c r="K3554" s="7">
        <v>5.1719999999999997</v>
      </c>
      <c r="L3554" s="7">
        <v>5.351</v>
      </c>
      <c r="M3554" s="7">
        <v>5.5679999999999996</v>
      </c>
      <c r="N3554" s="7">
        <v>6.17</v>
      </c>
      <c r="O3554" s="7">
        <v>6.5270000000000001</v>
      </c>
      <c r="P3554" s="7">
        <v>6.4690000000000003</v>
      </c>
      <c r="Q3554" s="7">
        <v>6.2190000000000003</v>
      </c>
      <c r="R3554" s="7">
        <v>5.641</v>
      </c>
      <c r="S3554" s="7">
        <f t="shared" si="55"/>
        <v>5.6967500000000006</v>
      </c>
    </row>
    <row r="3555" spans="1:19">
      <c r="A3555" s="5" t="str">
        <f>B3555&amp;"-"&amp;COUNTIF($B$2:B3555,B3555)</f>
        <v>PIAUI-186</v>
      </c>
      <c r="B3555" s="5" t="s">
        <v>2256</v>
      </c>
      <c r="C3555" s="5" t="s">
        <v>4124</v>
      </c>
      <c r="D3555" s="6">
        <v>-422562</v>
      </c>
      <c r="E3555" s="6">
        <v>-83551</v>
      </c>
      <c r="F3555" s="7">
        <v>5.85</v>
      </c>
      <c r="G3555" s="7">
        <v>5.7270000000000003</v>
      </c>
      <c r="H3555" s="7">
        <v>5.6790000000000003</v>
      </c>
      <c r="I3555" s="7">
        <v>5.6470000000000002</v>
      </c>
      <c r="J3555" s="7">
        <v>5.4420000000000002</v>
      </c>
      <c r="K3555" s="7">
        <v>5.258</v>
      </c>
      <c r="L3555" s="7">
        <v>5.2480000000000002</v>
      </c>
      <c r="M3555" s="7">
        <v>5.5629999999999997</v>
      </c>
      <c r="N3555" s="7">
        <v>6.3440000000000003</v>
      </c>
      <c r="O3555" s="7">
        <v>6.5640000000000001</v>
      </c>
      <c r="P3555" s="7">
        <v>6.5</v>
      </c>
      <c r="Q3555" s="7">
        <v>6.242</v>
      </c>
      <c r="R3555" s="7">
        <v>5.992</v>
      </c>
      <c r="S3555" s="7">
        <f t="shared" si="55"/>
        <v>5.8505000000000003</v>
      </c>
    </row>
    <row r="3556" spans="1:19">
      <c r="A3556" s="5" t="str">
        <f>B3556&amp;"-"&amp;COUNTIF($B$2:B3556,B3556)</f>
        <v>PIAUI-187</v>
      </c>
      <c r="B3556" s="5" t="s">
        <v>2256</v>
      </c>
      <c r="C3556" s="5" t="s">
        <v>4367</v>
      </c>
      <c r="D3556" s="6">
        <v>-418317</v>
      </c>
      <c r="E3556" s="6">
        <v>-3811</v>
      </c>
      <c r="F3556" s="7">
        <v>5.6689999999999996</v>
      </c>
      <c r="G3556" s="7">
        <v>5.2190000000000003</v>
      </c>
      <c r="H3556" s="7">
        <v>5.3689999999999998</v>
      </c>
      <c r="I3556" s="7">
        <v>5.2560000000000002</v>
      </c>
      <c r="J3556" s="7">
        <v>5.056</v>
      </c>
      <c r="K3556" s="7">
        <v>5.2350000000000003</v>
      </c>
      <c r="L3556" s="7">
        <v>5.3769999999999998</v>
      </c>
      <c r="M3556" s="7">
        <v>5.5629999999999997</v>
      </c>
      <c r="N3556" s="7">
        <v>6.0540000000000003</v>
      </c>
      <c r="O3556" s="7">
        <v>6.4370000000000003</v>
      </c>
      <c r="P3556" s="7">
        <v>6.5129999999999999</v>
      </c>
      <c r="Q3556" s="7">
        <v>6.3179999999999996</v>
      </c>
      <c r="R3556" s="7">
        <v>5.6340000000000003</v>
      </c>
      <c r="S3556" s="7">
        <f t="shared" si="55"/>
        <v>5.6692500000000008</v>
      </c>
    </row>
    <row r="3557" spans="1:19">
      <c r="A3557" s="5" t="str">
        <f>B3557&amp;"-"&amp;COUNTIF($B$2:B3557,B3557)</f>
        <v>PIAUI-188</v>
      </c>
      <c r="B3557" s="5" t="s">
        <v>2256</v>
      </c>
      <c r="C3557" s="5" t="s">
        <v>4454</v>
      </c>
      <c r="D3557" s="6">
        <v>-425678</v>
      </c>
      <c r="E3557" s="6">
        <v>-7494</v>
      </c>
      <c r="F3557" s="7">
        <v>5.7489999999999997</v>
      </c>
      <c r="G3557" s="7">
        <v>5.4889999999999999</v>
      </c>
      <c r="H3557" s="7">
        <v>5.4539999999999997</v>
      </c>
      <c r="I3557" s="7">
        <v>5.4390000000000001</v>
      </c>
      <c r="J3557" s="7">
        <v>5.3179999999999996</v>
      </c>
      <c r="K3557" s="7">
        <v>5.2859999999999996</v>
      </c>
      <c r="L3557" s="7">
        <v>5.2869999999999999</v>
      </c>
      <c r="M3557" s="7">
        <v>5.6269999999999998</v>
      </c>
      <c r="N3557" s="7">
        <v>6.173</v>
      </c>
      <c r="O3557" s="7">
        <v>6.6070000000000002</v>
      </c>
      <c r="P3557" s="7">
        <v>6.4569999999999999</v>
      </c>
      <c r="Q3557" s="7">
        <v>6.0650000000000004</v>
      </c>
      <c r="R3557" s="7">
        <v>5.7859999999999996</v>
      </c>
      <c r="S3557" s="7">
        <f t="shared" si="55"/>
        <v>5.7489999999999997</v>
      </c>
    </row>
    <row r="3558" spans="1:19">
      <c r="A3558" s="5" t="str">
        <f>B3558&amp;"-"&amp;COUNTIF($B$2:B3558,B3558)</f>
        <v>PIAUI-189</v>
      </c>
      <c r="B3558" s="5" t="s">
        <v>2256</v>
      </c>
      <c r="C3558" s="5" t="s">
        <v>4455</v>
      </c>
      <c r="D3558" s="6">
        <v>-414785</v>
      </c>
      <c r="E3558" s="6">
        <v>-68725</v>
      </c>
      <c r="F3558" s="7">
        <v>5.7729999999999997</v>
      </c>
      <c r="G3558" s="7">
        <v>5.508</v>
      </c>
      <c r="H3558" s="7">
        <v>5.36</v>
      </c>
      <c r="I3558" s="7">
        <v>5.4580000000000002</v>
      </c>
      <c r="J3558" s="7">
        <v>5.3449999999999998</v>
      </c>
      <c r="K3558" s="7">
        <v>5.1529999999999996</v>
      </c>
      <c r="L3558" s="7">
        <v>5.1379999999999999</v>
      </c>
      <c r="M3558" s="7">
        <v>5.5229999999999997</v>
      </c>
      <c r="N3558" s="7">
        <v>6.3250000000000002</v>
      </c>
      <c r="O3558" s="7">
        <v>6.74</v>
      </c>
      <c r="P3558" s="7">
        <v>6.4960000000000004</v>
      </c>
      <c r="Q3558" s="7">
        <v>6.3310000000000004</v>
      </c>
      <c r="R3558" s="7">
        <v>5.8940000000000001</v>
      </c>
      <c r="S3558" s="7">
        <f t="shared" si="55"/>
        <v>5.7725833333333343</v>
      </c>
    </row>
    <row r="3559" spans="1:19">
      <c r="A3559" s="5" t="str">
        <f>B3559&amp;"-"&amp;COUNTIF($B$2:B3559,B3559)</f>
        <v>PIAUI-190</v>
      </c>
      <c r="B3559" s="5" t="s">
        <v>2256</v>
      </c>
      <c r="C3559" s="5" t="s">
        <v>4125</v>
      </c>
      <c r="D3559" s="6">
        <v>-408365</v>
      </c>
      <c r="E3559" s="6">
        <v>-70822</v>
      </c>
      <c r="F3559" s="7">
        <v>5.8029999999999999</v>
      </c>
      <c r="G3559" s="7">
        <v>5.5789999999999997</v>
      </c>
      <c r="H3559" s="7">
        <v>5.5190000000000001</v>
      </c>
      <c r="I3559" s="7">
        <v>5.5839999999999996</v>
      </c>
      <c r="J3559" s="7">
        <v>5.2969999999999997</v>
      </c>
      <c r="K3559" s="7">
        <v>5.0979999999999999</v>
      </c>
      <c r="L3559" s="7">
        <v>5.04</v>
      </c>
      <c r="M3559" s="7">
        <v>5.5</v>
      </c>
      <c r="N3559" s="7">
        <v>6.2519999999999998</v>
      </c>
      <c r="O3559" s="7">
        <v>6.6920000000000002</v>
      </c>
      <c r="P3559" s="7">
        <v>6.4909999999999997</v>
      </c>
      <c r="Q3559" s="7">
        <v>6.5209999999999999</v>
      </c>
      <c r="R3559" s="7">
        <v>6.0659999999999998</v>
      </c>
      <c r="S3559" s="7">
        <f t="shared" si="55"/>
        <v>5.8032499999999994</v>
      </c>
    </row>
    <row r="3560" spans="1:19">
      <c r="A3560" s="5" t="str">
        <f>B3560&amp;"-"&amp;COUNTIF($B$2:B3560,B3560)</f>
        <v>PIAUI-191</v>
      </c>
      <c r="B3560" s="5" t="s">
        <v>2256</v>
      </c>
      <c r="C3560" s="5" t="s">
        <v>4745</v>
      </c>
      <c r="D3560" s="6">
        <v>-425474</v>
      </c>
      <c r="E3560" s="6">
        <v>-91688</v>
      </c>
      <c r="F3560" s="7">
        <v>5.9009999999999998</v>
      </c>
      <c r="G3560" s="7">
        <v>6.0010000000000003</v>
      </c>
      <c r="H3560" s="7">
        <v>5.7720000000000002</v>
      </c>
      <c r="I3560" s="7">
        <v>5.6989999999999998</v>
      </c>
      <c r="J3560" s="7">
        <v>5.4290000000000003</v>
      </c>
      <c r="K3560" s="7">
        <v>5.2320000000000002</v>
      </c>
      <c r="L3560" s="7">
        <v>5.2069999999999999</v>
      </c>
      <c r="M3560" s="7">
        <v>5.5609999999999999</v>
      </c>
      <c r="N3560" s="7">
        <v>6.3570000000000002</v>
      </c>
      <c r="O3560" s="7">
        <v>6.6349999999999998</v>
      </c>
      <c r="P3560" s="7">
        <v>6.5229999999999997</v>
      </c>
      <c r="Q3560" s="7">
        <v>6.2919999999999998</v>
      </c>
      <c r="R3560" s="7">
        <v>6.1070000000000002</v>
      </c>
      <c r="S3560" s="7">
        <f t="shared" si="55"/>
        <v>5.9012500000000001</v>
      </c>
    </row>
    <row r="3561" spans="1:19">
      <c r="A3561" s="5" t="str">
        <f>B3561&amp;"-"&amp;COUNTIF($B$2:B3561,B3561)</f>
        <v>PIAUI-192</v>
      </c>
      <c r="B3561" s="5" t="s">
        <v>2256</v>
      </c>
      <c r="C3561" s="5" t="s">
        <v>4126</v>
      </c>
      <c r="D3561" s="6">
        <v>-413237</v>
      </c>
      <c r="E3561" s="6">
        <v>-68272</v>
      </c>
      <c r="F3561" s="7">
        <v>5.7320000000000002</v>
      </c>
      <c r="G3561" s="7">
        <v>5.4249999999999998</v>
      </c>
      <c r="H3561" s="7">
        <v>5.3230000000000004</v>
      </c>
      <c r="I3561" s="7">
        <v>5.3760000000000003</v>
      </c>
      <c r="J3561" s="7">
        <v>5.25</v>
      </c>
      <c r="K3561" s="7">
        <v>5.18</v>
      </c>
      <c r="L3561" s="7">
        <v>5.1580000000000004</v>
      </c>
      <c r="M3561" s="7">
        <v>5.56</v>
      </c>
      <c r="N3561" s="7">
        <v>6.2910000000000004</v>
      </c>
      <c r="O3561" s="7">
        <v>6.7350000000000003</v>
      </c>
      <c r="P3561" s="7">
        <v>6.4720000000000004</v>
      </c>
      <c r="Q3561" s="7">
        <v>6.2279999999999998</v>
      </c>
      <c r="R3561" s="7">
        <v>5.7880000000000003</v>
      </c>
      <c r="S3561" s="7">
        <f t="shared" si="55"/>
        <v>5.7321666666666671</v>
      </c>
    </row>
    <row r="3562" spans="1:19">
      <c r="A3562" s="5" t="str">
        <f>B3562&amp;"-"&amp;COUNTIF($B$2:B3562,B3562)</f>
        <v>PIAUI-193</v>
      </c>
      <c r="B3562" s="5" t="s">
        <v>2256</v>
      </c>
      <c r="C3562" s="5" t="s">
        <v>4127</v>
      </c>
      <c r="D3562" s="6">
        <v>-421856</v>
      </c>
      <c r="E3562" s="6">
        <v>-58643</v>
      </c>
      <c r="F3562" s="7">
        <v>5.6970000000000001</v>
      </c>
      <c r="G3562" s="7">
        <v>5.2409999999999997</v>
      </c>
      <c r="H3562" s="7">
        <v>5.3390000000000004</v>
      </c>
      <c r="I3562" s="7">
        <v>5.36</v>
      </c>
      <c r="J3562" s="7">
        <v>5.2530000000000001</v>
      </c>
      <c r="K3562" s="7">
        <v>5.2690000000000001</v>
      </c>
      <c r="L3562" s="7">
        <v>5.2839999999999998</v>
      </c>
      <c r="M3562" s="7">
        <v>5.5620000000000003</v>
      </c>
      <c r="N3562" s="7">
        <v>6.1769999999999996</v>
      </c>
      <c r="O3562" s="7">
        <v>6.5490000000000004</v>
      </c>
      <c r="P3562" s="7">
        <v>6.3769999999999998</v>
      </c>
      <c r="Q3562" s="7">
        <v>6.2210000000000001</v>
      </c>
      <c r="R3562" s="7">
        <v>5.7359999999999998</v>
      </c>
      <c r="S3562" s="7">
        <f t="shared" si="55"/>
        <v>5.6973333333333338</v>
      </c>
    </row>
    <row r="3563" spans="1:19">
      <c r="A3563" s="5" t="str">
        <f>B3563&amp;"-"&amp;COUNTIF($B$2:B3563,B3563)</f>
        <v>PIAUI-194</v>
      </c>
      <c r="B3563" s="5" t="s">
        <v>2256</v>
      </c>
      <c r="C3563" s="5" t="s">
        <v>4128</v>
      </c>
      <c r="D3563" s="6">
        <v>-423679</v>
      </c>
      <c r="E3563" s="6">
        <v>-75976</v>
      </c>
      <c r="F3563" s="7">
        <v>5.7939999999999996</v>
      </c>
      <c r="G3563" s="7">
        <v>5.6550000000000002</v>
      </c>
      <c r="H3563" s="7">
        <v>5.516</v>
      </c>
      <c r="I3563" s="7">
        <v>5.5090000000000003</v>
      </c>
      <c r="J3563" s="7">
        <v>5.4349999999999996</v>
      </c>
      <c r="K3563" s="7">
        <v>5.2969999999999997</v>
      </c>
      <c r="L3563" s="7">
        <v>5.26</v>
      </c>
      <c r="M3563" s="7">
        <v>5.5350000000000001</v>
      </c>
      <c r="N3563" s="7">
        <v>6.2640000000000002</v>
      </c>
      <c r="O3563" s="7">
        <v>6.58</v>
      </c>
      <c r="P3563" s="7">
        <v>6.5</v>
      </c>
      <c r="Q3563" s="7">
        <v>6.13</v>
      </c>
      <c r="R3563" s="7">
        <v>5.8520000000000003</v>
      </c>
      <c r="S3563" s="7">
        <f t="shared" si="55"/>
        <v>5.7944166666666668</v>
      </c>
    </row>
    <row r="3564" spans="1:19">
      <c r="A3564" s="5" t="str">
        <f>B3564&amp;"-"&amp;COUNTIF($B$2:B3564,B3564)</f>
        <v>PIAUI-195</v>
      </c>
      <c r="B3564" s="5" t="s">
        <v>2256</v>
      </c>
      <c r="C3564" s="5" t="s">
        <v>4129</v>
      </c>
      <c r="D3564" s="6">
        <v>-413168</v>
      </c>
      <c r="E3564" s="6">
        <v>-54977</v>
      </c>
      <c r="F3564" s="7">
        <v>5.6840000000000002</v>
      </c>
      <c r="G3564" s="7">
        <v>5.1820000000000004</v>
      </c>
      <c r="H3564" s="7">
        <v>5.3209999999999997</v>
      </c>
      <c r="I3564" s="7">
        <v>5.3840000000000003</v>
      </c>
      <c r="J3564" s="7">
        <v>5.12</v>
      </c>
      <c r="K3564" s="7">
        <v>5.0810000000000004</v>
      </c>
      <c r="L3564" s="7">
        <v>5.1070000000000002</v>
      </c>
      <c r="M3564" s="7">
        <v>5.4260000000000002</v>
      </c>
      <c r="N3564" s="7">
        <v>6.2089999999999996</v>
      </c>
      <c r="O3564" s="7">
        <v>6.6639999999999997</v>
      </c>
      <c r="P3564" s="7">
        <v>6.55</v>
      </c>
      <c r="Q3564" s="7">
        <v>6.3769999999999998</v>
      </c>
      <c r="R3564" s="7">
        <v>5.7830000000000004</v>
      </c>
      <c r="S3564" s="7">
        <f t="shared" si="55"/>
        <v>5.6836666666666664</v>
      </c>
    </row>
    <row r="3565" spans="1:19">
      <c r="A3565" s="5" t="str">
        <f>B3565&amp;"-"&amp;COUNTIF($B$2:B3565,B3565)</f>
        <v>PIAUI-196</v>
      </c>
      <c r="B3565" s="5" t="s">
        <v>2256</v>
      </c>
      <c r="C3565" s="5" t="s">
        <v>4130</v>
      </c>
      <c r="D3565" s="6">
        <v>-427196</v>
      </c>
      <c r="E3565" s="6">
        <v>-59212</v>
      </c>
      <c r="F3565" s="7">
        <v>5.6120000000000001</v>
      </c>
      <c r="G3565" s="7">
        <v>4.9459999999999997</v>
      </c>
      <c r="H3565" s="7">
        <v>5.1840000000000002</v>
      </c>
      <c r="I3565" s="7">
        <v>5.1779999999999999</v>
      </c>
      <c r="J3565" s="7">
        <v>5.0789999999999997</v>
      </c>
      <c r="K3565" s="7">
        <v>5.2149999999999999</v>
      </c>
      <c r="L3565" s="7">
        <v>5.4020000000000001</v>
      </c>
      <c r="M3565" s="7">
        <v>5.6760000000000002</v>
      </c>
      <c r="N3565" s="7">
        <v>6.2569999999999997</v>
      </c>
      <c r="O3565" s="7">
        <v>6.5940000000000003</v>
      </c>
      <c r="P3565" s="7">
        <v>6.3330000000000002</v>
      </c>
      <c r="Q3565" s="7">
        <v>5.9329999999999998</v>
      </c>
      <c r="R3565" s="7">
        <v>5.5430000000000001</v>
      </c>
      <c r="S3565" s="7">
        <f t="shared" si="55"/>
        <v>5.6116666666666672</v>
      </c>
    </row>
    <row r="3566" spans="1:19">
      <c r="A3566" s="5" t="str">
        <f>B3566&amp;"-"&amp;COUNTIF($B$2:B3566,B3566)</f>
        <v>PIAUI-197</v>
      </c>
      <c r="B3566" s="5" t="s">
        <v>2256</v>
      </c>
      <c r="C3566" s="5" t="s">
        <v>4131</v>
      </c>
      <c r="D3566" s="6">
        <v>-42699</v>
      </c>
      <c r="E3566" s="6">
        <v>-90128</v>
      </c>
      <c r="F3566" s="7">
        <v>5.8940000000000001</v>
      </c>
      <c r="G3566" s="7">
        <v>5.9640000000000004</v>
      </c>
      <c r="H3566" s="7">
        <v>5.7169999999999996</v>
      </c>
      <c r="I3566" s="7">
        <v>5.649</v>
      </c>
      <c r="J3566" s="7">
        <v>5.4039999999999999</v>
      </c>
      <c r="K3566" s="7">
        <v>5.2539999999999996</v>
      </c>
      <c r="L3566" s="7">
        <v>5.2320000000000002</v>
      </c>
      <c r="M3566" s="7">
        <v>5.5940000000000003</v>
      </c>
      <c r="N3566" s="7">
        <v>6.3650000000000002</v>
      </c>
      <c r="O3566" s="7">
        <v>6.6829999999999998</v>
      </c>
      <c r="P3566" s="7">
        <v>6.5380000000000003</v>
      </c>
      <c r="Q3566" s="7">
        <v>6.24</v>
      </c>
      <c r="R3566" s="7">
        <v>6.0910000000000002</v>
      </c>
      <c r="S3566" s="7">
        <f t="shared" si="55"/>
        <v>5.8942499999999995</v>
      </c>
    </row>
    <row r="3567" spans="1:19">
      <c r="A3567" s="5" t="str">
        <f>B3567&amp;"-"&amp;COUNTIF($B$2:B3567,B3567)</f>
        <v>PIAUI-198</v>
      </c>
      <c r="B3567" s="5" t="s">
        <v>2256</v>
      </c>
      <c r="C3567" s="5" t="s">
        <v>2373</v>
      </c>
      <c r="D3567" s="6">
        <v>-417613</v>
      </c>
      <c r="E3567" s="6">
        <v>-71789</v>
      </c>
      <c r="F3567" s="7">
        <v>5.8259999999999996</v>
      </c>
      <c r="G3567" s="7">
        <v>5.5679999999999996</v>
      </c>
      <c r="H3567" s="7">
        <v>5.4569999999999999</v>
      </c>
      <c r="I3567" s="7">
        <v>5.6139999999999999</v>
      </c>
      <c r="J3567" s="7">
        <v>5.3449999999999998</v>
      </c>
      <c r="K3567" s="7">
        <v>5.2960000000000003</v>
      </c>
      <c r="L3567" s="7">
        <v>5.242</v>
      </c>
      <c r="M3567" s="7">
        <v>5.6</v>
      </c>
      <c r="N3567" s="7">
        <v>6.1929999999999996</v>
      </c>
      <c r="O3567" s="7">
        <v>6.6429999999999998</v>
      </c>
      <c r="P3567" s="7">
        <v>6.5229999999999997</v>
      </c>
      <c r="Q3567" s="7">
        <v>6.4539999999999997</v>
      </c>
      <c r="R3567" s="7">
        <v>5.984</v>
      </c>
      <c r="S3567" s="7">
        <f t="shared" si="55"/>
        <v>5.8265833333333328</v>
      </c>
    </row>
    <row r="3568" spans="1:19">
      <c r="A3568" s="5" t="str">
        <f>B3568&amp;"-"&amp;COUNTIF($B$2:B3568,B3568)</f>
        <v>PIAUI-199</v>
      </c>
      <c r="B3568" s="5" t="s">
        <v>2256</v>
      </c>
      <c r="C3568" s="5" t="s">
        <v>2374</v>
      </c>
      <c r="D3568" s="6">
        <v>-41951</v>
      </c>
      <c r="E3568" s="6">
        <v>-58062</v>
      </c>
      <c r="F3568" s="7">
        <v>5.7119999999999997</v>
      </c>
      <c r="G3568" s="7">
        <v>5.1989999999999998</v>
      </c>
      <c r="H3568" s="7">
        <v>5.3929999999999998</v>
      </c>
      <c r="I3568" s="7">
        <v>5.3620000000000001</v>
      </c>
      <c r="J3568" s="7">
        <v>5.29</v>
      </c>
      <c r="K3568" s="7">
        <v>5.2789999999999999</v>
      </c>
      <c r="L3568" s="7">
        <v>5.2809999999999997</v>
      </c>
      <c r="M3568" s="7">
        <v>5.5519999999999996</v>
      </c>
      <c r="N3568" s="7">
        <v>6.242</v>
      </c>
      <c r="O3568" s="7">
        <v>6.5789999999999997</v>
      </c>
      <c r="P3568" s="7">
        <v>6.407</v>
      </c>
      <c r="Q3568" s="7">
        <v>6.2350000000000003</v>
      </c>
      <c r="R3568" s="7">
        <v>5.73</v>
      </c>
      <c r="S3568" s="7">
        <f t="shared" si="55"/>
        <v>5.712416666666666</v>
      </c>
    </row>
    <row r="3569" spans="1:19">
      <c r="A3569" s="5" t="str">
        <f>B3569&amp;"-"&amp;COUNTIF($B$2:B3569,B3569)</f>
        <v>PIAUI-200</v>
      </c>
      <c r="B3569" s="5" t="s">
        <v>2256</v>
      </c>
      <c r="C3569" s="5" t="s">
        <v>2240</v>
      </c>
      <c r="D3569" s="6">
        <v>-459182</v>
      </c>
      <c r="E3569" s="6">
        <v>-91175</v>
      </c>
      <c r="F3569" s="7">
        <v>5.508</v>
      </c>
      <c r="G3569" s="7">
        <v>5.3440000000000003</v>
      </c>
      <c r="H3569" s="7">
        <v>5.2460000000000004</v>
      </c>
      <c r="I3569" s="7">
        <v>5.1109999999999998</v>
      </c>
      <c r="J3569" s="7">
        <v>5.1719999999999997</v>
      </c>
      <c r="K3569" s="7">
        <v>5.2859999999999996</v>
      </c>
      <c r="L3569" s="7">
        <v>5.306</v>
      </c>
      <c r="M3569" s="7">
        <v>5.4589999999999996</v>
      </c>
      <c r="N3569" s="7">
        <v>6.1740000000000004</v>
      </c>
      <c r="O3569" s="7">
        <v>6.4009999999999998</v>
      </c>
      <c r="P3569" s="7">
        <v>5.8120000000000003</v>
      </c>
      <c r="Q3569" s="7">
        <v>5.3760000000000003</v>
      </c>
      <c r="R3569" s="7">
        <v>5.4080000000000004</v>
      </c>
      <c r="S3569" s="7">
        <f t="shared" si="55"/>
        <v>5.5079166666666657</v>
      </c>
    </row>
    <row r="3570" spans="1:19">
      <c r="A3570" s="5" t="str">
        <f>B3570&amp;"-"&amp;COUNTIF($B$2:B3570,B3570)</f>
        <v>PIAUI-201</v>
      </c>
      <c r="B3570" s="5" t="s">
        <v>2256</v>
      </c>
      <c r="C3570" s="5" t="s">
        <v>2375</v>
      </c>
      <c r="D3570" s="6">
        <v>-441299</v>
      </c>
      <c r="E3570" s="6">
        <v>-89492</v>
      </c>
      <c r="F3570" s="7">
        <v>5.6829999999999998</v>
      </c>
      <c r="G3570" s="7">
        <v>5.5860000000000003</v>
      </c>
      <c r="H3570" s="7">
        <v>5.4359999999999999</v>
      </c>
      <c r="I3570" s="7">
        <v>5.3319999999999999</v>
      </c>
      <c r="J3570" s="7">
        <v>5.3929999999999998</v>
      </c>
      <c r="K3570" s="7">
        <v>5.3540000000000001</v>
      </c>
      <c r="L3570" s="7">
        <v>5.2709999999999999</v>
      </c>
      <c r="M3570" s="7">
        <v>5.5830000000000002</v>
      </c>
      <c r="N3570" s="7">
        <v>6.2480000000000002</v>
      </c>
      <c r="O3570" s="7">
        <v>6.5659999999999998</v>
      </c>
      <c r="P3570" s="7">
        <v>6.0970000000000004</v>
      </c>
      <c r="Q3570" s="7">
        <v>5.7</v>
      </c>
      <c r="R3570" s="7">
        <v>5.625</v>
      </c>
      <c r="S3570" s="7">
        <f t="shared" si="55"/>
        <v>5.6825833333333335</v>
      </c>
    </row>
    <row r="3571" spans="1:19">
      <c r="A3571" s="5" t="str">
        <f>B3571&amp;"-"&amp;COUNTIF($B$2:B3571,B3571)</f>
        <v>PIAUI-202</v>
      </c>
      <c r="B3571" s="5" t="s">
        <v>2256</v>
      </c>
      <c r="C3571" s="5" t="s">
        <v>2376</v>
      </c>
      <c r="D3571" s="6">
        <v>-422817</v>
      </c>
      <c r="E3571" s="6">
        <v>-67962</v>
      </c>
      <c r="F3571" s="7">
        <v>5.7009999999999996</v>
      </c>
      <c r="G3571" s="7">
        <v>5.3019999999999996</v>
      </c>
      <c r="H3571" s="7">
        <v>5.3689999999999998</v>
      </c>
      <c r="I3571" s="7">
        <v>5.266</v>
      </c>
      <c r="J3571" s="7">
        <v>5.2619999999999996</v>
      </c>
      <c r="K3571" s="7">
        <v>5.327</v>
      </c>
      <c r="L3571" s="7">
        <v>5.2960000000000003</v>
      </c>
      <c r="M3571" s="7">
        <v>5.6360000000000001</v>
      </c>
      <c r="N3571" s="7">
        <v>6.1059999999999999</v>
      </c>
      <c r="O3571" s="7">
        <v>6.5209999999999999</v>
      </c>
      <c r="P3571" s="7">
        <v>6.3979999999999997</v>
      </c>
      <c r="Q3571" s="7">
        <v>6.2220000000000004</v>
      </c>
      <c r="R3571" s="7">
        <v>5.702</v>
      </c>
      <c r="S3571" s="7">
        <f t="shared" si="55"/>
        <v>5.7005833333333342</v>
      </c>
    </row>
    <row r="3572" spans="1:19">
      <c r="A3572" s="5" t="str">
        <f>B3572&amp;"-"&amp;COUNTIF($B$2:B3572,B3572)</f>
        <v>PIAUI-203</v>
      </c>
      <c r="B3572" s="5" t="s">
        <v>2256</v>
      </c>
      <c r="C3572" s="5" t="s">
        <v>2377</v>
      </c>
      <c r="D3572" s="6">
        <v>-415181</v>
      </c>
      <c r="E3572" s="6">
        <v>-69474</v>
      </c>
      <c r="F3572" s="7">
        <v>5.7789999999999999</v>
      </c>
      <c r="G3572" s="7">
        <v>5.4610000000000003</v>
      </c>
      <c r="H3572" s="7">
        <v>5.3739999999999997</v>
      </c>
      <c r="I3572" s="7">
        <v>5.4240000000000004</v>
      </c>
      <c r="J3572" s="7">
        <v>5.3540000000000001</v>
      </c>
      <c r="K3572" s="7">
        <v>5.2190000000000003</v>
      </c>
      <c r="L3572" s="7">
        <v>5.1559999999999997</v>
      </c>
      <c r="M3572" s="7">
        <v>5.6040000000000001</v>
      </c>
      <c r="N3572" s="7">
        <v>6.3230000000000004</v>
      </c>
      <c r="O3572" s="7">
        <v>6.7240000000000002</v>
      </c>
      <c r="P3572" s="7">
        <v>6.5010000000000003</v>
      </c>
      <c r="Q3572" s="7">
        <v>6.3140000000000001</v>
      </c>
      <c r="R3572" s="7">
        <v>5.8970000000000002</v>
      </c>
      <c r="S3572" s="7">
        <f t="shared" si="55"/>
        <v>5.7792500000000002</v>
      </c>
    </row>
    <row r="3573" spans="1:19">
      <c r="A3573" s="5" t="str">
        <f>B3573&amp;"-"&amp;COUNTIF($B$2:B3573,B3573)</f>
        <v>PIAUI-204</v>
      </c>
      <c r="B3573" s="5" t="s">
        <v>2256</v>
      </c>
      <c r="C3573" s="5" t="s">
        <v>4574</v>
      </c>
      <c r="D3573" s="6">
        <v>-412315</v>
      </c>
      <c r="E3573" s="6">
        <v>-69801</v>
      </c>
      <c r="F3573" s="7">
        <v>5.7990000000000004</v>
      </c>
      <c r="G3573" s="7">
        <v>5.6559999999999997</v>
      </c>
      <c r="H3573" s="7">
        <v>5.4649999999999999</v>
      </c>
      <c r="I3573" s="7">
        <v>5.5549999999999997</v>
      </c>
      <c r="J3573" s="7">
        <v>5.2859999999999996</v>
      </c>
      <c r="K3573" s="7">
        <v>5.133</v>
      </c>
      <c r="L3573" s="7">
        <v>5.0890000000000004</v>
      </c>
      <c r="M3573" s="7">
        <v>5.5119999999999996</v>
      </c>
      <c r="N3573" s="7">
        <v>6.23</v>
      </c>
      <c r="O3573" s="7">
        <v>6.65</v>
      </c>
      <c r="P3573" s="7">
        <v>6.5339999999999998</v>
      </c>
      <c r="Q3573" s="7">
        <v>6.4589999999999996</v>
      </c>
      <c r="R3573" s="7">
        <v>6.02</v>
      </c>
      <c r="S3573" s="7">
        <f t="shared" si="55"/>
        <v>5.7990833333333329</v>
      </c>
    </row>
    <row r="3574" spans="1:19">
      <c r="A3574" s="5" t="str">
        <f>B3574&amp;"-"&amp;COUNTIF($B$2:B3574,B3574)</f>
        <v>PIAUI-205</v>
      </c>
      <c r="B3574" s="5" t="s">
        <v>2256</v>
      </c>
      <c r="C3574" s="5" t="s">
        <v>4575</v>
      </c>
      <c r="D3574" s="6">
        <v>-427127</v>
      </c>
      <c r="E3574" s="6">
        <v>-60469</v>
      </c>
      <c r="F3574" s="7">
        <v>5.6040000000000001</v>
      </c>
      <c r="G3574" s="7">
        <v>5.0140000000000002</v>
      </c>
      <c r="H3574" s="7">
        <v>5.1719999999999997</v>
      </c>
      <c r="I3574" s="7">
        <v>5.1639999999999997</v>
      </c>
      <c r="J3574" s="7">
        <v>5.0650000000000004</v>
      </c>
      <c r="K3574" s="7">
        <v>5.1890000000000001</v>
      </c>
      <c r="L3574" s="7">
        <v>5.367</v>
      </c>
      <c r="M3574" s="7">
        <v>5.6710000000000003</v>
      </c>
      <c r="N3574" s="7">
        <v>6.2649999999999997</v>
      </c>
      <c r="O3574" s="7">
        <v>6.5819999999999999</v>
      </c>
      <c r="P3574" s="7">
        <v>6.29</v>
      </c>
      <c r="Q3574" s="7">
        <v>5.9329999999999998</v>
      </c>
      <c r="R3574" s="7">
        <v>5.5369999999999999</v>
      </c>
      <c r="S3574" s="7">
        <f t="shared" si="55"/>
        <v>5.6040833333333344</v>
      </c>
    </row>
    <row r="3575" spans="1:19">
      <c r="A3575" s="5" t="str">
        <f>B3575&amp;"-"&amp;COUNTIF($B$2:B3575,B3575)</f>
        <v>PIAUI-206</v>
      </c>
      <c r="B3575" s="5" t="s">
        <v>2256</v>
      </c>
      <c r="C3575" s="5" t="s">
        <v>5694</v>
      </c>
      <c r="D3575" s="6">
        <v>-419131</v>
      </c>
      <c r="E3575" s="6">
        <v>-7424</v>
      </c>
      <c r="F3575" s="7">
        <v>5.8070000000000004</v>
      </c>
      <c r="G3575" s="7">
        <v>5.601</v>
      </c>
      <c r="H3575" s="7">
        <v>5.4779999999999998</v>
      </c>
      <c r="I3575" s="7">
        <v>5.5039999999999996</v>
      </c>
      <c r="J3575" s="7">
        <v>5.29</v>
      </c>
      <c r="K3575" s="7">
        <v>5.274</v>
      </c>
      <c r="L3575" s="7">
        <v>5.2809999999999997</v>
      </c>
      <c r="M3575" s="7">
        <v>5.593</v>
      </c>
      <c r="N3575" s="7">
        <v>6.2869999999999999</v>
      </c>
      <c r="O3575" s="7">
        <v>6.6740000000000004</v>
      </c>
      <c r="P3575" s="7">
        <v>6.5430000000000001</v>
      </c>
      <c r="Q3575" s="7">
        <v>6.2770000000000001</v>
      </c>
      <c r="R3575" s="7">
        <v>5.8810000000000002</v>
      </c>
      <c r="S3575" s="7">
        <f t="shared" si="55"/>
        <v>5.8069166666666661</v>
      </c>
    </row>
    <row r="3576" spans="1:19">
      <c r="A3576" s="5" t="str">
        <f>B3576&amp;"-"&amp;COUNTIF($B$2:B3576,B3576)</f>
        <v>PIAUI-207</v>
      </c>
      <c r="B3576" s="5" t="s">
        <v>2256</v>
      </c>
      <c r="C3576" s="5" t="s">
        <v>4132</v>
      </c>
      <c r="D3576" s="6">
        <v>-448341</v>
      </c>
      <c r="E3576" s="6">
        <v>-108174</v>
      </c>
      <c r="F3576" s="7">
        <v>5.78</v>
      </c>
      <c r="G3576" s="7">
        <v>5.9109999999999996</v>
      </c>
      <c r="H3576" s="7">
        <v>5.7539999999999996</v>
      </c>
      <c r="I3576" s="7">
        <v>5.5460000000000003</v>
      </c>
      <c r="J3576" s="7">
        <v>5.4189999999999996</v>
      </c>
      <c r="K3576" s="7">
        <v>5.4589999999999996</v>
      </c>
      <c r="L3576" s="7">
        <v>5.31</v>
      </c>
      <c r="M3576" s="7">
        <v>5.5510000000000002</v>
      </c>
      <c r="N3576" s="7">
        <v>6.1619999999999999</v>
      </c>
      <c r="O3576" s="7">
        <v>6.4580000000000002</v>
      </c>
      <c r="P3576" s="7">
        <v>6.1379999999999999</v>
      </c>
      <c r="Q3576" s="7">
        <v>5.7519999999999998</v>
      </c>
      <c r="R3576" s="7">
        <v>5.9</v>
      </c>
      <c r="S3576" s="7">
        <f t="shared" si="55"/>
        <v>5.78</v>
      </c>
    </row>
    <row r="3577" spans="1:19">
      <c r="A3577" s="5" t="str">
        <f>B3577&amp;"-"&amp;COUNTIF($B$2:B3577,B3577)</f>
        <v>PIAUI-208</v>
      </c>
      <c r="B3577" s="5" t="s">
        <v>2256</v>
      </c>
      <c r="C3577" s="5" t="s">
        <v>4133</v>
      </c>
      <c r="D3577" s="6">
        <v>-440636</v>
      </c>
      <c r="E3577" s="6">
        <v>-75682</v>
      </c>
      <c r="F3577" s="7">
        <v>5.6029999999999998</v>
      </c>
      <c r="G3577" s="7">
        <v>5.24</v>
      </c>
      <c r="H3577" s="7">
        <v>5.2039999999999997</v>
      </c>
      <c r="I3577" s="7">
        <v>5.1109999999999998</v>
      </c>
      <c r="J3577" s="7">
        <v>5.23</v>
      </c>
      <c r="K3577" s="7">
        <v>5.3410000000000002</v>
      </c>
      <c r="L3577" s="7">
        <v>5.4</v>
      </c>
      <c r="M3577" s="7">
        <v>5.5620000000000003</v>
      </c>
      <c r="N3577" s="7">
        <v>6.1360000000000001</v>
      </c>
      <c r="O3577" s="7">
        <v>6.5659999999999998</v>
      </c>
      <c r="P3577" s="7">
        <v>6.2569999999999997</v>
      </c>
      <c r="Q3577" s="7">
        <v>5.7030000000000003</v>
      </c>
      <c r="R3577" s="7">
        <v>5.4889999999999999</v>
      </c>
      <c r="S3577" s="7">
        <f t="shared" si="55"/>
        <v>5.6032500000000001</v>
      </c>
    </row>
    <row r="3578" spans="1:19">
      <c r="A3578" s="5" t="str">
        <f>B3578&amp;"-"&amp;COUNTIF($B$2:B3578,B3578)</f>
        <v>PIAUI-209</v>
      </c>
      <c r="B3578" s="5" t="s">
        <v>2256</v>
      </c>
      <c r="C3578" s="5" t="s">
        <v>2378</v>
      </c>
      <c r="D3578" s="6">
        <v>-417315</v>
      </c>
      <c r="E3578" s="6">
        <v>-4917</v>
      </c>
      <c r="F3578" s="7">
        <v>5.7430000000000003</v>
      </c>
      <c r="G3578" s="7">
        <v>5.274</v>
      </c>
      <c r="H3578" s="7">
        <v>5.4009999999999998</v>
      </c>
      <c r="I3578" s="7">
        <v>5.5350000000000001</v>
      </c>
      <c r="J3578" s="7">
        <v>5.23</v>
      </c>
      <c r="K3578" s="7">
        <v>5.2649999999999997</v>
      </c>
      <c r="L3578" s="7">
        <v>5.242</v>
      </c>
      <c r="M3578" s="7">
        <v>5.524</v>
      </c>
      <c r="N3578" s="7">
        <v>6.1660000000000004</v>
      </c>
      <c r="O3578" s="7">
        <v>6.6109999999999998</v>
      </c>
      <c r="P3578" s="7">
        <v>6.5190000000000001</v>
      </c>
      <c r="Q3578" s="7">
        <v>6.3760000000000003</v>
      </c>
      <c r="R3578" s="7">
        <v>5.7759999999999998</v>
      </c>
      <c r="S3578" s="7">
        <f t="shared" si="55"/>
        <v>5.7432499999999997</v>
      </c>
    </row>
    <row r="3579" spans="1:19">
      <c r="A3579" s="5" t="str">
        <f>B3579&amp;"-"&amp;COUNTIF($B$2:B3579,B3579)</f>
        <v>PIAUI-210</v>
      </c>
      <c r="B3579" s="5" t="s">
        <v>2256</v>
      </c>
      <c r="C3579" s="5" t="s">
        <v>5440</v>
      </c>
      <c r="D3579" s="6">
        <v>-408182</v>
      </c>
      <c r="E3579" s="6">
        <v>-7595</v>
      </c>
      <c r="F3579" s="7">
        <v>5.851</v>
      </c>
      <c r="G3579" s="7">
        <v>5.7350000000000003</v>
      </c>
      <c r="H3579" s="7">
        <v>5.5190000000000001</v>
      </c>
      <c r="I3579" s="7">
        <v>5.601</v>
      </c>
      <c r="J3579" s="7">
        <v>5.351</v>
      </c>
      <c r="K3579" s="7">
        <v>5.2270000000000003</v>
      </c>
      <c r="L3579" s="7">
        <v>5.1920000000000002</v>
      </c>
      <c r="M3579" s="7">
        <v>5.585</v>
      </c>
      <c r="N3579" s="7">
        <v>6.2690000000000001</v>
      </c>
      <c r="O3579" s="7">
        <v>6.7050000000000001</v>
      </c>
      <c r="P3579" s="7">
        <v>6.6070000000000002</v>
      </c>
      <c r="Q3579" s="7">
        <v>6.3780000000000001</v>
      </c>
      <c r="R3579" s="7">
        <v>6.0469999999999997</v>
      </c>
      <c r="S3579" s="7">
        <f t="shared" si="55"/>
        <v>5.8513333333333328</v>
      </c>
    </row>
    <row r="3580" spans="1:19">
      <c r="A3580" s="5" t="str">
        <f>B3580&amp;"-"&amp;COUNTIF($B$2:B3580,B3580)</f>
        <v>PIAUI-211</v>
      </c>
      <c r="B3580" s="5" t="s">
        <v>2256</v>
      </c>
      <c r="C3580" s="5" t="s">
        <v>2379</v>
      </c>
      <c r="D3580" s="6">
        <v>-419086</v>
      </c>
      <c r="E3580" s="6">
        <v>-78595</v>
      </c>
      <c r="F3580" s="7">
        <v>5.851</v>
      </c>
      <c r="G3580" s="7">
        <v>5.7750000000000004</v>
      </c>
      <c r="H3580" s="7">
        <v>5.5780000000000003</v>
      </c>
      <c r="I3580" s="7">
        <v>5.5990000000000002</v>
      </c>
      <c r="J3580" s="7">
        <v>5.3559999999999999</v>
      </c>
      <c r="K3580" s="7">
        <v>5.2560000000000002</v>
      </c>
      <c r="L3580" s="7">
        <v>5.258</v>
      </c>
      <c r="M3580" s="7">
        <v>5.57</v>
      </c>
      <c r="N3580" s="7">
        <v>6.3250000000000002</v>
      </c>
      <c r="O3580" s="7">
        <v>6.6580000000000004</v>
      </c>
      <c r="P3580" s="7">
        <v>6.5250000000000004</v>
      </c>
      <c r="Q3580" s="7">
        <v>6.3150000000000004</v>
      </c>
      <c r="R3580" s="7">
        <v>5.9930000000000003</v>
      </c>
      <c r="S3580" s="7">
        <f t="shared" si="55"/>
        <v>5.8506666666666662</v>
      </c>
    </row>
    <row r="3581" spans="1:19">
      <c r="A3581" s="5" t="str">
        <f>B3581&amp;"-"&amp;COUNTIF($B$2:B3581,B3581)</f>
        <v>PIAUI-212</v>
      </c>
      <c r="B3581" s="5" t="s">
        <v>2256</v>
      </c>
      <c r="C3581" s="5" t="s">
        <v>2380</v>
      </c>
      <c r="D3581" s="6">
        <v>-425027</v>
      </c>
      <c r="E3581" s="6">
        <v>-78646</v>
      </c>
      <c r="F3581" s="7">
        <v>5.79</v>
      </c>
      <c r="G3581" s="7">
        <v>5.6059999999999999</v>
      </c>
      <c r="H3581" s="7">
        <v>5.5179999999999998</v>
      </c>
      <c r="I3581" s="7">
        <v>5.4859999999999998</v>
      </c>
      <c r="J3581" s="7">
        <v>5.3090000000000002</v>
      </c>
      <c r="K3581" s="7">
        <v>5.2830000000000004</v>
      </c>
      <c r="L3581" s="7">
        <v>5.2850000000000001</v>
      </c>
      <c r="M3581" s="7">
        <v>5.6079999999999997</v>
      </c>
      <c r="N3581" s="7">
        <v>6.335</v>
      </c>
      <c r="O3581" s="7">
        <v>6.6280000000000001</v>
      </c>
      <c r="P3581" s="7">
        <v>6.5030000000000001</v>
      </c>
      <c r="Q3581" s="7">
        <v>6.0940000000000003</v>
      </c>
      <c r="R3581" s="7">
        <v>5.819</v>
      </c>
      <c r="S3581" s="7">
        <f t="shared" si="55"/>
        <v>5.7895000000000003</v>
      </c>
    </row>
    <row r="3582" spans="1:19">
      <c r="A3582" s="5" t="str">
        <f>B3582&amp;"-"&amp;COUNTIF($B$2:B3582,B3582)</f>
        <v>PIAUI-213</v>
      </c>
      <c r="B3582" s="5" t="s">
        <v>2256</v>
      </c>
      <c r="C3582" s="5" t="s">
        <v>2381</v>
      </c>
      <c r="D3582" s="6">
        <v>-414058</v>
      </c>
      <c r="E3582" s="6">
        <v>-70283</v>
      </c>
      <c r="F3582" s="7">
        <v>5.7949999999999999</v>
      </c>
      <c r="G3582" s="7">
        <v>5.556</v>
      </c>
      <c r="H3582" s="7">
        <v>5.4550000000000001</v>
      </c>
      <c r="I3582" s="7">
        <v>5.5519999999999996</v>
      </c>
      <c r="J3582" s="7">
        <v>5.3310000000000004</v>
      </c>
      <c r="K3582" s="7">
        <v>5.1369999999999996</v>
      </c>
      <c r="L3582" s="7">
        <v>5.1029999999999998</v>
      </c>
      <c r="M3582" s="7">
        <v>5.5149999999999997</v>
      </c>
      <c r="N3582" s="7">
        <v>6.3470000000000004</v>
      </c>
      <c r="O3582" s="7">
        <v>6.7329999999999997</v>
      </c>
      <c r="P3582" s="7">
        <v>6.4909999999999997</v>
      </c>
      <c r="Q3582" s="7">
        <v>6.3470000000000004</v>
      </c>
      <c r="R3582" s="7">
        <v>5.9740000000000002</v>
      </c>
      <c r="S3582" s="7">
        <f t="shared" si="55"/>
        <v>5.7950833333333334</v>
      </c>
    </row>
    <row r="3583" spans="1:19">
      <c r="A3583" s="5" t="str">
        <f>B3583&amp;"-"&amp;COUNTIF($B$2:B3583,B3583)</f>
        <v>PIAUI-214</v>
      </c>
      <c r="B3583" s="5" t="s">
        <v>2256</v>
      </c>
      <c r="C3583" s="5" t="s">
        <v>2382</v>
      </c>
      <c r="D3583" s="6">
        <v>-429123</v>
      </c>
      <c r="E3583" s="6">
        <v>-83996</v>
      </c>
      <c r="F3583" s="7">
        <v>5.7720000000000002</v>
      </c>
      <c r="G3583" s="7">
        <v>5.5970000000000004</v>
      </c>
      <c r="H3583" s="7">
        <v>5.5869999999999997</v>
      </c>
      <c r="I3583" s="7">
        <v>5.4359999999999999</v>
      </c>
      <c r="J3583" s="7">
        <v>5.3369999999999997</v>
      </c>
      <c r="K3583" s="7">
        <v>5.25</v>
      </c>
      <c r="L3583" s="7">
        <v>5.2</v>
      </c>
      <c r="M3583" s="7">
        <v>5.5869999999999997</v>
      </c>
      <c r="N3583" s="7">
        <v>6.4450000000000003</v>
      </c>
      <c r="O3583" s="7">
        <v>6.6050000000000004</v>
      </c>
      <c r="P3583" s="7">
        <v>6.4080000000000004</v>
      </c>
      <c r="Q3583" s="7">
        <v>6.0019999999999998</v>
      </c>
      <c r="R3583" s="7">
        <v>5.8150000000000004</v>
      </c>
      <c r="S3583" s="7">
        <f t="shared" si="55"/>
        <v>5.7724166666666674</v>
      </c>
    </row>
    <row r="3584" spans="1:19">
      <c r="A3584" s="5" t="str">
        <f>B3584&amp;"-"&amp;COUNTIF($B$2:B3584,B3584)</f>
        <v>PIAUI-215</v>
      </c>
      <c r="B3584" s="5" t="s">
        <v>2256</v>
      </c>
      <c r="C3584" s="5" t="s">
        <v>2383</v>
      </c>
      <c r="D3584" s="6">
        <v>-422799</v>
      </c>
      <c r="E3584" s="6">
        <v>-65983</v>
      </c>
      <c r="F3584" s="7">
        <v>5.6429999999999998</v>
      </c>
      <c r="G3584" s="7">
        <v>5.1379999999999999</v>
      </c>
      <c r="H3584" s="7">
        <v>5.165</v>
      </c>
      <c r="I3584" s="7">
        <v>5.1150000000000002</v>
      </c>
      <c r="J3584" s="7">
        <v>5.1150000000000002</v>
      </c>
      <c r="K3584" s="7">
        <v>5.2560000000000002</v>
      </c>
      <c r="L3584" s="7">
        <v>5.3209999999999997</v>
      </c>
      <c r="M3584" s="7">
        <v>5.7</v>
      </c>
      <c r="N3584" s="7">
        <v>6.1890000000000001</v>
      </c>
      <c r="O3584" s="7">
        <v>6.64</v>
      </c>
      <c r="P3584" s="7">
        <v>6.3369999999999997</v>
      </c>
      <c r="Q3584" s="7">
        <v>6.085</v>
      </c>
      <c r="R3584" s="7">
        <v>5.6589999999999998</v>
      </c>
      <c r="S3584" s="7">
        <f t="shared" si="55"/>
        <v>5.6433333333333335</v>
      </c>
    </row>
    <row r="3585" spans="1:19">
      <c r="A3585" s="5" t="str">
        <f>B3585&amp;"-"&amp;COUNTIF($B$2:B3585,B3585)</f>
        <v>PIAUI-216</v>
      </c>
      <c r="B3585" s="5" t="s">
        <v>2256</v>
      </c>
      <c r="C3585" s="5" t="s">
        <v>2384</v>
      </c>
      <c r="D3585" s="6">
        <v>-42804</v>
      </c>
      <c r="E3585" s="6">
        <v>-50927</v>
      </c>
      <c r="F3585" s="7">
        <v>5.5720000000000001</v>
      </c>
      <c r="G3585" s="7">
        <v>5.1079999999999997</v>
      </c>
      <c r="H3585" s="7">
        <v>5.2169999999999996</v>
      </c>
      <c r="I3585" s="7">
        <v>5.1509999999999998</v>
      </c>
      <c r="J3585" s="7">
        <v>5.0350000000000001</v>
      </c>
      <c r="K3585" s="7">
        <v>5.0529999999999999</v>
      </c>
      <c r="L3585" s="7">
        <v>5.1710000000000003</v>
      </c>
      <c r="M3585" s="7">
        <v>5.4649999999999999</v>
      </c>
      <c r="N3585" s="7">
        <v>6.03</v>
      </c>
      <c r="O3585" s="7">
        <v>6.46</v>
      </c>
      <c r="P3585" s="7">
        <v>6.3529999999999998</v>
      </c>
      <c r="Q3585" s="7">
        <v>6.1630000000000003</v>
      </c>
      <c r="R3585" s="7">
        <v>5.6520000000000001</v>
      </c>
      <c r="S3585" s="7">
        <f t="shared" si="55"/>
        <v>5.5715000000000003</v>
      </c>
    </row>
    <row r="3586" spans="1:19">
      <c r="A3586" s="5" t="str">
        <f>B3586&amp;"-"&amp;COUNTIF($B$2:B3586,B3586)</f>
        <v>PIAUI-217</v>
      </c>
      <c r="B3586" s="5" t="s">
        <v>2256</v>
      </c>
      <c r="C3586" s="5" t="s">
        <v>4134</v>
      </c>
      <c r="D3586" s="6">
        <v>-428586</v>
      </c>
      <c r="E3586" s="6">
        <v>-45861</v>
      </c>
      <c r="F3586" s="7">
        <v>5.593</v>
      </c>
      <c r="G3586" s="7">
        <v>5.1849999999999996</v>
      </c>
      <c r="H3586" s="7">
        <v>5.24</v>
      </c>
      <c r="I3586" s="7">
        <v>5.2460000000000004</v>
      </c>
      <c r="J3586" s="7">
        <v>5.133</v>
      </c>
      <c r="K3586" s="7">
        <v>5.0490000000000004</v>
      </c>
      <c r="L3586" s="7">
        <v>5.1840000000000002</v>
      </c>
      <c r="M3586" s="7">
        <v>5.4619999999999997</v>
      </c>
      <c r="N3586" s="7">
        <v>6.1</v>
      </c>
      <c r="O3586" s="7">
        <v>6.4340000000000002</v>
      </c>
      <c r="P3586" s="7">
        <v>6.3319999999999999</v>
      </c>
      <c r="Q3586" s="7">
        <v>6.0880000000000001</v>
      </c>
      <c r="R3586" s="7">
        <v>5.665</v>
      </c>
      <c r="S3586" s="7">
        <f t="shared" si="55"/>
        <v>5.5931666666666677</v>
      </c>
    </row>
    <row r="3587" spans="1:19">
      <c r="A3587" s="5" t="str">
        <f>B3587&amp;"-"&amp;COUNTIF($B$2:B3587,B3587)</f>
        <v>PIAUI-218</v>
      </c>
      <c r="B3587" s="5" t="s">
        <v>2256</v>
      </c>
      <c r="C3587" s="5" t="s">
        <v>4746</v>
      </c>
      <c r="D3587" s="6">
        <v>-44558</v>
      </c>
      <c r="E3587" s="6">
        <v>-72399</v>
      </c>
      <c r="F3587" s="7">
        <v>5.5030000000000001</v>
      </c>
      <c r="G3587" s="7">
        <v>5.0270000000000001</v>
      </c>
      <c r="H3587" s="7">
        <v>5.0890000000000004</v>
      </c>
      <c r="I3587" s="7">
        <v>5.0190000000000001</v>
      </c>
      <c r="J3587" s="7">
        <v>5.1180000000000003</v>
      </c>
      <c r="K3587" s="7">
        <v>5.2779999999999996</v>
      </c>
      <c r="L3587" s="7">
        <v>5.3849999999999998</v>
      </c>
      <c r="M3587" s="7">
        <v>5.6070000000000002</v>
      </c>
      <c r="N3587" s="7">
        <v>6.032</v>
      </c>
      <c r="O3587" s="7">
        <v>6.5579999999999998</v>
      </c>
      <c r="P3587" s="7">
        <v>6.04</v>
      </c>
      <c r="Q3587" s="7">
        <v>5.5730000000000004</v>
      </c>
      <c r="R3587" s="7">
        <v>5.3120000000000003</v>
      </c>
      <c r="S3587" s="7">
        <f t="shared" ref="S3587:S3650" si="56">(G3587+H3587+I3587+J3587+K3587+L3587+M3587+N3587+O3587+P3587+Q3587+R3587)/12</f>
        <v>5.5031666666666661</v>
      </c>
    </row>
    <row r="3588" spans="1:19">
      <c r="A3588" s="5" t="str">
        <f>B3588&amp;"-"&amp;COUNTIF($B$2:B3588,B3588)</f>
        <v>PIAUI-219</v>
      </c>
      <c r="B3588" s="5" t="s">
        <v>2256</v>
      </c>
      <c r="C3588" s="5" t="s">
        <v>5695</v>
      </c>
      <c r="D3588" s="6">
        <v>-429646</v>
      </c>
      <c r="E3588" s="6">
        <v>-92402</v>
      </c>
      <c r="F3588" s="7">
        <v>5.9089999999999998</v>
      </c>
      <c r="G3588" s="7">
        <v>6.02</v>
      </c>
      <c r="H3588" s="7">
        <v>5.7279999999999998</v>
      </c>
      <c r="I3588" s="7">
        <v>5.6440000000000001</v>
      </c>
      <c r="J3588" s="7">
        <v>5.4770000000000003</v>
      </c>
      <c r="K3588" s="7">
        <v>5.2640000000000002</v>
      </c>
      <c r="L3588" s="7">
        <v>5.258</v>
      </c>
      <c r="M3588" s="7">
        <v>5.6429999999999998</v>
      </c>
      <c r="N3588" s="7">
        <v>6.3769999999999998</v>
      </c>
      <c r="O3588" s="7">
        <v>6.657</v>
      </c>
      <c r="P3588" s="7">
        <v>6.4969999999999999</v>
      </c>
      <c r="Q3588" s="7">
        <v>6.2450000000000001</v>
      </c>
      <c r="R3588" s="7">
        <v>6.0979999999999999</v>
      </c>
      <c r="S3588" s="7">
        <f t="shared" si="56"/>
        <v>5.9089999999999998</v>
      </c>
    </row>
    <row r="3589" spans="1:19">
      <c r="A3589" s="5" t="str">
        <f>B3589&amp;"-"&amp;COUNTIF($B$2:B3589,B3589)</f>
        <v>PIAUI-220</v>
      </c>
      <c r="B3589" s="5" t="s">
        <v>2256</v>
      </c>
      <c r="C3589" s="5" t="s">
        <v>5571</v>
      </c>
      <c r="D3589" s="6">
        <v>-422483</v>
      </c>
      <c r="E3589" s="6">
        <v>-65494</v>
      </c>
      <c r="F3589" s="7">
        <v>5.641</v>
      </c>
      <c r="G3589" s="7">
        <v>5.1609999999999996</v>
      </c>
      <c r="H3589" s="7">
        <v>5.2080000000000002</v>
      </c>
      <c r="I3589" s="7">
        <v>5.1589999999999998</v>
      </c>
      <c r="J3589" s="7">
        <v>5.1440000000000001</v>
      </c>
      <c r="K3589" s="7">
        <v>5.2389999999999999</v>
      </c>
      <c r="L3589" s="7">
        <v>5.2839999999999998</v>
      </c>
      <c r="M3589" s="7">
        <v>5.6369999999999996</v>
      </c>
      <c r="N3589" s="7">
        <v>6.1920000000000002</v>
      </c>
      <c r="O3589" s="7">
        <v>6.5869999999999997</v>
      </c>
      <c r="P3589" s="7">
        <v>6.306</v>
      </c>
      <c r="Q3589" s="7">
        <v>6.0970000000000004</v>
      </c>
      <c r="R3589" s="7">
        <v>5.6749999999999998</v>
      </c>
      <c r="S3589" s="7">
        <f t="shared" si="56"/>
        <v>5.6407499999999997</v>
      </c>
    </row>
    <row r="3590" spans="1:19">
      <c r="A3590" s="5" t="str">
        <f>B3590&amp;"-"&amp;COUNTIF($B$2:B3590,B3590)</f>
        <v>PIAUI-221</v>
      </c>
      <c r="B3590" s="5" t="s">
        <v>2256</v>
      </c>
      <c r="C3590" s="5" t="s">
        <v>4747</v>
      </c>
      <c r="D3590" s="6">
        <v>-417378</v>
      </c>
      <c r="E3590" s="6">
        <v>-64034</v>
      </c>
      <c r="F3590" s="7">
        <v>5.6829999999999998</v>
      </c>
      <c r="G3590" s="7">
        <v>5.2309999999999999</v>
      </c>
      <c r="H3590" s="7">
        <v>5.2359999999999998</v>
      </c>
      <c r="I3590" s="7">
        <v>5.2590000000000003</v>
      </c>
      <c r="J3590" s="7">
        <v>5.2270000000000003</v>
      </c>
      <c r="K3590" s="7">
        <v>5.2080000000000002</v>
      </c>
      <c r="L3590" s="7">
        <v>5.2329999999999997</v>
      </c>
      <c r="M3590" s="7">
        <v>5.64</v>
      </c>
      <c r="N3590" s="7">
        <v>6.21</v>
      </c>
      <c r="O3590" s="7">
        <v>6.593</v>
      </c>
      <c r="P3590" s="7">
        <v>6.4130000000000003</v>
      </c>
      <c r="Q3590" s="7">
        <v>6.218</v>
      </c>
      <c r="R3590" s="7">
        <v>5.7329999999999997</v>
      </c>
      <c r="S3590" s="7">
        <f t="shared" si="56"/>
        <v>5.683416666666667</v>
      </c>
    </row>
    <row r="3591" spans="1:19">
      <c r="A3591" s="5" t="str">
        <f>B3591&amp;"-"&amp;COUNTIF($B$2:B3591,B3591)</f>
        <v>PIAUI-222</v>
      </c>
      <c r="B3591" s="5" t="s">
        <v>2256</v>
      </c>
      <c r="C3591" s="5" t="s">
        <v>2385</v>
      </c>
      <c r="D3591" s="6">
        <v>-414677</v>
      </c>
      <c r="E3591" s="6">
        <v>-75979</v>
      </c>
      <c r="F3591" s="7">
        <v>5.8490000000000002</v>
      </c>
      <c r="G3591" s="7">
        <v>5.7119999999999997</v>
      </c>
      <c r="H3591" s="7">
        <v>5.5330000000000004</v>
      </c>
      <c r="I3591" s="7">
        <v>5.56</v>
      </c>
      <c r="J3591" s="7">
        <v>5.3179999999999996</v>
      </c>
      <c r="K3591" s="7">
        <v>5.2210000000000001</v>
      </c>
      <c r="L3591" s="7">
        <v>5.2590000000000003</v>
      </c>
      <c r="M3591" s="7">
        <v>5.5919999999999996</v>
      </c>
      <c r="N3591" s="7">
        <v>6.2930000000000001</v>
      </c>
      <c r="O3591" s="7">
        <v>6.7279999999999998</v>
      </c>
      <c r="P3591" s="7">
        <v>6.5650000000000004</v>
      </c>
      <c r="Q3591" s="7">
        <v>6.4029999999999996</v>
      </c>
      <c r="R3591" s="7">
        <v>6.0060000000000002</v>
      </c>
      <c r="S3591" s="7">
        <f t="shared" si="56"/>
        <v>5.8491666666666662</v>
      </c>
    </row>
    <row r="3592" spans="1:19">
      <c r="A3592" s="5" t="str">
        <f>B3592&amp;"-"&amp;COUNTIF($B$2:B3592,B3592)</f>
        <v>PIAUI-223</v>
      </c>
      <c r="B3592" s="5" t="s">
        <v>2256</v>
      </c>
      <c r="C3592" s="5" t="s">
        <v>2386</v>
      </c>
      <c r="D3592" s="6">
        <v>-409395</v>
      </c>
      <c r="E3592" s="6">
        <v>-71423</v>
      </c>
      <c r="F3592" s="7">
        <v>5.7629999999999999</v>
      </c>
      <c r="G3592" s="7">
        <v>5.5570000000000004</v>
      </c>
      <c r="H3592" s="7">
        <v>5.4409999999999998</v>
      </c>
      <c r="I3592" s="7">
        <v>5.609</v>
      </c>
      <c r="J3592" s="7">
        <v>5.2910000000000004</v>
      </c>
      <c r="K3592" s="7">
        <v>5.0720000000000001</v>
      </c>
      <c r="L3592" s="7">
        <v>5.05</v>
      </c>
      <c r="M3592" s="7">
        <v>5.4939999999999998</v>
      </c>
      <c r="N3592" s="7">
        <v>6.1840000000000002</v>
      </c>
      <c r="O3592" s="7">
        <v>6.6559999999999997</v>
      </c>
      <c r="P3592" s="7">
        <v>6.4340000000000002</v>
      </c>
      <c r="Q3592" s="7">
        <v>6.3719999999999999</v>
      </c>
      <c r="R3592" s="7">
        <v>5.9950000000000001</v>
      </c>
      <c r="S3592" s="7">
        <f t="shared" si="56"/>
        <v>5.7629166666666656</v>
      </c>
    </row>
    <row r="3593" spans="1:19">
      <c r="A3593" s="5" t="str">
        <f>B3593&amp;"-"&amp;COUNTIF($B$2:B3593,B3593)</f>
        <v>PIAUI-224</v>
      </c>
      <c r="B3593" s="5" t="s">
        <v>2256</v>
      </c>
      <c r="C3593" s="5" t="s">
        <v>2387</v>
      </c>
      <c r="D3593" s="6">
        <v>-419054</v>
      </c>
      <c r="E3593" s="6">
        <v>-72319</v>
      </c>
      <c r="F3593" s="7">
        <v>5.8239999999999998</v>
      </c>
      <c r="G3593" s="7">
        <v>5.6150000000000002</v>
      </c>
      <c r="H3593" s="7">
        <v>5.4740000000000002</v>
      </c>
      <c r="I3593" s="7">
        <v>5.5449999999999999</v>
      </c>
      <c r="J3593" s="7">
        <v>5.3460000000000001</v>
      </c>
      <c r="K3593" s="7">
        <v>5.3250000000000002</v>
      </c>
      <c r="L3593" s="7">
        <v>5.2869999999999999</v>
      </c>
      <c r="M3593" s="7">
        <v>5.6180000000000003</v>
      </c>
      <c r="N3593" s="7">
        <v>6.1950000000000003</v>
      </c>
      <c r="O3593" s="7">
        <v>6.6950000000000003</v>
      </c>
      <c r="P3593" s="7">
        <v>6.5149999999999997</v>
      </c>
      <c r="Q3593" s="7">
        <v>6.3570000000000002</v>
      </c>
      <c r="R3593" s="7">
        <v>5.9219999999999997</v>
      </c>
      <c r="S3593" s="7">
        <f t="shared" si="56"/>
        <v>5.8245000000000005</v>
      </c>
    </row>
    <row r="3594" spans="1:19">
      <c r="A3594" s="5" t="str">
        <f>B3594&amp;"-"&amp;COUNTIF($B$2:B3594,B3594)</f>
        <v>RIO DE JANEIRO-1</v>
      </c>
      <c r="B3594" s="5" t="s">
        <v>2388</v>
      </c>
      <c r="C3594" s="5" t="s">
        <v>2389</v>
      </c>
      <c r="D3594" s="6">
        <v>-443199</v>
      </c>
      <c r="E3594" s="6">
        <v>-230016</v>
      </c>
      <c r="F3594" s="7">
        <v>4.3339999999999996</v>
      </c>
      <c r="G3594" s="7">
        <v>5.3559999999999999</v>
      </c>
      <c r="H3594" s="7">
        <v>5.6420000000000003</v>
      </c>
      <c r="I3594" s="7">
        <v>4.6379999999999999</v>
      </c>
      <c r="J3594" s="7">
        <v>4.2450000000000001</v>
      </c>
      <c r="K3594" s="7">
        <v>3.4820000000000002</v>
      </c>
      <c r="L3594" s="7">
        <v>3.2280000000000002</v>
      </c>
      <c r="M3594" s="7">
        <v>3.2549999999999999</v>
      </c>
      <c r="N3594" s="7">
        <v>4.0170000000000003</v>
      </c>
      <c r="O3594" s="7">
        <v>4.0309999999999997</v>
      </c>
      <c r="P3594" s="7">
        <v>4.4020000000000001</v>
      </c>
      <c r="Q3594" s="7">
        <v>4.5519999999999996</v>
      </c>
      <c r="R3594" s="7">
        <v>5.1559999999999997</v>
      </c>
      <c r="S3594" s="7">
        <f t="shared" si="56"/>
        <v>4.3336666666666668</v>
      </c>
    </row>
    <row r="3595" spans="1:19">
      <c r="A3595" s="5" t="str">
        <f>B3595&amp;"-"&amp;COUNTIF($B$2:B3595,B3595)</f>
        <v>RIO DE JANEIRO-2</v>
      </c>
      <c r="B3595" s="5" t="s">
        <v>2388</v>
      </c>
      <c r="C3595" s="5" t="s">
        <v>4456</v>
      </c>
      <c r="D3595" s="6">
        <v>-42102</v>
      </c>
      <c r="E3595" s="6">
        <v>-216257</v>
      </c>
      <c r="F3595" s="7">
        <v>4.8630000000000004</v>
      </c>
      <c r="G3595" s="7">
        <v>6.1440000000000001</v>
      </c>
      <c r="H3595" s="7">
        <v>6.2990000000000004</v>
      </c>
      <c r="I3595" s="7">
        <v>5.2039999999999997</v>
      </c>
      <c r="J3595" s="7">
        <v>4.484</v>
      </c>
      <c r="K3595" s="7">
        <v>3.7410000000000001</v>
      </c>
      <c r="L3595" s="7">
        <v>3.4729999999999999</v>
      </c>
      <c r="M3595" s="7">
        <v>3.609</v>
      </c>
      <c r="N3595" s="7">
        <v>4.3479999999999999</v>
      </c>
      <c r="O3595" s="7">
        <v>4.8070000000000004</v>
      </c>
      <c r="P3595" s="7">
        <v>5.157</v>
      </c>
      <c r="Q3595" s="7">
        <v>5.0869999999999997</v>
      </c>
      <c r="R3595" s="7">
        <v>6.0039999999999996</v>
      </c>
      <c r="S3595" s="7">
        <f t="shared" si="56"/>
        <v>4.8630833333333339</v>
      </c>
    </row>
    <row r="3596" spans="1:19">
      <c r="A3596" s="5" t="str">
        <f>B3596&amp;"-"&amp;COUNTIF($B$2:B3596,B3596)</f>
        <v>RIO DE JANEIRO-3</v>
      </c>
      <c r="B3596" s="5" t="s">
        <v>2388</v>
      </c>
      <c r="C3596" s="5" t="s">
        <v>2390</v>
      </c>
      <c r="D3596" s="6">
        <v>-42333</v>
      </c>
      <c r="E3596" s="6">
        <v>-228701</v>
      </c>
      <c r="F3596" s="7">
        <v>4.8600000000000003</v>
      </c>
      <c r="G3596" s="7">
        <v>6.2679999999999998</v>
      </c>
      <c r="H3596" s="7">
        <v>6.4729999999999999</v>
      </c>
      <c r="I3596" s="7">
        <v>5.2469999999999999</v>
      </c>
      <c r="J3596" s="7">
        <v>4.5179999999999998</v>
      </c>
      <c r="K3596" s="7">
        <v>3.6520000000000001</v>
      </c>
      <c r="L3596" s="7">
        <v>3.3940000000000001</v>
      </c>
      <c r="M3596" s="7">
        <v>3.4249999999999998</v>
      </c>
      <c r="N3596" s="7">
        <v>4.2569999999999997</v>
      </c>
      <c r="O3596" s="7">
        <v>4.5179999999999998</v>
      </c>
      <c r="P3596" s="7">
        <v>5.1550000000000002</v>
      </c>
      <c r="Q3596" s="7">
        <v>5.2960000000000003</v>
      </c>
      <c r="R3596" s="7">
        <v>6.1150000000000002</v>
      </c>
      <c r="S3596" s="7">
        <f t="shared" si="56"/>
        <v>4.8598333333333334</v>
      </c>
    </row>
    <row r="3597" spans="1:19">
      <c r="A3597" s="5" t="str">
        <f>B3597&amp;"-"&amp;COUNTIF($B$2:B3597,B3597)</f>
        <v>RIO DE JANEIRO-4</v>
      </c>
      <c r="B3597" s="5" t="s">
        <v>2388</v>
      </c>
      <c r="C3597" s="5" t="s">
        <v>2391</v>
      </c>
      <c r="D3597" s="6">
        <v>-43105</v>
      </c>
      <c r="E3597" s="6">
        <v>-222383</v>
      </c>
      <c r="F3597" s="7">
        <v>4.7539999999999996</v>
      </c>
      <c r="G3597" s="7">
        <v>5.84</v>
      </c>
      <c r="H3597" s="7">
        <v>6.1109999999999998</v>
      </c>
      <c r="I3597" s="7">
        <v>5.1260000000000003</v>
      </c>
      <c r="J3597" s="7">
        <v>4.4790000000000001</v>
      </c>
      <c r="K3597" s="7">
        <v>3.6429999999999998</v>
      </c>
      <c r="L3597" s="7">
        <v>3.4039999999999999</v>
      </c>
      <c r="M3597" s="7">
        <v>3.5369999999999999</v>
      </c>
      <c r="N3597" s="7">
        <v>4.3529999999999998</v>
      </c>
      <c r="O3597" s="7">
        <v>4.6660000000000004</v>
      </c>
      <c r="P3597" s="7">
        <v>5.0490000000000004</v>
      </c>
      <c r="Q3597" s="7">
        <v>5.0460000000000003</v>
      </c>
      <c r="R3597" s="7">
        <v>5.7969999999999997</v>
      </c>
      <c r="S3597" s="7">
        <f t="shared" si="56"/>
        <v>4.7542499999999999</v>
      </c>
    </row>
    <row r="3598" spans="1:19">
      <c r="A3598" s="5" t="str">
        <f>B3598&amp;"-"&amp;COUNTIF($B$2:B3598,B3598)</f>
        <v>RIO DE JANEIRO-5</v>
      </c>
      <c r="B3598" s="5" t="s">
        <v>2388</v>
      </c>
      <c r="C3598" s="5" t="s">
        <v>4868</v>
      </c>
      <c r="D3598" s="6">
        <v>-418849</v>
      </c>
      <c r="E3598" s="6">
        <v>-227533</v>
      </c>
      <c r="F3598" s="7">
        <v>5.0640000000000001</v>
      </c>
      <c r="G3598" s="7">
        <v>6.4950000000000001</v>
      </c>
      <c r="H3598" s="7">
        <v>6.7750000000000004</v>
      </c>
      <c r="I3598" s="7">
        <v>5.3789999999999996</v>
      </c>
      <c r="J3598" s="7">
        <v>4.74</v>
      </c>
      <c r="K3598" s="7">
        <v>3.7909999999999999</v>
      </c>
      <c r="L3598" s="7">
        <v>3.45</v>
      </c>
      <c r="M3598" s="7">
        <v>3.5350000000000001</v>
      </c>
      <c r="N3598" s="7">
        <v>4.4630000000000001</v>
      </c>
      <c r="O3598" s="7">
        <v>4.7430000000000003</v>
      </c>
      <c r="P3598" s="7">
        <v>5.4349999999999996</v>
      </c>
      <c r="Q3598" s="7">
        <v>5.57</v>
      </c>
      <c r="R3598" s="7">
        <v>6.3879999999999999</v>
      </c>
      <c r="S3598" s="7">
        <f t="shared" si="56"/>
        <v>5.0636666666666672</v>
      </c>
    </row>
    <row r="3599" spans="1:19">
      <c r="A3599" s="5" t="str">
        <f>B3599&amp;"-"&amp;COUNTIF($B$2:B3599,B3599)</f>
        <v>RIO DE JANEIRO-6</v>
      </c>
      <c r="B3599" s="5" t="s">
        <v>2388</v>
      </c>
      <c r="C3599" s="5" t="s">
        <v>2392</v>
      </c>
      <c r="D3599" s="6">
        <v>-420271</v>
      </c>
      <c r="E3599" s="6">
        <v>-229779</v>
      </c>
      <c r="F3599" s="7">
        <v>5.0229999999999997</v>
      </c>
      <c r="G3599" s="7">
        <v>6.4279999999999999</v>
      </c>
      <c r="H3599" s="7">
        <v>6.7270000000000003</v>
      </c>
      <c r="I3599" s="7">
        <v>5.3780000000000001</v>
      </c>
      <c r="J3599" s="7">
        <v>4.6440000000000001</v>
      </c>
      <c r="K3599" s="7">
        <v>3.73</v>
      </c>
      <c r="L3599" s="7">
        <v>3.4089999999999998</v>
      </c>
      <c r="M3599" s="7">
        <v>3.4889999999999999</v>
      </c>
      <c r="N3599" s="7">
        <v>4.3780000000000001</v>
      </c>
      <c r="O3599" s="7">
        <v>4.6959999999999997</v>
      </c>
      <c r="P3599" s="7">
        <v>5.367</v>
      </c>
      <c r="Q3599" s="7">
        <v>5.6379999999999999</v>
      </c>
      <c r="R3599" s="7">
        <v>6.3970000000000002</v>
      </c>
      <c r="S3599" s="7">
        <f t="shared" si="56"/>
        <v>5.023416666666666</v>
      </c>
    </row>
    <row r="3600" spans="1:19">
      <c r="A3600" s="5" t="str">
        <f>B3600&amp;"-"&amp;COUNTIF($B$2:B3600,B3600)</f>
        <v>RIO DE JANEIRO-7</v>
      </c>
      <c r="B3600" s="5" t="s">
        <v>2388</v>
      </c>
      <c r="C3600" s="5" t="s">
        <v>2393</v>
      </c>
      <c r="D3600" s="6">
        <v>-438273</v>
      </c>
      <c r="E3600" s="6">
        <v>-22472</v>
      </c>
      <c r="F3600" s="7">
        <v>4.6529999999999996</v>
      </c>
      <c r="G3600" s="7">
        <v>5.782</v>
      </c>
      <c r="H3600" s="7">
        <v>6.0490000000000004</v>
      </c>
      <c r="I3600" s="7">
        <v>4.9409999999999998</v>
      </c>
      <c r="J3600" s="7">
        <v>4.3499999999999996</v>
      </c>
      <c r="K3600" s="7">
        <v>3.589</v>
      </c>
      <c r="L3600" s="7">
        <v>3.347</v>
      </c>
      <c r="M3600" s="7">
        <v>3.4169999999999998</v>
      </c>
      <c r="N3600" s="7">
        <v>4.2469999999999999</v>
      </c>
      <c r="O3600" s="7">
        <v>4.4909999999999997</v>
      </c>
      <c r="P3600" s="7">
        <v>4.8970000000000002</v>
      </c>
      <c r="Q3600" s="7">
        <v>5.0069999999999997</v>
      </c>
      <c r="R3600" s="7">
        <v>5.7130000000000001</v>
      </c>
      <c r="S3600" s="7">
        <f t="shared" si="56"/>
        <v>4.6524999999999999</v>
      </c>
    </row>
    <row r="3601" spans="1:19">
      <c r="A3601" s="5" t="str">
        <f>B3601&amp;"-"&amp;COUNTIF($B$2:B3601,B3601)</f>
        <v>RIO DE JANEIRO-8</v>
      </c>
      <c r="B3601" s="5" t="s">
        <v>2388</v>
      </c>
      <c r="C3601" s="5" t="s">
        <v>2394</v>
      </c>
      <c r="D3601" s="6">
        <v>-441756</v>
      </c>
      <c r="E3601" s="6">
        <v>-225486</v>
      </c>
      <c r="F3601" s="7">
        <v>4.6520000000000001</v>
      </c>
      <c r="G3601" s="7">
        <v>5.6310000000000002</v>
      </c>
      <c r="H3601" s="7">
        <v>5.952</v>
      </c>
      <c r="I3601" s="7">
        <v>4.9029999999999996</v>
      </c>
      <c r="J3601" s="7">
        <v>4.3449999999999998</v>
      </c>
      <c r="K3601" s="7">
        <v>3.5960000000000001</v>
      </c>
      <c r="L3601" s="7">
        <v>3.3879999999999999</v>
      </c>
      <c r="M3601" s="7">
        <v>3.4289999999999998</v>
      </c>
      <c r="N3601" s="7">
        <v>4.3499999999999996</v>
      </c>
      <c r="O3601" s="7">
        <v>4.5629999999999997</v>
      </c>
      <c r="P3601" s="7">
        <v>4.9640000000000004</v>
      </c>
      <c r="Q3601" s="7">
        <v>5.0049999999999999</v>
      </c>
      <c r="R3601" s="7">
        <v>5.7</v>
      </c>
      <c r="S3601" s="7">
        <f t="shared" si="56"/>
        <v>4.652166666666667</v>
      </c>
    </row>
    <row r="3602" spans="1:19">
      <c r="A3602" s="5" t="str">
        <f>B3602&amp;"-"&amp;COUNTIF($B$2:B3602,B3602)</f>
        <v>RIO DE JANEIRO-9</v>
      </c>
      <c r="B3602" s="5" t="s">
        <v>2388</v>
      </c>
      <c r="C3602" s="5" t="s">
        <v>2395</v>
      </c>
      <c r="D3602" s="6">
        <v>-433996</v>
      </c>
      <c r="E3602" s="6">
        <v>-227645</v>
      </c>
      <c r="F3602" s="7">
        <v>4.6150000000000002</v>
      </c>
      <c r="G3602" s="7">
        <v>5.8479999999999999</v>
      </c>
      <c r="H3602" s="7">
        <v>6.0490000000000004</v>
      </c>
      <c r="I3602" s="7">
        <v>4.899</v>
      </c>
      <c r="J3602" s="7">
        <v>4.3209999999999997</v>
      </c>
      <c r="K3602" s="7">
        <v>3.585</v>
      </c>
      <c r="L3602" s="7">
        <v>3.3359999999999999</v>
      </c>
      <c r="M3602" s="7">
        <v>3.3250000000000002</v>
      </c>
      <c r="N3602" s="7">
        <v>4.1740000000000004</v>
      </c>
      <c r="O3602" s="7">
        <v>4.3529999999999998</v>
      </c>
      <c r="P3602" s="7">
        <v>4.9089999999999998</v>
      </c>
      <c r="Q3602" s="7">
        <v>4.9249999999999998</v>
      </c>
      <c r="R3602" s="7">
        <v>5.6580000000000004</v>
      </c>
      <c r="S3602" s="7">
        <f t="shared" si="56"/>
        <v>4.6151666666666662</v>
      </c>
    </row>
    <row r="3603" spans="1:19">
      <c r="A3603" s="5" t="str">
        <f>B3603&amp;"-"&amp;COUNTIF($B$2:B3603,B3603)</f>
        <v>RIO DE JANEIRO-10</v>
      </c>
      <c r="B3603" s="5" t="s">
        <v>2388</v>
      </c>
      <c r="C3603" s="5" t="s">
        <v>895</v>
      </c>
      <c r="D3603" s="6">
        <v>-424255</v>
      </c>
      <c r="E3603" s="6">
        <v>-22155</v>
      </c>
      <c r="F3603" s="7">
        <v>4.5460000000000003</v>
      </c>
      <c r="G3603" s="7">
        <v>5.7119999999999997</v>
      </c>
      <c r="H3603" s="7">
        <v>5.952</v>
      </c>
      <c r="I3603" s="7">
        <v>4.8460000000000001</v>
      </c>
      <c r="J3603" s="7">
        <v>4.2320000000000002</v>
      </c>
      <c r="K3603" s="7">
        <v>3.5169999999999999</v>
      </c>
      <c r="L3603" s="7">
        <v>3.2890000000000001</v>
      </c>
      <c r="M3603" s="7">
        <v>3.4660000000000002</v>
      </c>
      <c r="N3603" s="7">
        <v>4.165</v>
      </c>
      <c r="O3603" s="7">
        <v>4.4669999999999996</v>
      </c>
      <c r="P3603" s="7">
        <v>4.7619999999999996</v>
      </c>
      <c r="Q3603" s="7">
        <v>4.68</v>
      </c>
      <c r="R3603" s="7">
        <v>5.4619999999999997</v>
      </c>
      <c r="S3603" s="7">
        <f t="shared" si="56"/>
        <v>4.5458333333333334</v>
      </c>
    </row>
    <row r="3604" spans="1:19">
      <c r="A3604" s="5" t="str">
        <f>B3604&amp;"-"&amp;COUNTIF($B$2:B3604,B3604)</f>
        <v>RIO DE JANEIRO-11</v>
      </c>
      <c r="B3604" s="5" t="s">
        <v>2388</v>
      </c>
      <c r="C3604" s="5" t="s">
        <v>2396</v>
      </c>
      <c r="D3604" s="6">
        <v>-416826</v>
      </c>
      <c r="E3604" s="6">
        <v>-211453</v>
      </c>
      <c r="F3604" s="7">
        <v>4.87</v>
      </c>
      <c r="G3604" s="7">
        <v>6.1120000000000001</v>
      </c>
      <c r="H3604" s="7">
        <v>6.2530000000000001</v>
      </c>
      <c r="I3604" s="7">
        <v>5.1269999999999998</v>
      </c>
      <c r="J3604" s="7">
        <v>4.49</v>
      </c>
      <c r="K3604" s="7">
        <v>3.8610000000000002</v>
      </c>
      <c r="L3604" s="7">
        <v>3.6219999999999999</v>
      </c>
      <c r="M3604" s="7">
        <v>3.7189999999999999</v>
      </c>
      <c r="N3604" s="7">
        <v>4.4880000000000004</v>
      </c>
      <c r="O3604" s="7">
        <v>4.899</v>
      </c>
      <c r="P3604" s="7">
        <v>5.0970000000000004</v>
      </c>
      <c r="Q3604" s="7">
        <v>4.9720000000000004</v>
      </c>
      <c r="R3604" s="7">
        <v>5.8</v>
      </c>
      <c r="S3604" s="7">
        <f t="shared" si="56"/>
        <v>4.87</v>
      </c>
    </row>
    <row r="3605" spans="1:19">
      <c r="A3605" s="5" t="str">
        <f>B3605&amp;"-"&amp;COUNTIF($B$2:B3605,B3605)</f>
        <v>RIO DE JANEIRO-12</v>
      </c>
      <c r="B3605" s="5" t="s">
        <v>2388</v>
      </c>
      <c r="C3605" s="5" t="s">
        <v>2397</v>
      </c>
      <c r="D3605" s="6">
        <v>-42029</v>
      </c>
      <c r="E3605" s="6">
        <v>-228899</v>
      </c>
      <c r="F3605" s="7">
        <v>4.9210000000000003</v>
      </c>
      <c r="G3605" s="7">
        <v>6.359</v>
      </c>
      <c r="H3605" s="7">
        <v>6.4980000000000002</v>
      </c>
      <c r="I3605" s="7">
        <v>5.2519999999999998</v>
      </c>
      <c r="J3605" s="7">
        <v>4.5259999999999998</v>
      </c>
      <c r="K3605" s="7">
        <v>3.6949999999999998</v>
      </c>
      <c r="L3605" s="7">
        <v>3.3620000000000001</v>
      </c>
      <c r="M3605" s="7">
        <v>3.4279999999999999</v>
      </c>
      <c r="N3605" s="7">
        <v>4.3010000000000002</v>
      </c>
      <c r="O3605" s="7">
        <v>4.6139999999999999</v>
      </c>
      <c r="P3605" s="7">
        <v>5.2910000000000004</v>
      </c>
      <c r="Q3605" s="7">
        <v>5.4749999999999996</v>
      </c>
      <c r="R3605" s="7">
        <v>6.2480000000000002</v>
      </c>
      <c r="S3605" s="7">
        <f t="shared" si="56"/>
        <v>4.9207499999999991</v>
      </c>
    </row>
    <row r="3606" spans="1:19">
      <c r="A3606" s="5" t="str">
        <f>B3606&amp;"-"&amp;COUNTIF($B$2:B3606,B3606)</f>
        <v>RIO DE JANEIRO-13</v>
      </c>
      <c r="B3606" s="5" t="s">
        <v>2388</v>
      </c>
      <c r="C3606" s="5" t="s">
        <v>2398</v>
      </c>
      <c r="D3606" s="6">
        <v>-426527</v>
      </c>
      <c r="E3606" s="6">
        <v>-224663</v>
      </c>
      <c r="F3606" s="7">
        <v>4.569</v>
      </c>
      <c r="G3606" s="7">
        <v>5.6719999999999997</v>
      </c>
      <c r="H3606" s="7">
        <v>6.0039999999999996</v>
      </c>
      <c r="I3606" s="7">
        <v>4.8280000000000003</v>
      </c>
      <c r="J3606" s="7">
        <v>4.3310000000000004</v>
      </c>
      <c r="K3606" s="7">
        <v>3.5760000000000001</v>
      </c>
      <c r="L3606" s="7">
        <v>3.4649999999999999</v>
      </c>
      <c r="M3606" s="7">
        <v>3.4489999999999998</v>
      </c>
      <c r="N3606" s="7">
        <v>4.2649999999999997</v>
      </c>
      <c r="O3606" s="7">
        <v>4.4420000000000002</v>
      </c>
      <c r="P3606" s="7">
        <v>4.7750000000000004</v>
      </c>
      <c r="Q3606" s="7">
        <v>4.6449999999999996</v>
      </c>
      <c r="R3606" s="7">
        <v>5.3819999999999997</v>
      </c>
      <c r="S3606" s="7">
        <f t="shared" si="56"/>
        <v>4.5694999999999997</v>
      </c>
    </row>
    <row r="3607" spans="1:19">
      <c r="A3607" s="5" t="str">
        <f>B3607&amp;"-"&amp;COUNTIF($B$2:B3607,B3607)</f>
        <v>RIO DE JANEIRO-14</v>
      </c>
      <c r="B3607" s="5" t="s">
        <v>2388</v>
      </c>
      <c r="C3607" s="5" t="s">
        <v>2399</v>
      </c>
      <c r="D3607" s="6">
        <v>-419191</v>
      </c>
      <c r="E3607" s="6">
        <v>-215695</v>
      </c>
      <c r="F3607" s="7">
        <v>4.8369999999999997</v>
      </c>
      <c r="G3607" s="7">
        <v>6.1890000000000001</v>
      </c>
      <c r="H3607" s="7">
        <v>6.2489999999999997</v>
      </c>
      <c r="I3607" s="7">
        <v>5.141</v>
      </c>
      <c r="J3607" s="7">
        <v>4.4870000000000001</v>
      </c>
      <c r="K3607" s="7">
        <v>3.7869999999999999</v>
      </c>
      <c r="L3607" s="7">
        <v>3.532</v>
      </c>
      <c r="M3607" s="7">
        <v>3.6190000000000002</v>
      </c>
      <c r="N3607" s="7">
        <v>4.3479999999999999</v>
      </c>
      <c r="O3607" s="7">
        <v>4.7679999999999998</v>
      </c>
      <c r="P3607" s="7">
        <v>5.0579999999999998</v>
      </c>
      <c r="Q3607" s="7">
        <v>5</v>
      </c>
      <c r="R3607" s="7">
        <v>5.8620000000000001</v>
      </c>
      <c r="S3607" s="7">
        <f t="shared" si="56"/>
        <v>4.8366666666666669</v>
      </c>
    </row>
    <row r="3608" spans="1:19">
      <c r="A3608" s="5" t="str">
        <f>B3608&amp;"-"&amp;COUNTIF($B$2:B3608,B3608)</f>
        <v>RIO DE JANEIRO-15</v>
      </c>
      <c r="B3608" s="5" t="s">
        <v>2388</v>
      </c>
      <c r="C3608" s="5" t="s">
        <v>2400</v>
      </c>
      <c r="D3608" s="6">
        <v>-413184</v>
      </c>
      <c r="E3608" s="6">
        <v>-217627</v>
      </c>
      <c r="F3608" s="7">
        <v>4.9089999999999998</v>
      </c>
      <c r="G3608" s="7">
        <v>6.3289999999999997</v>
      </c>
      <c r="H3608" s="7">
        <v>6.5430000000000001</v>
      </c>
      <c r="I3608" s="7">
        <v>5.2450000000000001</v>
      </c>
      <c r="J3608" s="7">
        <v>4.5229999999999997</v>
      </c>
      <c r="K3608" s="7">
        <v>3.7909999999999999</v>
      </c>
      <c r="L3608" s="7">
        <v>3.536</v>
      </c>
      <c r="M3608" s="7">
        <v>3.585</v>
      </c>
      <c r="N3608" s="7">
        <v>4.367</v>
      </c>
      <c r="O3608" s="7">
        <v>4.6989999999999998</v>
      </c>
      <c r="P3608" s="7">
        <v>5.0990000000000002</v>
      </c>
      <c r="Q3608" s="7">
        <v>5.1529999999999996</v>
      </c>
      <c r="R3608" s="7">
        <v>6.0389999999999997</v>
      </c>
      <c r="S3608" s="7">
        <f t="shared" si="56"/>
        <v>4.9090833333333332</v>
      </c>
    </row>
    <row r="3609" spans="1:19">
      <c r="A3609" s="5" t="str">
        <f>B3609&amp;"-"&amp;COUNTIF($B$2:B3609,B3609)</f>
        <v>RIO DE JANEIRO-16</v>
      </c>
      <c r="B3609" s="5" t="s">
        <v>2388</v>
      </c>
      <c r="C3609" s="5" t="s">
        <v>1216</v>
      </c>
      <c r="D3609" s="6">
        <v>-423668</v>
      </c>
      <c r="E3609" s="6">
        <v>-219802</v>
      </c>
      <c r="F3609" s="7">
        <v>4.6680000000000001</v>
      </c>
      <c r="G3609" s="7">
        <v>5.8780000000000001</v>
      </c>
      <c r="H3609" s="7">
        <v>6.1369999999999996</v>
      </c>
      <c r="I3609" s="7">
        <v>5.01</v>
      </c>
      <c r="J3609" s="7">
        <v>4.33</v>
      </c>
      <c r="K3609" s="7">
        <v>3.62</v>
      </c>
      <c r="L3609" s="7">
        <v>3.3610000000000002</v>
      </c>
      <c r="M3609" s="7">
        <v>3.5369999999999999</v>
      </c>
      <c r="N3609" s="7">
        <v>4.2469999999999999</v>
      </c>
      <c r="O3609" s="7">
        <v>4.556</v>
      </c>
      <c r="P3609" s="7">
        <v>4.8529999999999998</v>
      </c>
      <c r="Q3609" s="7">
        <v>4.8250000000000002</v>
      </c>
      <c r="R3609" s="7">
        <v>5.665</v>
      </c>
      <c r="S3609" s="7">
        <f t="shared" si="56"/>
        <v>4.6682499999999996</v>
      </c>
    </row>
    <row r="3610" spans="1:19">
      <c r="A3610" s="5" t="str">
        <f>B3610&amp;"-"&amp;COUNTIF($B$2:B3610,B3610)</f>
        <v>RIO DE JANEIRO-17</v>
      </c>
      <c r="B3610" s="5" t="s">
        <v>2388</v>
      </c>
      <c r="C3610" s="5" t="s">
        <v>2401</v>
      </c>
      <c r="D3610" s="6">
        <v>-416634</v>
      </c>
      <c r="E3610" s="6">
        <v>-221826</v>
      </c>
      <c r="F3610" s="7">
        <v>4.8650000000000002</v>
      </c>
      <c r="G3610" s="7">
        <v>6.3</v>
      </c>
      <c r="H3610" s="7">
        <v>6.4859999999999998</v>
      </c>
      <c r="I3610" s="7">
        <v>5.1420000000000003</v>
      </c>
      <c r="J3610" s="7">
        <v>4.5599999999999996</v>
      </c>
      <c r="K3610" s="7">
        <v>3.778</v>
      </c>
      <c r="L3610" s="7">
        <v>3.5</v>
      </c>
      <c r="M3610" s="7">
        <v>3.5619999999999998</v>
      </c>
      <c r="N3610" s="7">
        <v>4.3609999999999998</v>
      </c>
      <c r="O3610" s="7">
        <v>4.6280000000000001</v>
      </c>
      <c r="P3610" s="7">
        <v>5.0599999999999996</v>
      </c>
      <c r="Q3610" s="7">
        <v>5.0670000000000002</v>
      </c>
      <c r="R3610" s="7">
        <v>5.9409999999999998</v>
      </c>
      <c r="S3610" s="7">
        <f t="shared" si="56"/>
        <v>4.8654166666666665</v>
      </c>
    </row>
    <row r="3611" spans="1:19">
      <c r="A3611" s="5" t="str">
        <f>B3611&amp;"-"&amp;COUNTIF($B$2:B3611,B3611)</f>
        <v>RIO DE JANEIRO-18</v>
      </c>
      <c r="B3611" s="5" t="s">
        <v>2388</v>
      </c>
      <c r="C3611" s="5" t="s">
        <v>2402</v>
      </c>
      <c r="D3611" s="6">
        <v>-416155</v>
      </c>
      <c r="E3611" s="6">
        <v>-214898</v>
      </c>
      <c r="F3611" s="7">
        <v>4.9169999999999998</v>
      </c>
      <c r="G3611" s="7">
        <v>6.3159999999999998</v>
      </c>
      <c r="H3611" s="7">
        <v>6.4249999999999998</v>
      </c>
      <c r="I3611" s="7">
        <v>5.2290000000000001</v>
      </c>
      <c r="J3611" s="7">
        <v>4.5209999999999999</v>
      </c>
      <c r="K3611" s="7">
        <v>3.827</v>
      </c>
      <c r="L3611" s="7">
        <v>3.5430000000000001</v>
      </c>
      <c r="M3611" s="7">
        <v>3.6440000000000001</v>
      </c>
      <c r="N3611" s="7">
        <v>4.3849999999999998</v>
      </c>
      <c r="O3611" s="7">
        <v>4.8289999999999997</v>
      </c>
      <c r="P3611" s="7">
        <v>5.1639999999999997</v>
      </c>
      <c r="Q3611" s="7">
        <v>5.1349999999999998</v>
      </c>
      <c r="R3611" s="7">
        <v>5.9859999999999998</v>
      </c>
      <c r="S3611" s="7">
        <f t="shared" si="56"/>
        <v>4.9169999999999989</v>
      </c>
    </row>
    <row r="3612" spans="1:19">
      <c r="A3612" s="5" t="str">
        <f>B3612&amp;"-"&amp;COUNTIF($B$2:B3612,B3612)</f>
        <v>RIO DE JANEIRO-19</v>
      </c>
      <c r="B3612" s="5" t="s">
        <v>2388</v>
      </c>
      <c r="C3612" s="5" t="s">
        <v>2403</v>
      </c>
      <c r="D3612" s="6">
        <v>-42605</v>
      </c>
      <c r="E3612" s="6">
        <v>-219314</v>
      </c>
      <c r="F3612" s="7">
        <v>4.7839999999999998</v>
      </c>
      <c r="G3612" s="7">
        <v>5.92</v>
      </c>
      <c r="H3612" s="7">
        <v>6.2169999999999996</v>
      </c>
      <c r="I3612" s="7">
        <v>5.226</v>
      </c>
      <c r="J3612" s="7">
        <v>4.5279999999999996</v>
      </c>
      <c r="K3612" s="7">
        <v>3.6970000000000001</v>
      </c>
      <c r="L3612" s="7">
        <v>3.4249999999999998</v>
      </c>
      <c r="M3612" s="7">
        <v>3.5859999999999999</v>
      </c>
      <c r="N3612" s="7">
        <v>4.3570000000000002</v>
      </c>
      <c r="O3612" s="7">
        <v>4.6929999999999996</v>
      </c>
      <c r="P3612" s="7">
        <v>4.99</v>
      </c>
      <c r="Q3612" s="7">
        <v>4.95</v>
      </c>
      <c r="R3612" s="7">
        <v>5.8159999999999998</v>
      </c>
      <c r="S3612" s="7">
        <f t="shared" si="56"/>
        <v>4.7837500000000004</v>
      </c>
    </row>
    <row r="3613" spans="1:19">
      <c r="A3613" s="5" t="str">
        <f>B3613&amp;"-"&amp;COUNTIF($B$2:B3613,B3613)</f>
        <v>RIO DE JANEIRO-20</v>
      </c>
      <c r="B3613" s="5" t="s">
        <v>2388</v>
      </c>
      <c r="C3613" s="5" t="s">
        <v>2404</v>
      </c>
      <c r="D3613" s="6">
        <v>-42207</v>
      </c>
      <c r="E3613" s="6">
        <v>-224817</v>
      </c>
      <c r="F3613" s="7">
        <v>4.5739999999999998</v>
      </c>
      <c r="G3613" s="7">
        <v>5.7640000000000002</v>
      </c>
      <c r="H3613" s="7">
        <v>6.077</v>
      </c>
      <c r="I3613" s="7">
        <v>4.8079999999999998</v>
      </c>
      <c r="J3613" s="7">
        <v>4.3319999999999999</v>
      </c>
      <c r="K3613" s="7">
        <v>3.6120000000000001</v>
      </c>
      <c r="L3613" s="7">
        <v>3.407</v>
      </c>
      <c r="M3613" s="7">
        <v>3.403</v>
      </c>
      <c r="N3613" s="7">
        <v>4.24</v>
      </c>
      <c r="O3613" s="7">
        <v>4.4169999999999998</v>
      </c>
      <c r="P3613" s="7">
        <v>4.8319999999999999</v>
      </c>
      <c r="Q3613" s="7">
        <v>4.617</v>
      </c>
      <c r="R3613" s="7">
        <v>5.3789999999999996</v>
      </c>
      <c r="S3613" s="7">
        <f t="shared" si="56"/>
        <v>4.5739999999999998</v>
      </c>
    </row>
    <row r="3614" spans="1:19">
      <c r="A3614" s="5" t="str">
        <f>B3614&amp;"-"&amp;COUNTIF($B$2:B3614,B3614)</f>
        <v>RIO DE JANEIRO-21</v>
      </c>
      <c r="B3614" s="5" t="s">
        <v>2388</v>
      </c>
      <c r="C3614" s="5" t="s">
        <v>2405</v>
      </c>
      <c r="D3614" s="6">
        <v>-432144</v>
      </c>
      <c r="E3614" s="6">
        <v>-220409</v>
      </c>
      <c r="F3614" s="7">
        <v>4.5970000000000004</v>
      </c>
      <c r="G3614" s="7">
        <v>5.6539999999999999</v>
      </c>
      <c r="H3614" s="7">
        <v>5.8719999999999999</v>
      </c>
      <c r="I3614" s="7">
        <v>4.8970000000000002</v>
      </c>
      <c r="J3614" s="7">
        <v>4.2969999999999997</v>
      </c>
      <c r="K3614" s="7">
        <v>3.536</v>
      </c>
      <c r="L3614" s="7">
        <v>3.375</v>
      </c>
      <c r="M3614" s="7">
        <v>3.5270000000000001</v>
      </c>
      <c r="N3614" s="7">
        <v>4.2270000000000003</v>
      </c>
      <c r="O3614" s="7">
        <v>4.5529999999999999</v>
      </c>
      <c r="P3614" s="7">
        <v>4.88</v>
      </c>
      <c r="Q3614" s="7">
        <v>4.8</v>
      </c>
      <c r="R3614" s="7">
        <v>5.5410000000000004</v>
      </c>
      <c r="S3614" s="7">
        <f t="shared" si="56"/>
        <v>4.5965833333333341</v>
      </c>
    </row>
    <row r="3615" spans="1:19">
      <c r="A3615" s="5" t="str">
        <f>B3615&amp;"-"&amp;COUNTIF($B$2:B3615,B3615)</f>
        <v>RIO DE JANEIRO-22</v>
      </c>
      <c r="B3615" s="5" t="s">
        <v>2388</v>
      </c>
      <c r="C3615" s="5" t="s">
        <v>4748</v>
      </c>
      <c r="D3615" s="6">
        <v>-418722</v>
      </c>
      <c r="E3615" s="6">
        <v>-220839</v>
      </c>
      <c r="F3615" s="7">
        <v>4.649</v>
      </c>
      <c r="G3615" s="7">
        <v>5.867</v>
      </c>
      <c r="H3615" s="7">
        <v>6.1950000000000003</v>
      </c>
      <c r="I3615" s="7">
        <v>4.9850000000000003</v>
      </c>
      <c r="J3615" s="7">
        <v>4.391</v>
      </c>
      <c r="K3615" s="7">
        <v>3.6970000000000001</v>
      </c>
      <c r="L3615" s="7">
        <v>3.4369999999999998</v>
      </c>
      <c r="M3615" s="7">
        <v>3.4870000000000001</v>
      </c>
      <c r="N3615" s="7">
        <v>4.2190000000000003</v>
      </c>
      <c r="O3615" s="7">
        <v>4.4710000000000001</v>
      </c>
      <c r="P3615" s="7">
        <v>4.7320000000000002</v>
      </c>
      <c r="Q3615" s="7">
        <v>4.7140000000000004</v>
      </c>
      <c r="R3615" s="7">
        <v>5.5979999999999999</v>
      </c>
      <c r="S3615" s="7">
        <f t="shared" si="56"/>
        <v>4.6494166666666672</v>
      </c>
    </row>
    <row r="3616" spans="1:19">
      <c r="A3616" s="5" t="str">
        <f>B3616&amp;"-"&amp;COUNTIF($B$2:B3616,B3616)</f>
        <v>RIO DE JANEIRO-23</v>
      </c>
      <c r="B3616" s="5" t="s">
        <v>2388</v>
      </c>
      <c r="C3616" s="5" t="s">
        <v>2406</v>
      </c>
      <c r="D3616" s="6">
        <v>-423652</v>
      </c>
      <c r="E3616" s="6">
        <v>-220272</v>
      </c>
      <c r="F3616" s="7">
        <v>4.6680000000000001</v>
      </c>
      <c r="G3616" s="7">
        <v>5.8780000000000001</v>
      </c>
      <c r="H3616" s="7">
        <v>6.1369999999999996</v>
      </c>
      <c r="I3616" s="7">
        <v>5.01</v>
      </c>
      <c r="J3616" s="7">
        <v>4.33</v>
      </c>
      <c r="K3616" s="7">
        <v>3.62</v>
      </c>
      <c r="L3616" s="7">
        <v>3.3610000000000002</v>
      </c>
      <c r="M3616" s="7">
        <v>3.5369999999999999</v>
      </c>
      <c r="N3616" s="7">
        <v>4.2469999999999999</v>
      </c>
      <c r="O3616" s="7">
        <v>4.556</v>
      </c>
      <c r="P3616" s="7">
        <v>4.8529999999999998</v>
      </c>
      <c r="Q3616" s="7">
        <v>4.8250000000000002</v>
      </c>
      <c r="R3616" s="7">
        <v>5.665</v>
      </c>
      <c r="S3616" s="7">
        <f t="shared" si="56"/>
        <v>4.6682499999999996</v>
      </c>
    </row>
    <row r="3617" spans="1:19">
      <c r="A3617" s="5" t="str">
        <f>B3617&amp;"-"&amp;COUNTIF($B$2:B3617,B3617)</f>
        <v>RIO DE JANEIRO-24</v>
      </c>
      <c r="B3617" s="5" t="s">
        <v>2388</v>
      </c>
      <c r="C3617" s="5" t="s">
        <v>2407</v>
      </c>
      <c r="D3617" s="6">
        <v>-425236</v>
      </c>
      <c r="E3617" s="6">
        <v>-220541</v>
      </c>
      <c r="F3617" s="7">
        <v>4.5960000000000001</v>
      </c>
      <c r="G3617" s="7">
        <v>5.7069999999999999</v>
      </c>
      <c r="H3617" s="7">
        <v>6.0339999999999998</v>
      </c>
      <c r="I3617" s="7">
        <v>4.9740000000000002</v>
      </c>
      <c r="J3617" s="7">
        <v>4.306</v>
      </c>
      <c r="K3617" s="7">
        <v>3.5630000000000002</v>
      </c>
      <c r="L3617" s="7">
        <v>3.3250000000000002</v>
      </c>
      <c r="M3617" s="7">
        <v>3.4729999999999999</v>
      </c>
      <c r="N3617" s="7">
        <v>4.1900000000000004</v>
      </c>
      <c r="O3617" s="7">
        <v>4.5199999999999996</v>
      </c>
      <c r="P3617" s="7">
        <v>4.8280000000000003</v>
      </c>
      <c r="Q3617" s="7">
        <v>4.6609999999999996</v>
      </c>
      <c r="R3617" s="7">
        <v>5.569</v>
      </c>
      <c r="S3617" s="7">
        <f t="shared" si="56"/>
        <v>4.5958333333333341</v>
      </c>
    </row>
    <row r="3618" spans="1:19">
      <c r="A3618" s="5" t="str">
        <f>B3618&amp;"-"&amp;COUNTIF($B$2:B3618,B3618)</f>
        <v>RIO DE JANEIRO-25</v>
      </c>
      <c r="B3618" s="5" t="s">
        <v>2388</v>
      </c>
      <c r="C3618" s="5" t="s">
        <v>2408</v>
      </c>
      <c r="D3618" s="6">
        <v>-433053</v>
      </c>
      <c r="E3618" s="6">
        <v>-227863</v>
      </c>
      <c r="F3618" s="7">
        <v>4.6929999999999996</v>
      </c>
      <c r="G3618" s="7">
        <v>5.9539999999999997</v>
      </c>
      <c r="H3618" s="7">
        <v>6.1360000000000001</v>
      </c>
      <c r="I3618" s="7">
        <v>5.0170000000000003</v>
      </c>
      <c r="J3618" s="7">
        <v>4.3630000000000004</v>
      </c>
      <c r="K3618" s="7">
        <v>3.6179999999999999</v>
      </c>
      <c r="L3618" s="7">
        <v>3.3839999999999999</v>
      </c>
      <c r="M3618" s="7">
        <v>3.3719999999999999</v>
      </c>
      <c r="N3618" s="7">
        <v>4.226</v>
      </c>
      <c r="O3618" s="7">
        <v>4.431</v>
      </c>
      <c r="P3618" s="7">
        <v>5.0199999999999996</v>
      </c>
      <c r="Q3618" s="7">
        <v>5.0570000000000004</v>
      </c>
      <c r="R3618" s="7">
        <v>5.7430000000000003</v>
      </c>
      <c r="S3618" s="7">
        <f t="shared" si="56"/>
        <v>4.6934166666666668</v>
      </c>
    </row>
    <row r="3619" spans="1:19">
      <c r="A3619" s="5" t="str">
        <f>B3619&amp;"-"&amp;COUNTIF($B$2:B3619,B3619)</f>
        <v>RIO DE JANEIRO-26</v>
      </c>
      <c r="B3619" s="5" t="s">
        <v>2388</v>
      </c>
      <c r="C3619" s="5" t="s">
        <v>2409</v>
      </c>
      <c r="D3619" s="6">
        <v>-436831</v>
      </c>
      <c r="E3619" s="6">
        <v>-225503</v>
      </c>
      <c r="F3619" s="7">
        <v>4.681</v>
      </c>
      <c r="G3619" s="7">
        <v>5.8310000000000004</v>
      </c>
      <c r="H3619" s="7">
        <v>6.1189999999999998</v>
      </c>
      <c r="I3619" s="7">
        <v>4.9619999999999997</v>
      </c>
      <c r="J3619" s="7">
        <v>4.375</v>
      </c>
      <c r="K3619" s="7">
        <v>3.59</v>
      </c>
      <c r="L3619" s="7">
        <v>3.3969999999999998</v>
      </c>
      <c r="M3619" s="7">
        <v>3.4670000000000001</v>
      </c>
      <c r="N3619" s="7">
        <v>4.26</v>
      </c>
      <c r="O3619" s="7">
        <v>4.5039999999999996</v>
      </c>
      <c r="P3619" s="7">
        <v>4.9320000000000004</v>
      </c>
      <c r="Q3619" s="7">
        <v>5.0209999999999999</v>
      </c>
      <c r="R3619" s="7">
        <v>5.7080000000000002</v>
      </c>
      <c r="S3619" s="7">
        <f t="shared" si="56"/>
        <v>4.6804999999999994</v>
      </c>
    </row>
    <row r="3620" spans="1:19">
      <c r="A3620" s="5" t="str">
        <f>B3620&amp;"-"&amp;COUNTIF($B$2:B3620,B3620)</f>
        <v>RIO DE JANEIRO-27</v>
      </c>
      <c r="B3620" s="5" t="s">
        <v>2388</v>
      </c>
      <c r="C3620" s="5" t="s">
        <v>2410</v>
      </c>
      <c r="D3620" s="6">
        <v>-429899</v>
      </c>
      <c r="E3620" s="6">
        <v>-225352</v>
      </c>
      <c r="F3620" s="7">
        <v>4.319</v>
      </c>
      <c r="G3620" s="7">
        <v>5.2469999999999999</v>
      </c>
      <c r="H3620" s="7">
        <v>5.6959999999999997</v>
      </c>
      <c r="I3620" s="7">
        <v>4.5259999999999998</v>
      </c>
      <c r="J3620" s="7">
        <v>4.0380000000000003</v>
      </c>
      <c r="K3620" s="7">
        <v>3.448</v>
      </c>
      <c r="L3620" s="7">
        <v>3.2789999999999999</v>
      </c>
      <c r="M3620" s="7">
        <v>3.3180000000000001</v>
      </c>
      <c r="N3620" s="7">
        <v>4.0810000000000004</v>
      </c>
      <c r="O3620" s="7">
        <v>4.3019999999999996</v>
      </c>
      <c r="P3620" s="7">
        <v>4.5090000000000003</v>
      </c>
      <c r="Q3620" s="7">
        <v>4.3550000000000004</v>
      </c>
      <c r="R3620" s="7">
        <v>5.0229999999999997</v>
      </c>
      <c r="S3620" s="7">
        <f t="shared" si="56"/>
        <v>4.3185000000000002</v>
      </c>
    </row>
    <row r="3621" spans="1:19">
      <c r="A3621" s="5" t="str">
        <f>B3621&amp;"-"&amp;COUNTIF($B$2:B3621,B3621)</f>
        <v>RIO DE JANEIRO-28</v>
      </c>
      <c r="B3621" s="5" t="s">
        <v>2388</v>
      </c>
      <c r="C3621" s="5" t="s">
        <v>2411</v>
      </c>
      <c r="D3621" s="6">
        <v>-422303</v>
      </c>
      <c r="E3621" s="6">
        <v>-228499</v>
      </c>
      <c r="F3621" s="7">
        <v>4.8600000000000003</v>
      </c>
      <c r="G3621" s="7">
        <v>6.27</v>
      </c>
      <c r="H3621" s="7">
        <v>6.49</v>
      </c>
      <c r="I3621" s="7">
        <v>5.2</v>
      </c>
      <c r="J3621" s="7">
        <v>4.5110000000000001</v>
      </c>
      <c r="K3621" s="7">
        <v>3.665</v>
      </c>
      <c r="L3621" s="7">
        <v>3.4420000000000002</v>
      </c>
      <c r="M3621" s="7">
        <v>3.4590000000000001</v>
      </c>
      <c r="N3621" s="7">
        <v>4.2910000000000004</v>
      </c>
      <c r="O3621" s="7">
        <v>4.5510000000000002</v>
      </c>
      <c r="P3621" s="7">
        <v>5.1740000000000004</v>
      </c>
      <c r="Q3621" s="7">
        <v>5.2119999999999997</v>
      </c>
      <c r="R3621" s="7">
        <v>6.0620000000000003</v>
      </c>
      <c r="S3621" s="7">
        <f t="shared" si="56"/>
        <v>4.8605833333333335</v>
      </c>
    </row>
    <row r="3622" spans="1:19">
      <c r="A3622" s="5" t="str">
        <f>B3622&amp;"-"&amp;COUNTIF($B$2:B3622,B3622)</f>
        <v>RIO DE JANEIRO-29</v>
      </c>
      <c r="B3622" s="5" t="s">
        <v>2388</v>
      </c>
      <c r="C3622" s="5" t="s">
        <v>2412</v>
      </c>
      <c r="D3622" s="6">
        <v>-428643</v>
      </c>
      <c r="E3622" s="6">
        <v>-22757</v>
      </c>
      <c r="F3622" s="7">
        <v>4.7850000000000001</v>
      </c>
      <c r="G3622" s="7">
        <v>6.1779999999999999</v>
      </c>
      <c r="H3622" s="7">
        <v>6.3380000000000001</v>
      </c>
      <c r="I3622" s="7">
        <v>5.0940000000000003</v>
      </c>
      <c r="J3622" s="7">
        <v>4.4749999999999996</v>
      </c>
      <c r="K3622" s="7">
        <v>3.6240000000000001</v>
      </c>
      <c r="L3622" s="7">
        <v>3.3980000000000001</v>
      </c>
      <c r="M3622" s="7">
        <v>3.419</v>
      </c>
      <c r="N3622" s="7">
        <v>4.242</v>
      </c>
      <c r="O3622" s="7">
        <v>4.4649999999999999</v>
      </c>
      <c r="P3622" s="7">
        <v>5.0789999999999997</v>
      </c>
      <c r="Q3622" s="7">
        <v>5.1539999999999999</v>
      </c>
      <c r="R3622" s="7">
        <v>5.9560000000000004</v>
      </c>
      <c r="S3622" s="7">
        <f t="shared" si="56"/>
        <v>4.7851666666666661</v>
      </c>
    </row>
    <row r="3623" spans="1:19">
      <c r="A3623" s="5" t="str">
        <f>B3623&amp;"-"&amp;COUNTIF($B$2:B3623,B3623)</f>
        <v>RIO DE JANEIRO-30</v>
      </c>
      <c r="B3623" s="5" t="s">
        <v>2388</v>
      </c>
      <c r="C3623" s="5" t="s">
        <v>2413</v>
      </c>
      <c r="D3623" s="6">
        <v>-437802</v>
      </c>
      <c r="E3623" s="6">
        <v>-228641</v>
      </c>
      <c r="F3623" s="7">
        <v>4.6879999999999997</v>
      </c>
      <c r="G3623" s="7">
        <v>5.9039999999999999</v>
      </c>
      <c r="H3623" s="7">
        <v>6.1929999999999996</v>
      </c>
      <c r="I3623" s="7">
        <v>5.01</v>
      </c>
      <c r="J3623" s="7">
        <v>4.4790000000000001</v>
      </c>
      <c r="K3623" s="7">
        <v>3.6110000000000002</v>
      </c>
      <c r="L3623" s="7">
        <v>3.3140000000000001</v>
      </c>
      <c r="M3623" s="7">
        <v>3.3639999999999999</v>
      </c>
      <c r="N3623" s="7">
        <v>4.2169999999999996</v>
      </c>
      <c r="O3623" s="7">
        <v>4.3390000000000004</v>
      </c>
      <c r="P3623" s="7">
        <v>4.93</v>
      </c>
      <c r="Q3623" s="7">
        <v>5.077</v>
      </c>
      <c r="R3623" s="7">
        <v>5.8230000000000004</v>
      </c>
      <c r="S3623" s="7">
        <f t="shared" si="56"/>
        <v>4.688416666666666</v>
      </c>
    </row>
    <row r="3624" spans="1:19">
      <c r="A3624" s="5" t="str">
        <f>B3624&amp;"-"&amp;COUNTIF($B$2:B3624,B3624)</f>
        <v>RIO DE JANEIRO-31</v>
      </c>
      <c r="B3624" s="5" t="s">
        <v>2388</v>
      </c>
      <c r="C3624" s="5" t="s">
        <v>2414</v>
      </c>
      <c r="D3624" s="6">
        <v>-417018</v>
      </c>
      <c r="E3624" s="6">
        <v>-214301</v>
      </c>
      <c r="F3624" s="7">
        <v>4.931</v>
      </c>
      <c r="G3624" s="7">
        <v>6.266</v>
      </c>
      <c r="H3624" s="7">
        <v>6.4240000000000004</v>
      </c>
      <c r="I3624" s="7">
        <v>5.2480000000000002</v>
      </c>
      <c r="J3624" s="7">
        <v>4.5069999999999997</v>
      </c>
      <c r="K3624" s="7">
        <v>3.8740000000000001</v>
      </c>
      <c r="L3624" s="7">
        <v>3.536</v>
      </c>
      <c r="M3624" s="7">
        <v>3.645</v>
      </c>
      <c r="N3624" s="7">
        <v>4.4260000000000002</v>
      </c>
      <c r="O3624" s="7">
        <v>4.8609999999999998</v>
      </c>
      <c r="P3624" s="7">
        <v>5.1909999999999998</v>
      </c>
      <c r="Q3624" s="7">
        <v>5.1589999999999998</v>
      </c>
      <c r="R3624" s="7">
        <v>6.0330000000000004</v>
      </c>
      <c r="S3624" s="7">
        <f t="shared" si="56"/>
        <v>4.9308333333333332</v>
      </c>
    </row>
    <row r="3625" spans="1:19">
      <c r="A3625" s="5" t="str">
        <f>B3625&amp;"-"&amp;COUNTIF($B$2:B3625,B3625)</f>
        <v>RIO DE JANEIRO-32</v>
      </c>
      <c r="B3625" s="5" t="s">
        <v>2388</v>
      </c>
      <c r="C3625" s="5" t="s">
        <v>2415</v>
      </c>
      <c r="D3625" s="6">
        <v>-420762</v>
      </c>
      <c r="E3625" s="6">
        <v>-216753</v>
      </c>
      <c r="F3625" s="7">
        <v>4.9340000000000002</v>
      </c>
      <c r="G3625" s="7">
        <v>6.2240000000000002</v>
      </c>
      <c r="H3625" s="7">
        <v>6.3959999999999999</v>
      </c>
      <c r="I3625" s="7">
        <v>5.3010000000000002</v>
      </c>
      <c r="J3625" s="7">
        <v>4.5529999999999999</v>
      </c>
      <c r="K3625" s="7">
        <v>3.8250000000000002</v>
      </c>
      <c r="L3625" s="7">
        <v>3.5369999999999999</v>
      </c>
      <c r="M3625" s="7">
        <v>3.6379999999999999</v>
      </c>
      <c r="N3625" s="7">
        <v>4.43</v>
      </c>
      <c r="O3625" s="7">
        <v>4.8339999999999996</v>
      </c>
      <c r="P3625" s="7">
        <v>5.2169999999999996</v>
      </c>
      <c r="Q3625" s="7">
        <v>5.2220000000000004</v>
      </c>
      <c r="R3625" s="7">
        <v>6.0289999999999999</v>
      </c>
      <c r="S3625" s="7">
        <f t="shared" si="56"/>
        <v>4.9338333333333333</v>
      </c>
    </row>
    <row r="3626" spans="1:19">
      <c r="A3626" s="5" t="str">
        <f>B3626&amp;"-"&amp;COUNTIF($B$2:B3626,B3626)</f>
        <v>RIO DE JANEIRO-33</v>
      </c>
      <c r="B3626" s="5" t="s">
        <v>2388</v>
      </c>
      <c r="C3626" s="5" t="s">
        <v>2416</v>
      </c>
      <c r="D3626" s="6">
        <v>-41902</v>
      </c>
      <c r="E3626" s="6">
        <v>-211977</v>
      </c>
      <c r="F3626" s="7">
        <v>4.9450000000000003</v>
      </c>
      <c r="G3626" s="7">
        <v>6.1769999999999996</v>
      </c>
      <c r="H3626" s="7">
        <v>6.3680000000000003</v>
      </c>
      <c r="I3626" s="7">
        <v>5.2270000000000003</v>
      </c>
      <c r="J3626" s="7">
        <v>4.5789999999999997</v>
      </c>
      <c r="K3626" s="7">
        <v>3.85</v>
      </c>
      <c r="L3626" s="7">
        <v>3.5990000000000002</v>
      </c>
      <c r="M3626" s="7">
        <v>3.7090000000000001</v>
      </c>
      <c r="N3626" s="7">
        <v>4.524</v>
      </c>
      <c r="O3626" s="7">
        <v>4.9219999999999997</v>
      </c>
      <c r="P3626" s="7">
        <v>5.2270000000000003</v>
      </c>
      <c r="Q3626" s="7">
        <v>5.1239999999999997</v>
      </c>
      <c r="R3626" s="7">
        <v>6.0330000000000004</v>
      </c>
      <c r="S3626" s="7">
        <f t="shared" si="56"/>
        <v>4.9449166666666668</v>
      </c>
    </row>
    <row r="3627" spans="1:19">
      <c r="A3627" s="5" t="str">
        <f>B3627&amp;"-"&amp;COUNTIF($B$2:B3627,B3627)</f>
        <v>RIO DE JANEIRO-34</v>
      </c>
      <c r="B3627" s="5" t="s">
        <v>2388</v>
      </c>
      <c r="C3627" s="5" t="s">
        <v>2417</v>
      </c>
      <c r="D3627" s="6">
        <v>-445679</v>
      </c>
      <c r="E3627" s="6">
        <v>-224902</v>
      </c>
      <c r="F3627" s="7">
        <v>4.4359999999999999</v>
      </c>
      <c r="G3627" s="7">
        <v>5.194</v>
      </c>
      <c r="H3627" s="7">
        <v>5.3840000000000003</v>
      </c>
      <c r="I3627" s="7">
        <v>4.5940000000000003</v>
      </c>
      <c r="J3627" s="7">
        <v>4.2439999999999998</v>
      </c>
      <c r="K3627" s="7">
        <v>3.5419999999999998</v>
      </c>
      <c r="L3627" s="7">
        <v>3.3340000000000001</v>
      </c>
      <c r="M3627" s="7">
        <v>3.4239999999999999</v>
      </c>
      <c r="N3627" s="7">
        <v>4.3360000000000003</v>
      </c>
      <c r="O3627" s="7">
        <v>4.4340000000000002</v>
      </c>
      <c r="P3627" s="7">
        <v>4.7050000000000001</v>
      </c>
      <c r="Q3627" s="7">
        <v>4.6980000000000004</v>
      </c>
      <c r="R3627" s="7">
        <v>5.343</v>
      </c>
      <c r="S3627" s="7">
        <f t="shared" si="56"/>
        <v>4.4359999999999999</v>
      </c>
    </row>
    <row r="3628" spans="1:19">
      <c r="A3628" s="5" t="str">
        <f>B3628&amp;"-"&amp;COUNTIF($B$2:B3628,B3628)</f>
        <v>RIO DE JANEIRO-35</v>
      </c>
      <c r="B3628" s="5" t="s">
        <v>2388</v>
      </c>
      <c r="C3628" s="5" t="s">
        <v>2418</v>
      </c>
      <c r="D3628" s="6">
        <v>-436606</v>
      </c>
      <c r="E3628" s="6">
        <v>-22644</v>
      </c>
      <c r="F3628" s="7">
        <v>4.6139999999999999</v>
      </c>
      <c r="G3628" s="7">
        <v>5.7220000000000004</v>
      </c>
      <c r="H3628" s="7">
        <v>6.101</v>
      </c>
      <c r="I3628" s="7">
        <v>4.931</v>
      </c>
      <c r="J3628" s="7">
        <v>4.383</v>
      </c>
      <c r="K3628" s="7">
        <v>3.59</v>
      </c>
      <c r="L3628" s="7">
        <v>3.38</v>
      </c>
      <c r="M3628" s="7">
        <v>3.3929999999999998</v>
      </c>
      <c r="N3628" s="7">
        <v>4.2149999999999999</v>
      </c>
      <c r="O3628" s="7">
        <v>4.3819999999999997</v>
      </c>
      <c r="P3628" s="7">
        <v>4.8239999999999998</v>
      </c>
      <c r="Q3628" s="7">
        <v>4.8810000000000002</v>
      </c>
      <c r="R3628" s="7">
        <v>5.57</v>
      </c>
      <c r="S3628" s="7">
        <f t="shared" si="56"/>
        <v>4.6143333333333336</v>
      </c>
    </row>
    <row r="3629" spans="1:19">
      <c r="A3629" s="5" t="str">
        <f>B3629&amp;"-"&amp;COUNTIF($B$2:B3629,B3629)</f>
        <v>RIO DE JANEIRO-36</v>
      </c>
      <c r="B3629" s="5" t="s">
        <v>2388</v>
      </c>
      <c r="C3629" s="5" t="s">
        <v>4457</v>
      </c>
      <c r="D3629" s="6">
        <v>-421191</v>
      </c>
      <c r="E3629" s="6">
        <v>-212102</v>
      </c>
      <c r="F3629" s="7">
        <v>4.9059999999999997</v>
      </c>
      <c r="G3629" s="7">
        <v>6.1150000000000002</v>
      </c>
      <c r="H3629" s="7">
        <v>6.3090000000000002</v>
      </c>
      <c r="I3629" s="7">
        <v>5.1859999999999999</v>
      </c>
      <c r="J3629" s="7">
        <v>4.5289999999999999</v>
      </c>
      <c r="K3629" s="7">
        <v>3.819</v>
      </c>
      <c r="L3629" s="7">
        <v>3.6030000000000002</v>
      </c>
      <c r="M3629" s="7">
        <v>3.7010000000000001</v>
      </c>
      <c r="N3629" s="7">
        <v>4.4960000000000004</v>
      </c>
      <c r="O3629" s="7">
        <v>4.8970000000000002</v>
      </c>
      <c r="P3629" s="7">
        <v>5.2160000000000002</v>
      </c>
      <c r="Q3629" s="7">
        <v>5.0599999999999996</v>
      </c>
      <c r="R3629" s="7">
        <v>5.9459999999999997</v>
      </c>
      <c r="S3629" s="7">
        <f t="shared" si="56"/>
        <v>4.9064166666666669</v>
      </c>
    </row>
    <row r="3630" spans="1:19">
      <c r="A3630" s="5" t="str">
        <f>B3630&amp;"-"&amp;COUNTIF($B$2:B3630,B3630)</f>
        <v>RIO DE JANEIRO-37</v>
      </c>
      <c r="B3630" s="5" t="s">
        <v>2388</v>
      </c>
      <c r="C3630" s="5" t="s">
        <v>4458</v>
      </c>
      <c r="D3630" s="6">
        <v>-417852</v>
      </c>
      <c r="E3630" s="6">
        <v>-223773</v>
      </c>
      <c r="F3630" s="7">
        <v>4.9160000000000004</v>
      </c>
      <c r="G3630" s="7">
        <v>6.335</v>
      </c>
      <c r="H3630" s="7">
        <v>6.5759999999999996</v>
      </c>
      <c r="I3630" s="7">
        <v>5.2439999999999998</v>
      </c>
      <c r="J3630" s="7">
        <v>4.641</v>
      </c>
      <c r="K3630" s="7">
        <v>3.7989999999999999</v>
      </c>
      <c r="L3630" s="7">
        <v>3.492</v>
      </c>
      <c r="M3630" s="7">
        <v>3.5470000000000002</v>
      </c>
      <c r="N3630" s="7">
        <v>4.3869999999999996</v>
      </c>
      <c r="O3630" s="7">
        <v>4.6040000000000001</v>
      </c>
      <c r="P3630" s="7">
        <v>5.1340000000000003</v>
      </c>
      <c r="Q3630" s="7">
        <v>5.1689999999999996</v>
      </c>
      <c r="R3630" s="7">
        <v>6.0640000000000001</v>
      </c>
      <c r="S3630" s="7">
        <f t="shared" si="56"/>
        <v>4.9159999999999995</v>
      </c>
    </row>
    <row r="3631" spans="1:19">
      <c r="A3631" s="5" t="str">
        <f>B3631&amp;"-"&amp;COUNTIF($B$2:B3631,B3631)</f>
        <v>RIO DE JANEIRO-38</v>
      </c>
      <c r="B3631" s="5" t="s">
        <v>2388</v>
      </c>
      <c r="C3631" s="5" t="s">
        <v>2419</v>
      </c>
      <c r="D3631" s="6">
        <v>-422537</v>
      </c>
      <c r="E3631" s="6">
        <v>-219818</v>
      </c>
      <c r="F3631" s="7">
        <v>4.7359999999999998</v>
      </c>
      <c r="G3631" s="7">
        <v>5.99</v>
      </c>
      <c r="H3631" s="7">
        <v>6.2</v>
      </c>
      <c r="I3631" s="7">
        <v>5.1120000000000001</v>
      </c>
      <c r="J3631" s="7">
        <v>4.4050000000000002</v>
      </c>
      <c r="K3631" s="7">
        <v>3.6539999999999999</v>
      </c>
      <c r="L3631" s="7">
        <v>3.3980000000000001</v>
      </c>
      <c r="M3631" s="7">
        <v>3.5550000000000002</v>
      </c>
      <c r="N3631" s="7">
        <v>4.2880000000000003</v>
      </c>
      <c r="O3631" s="7">
        <v>4.5990000000000002</v>
      </c>
      <c r="P3631" s="7">
        <v>4.9279999999999999</v>
      </c>
      <c r="Q3631" s="7">
        <v>4.9290000000000003</v>
      </c>
      <c r="R3631" s="7">
        <v>5.7759999999999998</v>
      </c>
      <c r="S3631" s="7">
        <f t="shared" si="56"/>
        <v>4.7361666666666666</v>
      </c>
    </row>
    <row r="3632" spans="1:19">
      <c r="A3632" s="5" t="str">
        <f>B3632&amp;"-"&amp;COUNTIF($B$2:B3632,B3632)</f>
        <v>RIO DE JANEIRO-39</v>
      </c>
      <c r="B3632" s="5" t="s">
        <v>2388</v>
      </c>
      <c r="C3632" s="5" t="s">
        <v>4459</v>
      </c>
      <c r="D3632" s="6">
        <v>-430319</v>
      </c>
      <c r="E3632" s="6">
        <v>-226636</v>
      </c>
      <c r="F3632" s="7">
        <v>4.6550000000000002</v>
      </c>
      <c r="G3632" s="7">
        <v>5.9329999999999998</v>
      </c>
      <c r="H3632" s="7">
        <v>6.1539999999999999</v>
      </c>
      <c r="I3632" s="7">
        <v>4.99</v>
      </c>
      <c r="J3632" s="7">
        <v>4.4240000000000004</v>
      </c>
      <c r="K3632" s="7">
        <v>3.5859999999999999</v>
      </c>
      <c r="L3632" s="7">
        <v>3.3849999999999998</v>
      </c>
      <c r="M3632" s="7">
        <v>3.39</v>
      </c>
      <c r="N3632" s="7">
        <v>4.202</v>
      </c>
      <c r="O3632" s="7">
        <v>4.3529999999999998</v>
      </c>
      <c r="P3632" s="7">
        <v>4.8879999999999999</v>
      </c>
      <c r="Q3632" s="7">
        <v>4.8959999999999999</v>
      </c>
      <c r="R3632" s="7">
        <v>5.6630000000000003</v>
      </c>
      <c r="S3632" s="7">
        <f t="shared" si="56"/>
        <v>4.6553333333333322</v>
      </c>
    </row>
    <row r="3633" spans="1:19">
      <c r="A3633" s="5" t="str">
        <f>B3633&amp;"-"&amp;COUNTIF($B$2:B3633,B3633)</f>
        <v>RIO DE JANEIRO-40</v>
      </c>
      <c r="B3633" s="5" t="s">
        <v>2388</v>
      </c>
      <c r="C3633" s="5" t="s">
        <v>2420</v>
      </c>
      <c r="D3633" s="6">
        <v>-440413</v>
      </c>
      <c r="E3633" s="6">
        <v>-229599</v>
      </c>
      <c r="F3633" s="7">
        <v>4.399</v>
      </c>
      <c r="G3633" s="7">
        <v>5.4660000000000002</v>
      </c>
      <c r="H3633" s="7">
        <v>5.8319999999999999</v>
      </c>
      <c r="I3633" s="7">
        <v>4.6959999999999997</v>
      </c>
      <c r="J3633" s="7">
        <v>4.2560000000000002</v>
      </c>
      <c r="K3633" s="7">
        <v>3.4729999999999999</v>
      </c>
      <c r="L3633" s="7">
        <v>3.2149999999999999</v>
      </c>
      <c r="M3633" s="7">
        <v>3.2389999999999999</v>
      </c>
      <c r="N3633" s="7">
        <v>4.0599999999999996</v>
      </c>
      <c r="O3633" s="7">
        <v>4.0999999999999996</v>
      </c>
      <c r="P3633" s="7">
        <v>4.54</v>
      </c>
      <c r="Q3633" s="7">
        <v>4.6150000000000002</v>
      </c>
      <c r="R3633" s="7">
        <v>5.3019999999999996</v>
      </c>
      <c r="S3633" s="7">
        <f t="shared" si="56"/>
        <v>4.3995000000000006</v>
      </c>
    </row>
    <row r="3634" spans="1:19">
      <c r="A3634" s="5" t="str">
        <f>B3634&amp;"-"&amp;COUNTIF($B$2:B3634,B3634)</f>
        <v>RIO DE JANEIRO-41</v>
      </c>
      <c r="B3634" s="5" t="s">
        <v>2388</v>
      </c>
      <c r="C3634" s="5" t="s">
        <v>5696</v>
      </c>
      <c r="D3634" s="6">
        <v>-42825</v>
      </c>
      <c r="E3634" s="6">
        <v>-229359</v>
      </c>
      <c r="F3634" s="7">
        <v>4.7850000000000001</v>
      </c>
      <c r="G3634" s="7">
        <v>6.1890000000000001</v>
      </c>
      <c r="H3634" s="7">
        <v>6.3730000000000002</v>
      </c>
      <c r="I3634" s="7">
        <v>5.1230000000000002</v>
      </c>
      <c r="J3634" s="7">
        <v>4.4180000000000001</v>
      </c>
      <c r="K3634" s="7">
        <v>3.5939999999999999</v>
      </c>
      <c r="L3634" s="7">
        <v>3.3439999999999999</v>
      </c>
      <c r="M3634" s="7">
        <v>3.371</v>
      </c>
      <c r="N3634" s="7">
        <v>4.2130000000000001</v>
      </c>
      <c r="O3634" s="7">
        <v>4.4470000000000001</v>
      </c>
      <c r="P3634" s="7">
        <v>5.0709999999999997</v>
      </c>
      <c r="Q3634" s="7">
        <v>5.22</v>
      </c>
      <c r="R3634" s="7">
        <v>6.0529999999999999</v>
      </c>
      <c r="S3634" s="7">
        <f t="shared" si="56"/>
        <v>4.7846666666666673</v>
      </c>
    </row>
    <row r="3635" spans="1:19">
      <c r="A3635" s="5" t="str">
        <f>B3635&amp;"-"&amp;COUNTIF($B$2:B3635,B3635)</f>
        <v>RIO DE JANEIRO-42</v>
      </c>
      <c r="B3635" s="5" t="s">
        <v>2388</v>
      </c>
      <c r="C3635" s="5" t="s">
        <v>2421</v>
      </c>
      <c r="D3635" s="6">
        <v>-437316</v>
      </c>
      <c r="E3635" s="6">
        <v>-22525</v>
      </c>
      <c r="F3635" s="7">
        <v>4.6980000000000004</v>
      </c>
      <c r="G3635" s="7">
        <v>5.8419999999999996</v>
      </c>
      <c r="H3635" s="7">
        <v>6.1029999999999998</v>
      </c>
      <c r="I3635" s="7">
        <v>4.9770000000000003</v>
      </c>
      <c r="J3635" s="7">
        <v>4.3899999999999997</v>
      </c>
      <c r="K3635" s="7">
        <v>3.61</v>
      </c>
      <c r="L3635" s="7">
        <v>3.4049999999999998</v>
      </c>
      <c r="M3635" s="7">
        <v>3.468</v>
      </c>
      <c r="N3635" s="7">
        <v>4.2969999999999997</v>
      </c>
      <c r="O3635" s="7">
        <v>4.5369999999999999</v>
      </c>
      <c r="P3635" s="7">
        <v>4.9489999999999998</v>
      </c>
      <c r="Q3635" s="7">
        <v>5.0759999999999996</v>
      </c>
      <c r="R3635" s="7">
        <v>5.7270000000000003</v>
      </c>
      <c r="S3635" s="7">
        <f t="shared" si="56"/>
        <v>4.6984166666666667</v>
      </c>
    </row>
    <row r="3636" spans="1:19">
      <c r="A3636" s="5" t="str">
        <f>B3636&amp;"-"&amp;COUNTIF($B$2:B3636,B3636)</f>
        <v>RIO DE JANEIRO-43</v>
      </c>
      <c r="B3636" s="5" t="s">
        <v>2388</v>
      </c>
      <c r="C3636" s="5" t="s">
        <v>1466</v>
      </c>
      <c r="D3636" s="6">
        <v>-434604</v>
      </c>
      <c r="E3636" s="6">
        <v>-228033</v>
      </c>
      <c r="F3636" s="7">
        <v>4.6150000000000002</v>
      </c>
      <c r="G3636" s="7">
        <v>5.8479999999999999</v>
      </c>
      <c r="H3636" s="7">
        <v>6.0490000000000004</v>
      </c>
      <c r="I3636" s="7">
        <v>4.899</v>
      </c>
      <c r="J3636" s="7">
        <v>4.3209999999999997</v>
      </c>
      <c r="K3636" s="7">
        <v>3.585</v>
      </c>
      <c r="L3636" s="7">
        <v>3.3359999999999999</v>
      </c>
      <c r="M3636" s="7">
        <v>3.3250000000000002</v>
      </c>
      <c r="N3636" s="7">
        <v>4.1740000000000004</v>
      </c>
      <c r="O3636" s="7">
        <v>4.3529999999999998</v>
      </c>
      <c r="P3636" s="7">
        <v>4.9089999999999998</v>
      </c>
      <c r="Q3636" s="7">
        <v>4.9249999999999998</v>
      </c>
      <c r="R3636" s="7">
        <v>5.6580000000000004</v>
      </c>
      <c r="S3636" s="7">
        <f t="shared" si="56"/>
        <v>4.6151666666666662</v>
      </c>
    </row>
    <row r="3637" spans="1:19">
      <c r="A3637" s="5" t="str">
        <f>B3637&amp;"-"&amp;COUNTIF($B$2:B3637,B3637)</f>
        <v>RIO DE JANEIRO-44</v>
      </c>
      <c r="B3637" s="5" t="s">
        <v>2388</v>
      </c>
      <c r="C3637" s="5" t="s">
        <v>2422</v>
      </c>
      <c r="D3637" s="6">
        <v>-434806</v>
      </c>
      <c r="E3637" s="6">
        <v>-224577</v>
      </c>
      <c r="F3637" s="7">
        <v>4.6909999999999998</v>
      </c>
      <c r="G3637" s="7">
        <v>5.7720000000000002</v>
      </c>
      <c r="H3637" s="7">
        <v>6.1360000000000001</v>
      </c>
      <c r="I3637" s="7">
        <v>4.9550000000000001</v>
      </c>
      <c r="J3637" s="7">
        <v>4.3410000000000002</v>
      </c>
      <c r="K3637" s="7">
        <v>3.6230000000000002</v>
      </c>
      <c r="L3637" s="7">
        <v>3.407</v>
      </c>
      <c r="M3637" s="7">
        <v>3.5059999999999998</v>
      </c>
      <c r="N3637" s="7">
        <v>4.2919999999999998</v>
      </c>
      <c r="O3637" s="7">
        <v>4.5460000000000003</v>
      </c>
      <c r="P3637" s="7">
        <v>4.9880000000000004</v>
      </c>
      <c r="Q3637" s="7">
        <v>5.0069999999999997</v>
      </c>
      <c r="R3637" s="7">
        <v>5.7229999999999999</v>
      </c>
      <c r="S3637" s="7">
        <f t="shared" si="56"/>
        <v>4.6913333333333336</v>
      </c>
    </row>
    <row r="3638" spans="1:19">
      <c r="A3638" s="5" t="str">
        <f>B3638&amp;"-"&amp;COUNTIF($B$2:B3638,B3638)</f>
        <v>RIO DE JANEIRO-45</v>
      </c>
      <c r="B3638" s="5" t="s">
        <v>2388</v>
      </c>
      <c r="C3638" s="5" t="s">
        <v>2423</v>
      </c>
      <c r="D3638" s="6">
        <v>-421942</v>
      </c>
      <c r="E3638" s="6">
        <v>-214153</v>
      </c>
      <c r="F3638" s="7">
        <v>4.7969999999999997</v>
      </c>
      <c r="G3638" s="7">
        <v>5.9379999999999997</v>
      </c>
      <c r="H3638" s="7">
        <v>6.181</v>
      </c>
      <c r="I3638" s="7">
        <v>5.117</v>
      </c>
      <c r="J3638" s="7">
        <v>4.423</v>
      </c>
      <c r="K3638" s="7">
        <v>3.754</v>
      </c>
      <c r="L3638" s="7">
        <v>3.4830000000000001</v>
      </c>
      <c r="M3638" s="7">
        <v>3.605</v>
      </c>
      <c r="N3638" s="7">
        <v>4.3840000000000003</v>
      </c>
      <c r="O3638" s="7">
        <v>4.7779999999999996</v>
      </c>
      <c r="P3638" s="7">
        <v>5.1180000000000003</v>
      </c>
      <c r="Q3638" s="7">
        <v>4.9530000000000003</v>
      </c>
      <c r="R3638" s="7">
        <v>5.8319999999999999</v>
      </c>
      <c r="S3638" s="7">
        <f t="shared" si="56"/>
        <v>4.7971666666666666</v>
      </c>
    </row>
    <row r="3639" spans="1:19">
      <c r="A3639" s="5" t="str">
        <f>B3639&amp;"-"&amp;COUNTIF($B$2:B3639,B3639)</f>
        <v>RIO DE JANEIRO-46</v>
      </c>
      <c r="B3639" s="5" t="s">
        <v>2388</v>
      </c>
      <c r="C3639" s="5" t="s">
        <v>2424</v>
      </c>
      <c r="D3639" s="6">
        <v>-419732</v>
      </c>
      <c r="E3639" s="6">
        <v>-210439</v>
      </c>
      <c r="F3639" s="7">
        <v>4.9169999999999998</v>
      </c>
      <c r="G3639" s="7">
        <v>6.08</v>
      </c>
      <c r="H3639" s="7">
        <v>6.2789999999999999</v>
      </c>
      <c r="I3639" s="7">
        <v>5.1580000000000004</v>
      </c>
      <c r="J3639" s="7">
        <v>4.5780000000000003</v>
      </c>
      <c r="K3639" s="7">
        <v>3.9009999999999998</v>
      </c>
      <c r="L3639" s="7">
        <v>3.6890000000000001</v>
      </c>
      <c r="M3639" s="7">
        <v>3.7890000000000001</v>
      </c>
      <c r="N3639" s="7">
        <v>4.5540000000000003</v>
      </c>
      <c r="O3639" s="7">
        <v>4.9329999999999998</v>
      </c>
      <c r="P3639" s="7">
        <v>5.1710000000000003</v>
      </c>
      <c r="Q3639" s="7">
        <v>5.016</v>
      </c>
      <c r="R3639" s="7">
        <v>5.85</v>
      </c>
      <c r="S3639" s="7">
        <f t="shared" si="56"/>
        <v>4.9165000000000001</v>
      </c>
    </row>
    <row r="3640" spans="1:19">
      <c r="A3640" s="5" t="str">
        <f>B3640&amp;"-"&amp;COUNTIF($B$2:B3640,B3640)</f>
        <v>RIO DE JANEIRO-47</v>
      </c>
      <c r="B3640" s="5" t="s">
        <v>2388</v>
      </c>
      <c r="C3640" s="5" t="s">
        <v>5195</v>
      </c>
      <c r="D3640" s="6">
        <v>-434237</v>
      </c>
      <c r="E3640" s="6">
        <v>-228061</v>
      </c>
      <c r="F3640" s="7">
        <v>4.6150000000000002</v>
      </c>
      <c r="G3640" s="7">
        <v>5.8479999999999999</v>
      </c>
      <c r="H3640" s="7">
        <v>6.0490000000000004</v>
      </c>
      <c r="I3640" s="7">
        <v>4.899</v>
      </c>
      <c r="J3640" s="7">
        <v>4.3209999999999997</v>
      </c>
      <c r="K3640" s="7">
        <v>3.585</v>
      </c>
      <c r="L3640" s="7">
        <v>3.3359999999999999</v>
      </c>
      <c r="M3640" s="7">
        <v>3.3250000000000002</v>
      </c>
      <c r="N3640" s="7">
        <v>4.1740000000000004</v>
      </c>
      <c r="O3640" s="7">
        <v>4.3529999999999998</v>
      </c>
      <c r="P3640" s="7">
        <v>4.9089999999999998</v>
      </c>
      <c r="Q3640" s="7">
        <v>4.9249999999999998</v>
      </c>
      <c r="R3640" s="7">
        <v>5.6580000000000004</v>
      </c>
      <c r="S3640" s="7">
        <f t="shared" si="56"/>
        <v>4.6151666666666662</v>
      </c>
    </row>
    <row r="3641" spans="1:19">
      <c r="A3641" s="5" t="str">
        <f>B3641&amp;"-"&amp;COUNTIF($B$2:B3641,B3641)</f>
        <v>RIO DE JANEIRO-48</v>
      </c>
      <c r="B3641" s="5" t="s">
        <v>2388</v>
      </c>
      <c r="C3641" s="5" t="s">
        <v>5196</v>
      </c>
      <c r="D3641" s="6">
        <v>-431037</v>
      </c>
      <c r="E3641" s="6">
        <v>-228837</v>
      </c>
      <c r="F3641" s="7">
        <v>4.7850000000000001</v>
      </c>
      <c r="G3641" s="7">
        <v>6.1840000000000002</v>
      </c>
      <c r="H3641" s="7">
        <v>6.3449999999999998</v>
      </c>
      <c r="I3641" s="7">
        <v>5.1580000000000004</v>
      </c>
      <c r="J3641" s="7">
        <v>4.4560000000000004</v>
      </c>
      <c r="K3641" s="7">
        <v>3.5979999999999999</v>
      </c>
      <c r="L3641" s="7">
        <v>3.3410000000000002</v>
      </c>
      <c r="M3641" s="7">
        <v>3.34</v>
      </c>
      <c r="N3641" s="7">
        <v>4.22</v>
      </c>
      <c r="O3641" s="7">
        <v>4.4130000000000003</v>
      </c>
      <c r="P3641" s="7">
        <v>5.101</v>
      </c>
      <c r="Q3641" s="7">
        <v>5.2130000000000001</v>
      </c>
      <c r="R3641" s="7">
        <v>6.0529999999999999</v>
      </c>
      <c r="S3641" s="7">
        <f t="shared" si="56"/>
        <v>4.7851666666666661</v>
      </c>
    </row>
    <row r="3642" spans="1:19">
      <c r="A3642" s="5" t="str">
        <f>B3642&amp;"-"&amp;COUNTIF($B$2:B3642,B3642)</f>
        <v>RIO DE JANEIRO-49</v>
      </c>
      <c r="B3642" s="5" t="s">
        <v>2388</v>
      </c>
      <c r="C3642" s="5" t="s">
        <v>2425</v>
      </c>
      <c r="D3642" s="6">
        <v>-425381</v>
      </c>
      <c r="E3642" s="6">
        <v>-222937</v>
      </c>
      <c r="F3642" s="7">
        <v>4.4740000000000002</v>
      </c>
      <c r="G3642" s="7">
        <v>5.5060000000000002</v>
      </c>
      <c r="H3642" s="7">
        <v>5.8259999999999996</v>
      </c>
      <c r="I3642" s="7">
        <v>4.7009999999999996</v>
      </c>
      <c r="J3642" s="7">
        <v>4.141</v>
      </c>
      <c r="K3642" s="7">
        <v>3.4860000000000002</v>
      </c>
      <c r="L3642" s="7">
        <v>3.2829999999999999</v>
      </c>
      <c r="M3642" s="7">
        <v>3.4529999999999998</v>
      </c>
      <c r="N3642" s="7">
        <v>4.1760000000000002</v>
      </c>
      <c r="O3642" s="7">
        <v>4.4610000000000003</v>
      </c>
      <c r="P3642" s="7">
        <v>4.7519999999999998</v>
      </c>
      <c r="Q3642" s="7">
        <v>4.5869999999999997</v>
      </c>
      <c r="R3642" s="7">
        <v>5.32</v>
      </c>
      <c r="S3642" s="7">
        <f t="shared" si="56"/>
        <v>4.4743333333333331</v>
      </c>
    </row>
    <row r="3643" spans="1:19">
      <c r="A3643" s="5" t="str">
        <f>B3643&amp;"-"&amp;COUNTIF($B$2:B3643,B3643)</f>
        <v>RIO DE JANEIRO-50</v>
      </c>
      <c r="B3643" s="5" t="s">
        <v>2388</v>
      </c>
      <c r="C3643" s="5" t="s">
        <v>4749</v>
      </c>
      <c r="D3643" s="6">
        <v>-434607</v>
      </c>
      <c r="E3643" s="6">
        <v>-227561</v>
      </c>
      <c r="F3643" s="7">
        <v>4.6150000000000002</v>
      </c>
      <c r="G3643" s="7">
        <v>5.8479999999999999</v>
      </c>
      <c r="H3643" s="7">
        <v>6.0490000000000004</v>
      </c>
      <c r="I3643" s="7">
        <v>4.899</v>
      </c>
      <c r="J3643" s="7">
        <v>4.3209999999999997</v>
      </c>
      <c r="K3643" s="7">
        <v>3.585</v>
      </c>
      <c r="L3643" s="7">
        <v>3.3359999999999999</v>
      </c>
      <c r="M3643" s="7">
        <v>3.3250000000000002</v>
      </c>
      <c r="N3643" s="7">
        <v>4.1740000000000004</v>
      </c>
      <c r="O3643" s="7">
        <v>4.3529999999999998</v>
      </c>
      <c r="P3643" s="7">
        <v>4.9089999999999998</v>
      </c>
      <c r="Q3643" s="7">
        <v>4.9249999999999998</v>
      </c>
      <c r="R3643" s="7">
        <v>5.6580000000000004</v>
      </c>
      <c r="S3643" s="7">
        <f t="shared" si="56"/>
        <v>4.6151666666666662</v>
      </c>
    </row>
    <row r="3644" spans="1:19">
      <c r="A3644" s="5" t="str">
        <f>B3644&amp;"-"&amp;COUNTIF($B$2:B3644,B3644)</f>
        <v>RIO DE JANEIRO-51</v>
      </c>
      <c r="B3644" s="5" t="s">
        <v>2388</v>
      </c>
      <c r="C3644" s="5" t="s">
        <v>2426</v>
      </c>
      <c r="D3644" s="6">
        <v>-432956</v>
      </c>
      <c r="E3644" s="6">
        <v>-221632</v>
      </c>
      <c r="F3644" s="7">
        <v>4.7510000000000003</v>
      </c>
      <c r="G3644" s="7">
        <v>5.8630000000000004</v>
      </c>
      <c r="H3644" s="7">
        <v>6.1070000000000002</v>
      </c>
      <c r="I3644" s="7">
        <v>5.0990000000000002</v>
      </c>
      <c r="J3644" s="7">
        <v>4.4429999999999996</v>
      </c>
      <c r="K3644" s="7">
        <v>3.6379999999999999</v>
      </c>
      <c r="L3644" s="7">
        <v>3.3879999999999999</v>
      </c>
      <c r="M3644" s="7">
        <v>3.548</v>
      </c>
      <c r="N3644" s="7">
        <v>4.3609999999999998</v>
      </c>
      <c r="O3644" s="7">
        <v>4.6689999999999996</v>
      </c>
      <c r="P3644" s="7">
        <v>5.0529999999999999</v>
      </c>
      <c r="Q3644" s="7">
        <v>5.0510000000000002</v>
      </c>
      <c r="R3644" s="7">
        <v>5.7919999999999998</v>
      </c>
      <c r="S3644" s="7">
        <f t="shared" si="56"/>
        <v>4.7509999999999994</v>
      </c>
    </row>
    <row r="3645" spans="1:19">
      <c r="A3645" s="5" t="str">
        <f>B3645&amp;"-"&amp;COUNTIF($B$2:B3645,B3645)</f>
        <v>RIO DE JANEIRO-52</v>
      </c>
      <c r="B3645" s="5" t="s">
        <v>2388</v>
      </c>
      <c r="C3645" s="5" t="s">
        <v>2427</v>
      </c>
      <c r="D3645" s="6">
        <v>-437112</v>
      </c>
      <c r="E3645" s="6">
        <v>-226083</v>
      </c>
      <c r="F3645" s="7">
        <v>4.641</v>
      </c>
      <c r="G3645" s="7">
        <v>5.774</v>
      </c>
      <c r="H3645" s="7">
        <v>6.1139999999999999</v>
      </c>
      <c r="I3645" s="7">
        <v>4.9690000000000003</v>
      </c>
      <c r="J3645" s="7">
        <v>4.37</v>
      </c>
      <c r="K3645" s="7">
        <v>3.5910000000000002</v>
      </c>
      <c r="L3645" s="7">
        <v>3.355</v>
      </c>
      <c r="M3645" s="7">
        <v>3.39</v>
      </c>
      <c r="N3645" s="7">
        <v>4.2450000000000001</v>
      </c>
      <c r="O3645" s="7">
        <v>4.4210000000000003</v>
      </c>
      <c r="P3645" s="7">
        <v>4.8899999999999997</v>
      </c>
      <c r="Q3645" s="7">
        <v>4.9279999999999999</v>
      </c>
      <c r="R3645" s="7">
        <v>5.6429999999999998</v>
      </c>
      <c r="S3645" s="7">
        <f t="shared" si="56"/>
        <v>4.6408333333333331</v>
      </c>
    </row>
    <row r="3646" spans="1:19">
      <c r="A3646" s="5" t="str">
        <f>B3646&amp;"-"&amp;COUNTIF($B$2:B3646,B3646)</f>
        <v>RIO DE JANEIRO-53</v>
      </c>
      <c r="B3646" s="5" t="s">
        <v>2388</v>
      </c>
      <c r="C3646" s="5" t="s">
        <v>2428</v>
      </c>
      <c r="D3646" s="6">
        <v>-44717</v>
      </c>
      <c r="E3646" s="6">
        <v>-232229</v>
      </c>
      <c r="F3646" s="7">
        <v>4.1219999999999999</v>
      </c>
      <c r="G3646" s="7">
        <v>5.0209999999999999</v>
      </c>
      <c r="H3646" s="7">
        <v>5.319</v>
      </c>
      <c r="I3646" s="7">
        <v>4.3289999999999997</v>
      </c>
      <c r="J3646" s="7">
        <v>3.9260000000000002</v>
      </c>
      <c r="K3646" s="7">
        <v>3.331</v>
      </c>
      <c r="L3646" s="7">
        <v>3.1280000000000001</v>
      </c>
      <c r="M3646" s="7">
        <v>3.129</v>
      </c>
      <c r="N3646" s="7">
        <v>3.8919999999999999</v>
      </c>
      <c r="O3646" s="7">
        <v>3.911</v>
      </c>
      <c r="P3646" s="7">
        <v>4.1890000000000001</v>
      </c>
      <c r="Q3646" s="7">
        <v>4.3209999999999997</v>
      </c>
      <c r="R3646" s="7">
        <v>4.9749999999999996</v>
      </c>
      <c r="S3646" s="7">
        <f t="shared" si="56"/>
        <v>4.1225833333333339</v>
      </c>
    </row>
    <row r="3647" spans="1:19">
      <c r="A3647" s="5" t="str">
        <f>B3647&amp;"-"&amp;COUNTIF($B$2:B3647,B3647)</f>
        <v>RIO DE JANEIRO-54</v>
      </c>
      <c r="B3647" s="5" t="s">
        <v>2388</v>
      </c>
      <c r="C3647" s="5" t="s">
        <v>2429</v>
      </c>
      <c r="D3647" s="6">
        <v>-434289</v>
      </c>
      <c r="E3647" s="6">
        <v>-224314</v>
      </c>
      <c r="F3647" s="7">
        <v>4.7569999999999997</v>
      </c>
      <c r="G3647" s="7">
        <v>5.8360000000000003</v>
      </c>
      <c r="H3647" s="7">
        <v>6.18</v>
      </c>
      <c r="I3647" s="7">
        <v>5.0720000000000001</v>
      </c>
      <c r="J3647" s="7">
        <v>4.4080000000000004</v>
      </c>
      <c r="K3647" s="7">
        <v>3.6349999999999998</v>
      </c>
      <c r="L3647" s="7">
        <v>3.3929999999999998</v>
      </c>
      <c r="M3647" s="7">
        <v>3.5219999999999998</v>
      </c>
      <c r="N3647" s="7">
        <v>4.3109999999999999</v>
      </c>
      <c r="O3647" s="7">
        <v>4.633</v>
      </c>
      <c r="P3647" s="7">
        <v>5.1059999999999999</v>
      </c>
      <c r="Q3647" s="7">
        <v>5.14</v>
      </c>
      <c r="R3647" s="7">
        <v>5.8470000000000004</v>
      </c>
      <c r="S3647" s="7">
        <f t="shared" si="56"/>
        <v>4.7569166666666671</v>
      </c>
    </row>
    <row r="3648" spans="1:19">
      <c r="A3648" s="5" t="str">
        <f>B3648&amp;"-"&amp;COUNTIF($B$2:B3648,B3648)</f>
        <v>RIO DE JANEIRO-55</v>
      </c>
      <c r="B3648" s="5" t="s">
        <v>2388</v>
      </c>
      <c r="C3648" s="5" t="s">
        <v>5197</v>
      </c>
      <c r="D3648" s="6">
        <v>-43193</v>
      </c>
      <c r="E3648" s="6">
        <v>-225204</v>
      </c>
      <c r="F3648" s="7">
        <v>4.508</v>
      </c>
      <c r="G3648" s="7">
        <v>5.5140000000000002</v>
      </c>
      <c r="H3648" s="7">
        <v>5.7960000000000003</v>
      </c>
      <c r="I3648" s="7">
        <v>4.6900000000000004</v>
      </c>
      <c r="J3648" s="7">
        <v>4.1609999999999996</v>
      </c>
      <c r="K3648" s="7">
        <v>3.48</v>
      </c>
      <c r="L3648" s="7">
        <v>3.351</v>
      </c>
      <c r="M3648" s="7">
        <v>3.4489999999999998</v>
      </c>
      <c r="N3648" s="7">
        <v>4.2519999999999998</v>
      </c>
      <c r="O3648" s="7">
        <v>4.4820000000000002</v>
      </c>
      <c r="P3648" s="7">
        <v>4.8209999999999997</v>
      </c>
      <c r="Q3648" s="7">
        <v>4.7329999999999997</v>
      </c>
      <c r="R3648" s="7">
        <v>5.3609999999999998</v>
      </c>
      <c r="S3648" s="7">
        <f t="shared" si="56"/>
        <v>4.5074999999999994</v>
      </c>
    </row>
    <row r="3649" spans="1:19">
      <c r="A3649" s="5" t="str">
        <f>B3649&amp;"-"&amp;COUNTIF($B$2:B3649,B3649)</f>
        <v>RIO DE JANEIRO-56</v>
      </c>
      <c r="B3649" s="5" t="s">
        <v>2388</v>
      </c>
      <c r="C3649" s="5" t="s">
        <v>2430</v>
      </c>
      <c r="D3649" s="6">
        <v>-440025</v>
      </c>
      <c r="E3649" s="6">
        <v>-225177</v>
      </c>
      <c r="F3649" s="7">
        <v>4.6710000000000003</v>
      </c>
      <c r="G3649" s="7">
        <v>5.7149999999999999</v>
      </c>
      <c r="H3649" s="7">
        <v>5.9960000000000004</v>
      </c>
      <c r="I3649" s="7">
        <v>4.9359999999999999</v>
      </c>
      <c r="J3649" s="7">
        <v>4.37</v>
      </c>
      <c r="K3649" s="7">
        <v>3.5939999999999999</v>
      </c>
      <c r="L3649" s="7">
        <v>3.3959999999999999</v>
      </c>
      <c r="M3649" s="7">
        <v>3.4359999999999999</v>
      </c>
      <c r="N3649" s="7">
        <v>4.351</v>
      </c>
      <c r="O3649" s="7">
        <v>4.5330000000000004</v>
      </c>
      <c r="P3649" s="7">
        <v>4.952</v>
      </c>
      <c r="Q3649" s="7">
        <v>5.0380000000000003</v>
      </c>
      <c r="R3649" s="7">
        <v>5.7270000000000003</v>
      </c>
      <c r="S3649" s="7">
        <f t="shared" si="56"/>
        <v>4.6703333333333346</v>
      </c>
    </row>
    <row r="3650" spans="1:19">
      <c r="A3650" s="5" t="str">
        <f>B3650&amp;"-"&amp;COUNTIF($B$2:B3650,B3650)</f>
        <v>RIO DE JANEIRO-57</v>
      </c>
      <c r="B3650" s="5" t="s">
        <v>2388</v>
      </c>
      <c r="C3650" s="5" t="s">
        <v>2431</v>
      </c>
      <c r="D3650" s="6">
        <v>-439084</v>
      </c>
      <c r="E3650" s="6">
        <v>-22622</v>
      </c>
      <c r="F3650" s="7">
        <v>4.6500000000000004</v>
      </c>
      <c r="G3650" s="7">
        <v>5.734</v>
      </c>
      <c r="H3650" s="7">
        <v>6.0759999999999996</v>
      </c>
      <c r="I3650" s="7">
        <v>4.9340000000000002</v>
      </c>
      <c r="J3650" s="7">
        <v>4.3380000000000001</v>
      </c>
      <c r="K3650" s="7">
        <v>3.5619999999999998</v>
      </c>
      <c r="L3650" s="7">
        <v>3.339</v>
      </c>
      <c r="M3650" s="7">
        <v>3.4009999999999998</v>
      </c>
      <c r="N3650" s="7">
        <v>4.266</v>
      </c>
      <c r="O3650" s="7">
        <v>4.4669999999999996</v>
      </c>
      <c r="P3650" s="7">
        <v>4.9130000000000003</v>
      </c>
      <c r="Q3650" s="7">
        <v>5.0229999999999997</v>
      </c>
      <c r="R3650" s="7">
        <v>5.7430000000000003</v>
      </c>
      <c r="S3650" s="7">
        <f t="shared" si="56"/>
        <v>4.6496666666666666</v>
      </c>
    </row>
    <row r="3651" spans="1:19">
      <c r="A3651" s="5" t="str">
        <f>B3651&amp;"-"&amp;COUNTIF($B$2:B3651,B3651)</f>
        <v>RIO DE JANEIRO-58</v>
      </c>
      <c r="B3651" s="5" t="s">
        <v>2388</v>
      </c>
      <c r="C3651" s="5" t="s">
        <v>4869</v>
      </c>
      <c r="D3651" s="6">
        <v>-42041</v>
      </c>
      <c r="E3651" s="6">
        <v>-209653</v>
      </c>
      <c r="F3651" s="7">
        <v>4.8970000000000002</v>
      </c>
      <c r="G3651" s="7">
        <v>6.08</v>
      </c>
      <c r="H3651" s="7">
        <v>6.2750000000000004</v>
      </c>
      <c r="I3651" s="7">
        <v>5.133</v>
      </c>
      <c r="J3651" s="7">
        <v>4.5090000000000003</v>
      </c>
      <c r="K3651" s="7">
        <v>3.8410000000000002</v>
      </c>
      <c r="L3651" s="7">
        <v>3.6720000000000002</v>
      </c>
      <c r="M3651" s="7">
        <v>3.7879999999999998</v>
      </c>
      <c r="N3651" s="7">
        <v>4.569</v>
      </c>
      <c r="O3651" s="7">
        <v>4.9569999999999999</v>
      </c>
      <c r="P3651" s="7">
        <v>5.1689999999999996</v>
      </c>
      <c r="Q3651" s="7">
        <v>4.9669999999999996</v>
      </c>
      <c r="R3651" s="7">
        <v>5.8010000000000002</v>
      </c>
      <c r="S3651" s="7">
        <f t="shared" ref="S3651:S3714" si="57">(G3651+H3651+I3651+J3651+K3651+L3651+M3651+N3651+O3651+P3651+Q3651+R3651)/12</f>
        <v>4.8967499999999999</v>
      </c>
    </row>
    <row r="3652" spans="1:19">
      <c r="A3652" s="5" t="str">
        <f>B3652&amp;"-"&amp;COUNTIF($B$2:B3652,B3652)</f>
        <v>RIO DE JANEIRO-59</v>
      </c>
      <c r="B3652" s="5" t="s">
        <v>2388</v>
      </c>
      <c r="C3652" s="5" t="s">
        <v>2432</v>
      </c>
      <c r="D3652" s="6">
        <v>-442955</v>
      </c>
      <c r="E3652" s="6">
        <v>-22418</v>
      </c>
      <c r="F3652" s="7">
        <v>4.5999999999999996</v>
      </c>
      <c r="G3652" s="7">
        <v>5.5</v>
      </c>
      <c r="H3652" s="7">
        <v>5.7990000000000004</v>
      </c>
      <c r="I3652" s="7">
        <v>4.8259999999999996</v>
      </c>
      <c r="J3652" s="7">
        <v>4.3259999999999996</v>
      </c>
      <c r="K3652" s="7">
        <v>3.6139999999999999</v>
      </c>
      <c r="L3652" s="7">
        <v>3.4239999999999999</v>
      </c>
      <c r="M3652" s="7">
        <v>3.4529999999999998</v>
      </c>
      <c r="N3652" s="7">
        <v>4.3959999999999999</v>
      </c>
      <c r="O3652" s="7">
        <v>4.5510000000000002</v>
      </c>
      <c r="P3652" s="7">
        <v>4.8689999999999998</v>
      </c>
      <c r="Q3652" s="7">
        <v>4.8920000000000003</v>
      </c>
      <c r="R3652" s="7">
        <v>5.5439999999999996</v>
      </c>
      <c r="S3652" s="7">
        <f t="shared" si="57"/>
        <v>4.5994999999999999</v>
      </c>
    </row>
    <row r="3653" spans="1:19">
      <c r="A3653" s="5" t="str">
        <f>B3653&amp;"-"&amp;COUNTIF($B$2:B3653,B3653)</f>
        <v>RIO DE JANEIRO-60</v>
      </c>
      <c r="B3653" s="5" t="s">
        <v>2388</v>
      </c>
      <c r="C3653" s="5" t="s">
        <v>2433</v>
      </c>
      <c r="D3653" s="6">
        <v>-442601</v>
      </c>
      <c r="E3653" s="6">
        <v>-22405</v>
      </c>
      <c r="F3653" s="7">
        <v>4.5999999999999996</v>
      </c>
      <c r="G3653" s="7">
        <v>5.5</v>
      </c>
      <c r="H3653" s="7">
        <v>5.7990000000000004</v>
      </c>
      <c r="I3653" s="7">
        <v>4.8259999999999996</v>
      </c>
      <c r="J3653" s="7">
        <v>4.3259999999999996</v>
      </c>
      <c r="K3653" s="7">
        <v>3.6139999999999999</v>
      </c>
      <c r="L3653" s="7">
        <v>3.4239999999999999</v>
      </c>
      <c r="M3653" s="7">
        <v>3.4529999999999998</v>
      </c>
      <c r="N3653" s="7">
        <v>4.3959999999999999</v>
      </c>
      <c r="O3653" s="7">
        <v>4.5510000000000002</v>
      </c>
      <c r="P3653" s="7">
        <v>4.8689999999999998</v>
      </c>
      <c r="Q3653" s="7">
        <v>4.8920000000000003</v>
      </c>
      <c r="R3653" s="7">
        <v>5.5439999999999996</v>
      </c>
      <c r="S3653" s="7">
        <f t="shared" si="57"/>
        <v>4.5994999999999999</v>
      </c>
    </row>
    <row r="3654" spans="1:19">
      <c r="A3654" s="5" t="str">
        <f>B3654&amp;"-"&amp;COUNTIF($B$2:B3654,B3654)</f>
        <v>RIO DE JANEIRO-61</v>
      </c>
      <c r="B3654" s="5" t="s">
        <v>2388</v>
      </c>
      <c r="C3654" s="5" t="s">
        <v>2434</v>
      </c>
      <c r="D3654" s="6">
        <v>-435522</v>
      </c>
      <c r="E3654" s="6">
        <v>-227107</v>
      </c>
      <c r="F3654" s="7">
        <v>4.6589999999999998</v>
      </c>
      <c r="G3654" s="7">
        <v>5.8490000000000002</v>
      </c>
      <c r="H3654" s="7">
        <v>6.1159999999999997</v>
      </c>
      <c r="I3654" s="7">
        <v>4.9989999999999997</v>
      </c>
      <c r="J3654" s="7">
        <v>4.423</v>
      </c>
      <c r="K3654" s="7">
        <v>3.6179999999999999</v>
      </c>
      <c r="L3654" s="7">
        <v>3.3769999999999998</v>
      </c>
      <c r="M3654" s="7">
        <v>3.3849999999999998</v>
      </c>
      <c r="N3654" s="7">
        <v>4.2309999999999999</v>
      </c>
      <c r="O3654" s="7">
        <v>4.3869999999999996</v>
      </c>
      <c r="P3654" s="7">
        <v>4.9039999999999999</v>
      </c>
      <c r="Q3654" s="7">
        <v>4.9489999999999998</v>
      </c>
      <c r="R3654" s="7">
        <v>5.6689999999999996</v>
      </c>
      <c r="S3654" s="7">
        <f t="shared" si="57"/>
        <v>4.6589166666666664</v>
      </c>
    </row>
    <row r="3655" spans="1:19">
      <c r="A3655" s="5" t="str">
        <f>B3655&amp;"-"&amp;COUNTIF($B$2:B3655,B3655)</f>
        <v>RIO DE JANEIRO-62</v>
      </c>
      <c r="B3655" s="5" t="s">
        <v>2388</v>
      </c>
      <c r="C3655" s="5" t="s">
        <v>5396</v>
      </c>
      <c r="D3655" s="6">
        <v>-414696</v>
      </c>
      <c r="E3655" s="6">
        <v>-221036</v>
      </c>
      <c r="F3655" s="7">
        <v>4.9390000000000001</v>
      </c>
      <c r="G3655" s="7">
        <v>6.3920000000000003</v>
      </c>
      <c r="H3655" s="7">
        <v>6.6040000000000001</v>
      </c>
      <c r="I3655" s="7">
        <v>5.2450000000000001</v>
      </c>
      <c r="J3655" s="7">
        <v>4.5919999999999996</v>
      </c>
      <c r="K3655" s="7">
        <v>3.7909999999999999</v>
      </c>
      <c r="L3655" s="7">
        <v>3.4940000000000002</v>
      </c>
      <c r="M3655" s="7">
        <v>3.59</v>
      </c>
      <c r="N3655" s="7">
        <v>4.4249999999999998</v>
      </c>
      <c r="O3655" s="7">
        <v>4.6719999999999997</v>
      </c>
      <c r="P3655" s="7">
        <v>5.1669999999999998</v>
      </c>
      <c r="Q3655" s="7">
        <v>5.1870000000000003</v>
      </c>
      <c r="R3655" s="7">
        <v>6.1040000000000001</v>
      </c>
      <c r="S3655" s="7">
        <f t="shared" si="57"/>
        <v>4.9385833333333329</v>
      </c>
    </row>
    <row r="3656" spans="1:19">
      <c r="A3656" s="5" t="str">
        <f>B3656&amp;"-"&amp;COUNTIF($B$2:B3656,B3656)</f>
        <v>RIO DE JANEIRO-63</v>
      </c>
      <c r="B3656" s="5" t="s">
        <v>2388</v>
      </c>
      <c r="C3656" s="5" t="s">
        <v>2435</v>
      </c>
      <c r="D3656" s="6">
        <v>-444513</v>
      </c>
      <c r="E3656" s="6">
        <v>-22471</v>
      </c>
      <c r="F3656" s="7">
        <v>4.5490000000000004</v>
      </c>
      <c r="G3656" s="7">
        <v>5.3860000000000001</v>
      </c>
      <c r="H3656" s="7">
        <v>5.66</v>
      </c>
      <c r="I3656" s="7">
        <v>4.7839999999999998</v>
      </c>
      <c r="J3656" s="7">
        <v>4.32</v>
      </c>
      <c r="K3656" s="7">
        <v>3.5920000000000001</v>
      </c>
      <c r="L3656" s="7">
        <v>3.371</v>
      </c>
      <c r="M3656" s="7">
        <v>3.43</v>
      </c>
      <c r="N3656" s="7">
        <v>4.367</v>
      </c>
      <c r="O3656" s="7">
        <v>4.4889999999999999</v>
      </c>
      <c r="P3656" s="7">
        <v>4.8159999999999998</v>
      </c>
      <c r="Q3656" s="7">
        <v>4.8680000000000003</v>
      </c>
      <c r="R3656" s="7">
        <v>5.5049999999999999</v>
      </c>
      <c r="S3656" s="7">
        <f t="shared" si="57"/>
        <v>4.5490000000000004</v>
      </c>
    </row>
    <row r="3657" spans="1:19">
      <c r="A3657" s="5" t="str">
        <f>B3657&amp;"-"&amp;COUNTIF($B$2:B3657,B3657)</f>
        <v>RIO DE JANEIRO-64</v>
      </c>
      <c r="B3657" s="5" t="s">
        <v>2388</v>
      </c>
      <c r="C3657" s="5" t="s">
        <v>2436</v>
      </c>
      <c r="D3657" s="6">
        <v>-426279</v>
      </c>
      <c r="E3657" s="6">
        <v>-227186</v>
      </c>
      <c r="F3657" s="7">
        <v>4.7210000000000001</v>
      </c>
      <c r="G3657" s="7">
        <v>6.0129999999999999</v>
      </c>
      <c r="H3657" s="7">
        <v>6.2859999999999996</v>
      </c>
      <c r="I3657" s="7">
        <v>4.9960000000000004</v>
      </c>
      <c r="J3657" s="7">
        <v>4.4169999999999998</v>
      </c>
      <c r="K3657" s="7">
        <v>3.6349999999999998</v>
      </c>
      <c r="L3657" s="7">
        <v>3.4409999999999998</v>
      </c>
      <c r="M3657" s="7">
        <v>3.4430000000000001</v>
      </c>
      <c r="N3657" s="7">
        <v>4.2530000000000001</v>
      </c>
      <c r="O3657" s="7">
        <v>4.4580000000000002</v>
      </c>
      <c r="P3657" s="7">
        <v>4.9640000000000004</v>
      </c>
      <c r="Q3657" s="7">
        <v>4.9880000000000004</v>
      </c>
      <c r="R3657" s="7">
        <v>5.75</v>
      </c>
      <c r="S3657" s="7">
        <f t="shared" si="57"/>
        <v>4.7203333333333335</v>
      </c>
    </row>
    <row r="3658" spans="1:19">
      <c r="A3658" s="5" t="str">
        <f>B3658&amp;"-"&amp;COUNTIF($B$2:B3658,B3658)</f>
        <v>RIO DE JANEIRO-65</v>
      </c>
      <c r="B3658" s="5" t="s">
        <v>2388</v>
      </c>
      <c r="C3658" s="5" t="s">
        <v>2437</v>
      </c>
      <c r="D3658" s="6">
        <v>-441423</v>
      </c>
      <c r="E3658" s="6">
        <v>-227205</v>
      </c>
      <c r="F3658" s="7">
        <v>4.6079999999999997</v>
      </c>
      <c r="G3658" s="7">
        <v>5.5890000000000004</v>
      </c>
      <c r="H3658" s="7">
        <v>6</v>
      </c>
      <c r="I3658" s="7">
        <v>4.8449999999999998</v>
      </c>
      <c r="J3658" s="7">
        <v>4.2750000000000004</v>
      </c>
      <c r="K3658" s="7">
        <v>3.552</v>
      </c>
      <c r="L3658" s="7">
        <v>3.335</v>
      </c>
      <c r="M3658" s="7">
        <v>3.403</v>
      </c>
      <c r="N3658" s="7">
        <v>4.2590000000000003</v>
      </c>
      <c r="O3658" s="7">
        <v>4.4630000000000001</v>
      </c>
      <c r="P3658" s="7">
        <v>4.9130000000000003</v>
      </c>
      <c r="Q3658" s="7">
        <v>4.9550000000000001</v>
      </c>
      <c r="R3658" s="7">
        <v>5.7039999999999997</v>
      </c>
      <c r="S3658" s="7">
        <f t="shared" si="57"/>
        <v>4.6077500000000002</v>
      </c>
    </row>
    <row r="3659" spans="1:19">
      <c r="A3659" s="5" t="str">
        <f>B3659&amp;"-"&amp;COUNTIF($B$2:B3659,B3659)</f>
        <v>RIO DE JANEIRO-66</v>
      </c>
      <c r="B3659" s="5" t="s">
        <v>2388</v>
      </c>
      <c r="C3659" s="5" t="s">
        <v>2438</v>
      </c>
      <c r="D3659" s="6">
        <v>-43586</v>
      </c>
      <c r="E3659" s="6">
        <v>-221697</v>
      </c>
      <c r="F3659" s="7">
        <v>4.633</v>
      </c>
      <c r="G3659" s="7">
        <v>5.726</v>
      </c>
      <c r="H3659" s="7">
        <v>5.9950000000000001</v>
      </c>
      <c r="I3659" s="7">
        <v>4.9279999999999999</v>
      </c>
      <c r="J3659" s="7">
        <v>4.3109999999999999</v>
      </c>
      <c r="K3659" s="7">
        <v>3.5939999999999999</v>
      </c>
      <c r="L3659" s="7">
        <v>3.3719999999999999</v>
      </c>
      <c r="M3659" s="7">
        <v>3.4820000000000002</v>
      </c>
      <c r="N3659" s="7">
        <v>4.266</v>
      </c>
      <c r="O3659" s="7">
        <v>4.5529999999999999</v>
      </c>
      <c r="P3659" s="7">
        <v>4.9169999999999998</v>
      </c>
      <c r="Q3659" s="7">
        <v>4.8959999999999999</v>
      </c>
      <c r="R3659" s="7">
        <v>5.5590000000000002</v>
      </c>
      <c r="S3659" s="7">
        <f t="shared" si="57"/>
        <v>4.6332499999999994</v>
      </c>
    </row>
    <row r="3660" spans="1:19">
      <c r="A3660" s="5" t="str">
        <f>B3660&amp;"-"&amp;COUNTIF($B$2:B3660,B3660)</f>
        <v>RIO DE JANEIRO-67</v>
      </c>
      <c r="B3660" s="5" t="s">
        <v>2388</v>
      </c>
      <c r="C3660" s="5" t="s">
        <v>2439</v>
      </c>
      <c r="D3660" s="6">
        <v>-419479</v>
      </c>
      <c r="E3660" s="6">
        <v>-225179</v>
      </c>
      <c r="F3660" s="7">
        <v>4.7839999999999998</v>
      </c>
      <c r="G3660" s="7">
        <v>6.1959999999999997</v>
      </c>
      <c r="H3660" s="7">
        <v>6.4089999999999998</v>
      </c>
      <c r="I3660" s="7">
        <v>5.1020000000000003</v>
      </c>
      <c r="J3660" s="7">
        <v>4.468</v>
      </c>
      <c r="K3660" s="7">
        <v>3.6890000000000001</v>
      </c>
      <c r="L3660" s="7">
        <v>3.4239999999999999</v>
      </c>
      <c r="M3660" s="7">
        <v>3.4820000000000002</v>
      </c>
      <c r="N3660" s="7">
        <v>4.2910000000000004</v>
      </c>
      <c r="O3660" s="7">
        <v>4.5090000000000003</v>
      </c>
      <c r="P3660" s="7">
        <v>5.0309999999999997</v>
      </c>
      <c r="Q3660" s="7">
        <v>4.9740000000000002</v>
      </c>
      <c r="R3660" s="7">
        <v>5.8369999999999997</v>
      </c>
      <c r="S3660" s="7">
        <f t="shared" si="57"/>
        <v>4.7843333333333335</v>
      </c>
    </row>
    <row r="3661" spans="1:19">
      <c r="A3661" s="5" t="str">
        <f>B3661&amp;"-"&amp;COUNTIF($B$2:B3661,B3661)</f>
        <v>RIO DE JANEIRO-68</v>
      </c>
      <c r="B3661" s="5" t="s">
        <v>2388</v>
      </c>
      <c r="C3661" s="5" t="s">
        <v>2440</v>
      </c>
      <c r="D3661" s="6">
        <v>-43201</v>
      </c>
      <c r="E3661" s="6">
        <v>-229139</v>
      </c>
      <c r="F3661" s="7">
        <v>4.7320000000000002</v>
      </c>
      <c r="G3661" s="7">
        <v>6.0410000000000004</v>
      </c>
      <c r="H3661" s="7">
        <v>6.2210000000000001</v>
      </c>
      <c r="I3661" s="7">
        <v>5.0620000000000003</v>
      </c>
      <c r="J3661" s="7">
        <v>4.3579999999999997</v>
      </c>
      <c r="K3661" s="7">
        <v>3.59</v>
      </c>
      <c r="L3661" s="7">
        <v>3.35</v>
      </c>
      <c r="M3661" s="7">
        <v>3.3410000000000002</v>
      </c>
      <c r="N3661" s="7">
        <v>4.2030000000000003</v>
      </c>
      <c r="O3661" s="7">
        <v>4.4349999999999996</v>
      </c>
      <c r="P3661" s="7">
        <v>5.1059999999999999</v>
      </c>
      <c r="Q3661" s="7">
        <v>5.1429999999999998</v>
      </c>
      <c r="R3661" s="7">
        <v>5.9279999999999999</v>
      </c>
      <c r="S3661" s="7">
        <f t="shared" si="57"/>
        <v>4.7315000000000005</v>
      </c>
    </row>
    <row r="3662" spans="1:19">
      <c r="A3662" s="5" t="str">
        <f>B3662&amp;"-"&amp;COUNTIF($B$2:B3662,B3662)</f>
        <v>RIO DE JANEIRO-69</v>
      </c>
      <c r="B3662" s="5" t="s">
        <v>2388</v>
      </c>
      <c r="C3662" s="5" t="s">
        <v>4460</v>
      </c>
      <c r="D3662" s="6">
        <v>-417485</v>
      </c>
      <c r="E3662" s="6">
        <v>-216485</v>
      </c>
      <c r="F3662" s="7">
        <v>4.8929999999999998</v>
      </c>
      <c r="G3662" s="7">
        <v>6.2539999999999996</v>
      </c>
      <c r="H3662" s="7">
        <v>6.3760000000000003</v>
      </c>
      <c r="I3662" s="7">
        <v>5.2089999999999996</v>
      </c>
      <c r="J3662" s="7">
        <v>4.49</v>
      </c>
      <c r="K3662" s="7">
        <v>3.859</v>
      </c>
      <c r="L3662" s="7">
        <v>3.58</v>
      </c>
      <c r="M3662" s="7">
        <v>3.6440000000000001</v>
      </c>
      <c r="N3662" s="7">
        <v>4.38</v>
      </c>
      <c r="O3662" s="7">
        <v>4.774</v>
      </c>
      <c r="P3662" s="7">
        <v>5.101</v>
      </c>
      <c r="Q3662" s="7">
        <v>5.0810000000000004</v>
      </c>
      <c r="R3662" s="7">
        <v>5.968</v>
      </c>
      <c r="S3662" s="7">
        <f t="shared" si="57"/>
        <v>4.8930000000000007</v>
      </c>
    </row>
    <row r="3663" spans="1:19">
      <c r="A3663" s="5" t="str">
        <f>B3663&amp;"-"&amp;COUNTIF($B$2:B3663,B3663)</f>
        <v>RIO DE JANEIRO-70</v>
      </c>
      <c r="B3663" s="5" t="s">
        <v>2388</v>
      </c>
      <c r="C3663" s="5" t="s">
        <v>4135</v>
      </c>
      <c r="D3663" s="6">
        <v>-411076</v>
      </c>
      <c r="E3663" s="6">
        <v>-214752</v>
      </c>
      <c r="F3663" s="7">
        <v>4.9930000000000003</v>
      </c>
      <c r="G3663" s="7">
        <v>6.48</v>
      </c>
      <c r="H3663" s="7">
        <v>6.6760000000000002</v>
      </c>
      <c r="I3663" s="7">
        <v>5.3010000000000002</v>
      </c>
      <c r="J3663" s="7">
        <v>4.5170000000000003</v>
      </c>
      <c r="K3663" s="7">
        <v>3.8359999999999999</v>
      </c>
      <c r="L3663" s="7">
        <v>3.5630000000000002</v>
      </c>
      <c r="M3663" s="7">
        <v>3.6349999999999998</v>
      </c>
      <c r="N3663" s="7">
        <v>4.5</v>
      </c>
      <c r="O3663" s="7">
        <v>4.8310000000000004</v>
      </c>
      <c r="P3663" s="7">
        <v>5.2610000000000001</v>
      </c>
      <c r="Q3663" s="7">
        <v>5.2270000000000003</v>
      </c>
      <c r="R3663" s="7">
        <v>6.0880000000000001</v>
      </c>
      <c r="S3663" s="7">
        <f t="shared" si="57"/>
        <v>4.9929166666666669</v>
      </c>
    </row>
    <row r="3664" spans="1:19">
      <c r="A3664" s="5" t="str">
        <f>B3664&amp;"-"&amp;COUNTIF($B$2:B3664,B3664)</f>
        <v>RIO DE JANEIRO-71</v>
      </c>
      <c r="B3664" s="5" t="s">
        <v>2388</v>
      </c>
      <c r="C3664" s="5" t="s">
        <v>4750</v>
      </c>
      <c r="D3664" s="6">
        <v>-430637</v>
      </c>
      <c r="E3664" s="6">
        <v>-228273</v>
      </c>
      <c r="F3664" s="7">
        <v>4.75</v>
      </c>
      <c r="G3664" s="7">
        <v>6.1189999999999998</v>
      </c>
      <c r="H3664" s="7">
        <v>6.32</v>
      </c>
      <c r="I3664" s="7">
        <v>5.1059999999999999</v>
      </c>
      <c r="J3664" s="7">
        <v>4.4480000000000004</v>
      </c>
      <c r="K3664" s="7">
        <v>3.601</v>
      </c>
      <c r="L3664" s="7">
        <v>3.37</v>
      </c>
      <c r="M3664" s="7">
        <v>3.3809999999999998</v>
      </c>
      <c r="N3664" s="7">
        <v>4.2160000000000002</v>
      </c>
      <c r="O3664" s="7">
        <v>4.3970000000000002</v>
      </c>
      <c r="P3664" s="7">
        <v>5.0350000000000001</v>
      </c>
      <c r="Q3664" s="7">
        <v>5.0919999999999996</v>
      </c>
      <c r="R3664" s="7">
        <v>5.9160000000000004</v>
      </c>
      <c r="S3664" s="7">
        <f t="shared" si="57"/>
        <v>4.7500833333333325</v>
      </c>
    </row>
    <row r="3665" spans="1:19">
      <c r="A3665" s="5" t="str">
        <f>B3665&amp;"-"&amp;COUNTIF($B$2:B3665,B3665)</f>
        <v>RIO DE JANEIRO-72</v>
      </c>
      <c r="B3665" s="5" t="s">
        <v>2388</v>
      </c>
      <c r="C3665" s="5" t="s">
        <v>4136</v>
      </c>
      <c r="D3665" s="6">
        <v>-410449</v>
      </c>
      <c r="E3665" s="6">
        <v>-216385</v>
      </c>
      <c r="F3665" s="7">
        <v>5.0599999999999996</v>
      </c>
      <c r="G3665" s="7">
        <v>6.476</v>
      </c>
      <c r="H3665" s="7">
        <v>6.6909999999999998</v>
      </c>
      <c r="I3665" s="7">
        <v>5.3769999999999998</v>
      </c>
      <c r="J3665" s="7">
        <v>4.6260000000000003</v>
      </c>
      <c r="K3665" s="7">
        <v>3.8519999999999999</v>
      </c>
      <c r="L3665" s="7">
        <v>3.5840000000000001</v>
      </c>
      <c r="M3665" s="7">
        <v>3.6680000000000001</v>
      </c>
      <c r="N3665" s="7">
        <v>4.5469999999999997</v>
      </c>
      <c r="O3665" s="7">
        <v>4.9080000000000004</v>
      </c>
      <c r="P3665" s="7">
        <v>5.3789999999999996</v>
      </c>
      <c r="Q3665" s="7">
        <v>5.3689999999999998</v>
      </c>
      <c r="R3665" s="7">
        <v>6.2380000000000004</v>
      </c>
      <c r="S3665" s="7">
        <f t="shared" si="57"/>
        <v>5.0595833333333333</v>
      </c>
    </row>
    <row r="3666" spans="1:19">
      <c r="A3666" s="5" t="str">
        <f>B3666&amp;"-"&amp;COUNTIF($B$2:B3666,B3666)</f>
        <v>RIO DE JANEIRO-73</v>
      </c>
      <c r="B3666" s="5" t="s">
        <v>2388</v>
      </c>
      <c r="C3666" s="5" t="s">
        <v>4137</v>
      </c>
      <c r="D3666" s="6">
        <v>-433733</v>
      </c>
      <c r="E3666" s="6">
        <v>-228063</v>
      </c>
      <c r="F3666" s="7">
        <v>4.6929999999999996</v>
      </c>
      <c r="G3666" s="7">
        <v>5.9539999999999997</v>
      </c>
      <c r="H3666" s="7">
        <v>6.1360000000000001</v>
      </c>
      <c r="I3666" s="7">
        <v>5.0170000000000003</v>
      </c>
      <c r="J3666" s="7">
        <v>4.3630000000000004</v>
      </c>
      <c r="K3666" s="7">
        <v>3.6179999999999999</v>
      </c>
      <c r="L3666" s="7">
        <v>3.3839999999999999</v>
      </c>
      <c r="M3666" s="7">
        <v>3.3719999999999999</v>
      </c>
      <c r="N3666" s="7">
        <v>4.226</v>
      </c>
      <c r="O3666" s="7">
        <v>4.431</v>
      </c>
      <c r="P3666" s="7">
        <v>5.0199999999999996</v>
      </c>
      <c r="Q3666" s="7">
        <v>5.0570000000000004</v>
      </c>
      <c r="R3666" s="7">
        <v>5.7430000000000003</v>
      </c>
      <c r="S3666" s="7">
        <f t="shared" si="57"/>
        <v>4.6934166666666668</v>
      </c>
    </row>
    <row r="3667" spans="1:19">
      <c r="A3667" s="5" t="str">
        <f>B3667&amp;"-"&amp;COUNTIF($B$2:B3667,B3667)</f>
        <v>RIO DE JANEIRO-74</v>
      </c>
      <c r="B3667" s="5" t="s">
        <v>2388</v>
      </c>
      <c r="C3667" s="5" t="s">
        <v>5697</v>
      </c>
      <c r="D3667" s="6">
        <v>-419385</v>
      </c>
      <c r="E3667" s="6">
        <v>-213589</v>
      </c>
      <c r="F3667" s="7">
        <v>4.8849999999999998</v>
      </c>
      <c r="G3667" s="7">
        <v>6.1379999999999999</v>
      </c>
      <c r="H3667" s="7">
        <v>6.3550000000000004</v>
      </c>
      <c r="I3667" s="7">
        <v>5.1760000000000002</v>
      </c>
      <c r="J3667" s="7">
        <v>4.4690000000000003</v>
      </c>
      <c r="K3667" s="7">
        <v>3.7930000000000001</v>
      </c>
      <c r="L3667" s="7">
        <v>3.5259999999999998</v>
      </c>
      <c r="M3667" s="7">
        <v>3.641</v>
      </c>
      <c r="N3667" s="7">
        <v>4.42</v>
      </c>
      <c r="O3667" s="7">
        <v>4.8410000000000002</v>
      </c>
      <c r="P3667" s="7">
        <v>5.1920000000000002</v>
      </c>
      <c r="Q3667" s="7">
        <v>5.0880000000000001</v>
      </c>
      <c r="R3667" s="7">
        <v>5.9820000000000002</v>
      </c>
      <c r="S3667" s="7">
        <f t="shared" si="57"/>
        <v>4.8850833333333332</v>
      </c>
    </row>
    <row r="3668" spans="1:19">
      <c r="A3668" s="5" t="str">
        <f>B3668&amp;"-"&amp;COUNTIF($B$2:B3668,B3668)</f>
        <v>RIO DE JANEIRO-75</v>
      </c>
      <c r="B3668" s="5" t="s">
        <v>2388</v>
      </c>
      <c r="C3668" s="5" t="s">
        <v>4461</v>
      </c>
      <c r="D3668" s="6">
        <v>-429331</v>
      </c>
      <c r="E3668" s="6">
        <v>-22153</v>
      </c>
      <c r="F3668" s="7">
        <v>4.6449999999999996</v>
      </c>
      <c r="G3668" s="7">
        <v>5.7329999999999997</v>
      </c>
      <c r="H3668" s="7">
        <v>6.01</v>
      </c>
      <c r="I3668" s="7">
        <v>4.984</v>
      </c>
      <c r="J3668" s="7">
        <v>4.2919999999999998</v>
      </c>
      <c r="K3668" s="7">
        <v>3.5760000000000001</v>
      </c>
      <c r="L3668" s="7">
        <v>3.3420000000000001</v>
      </c>
      <c r="M3668" s="7">
        <v>3.504</v>
      </c>
      <c r="N3668" s="7">
        <v>4.2720000000000002</v>
      </c>
      <c r="O3668" s="7">
        <v>4.569</v>
      </c>
      <c r="P3668" s="7">
        <v>4.9649999999999999</v>
      </c>
      <c r="Q3668" s="7">
        <v>4.8620000000000001</v>
      </c>
      <c r="R3668" s="7">
        <v>5.64</v>
      </c>
      <c r="S3668" s="7">
        <f t="shared" si="57"/>
        <v>4.6457500000000005</v>
      </c>
    </row>
    <row r="3669" spans="1:19">
      <c r="A3669" s="5" t="str">
        <f>B3669&amp;"-"&amp;COUNTIF($B$2:B3669,B3669)</f>
        <v>RIO DE JANEIRO-76</v>
      </c>
      <c r="B3669" s="5" t="s">
        <v>2388</v>
      </c>
      <c r="C3669" s="5" t="s">
        <v>4138</v>
      </c>
      <c r="D3669" s="6">
        <v>-42103</v>
      </c>
      <c r="E3669" s="6">
        <v>-228433</v>
      </c>
      <c r="F3669" s="7">
        <v>4.8869999999999996</v>
      </c>
      <c r="G3669" s="7">
        <v>6.3079999999999998</v>
      </c>
      <c r="H3669" s="7">
        <v>6.55</v>
      </c>
      <c r="I3669" s="7">
        <v>5.2190000000000003</v>
      </c>
      <c r="J3669" s="7">
        <v>4.5259999999999998</v>
      </c>
      <c r="K3669" s="7">
        <v>3.6869999999999998</v>
      </c>
      <c r="L3669" s="7">
        <v>3.4350000000000001</v>
      </c>
      <c r="M3669" s="7">
        <v>3.468</v>
      </c>
      <c r="N3669" s="7">
        <v>4.3129999999999997</v>
      </c>
      <c r="O3669" s="7">
        <v>4.5880000000000001</v>
      </c>
      <c r="P3669" s="7">
        <v>5.2030000000000003</v>
      </c>
      <c r="Q3669" s="7">
        <v>5.2380000000000004</v>
      </c>
      <c r="R3669" s="7">
        <v>6.1150000000000002</v>
      </c>
      <c r="S3669" s="7">
        <f t="shared" si="57"/>
        <v>4.8875000000000002</v>
      </c>
    </row>
    <row r="3670" spans="1:19">
      <c r="A3670" s="5" t="str">
        <f>B3670&amp;"-"&amp;COUNTIF($B$2:B3670,B3670)</f>
        <v>RIO DE JANEIRO-77</v>
      </c>
      <c r="B3670" s="5" t="s">
        <v>2388</v>
      </c>
      <c r="C3670" s="5" t="s">
        <v>4139</v>
      </c>
      <c r="D3670" s="6">
        <v>-421332</v>
      </c>
      <c r="E3670" s="6">
        <v>-219583</v>
      </c>
      <c r="F3670" s="7">
        <v>4.7789999999999999</v>
      </c>
      <c r="G3670" s="7">
        <v>6.0309999999999997</v>
      </c>
      <c r="H3670" s="7">
        <v>6.2830000000000004</v>
      </c>
      <c r="I3670" s="7">
        <v>5.1619999999999999</v>
      </c>
      <c r="J3670" s="7">
        <v>4.452</v>
      </c>
      <c r="K3670" s="7">
        <v>3.6909999999999998</v>
      </c>
      <c r="L3670" s="7">
        <v>3.4180000000000001</v>
      </c>
      <c r="M3670" s="7">
        <v>3.556</v>
      </c>
      <c r="N3670" s="7">
        <v>4.3079999999999998</v>
      </c>
      <c r="O3670" s="7">
        <v>4.6449999999999996</v>
      </c>
      <c r="P3670" s="7">
        <v>4.9610000000000003</v>
      </c>
      <c r="Q3670" s="7">
        <v>5.008</v>
      </c>
      <c r="R3670" s="7">
        <v>5.8339999999999996</v>
      </c>
      <c r="S3670" s="7">
        <f t="shared" si="57"/>
        <v>4.7790833333333325</v>
      </c>
    </row>
    <row r="3671" spans="1:19">
      <c r="A3671" s="5" t="str">
        <f>B3671&amp;"-"&amp;COUNTIF($B$2:B3671,B3671)</f>
        <v>RIO DE JANEIRO-78</v>
      </c>
      <c r="B3671" s="5" t="s">
        <v>2388</v>
      </c>
      <c r="C3671" s="5" t="s">
        <v>2441</v>
      </c>
      <c r="D3671" s="6">
        <v>-420102</v>
      </c>
      <c r="E3671" s="6">
        <v>-219551</v>
      </c>
      <c r="F3671" s="7">
        <v>4.7359999999999998</v>
      </c>
      <c r="G3671" s="7">
        <v>5.9669999999999996</v>
      </c>
      <c r="H3671" s="7">
        <v>6.2859999999999996</v>
      </c>
      <c r="I3671" s="7">
        <v>5.1070000000000002</v>
      </c>
      <c r="J3671" s="7">
        <v>4.3600000000000003</v>
      </c>
      <c r="K3671" s="7">
        <v>3.669</v>
      </c>
      <c r="L3671" s="7">
        <v>3.3969999999999998</v>
      </c>
      <c r="M3671" s="7">
        <v>3.512</v>
      </c>
      <c r="N3671" s="7">
        <v>4.2679999999999998</v>
      </c>
      <c r="O3671" s="7">
        <v>4.6230000000000002</v>
      </c>
      <c r="P3671" s="7">
        <v>4.9359999999999999</v>
      </c>
      <c r="Q3671" s="7">
        <v>4.9379999999999997</v>
      </c>
      <c r="R3671" s="7">
        <v>5.774</v>
      </c>
      <c r="S3671" s="7">
        <f t="shared" si="57"/>
        <v>4.7364166666666661</v>
      </c>
    </row>
    <row r="3672" spans="1:19">
      <c r="A3672" s="5" t="str">
        <f>B3672&amp;"-"&amp;COUNTIF($B$2:B3672,B3672)</f>
        <v>RIO DE JANEIRO-79</v>
      </c>
      <c r="B3672" s="5" t="s">
        <v>2388</v>
      </c>
      <c r="C3672" s="5" t="s">
        <v>5698</v>
      </c>
      <c r="D3672" s="6">
        <v>-421835</v>
      </c>
      <c r="E3672" s="6">
        <v>-215415</v>
      </c>
      <c r="F3672" s="7">
        <v>4.8479999999999999</v>
      </c>
      <c r="G3672" s="7">
        <v>6.048</v>
      </c>
      <c r="H3672" s="7">
        <v>6.2690000000000001</v>
      </c>
      <c r="I3672" s="7">
        <v>5.2119999999999997</v>
      </c>
      <c r="J3672" s="7">
        <v>4.484</v>
      </c>
      <c r="K3672" s="7">
        <v>3.7530000000000001</v>
      </c>
      <c r="L3672" s="7">
        <v>3.4769999999999999</v>
      </c>
      <c r="M3672" s="7">
        <v>3.6040000000000001</v>
      </c>
      <c r="N3672" s="7">
        <v>4.3970000000000002</v>
      </c>
      <c r="O3672" s="7">
        <v>4.8049999999999997</v>
      </c>
      <c r="P3672" s="7">
        <v>5.1479999999999997</v>
      </c>
      <c r="Q3672" s="7">
        <v>5.0449999999999999</v>
      </c>
      <c r="R3672" s="7">
        <v>5.9340000000000002</v>
      </c>
      <c r="S3672" s="7">
        <f t="shared" si="57"/>
        <v>4.8479999999999999</v>
      </c>
    </row>
    <row r="3673" spans="1:19">
      <c r="A3673" s="5" t="str">
        <f>B3673&amp;"-"&amp;COUNTIF($B$2:B3673,B3673)</f>
        <v>RIO DE JANEIRO-80</v>
      </c>
      <c r="B3673" s="5" t="s">
        <v>2388</v>
      </c>
      <c r="C3673" s="5" t="s">
        <v>1778</v>
      </c>
      <c r="D3673" s="6">
        <v>-429146</v>
      </c>
      <c r="E3673" s="6">
        <v>-219954</v>
      </c>
      <c r="F3673" s="7">
        <v>4.7080000000000002</v>
      </c>
      <c r="G3673" s="7">
        <v>5.7889999999999997</v>
      </c>
      <c r="H3673" s="7">
        <v>6.016</v>
      </c>
      <c r="I3673" s="7">
        <v>5.0839999999999996</v>
      </c>
      <c r="J3673" s="7">
        <v>4.3890000000000002</v>
      </c>
      <c r="K3673" s="7">
        <v>3.6</v>
      </c>
      <c r="L3673" s="7">
        <v>3.3959999999999999</v>
      </c>
      <c r="M3673" s="7">
        <v>3.5590000000000002</v>
      </c>
      <c r="N3673" s="7">
        <v>4.3170000000000002</v>
      </c>
      <c r="O3673" s="7">
        <v>4.6360000000000001</v>
      </c>
      <c r="P3673" s="7">
        <v>5.008</v>
      </c>
      <c r="Q3673" s="7">
        <v>4.9889999999999999</v>
      </c>
      <c r="R3673" s="7">
        <v>5.7119999999999997</v>
      </c>
      <c r="S3673" s="7">
        <f t="shared" si="57"/>
        <v>4.7079166666666667</v>
      </c>
    </row>
    <row r="3674" spans="1:19">
      <c r="A3674" s="5" t="str">
        <f>B3674&amp;"-"&amp;COUNTIF($B$2:B3674,B3674)</f>
        <v>RIO DE JANEIRO-81</v>
      </c>
      <c r="B3674" s="5" t="s">
        <v>2388</v>
      </c>
      <c r="C3674" s="5" t="s">
        <v>2442</v>
      </c>
      <c r="D3674" s="6">
        <v>-425103</v>
      </c>
      <c r="E3674" s="6">
        <v>-229297</v>
      </c>
      <c r="F3674" s="7">
        <v>4.7640000000000002</v>
      </c>
      <c r="G3674" s="7">
        <v>6.1829999999999998</v>
      </c>
      <c r="H3674" s="7">
        <v>6.4429999999999996</v>
      </c>
      <c r="I3674" s="7">
        <v>5.1100000000000003</v>
      </c>
      <c r="J3674" s="7">
        <v>4.4359999999999999</v>
      </c>
      <c r="K3674" s="7">
        <v>3.5910000000000002</v>
      </c>
      <c r="L3674" s="7">
        <v>3.367</v>
      </c>
      <c r="M3674" s="7">
        <v>3.3769999999999998</v>
      </c>
      <c r="N3674" s="7">
        <v>4.173</v>
      </c>
      <c r="O3674" s="7">
        <v>4.3940000000000001</v>
      </c>
      <c r="P3674" s="7">
        <v>5.0490000000000004</v>
      </c>
      <c r="Q3674" s="7">
        <v>5.1210000000000004</v>
      </c>
      <c r="R3674" s="7">
        <v>5.9320000000000004</v>
      </c>
      <c r="S3674" s="7">
        <f t="shared" si="57"/>
        <v>4.7646666666666677</v>
      </c>
    </row>
    <row r="3675" spans="1:19">
      <c r="A3675" s="5" t="str">
        <f>B3675&amp;"-"&amp;COUNTIF($B$2:B3675,B3675)</f>
        <v>RIO DE JANEIRO-82</v>
      </c>
      <c r="B3675" s="5" t="s">
        <v>2388</v>
      </c>
      <c r="C3675" s="5" t="s">
        <v>4462</v>
      </c>
      <c r="D3675" s="6">
        <v>-437159</v>
      </c>
      <c r="E3675" s="6">
        <v>-227531</v>
      </c>
      <c r="F3675" s="7">
        <v>4.6740000000000004</v>
      </c>
      <c r="G3675" s="7">
        <v>5.9059999999999997</v>
      </c>
      <c r="H3675" s="7">
        <v>6.2160000000000002</v>
      </c>
      <c r="I3675" s="7">
        <v>4.9909999999999997</v>
      </c>
      <c r="J3675" s="7">
        <v>4.4340000000000002</v>
      </c>
      <c r="K3675" s="7">
        <v>3.589</v>
      </c>
      <c r="L3675" s="7">
        <v>3.3140000000000001</v>
      </c>
      <c r="M3675" s="7">
        <v>3.375</v>
      </c>
      <c r="N3675" s="7">
        <v>4.2240000000000002</v>
      </c>
      <c r="O3675" s="7">
        <v>4.3499999999999996</v>
      </c>
      <c r="P3675" s="7">
        <v>4.9089999999999998</v>
      </c>
      <c r="Q3675" s="7">
        <v>4.992</v>
      </c>
      <c r="R3675" s="7">
        <v>5.7830000000000004</v>
      </c>
      <c r="S3675" s="7">
        <f t="shared" si="57"/>
        <v>4.6735833333333332</v>
      </c>
    </row>
    <row r="3676" spans="1:19">
      <c r="A3676" s="5" t="str">
        <f>B3676&amp;"-"&amp;COUNTIF($B$2:B3676,B3676)</f>
        <v>RIO DE JANEIRO-83</v>
      </c>
      <c r="B3676" s="5" t="s">
        <v>2388</v>
      </c>
      <c r="C3676" s="5" t="s">
        <v>2443</v>
      </c>
      <c r="D3676" s="6">
        <v>-423965</v>
      </c>
      <c r="E3676" s="6">
        <v>-226579</v>
      </c>
      <c r="F3676" s="7">
        <v>4.76</v>
      </c>
      <c r="G3676" s="7">
        <v>6.1159999999999997</v>
      </c>
      <c r="H3676" s="7">
        <v>6.3719999999999999</v>
      </c>
      <c r="I3676" s="7">
        <v>5.0780000000000003</v>
      </c>
      <c r="J3676" s="7">
        <v>4.4580000000000002</v>
      </c>
      <c r="K3676" s="7">
        <v>3.657</v>
      </c>
      <c r="L3676" s="7">
        <v>3.4279999999999999</v>
      </c>
      <c r="M3676" s="7">
        <v>3.4359999999999999</v>
      </c>
      <c r="N3676" s="7">
        <v>4.2839999999999998</v>
      </c>
      <c r="O3676" s="7">
        <v>4.4790000000000001</v>
      </c>
      <c r="P3676" s="7">
        <v>5.032</v>
      </c>
      <c r="Q3676" s="7">
        <v>4.9980000000000002</v>
      </c>
      <c r="R3676" s="7">
        <v>5.7809999999999997</v>
      </c>
      <c r="S3676" s="7">
        <f t="shared" si="57"/>
        <v>4.7599166666666664</v>
      </c>
    </row>
    <row r="3677" spans="1:19">
      <c r="A3677" s="5" t="str">
        <f>B3677&amp;"-"&amp;COUNTIF($B$2:B3677,B3677)</f>
        <v>RIO DE JANEIRO-84</v>
      </c>
      <c r="B3677" s="5" t="s">
        <v>2388</v>
      </c>
      <c r="C3677" s="5" t="s">
        <v>2444</v>
      </c>
      <c r="D3677" s="6">
        <v>-426765</v>
      </c>
      <c r="E3677" s="6">
        <v>-220489</v>
      </c>
      <c r="F3677" s="7">
        <v>4.7560000000000002</v>
      </c>
      <c r="G3677" s="7">
        <v>5.9210000000000003</v>
      </c>
      <c r="H3677" s="7">
        <v>6.1989999999999998</v>
      </c>
      <c r="I3677" s="7">
        <v>5.1909999999999998</v>
      </c>
      <c r="J3677" s="7">
        <v>4.5279999999999996</v>
      </c>
      <c r="K3677" s="7">
        <v>3.6709999999999998</v>
      </c>
      <c r="L3677" s="7">
        <v>3.38</v>
      </c>
      <c r="M3677" s="7">
        <v>3.5550000000000002</v>
      </c>
      <c r="N3677" s="7">
        <v>4.3239999999999998</v>
      </c>
      <c r="O3677" s="7">
        <v>4.633</v>
      </c>
      <c r="P3677" s="7">
        <v>4.9649999999999999</v>
      </c>
      <c r="Q3677" s="7">
        <v>4.9160000000000004</v>
      </c>
      <c r="R3677" s="7">
        <v>5.7889999999999997</v>
      </c>
      <c r="S3677" s="7">
        <f t="shared" si="57"/>
        <v>4.7560000000000002</v>
      </c>
    </row>
    <row r="3678" spans="1:19">
      <c r="A3678" s="5" t="str">
        <f>B3678&amp;"-"&amp;COUNTIF($B$2:B3678,B3678)</f>
        <v>RIO DE JANEIRO-85</v>
      </c>
      <c r="B3678" s="5" t="s">
        <v>2388</v>
      </c>
      <c r="C3678" s="5" t="s">
        <v>5699</v>
      </c>
      <c r="D3678" s="6">
        <v>-427206</v>
      </c>
      <c r="E3678" s="6">
        <v>-227428</v>
      </c>
      <c r="F3678" s="7">
        <v>4.7409999999999997</v>
      </c>
      <c r="G3678" s="7">
        <v>6.0570000000000004</v>
      </c>
      <c r="H3678" s="7">
        <v>6.3109999999999999</v>
      </c>
      <c r="I3678" s="7">
        <v>5.0439999999999996</v>
      </c>
      <c r="J3678" s="7">
        <v>4.4489999999999998</v>
      </c>
      <c r="K3678" s="7">
        <v>3.6349999999999998</v>
      </c>
      <c r="L3678" s="7">
        <v>3.448</v>
      </c>
      <c r="M3678" s="7">
        <v>3.444</v>
      </c>
      <c r="N3678" s="7">
        <v>4.2510000000000003</v>
      </c>
      <c r="O3678" s="7">
        <v>4.4569999999999999</v>
      </c>
      <c r="P3678" s="7">
        <v>4.9850000000000003</v>
      </c>
      <c r="Q3678" s="7">
        <v>5.0250000000000004</v>
      </c>
      <c r="R3678" s="7">
        <v>5.7869999999999999</v>
      </c>
      <c r="S3678" s="7">
        <f t="shared" si="57"/>
        <v>4.7410833333333331</v>
      </c>
    </row>
    <row r="3679" spans="1:19">
      <c r="A3679" s="5" t="str">
        <f>B3679&amp;"-"&amp;COUNTIF($B$2:B3679,B3679)</f>
        <v>RIO DE JANEIRO-86</v>
      </c>
      <c r="B3679" s="5" t="s">
        <v>2388</v>
      </c>
      <c r="C3679" s="5" t="s">
        <v>5198</v>
      </c>
      <c r="D3679" s="6">
        <v>-429756</v>
      </c>
      <c r="E3679" s="6">
        <v>-224169</v>
      </c>
      <c r="F3679" s="7">
        <v>4.4550000000000001</v>
      </c>
      <c r="G3679" s="7">
        <v>5.43</v>
      </c>
      <c r="H3679" s="7">
        <v>5.7880000000000003</v>
      </c>
      <c r="I3679" s="7">
        <v>4.6779999999999999</v>
      </c>
      <c r="J3679" s="7">
        <v>4.1150000000000002</v>
      </c>
      <c r="K3679" s="7">
        <v>3.476</v>
      </c>
      <c r="L3679" s="7">
        <v>3.306</v>
      </c>
      <c r="M3679" s="7">
        <v>3.407</v>
      </c>
      <c r="N3679" s="7">
        <v>4.165</v>
      </c>
      <c r="O3679" s="7">
        <v>4.4589999999999996</v>
      </c>
      <c r="P3679" s="7">
        <v>4.7469999999999999</v>
      </c>
      <c r="Q3679" s="7">
        <v>4.5880000000000001</v>
      </c>
      <c r="R3679" s="7">
        <v>5.2969999999999997</v>
      </c>
      <c r="S3679" s="7">
        <f t="shared" si="57"/>
        <v>4.4546666666666663</v>
      </c>
    </row>
    <row r="3680" spans="1:19">
      <c r="A3680" s="5" t="str">
        <f>B3680&amp;"-"&amp;COUNTIF($B$2:B3680,B3680)</f>
        <v>RIO DE JANEIRO-87</v>
      </c>
      <c r="B3680" s="5" t="s">
        <v>2388</v>
      </c>
      <c r="C3680" s="5" t="s">
        <v>5312</v>
      </c>
      <c r="D3680" s="6">
        <v>-432189</v>
      </c>
      <c r="E3680" s="6">
        <v>-22117</v>
      </c>
      <c r="F3680" s="7">
        <v>4.66</v>
      </c>
      <c r="G3680" s="7">
        <v>5.7089999999999996</v>
      </c>
      <c r="H3680" s="7">
        <v>5.9790000000000001</v>
      </c>
      <c r="I3680" s="7">
        <v>4.9909999999999997</v>
      </c>
      <c r="J3680" s="7">
        <v>4.3550000000000004</v>
      </c>
      <c r="K3680" s="7">
        <v>3.5830000000000002</v>
      </c>
      <c r="L3680" s="7">
        <v>3.3809999999999998</v>
      </c>
      <c r="M3680" s="7">
        <v>3.5339999999999998</v>
      </c>
      <c r="N3680" s="7">
        <v>4.29</v>
      </c>
      <c r="O3680" s="7">
        <v>4.5819999999999999</v>
      </c>
      <c r="P3680" s="7">
        <v>4.9470000000000001</v>
      </c>
      <c r="Q3680" s="7">
        <v>4.915</v>
      </c>
      <c r="R3680" s="7">
        <v>5.6580000000000004</v>
      </c>
      <c r="S3680" s="7">
        <f t="shared" si="57"/>
        <v>4.660333333333333</v>
      </c>
    </row>
    <row r="3681" spans="1:19">
      <c r="A3681" s="5" t="str">
        <f>B3681&amp;"-"&amp;COUNTIF($B$2:B3681,B3681)</f>
        <v>RIO DE JANEIRO-88</v>
      </c>
      <c r="B3681" s="5" t="s">
        <v>2388</v>
      </c>
      <c r="C3681" s="5" t="s">
        <v>2445</v>
      </c>
      <c r="D3681" s="6">
        <v>-42071</v>
      </c>
      <c r="E3681" s="6">
        <v>-220631</v>
      </c>
      <c r="F3681" s="7">
        <v>4.5940000000000003</v>
      </c>
      <c r="G3681" s="7">
        <v>5.8570000000000002</v>
      </c>
      <c r="H3681" s="7">
        <v>6.1420000000000003</v>
      </c>
      <c r="I3681" s="7">
        <v>4.8879999999999999</v>
      </c>
      <c r="J3681" s="7">
        <v>4.2309999999999999</v>
      </c>
      <c r="K3681" s="7">
        <v>3.5539999999999998</v>
      </c>
      <c r="L3681" s="7">
        <v>3.323</v>
      </c>
      <c r="M3681" s="7">
        <v>3.4279999999999999</v>
      </c>
      <c r="N3681" s="7">
        <v>4.1609999999999996</v>
      </c>
      <c r="O3681" s="7">
        <v>4.5039999999999996</v>
      </c>
      <c r="P3681" s="7">
        <v>4.7530000000000001</v>
      </c>
      <c r="Q3681" s="7">
        <v>4.7060000000000004</v>
      </c>
      <c r="R3681" s="7">
        <v>5.5810000000000004</v>
      </c>
      <c r="S3681" s="7">
        <f t="shared" si="57"/>
        <v>4.5940000000000003</v>
      </c>
    </row>
    <row r="3682" spans="1:19">
      <c r="A3682" s="5" t="str">
        <f>B3682&amp;"-"&amp;COUNTIF($B$2:B3682,B3682)</f>
        <v>RIO DE JANEIRO-89</v>
      </c>
      <c r="B3682" s="5" t="s">
        <v>2388</v>
      </c>
      <c r="C3682" s="5" t="s">
        <v>4620</v>
      </c>
      <c r="D3682" s="6">
        <v>-437133</v>
      </c>
      <c r="E3682" s="6">
        <v>-22245</v>
      </c>
      <c r="F3682" s="7">
        <v>4.6710000000000003</v>
      </c>
      <c r="G3682" s="7">
        <v>5.6189999999999998</v>
      </c>
      <c r="H3682" s="7">
        <v>5.984</v>
      </c>
      <c r="I3682" s="7">
        <v>4.9509999999999996</v>
      </c>
      <c r="J3682" s="7">
        <v>4.3689999999999998</v>
      </c>
      <c r="K3682" s="7">
        <v>3.645</v>
      </c>
      <c r="L3682" s="7">
        <v>3.4510000000000001</v>
      </c>
      <c r="M3682" s="7">
        <v>3.524</v>
      </c>
      <c r="N3682" s="7">
        <v>4.3739999999999997</v>
      </c>
      <c r="O3682" s="7">
        <v>4.6059999999999999</v>
      </c>
      <c r="P3682" s="7">
        <v>4.9180000000000001</v>
      </c>
      <c r="Q3682" s="7">
        <v>4.9550000000000001</v>
      </c>
      <c r="R3682" s="7">
        <v>5.6539999999999999</v>
      </c>
      <c r="S3682" s="7">
        <f t="shared" si="57"/>
        <v>4.6708333333333334</v>
      </c>
    </row>
    <row r="3683" spans="1:19">
      <c r="A3683" s="5" t="str">
        <f>B3683&amp;"-"&amp;COUNTIF($B$2:B3683,B3683)</f>
        <v>RIO DE JANEIRO-90</v>
      </c>
      <c r="B3683" s="5" t="s">
        <v>2388</v>
      </c>
      <c r="C3683" s="5" t="s">
        <v>2446</v>
      </c>
      <c r="D3683" s="6">
        <v>-418704</v>
      </c>
      <c r="E3683" s="6">
        <v>-20928</v>
      </c>
      <c r="F3683" s="7">
        <v>4.7699999999999996</v>
      </c>
      <c r="G3683" s="7">
        <v>5.88</v>
      </c>
      <c r="H3683" s="7">
        <v>6.04</v>
      </c>
      <c r="I3683" s="7">
        <v>4.9370000000000003</v>
      </c>
      <c r="J3683" s="7">
        <v>4.3920000000000003</v>
      </c>
      <c r="K3683" s="7">
        <v>3.7839999999999998</v>
      </c>
      <c r="L3683" s="7">
        <v>3.6320000000000001</v>
      </c>
      <c r="M3683" s="7">
        <v>3.742</v>
      </c>
      <c r="N3683" s="7">
        <v>4.4960000000000004</v>
      </c>
      <c r="O3683" s="7">
        <v>4.8940000000000001</v>
      </c>
      <c r="P3683" s="7">
        <v>5.01</v>
      </c>
      <c r="Q3683" s="7">
        <v>4.806</v>
      </c>
      <c r="R3683" s="7">
        <v>5.6280000000000001</v>
      </c>
      <c r="S3683" s="7">
        <f t="shared" si="57"/>
        <v>4.770083333333333</v>
      </c>
    </row>
    <row r="3684" spans="1:19">
      <c r="A3684" s="5" t="str">
        <f>B3684&amp;"-"&amp;COUNTIF($B$2:B3684,B3684)</f>
        <v>RIO DE JANEIRO-91</v>
      </c>
      <c r="B3684" s="5" t="s">
        <v>2388</v>
      </c>
      <c r="C3684" s="5" t="s">
        <v>2447</v>
      </c>
      <c r="D3684" s="6">
        <v>-436689</v>
      </c>
      <c r="E3684" s="6">
        <v>-224064</v>
      </c>
      <c r="F3684" s="7">
        <v>4.694</v>
      </c>
      <c r="G3684" s="7">
        <v>5.7919999999999998</v>
      </c>
      <c r="H3684" s="7">
        <v>6.0819999999999999</v>
      </c>
      <c r="I3684" s="7">
        <v>4.9829999999999997</v>
      </c>
      <c r="J3684" s="7">
        <v>4.383</v>
      </c>
      <c r="K3684" s="7">
        <v>3.5960000000000001</v>
      </c>
      <c r="L3684" s="7">
        <v>3.3879999999999999</v>
      </c>
      <c r="M3684" s="7">
        <v>3.484</v>
      </c>
      <c r="N3684" s="7">
        <v>4.29</v>
      </c>
      <c r="O3684" s="7">
        <v>4.5439999999999996</v>
      </c>
      <c r="P3684" s="7">
        <v>4.9630000000000001</v>
      </c>
      <c r="Q3684" s="7">
        <v>5.0709999999999997</v>
      </c>
      <c r="R3684" s="7">
        <v>5.7450000000000001</v>
      </c>
      <c r="S3684" s="7">
        <f t="shared" si="57"/>
        <v>4.6934166666666659</v>
      </c>
    </row>
    <row r="3685" spans="1:19">
      <c r="A3685" s="5" t="str">
        <f>B3685&amp;"-"&amp;COUNTIF($B$2:B3685,B3685)</f>
        <v>RIO DE JANEIRO-92</v>
      </c>
      <c r="B3685" s="5" t="s">
        <v>2388</v>
      </c>
      <c r="C3685" s="5" t="s">
        <v>2448</v>
      </c>
      <c r="D3685" s="6">
        <v>-440999</v>
      </c>
      <c r="E3685" s="6">
        <v>-225207</v>
      </c>
      <c r="F3685" s="7">
        <v>4.6520000000000001</v>
      </c>
      <c r="G3685" s="7">
        <v>5.6310000000000002</v>
      </c>
      <c r="H3685" s="7">
        <v>5.952</v>
      </c>
      <c r="I3685" s="7">
        <v>4.9029999999999996</v>
      </c>
      <c r="J3685" s="7">
        <v>4.3449999999999998</v>
      </c>
      <c r="K3685" s="7">
        <v>3.5960000000000001</v>
      </c>
      <c r="L3685" s="7">
        <v>3.3879999999999999</v>
      </c>
      <c r="M3685" s="7">
        <v>3.4289999999999998</v>
      </c>
      <c r="N3685" s="7">
        <v>4.3499999999999996</v>
      </c>
      <c r="O3685" s="7">
        <v>4.5629999999999997</v>
      </c>
      <c r="P3685" s="7">
        <v>4.9640000000000004</v>
      </c>
      <c r="Q3685" s="7">
        <v>5.0049999999999999</v>
      </c>
      <c r="R3685" s="7">
        <v>5.7</v>
      </c>
      <c r="S3685" s="7">
        <f t="shared" si="57"/>
        <v>4.652166666666667</v>
      </c>
    </row>
    <row r="3686" spans="1:19">
      <c r="A3686" s="5" t="str">
        <f>B3686&amp;"-"&amp;COUNTIF($B$2:B3686,B3686)</f>
        <v>RIO GRANDE DO NORTE-1</v>
      </c>
      <c r="B3686" s="5" t="s">
        <v>2449</v>
      </c>
      <c r="C3686" s="5" t="s">
        <v>2450</v>
      </c>
      <c r="D3686" s="6">
        <v>-382945</v>
      </c>
      <c r="E3686" s="6">
        <v>-62039</v>
      </c>
      <c r="F3686" s="7">
        <v>5.9260000000000002</v>
      </c>
      <c r="G3686" s="7">
        <v>5.9359999999999999</v>
      </c>
      <c r="H3686" s="7">
        <v>6.0259999999999998</v>
      </c>
      <c r="I3686" s="7">
        <v>6.02</v>
      </c>
      <c r="J3686" s="7">
        <v>5.6989999999999998</v>
      </c>
      <c r="K3686" s="7">
        <v>5.2850000000000001</v>
      </c>
      <c r="L3686" s="7">
        <v>4.992</v>
      </c>
      <c r="M3686" s="7">
        <v>5.3239999999999998</v>
      </c>
      <c r="N3686" s="7">
        <v>6.0469999999999997</v>
      </c>
      <c r="O3686" s="7">
        <v>6.4450000000000003</v>
      </c>
      <c r="P3686" s="7">
        <v>6.5720000000000001</v>
      </c>
      <c r="Q3686" s="7">
        <v>6.6159999999999997</v>
      </c>
      <c r="R3686" s="7">
        <v>6.1559999999999997</v>
      </c>
      <c r="S3686" s="7">
        <f t="shared" si="57"/>
        <v>5.9264999999999999</v>
      </c>
    </row>
    <row r="3687" spans="1:19">
      <c r="A3687" s="5" t="str">
        <f>B3687&amp;"-"&amp;COUNTIF($B$2:B3687,B3687)</f>
        <v>RIO GRANDE DO NORTE-2</v>
      </c>
      <c r="B3687" s="5" t="s">
        <v>2449</v>
      </c>
      <c r="C3687" s="5" t="s">
        <v>4751</v>
      </c>
      <c r="D3687" s="6">
        <v>-369115</v>
      </c>
      <c r="E3687" s="6">
        <v>-55784</v>
      </c>
      <c r="F3687" s="7">
        <v>5.89</v>
      </c>
      <c r="G3687" s="7">
        <v>5.9370000000000003</v>
      </c>
      <c r="H3687" s="7">
        <v>6.0549999999999997</v>
      </c>
      <c r="I3687" s="7">
        <v>5.9980000000000002</v>
      </c>
      <c r="J3687" s="7">
        <v>5.76</v>
      </c>
      <c r="K3687" s="7">
        <v>5.3689999999999998</v>
      </c>
      <c r="L3687" s="7">
        <v>4.9770000000000003</v>
      </c>
      <c r="M3687" s="7">
        <v>5.27</v>
      </c>
      <c r="N3687" s="7">
        <v>5.9349999999999996</v>
      </c>
      <c r="O3687" s="7">
        <v>6.3440000000000003</v>
      </c>
      <c r="P3687" s="7">
        <v>6.5010000000000003</v>
      </c>
      <c r="Q3687" s="7">
        <v>6.5119999999999996</v>
      </c>
      <c r="R3687" s="7">
        <v>6.0289999999999999</v>
      </c>
      <c r="S3687" s="7">
        <f t="shared" si="57"/>
        <v>5.8905833333333328</v>
      </c>
    </row>
    <row r="3688" spans="1:19">
      <c r="A3688" s="5" t="str">
        <f>B3688&amp;"-"&amp;COUNTIF($B$2:B3688,B3688)</f>
        <v>RIO GRANDE DO NORTE-3</v>
      </c>
      <c r="B3688" s="5" t="s">
        <v>2449</v>
      </c>
      <c r="C3688" s="5" t="s">
        <v>2451</v>
      </c>
      <c r="D3688" s="6">
        <v>-366409</v>
      </c>
      <c r="E3688" s="6">
        <v>-64353</v>
      </c>
      <c r="F3688" s="7">
        <v>5.7610000000000001</v>
      </c>
      <c r="G3688" s="7">
        <v>6.0110000000000001</v>
      </c>
      <c r="H3688" s="7">
        <v>5.976</v>
      </c>
      <c r="I3688" s="7">
        <v>5.9859999999999998</v>
      </c>
      <c r="J3688" s="7">
        <v>5.6040000000000001</v>
      </c>
      <c r="K3688" s="7">
        <v>5.0330000000000004</v>
      </c>
      <c r="L3688" s="7">
        <v>4.6440000000000001</v>
      </c>
      <c r="M3688" s="7">
        <v>4.88</v>
      </c>
      <c r="N3688" s="7">
        <v>5.6260000000000003</v>
      </c>
      <c r="O3688" s="7">
        <v>6.2439999999999998</v>
      </c>
      <c r="P3688" s="7">
        <v>6.5019999999999998</v>
      </c>
      <c r="Q3688" s="7">
        <v>6.51</v>
      </c>
      <c r="R3688" s="7">
        <v>6.1139999999999999</v>
      </c>
      <c r="S3688" s="7">
        <f t="shared" si="57"/>
        <v>5.7608333333333333</v>
      </c>
    </row>
    <row r="3689" spans="1:19">
      <c r="A3689" s="5" t="str">
        <f>B3689&amp;"-"&amp;COUNTIF($B$2:B3689,B3689)</f>
        <v>RIO GRANDE DO NORTE-4</v>
      </c>
      <c r="B3689" s="5" t="s">
        <v>2449</v>
      </c>
      <c r="C3689" s="5" t="s">
        <v>2452</v>
      </c>
      <c r="D3689" s="6">
        <v>-365078</v>
      </c>
      <c r="E3689" s="6">
        <v>-54927</v>
      </c>
      <c r="F3689" s="7">
        <v>5.6980000000000004</v>
      </c>
      <c r="G3689" s="7">
        <v>5.7519999999999998</v>
      </c>
      <c r="H3689" s="7">
        <v>5.8739999999999997</v>
      </c>
      <c r="I3689" s="7">
        <v>5.7729999999999997</v>
      </c>
      <c r="J3689" s="7">
        <v>5.5140000000000002</v>
      </c>
      <c r="K3689" s="7">
        <v>5.1619999999999999</v>
      </c>
      <c r="L3689" s="7">
        <v>4.7770000000000001</v>
      </c>
      <c r="M3689" s="7">
        <v>5.0389999999999997</v>
      </c>
      <c r="N3689" s="7">
        <v>5.7450000000000001</v>
      </c>
      <c r="O3689" s="7">
        <v>6.1269999999999998</v>
      </c>
      <c r="P3689" s="7">
        <v>6.3520000000000003</v>
      </c>
      <c r="Q3689" s="7">
        <v>6.3840000000000003</v>
      </c>
      <c r="R3689" s="7">
        <v>5.8730000000000002</v>
      </c>
      <c r="S3689" s="7">
        <f t="shared" si="57"/>
        <v>5.6976666666666667</v>
      </c>
    </row>
    <row r="3690" spans="1:19">
      <c r="A3690" s="5" t="str">
        <f>B3690&amp;"-"&amp;COUNTIF($B$2:B3690,B3690)</f>
        <v>RIO GRANDE DO NORTE-5</v>
      </c>
      <c r="B3690" s="5" t="s">
        <v>2449</v>
      </c>
      <c r="C3690" s="5" t="s">
        <v>2453</v>
      </c>
      <c r="D3690" s="6">
        <v>-380145</v>
      </c>
      <c r="E3690" s="6">
        <v>-64057</v>
      </c>
      <c r="F3690" s="7">
        <v>5.9790000000000001</v>
      </c>
      <c r="G3690" s="7">
        <v>6.1070000000000002</v>
      </c>
      <c r="H3690" s="7">
        <v>6.0679999999999996</v>
      </c>
      <c r="I3690" s="7">
        <v>6.1269999999999998</v>
      </c>
      <c r="J3690" s="7">
        <v>5.8010000000000002</v>
      </c>
      <c r="K3690" s="7">
        <v>5.2729999999999997</v>
      </c>
      <c r="L3690" s="7">
        <v>4.9710000000000001</v>
      </c>
      <c r="M3690" s="7">
        <v>5.2949999999999999</v>
      </c>
      <c r="N3690" s="7">
        <v>6.0549999999999997</v>
      </c>
      <c r="O3690" s="7">
        <v>6.4880000000000004</v>
      </c>
      <c r="P3690" s="7">
        <v>6.6319999999999997</v>
      </c>
      <c r="Q3690" s="7">
        <v>6.694</v>
      </c>
      <c r="R3690" s="7">
        <v>6.2309999999999999</v>
      </c>
      <c r="S3690" s="7">
        <f t="shared" si="57"/>
        <v>5.9784999999999995</v>
      </c>
    </row>
    <row r="3691" spans="1:19">
      <c r="A3691" s="5" t="str">
        <f>B3691&amp;"-"&amp;COUNTIF($B$2:B3691,B3691)</f>
        <v>RIO GRANDE DO NORTE-6</v>
      </c>
      <c r="B3691" s="5" t="s">
        <v>2449</v>
      </c>
      <c r="C3691" s="5" t="s">
        <v>2454</v>
      </c>
      <c r="D3691" s="6">
        <v>-377639</v>
      </c>
      <c r="E3691" s="6">
        <v>-61479</v>
      </c>
      <c r="F3691" s="7">
        <v>6.0049999999999999</v>
      </c>
      <c r="G3691" s="7">
        <v>6.1470000000000002</v>
      </c>
      <c r="H3691" s="7">
        <v>6.0650000000000004</v>
      </c>
      <c r="I3691" s="7">
        <v>6.1239999999999997</v>
      </c>
      <c r="J3691" s="7">
        <v>5.8819999999999997</v>
      </c>
      <c r="K3691" s="7">
        <v>5.4059999999999997</v>
      </c>
      <c r="L3691" s="7">
        <v>5.07</v>
      </c>
      <c r="M3691" s="7">
        <v>5.3680000000000003</v>
      </c>
      <c r="N3691" s="7">
        <v>6.0570000000000004</v>
      </c>
      <c r="O3691" s="7">
        <v>6.5030000000000001</v>
      </c>
      <c r="P3691" s="7">
        <v>6.6269999999999998</v>
      </c>
      <c r="Q3691" s="7">
        <v>6.6509999999999998</v>
      </c>
      <c r="R3691" s="7">
        <v>6.1630000000000003</v>
      </c>
      <c r="S3691" s="7">
        <f t="shared" si="57"/>
        <v>6.0052500000000002</v>
      </c>
    </row>
    <row r="3692" spans="1:19">
      <c r="A3692" s="5" t="str">
        <f>B3692&amp;"-"&amp;COUNTIF($B$2:B3692,B3692)</f>
        <v>RIO GRANDE DO NORTE-7</v>
      </c>
      <c r="B3692" s="5" t="s">
        <v>2449</v>
      </c>
      <c r="C3692" s="5" t="s">
        <v>2455</v>
      </c>
      <c r="D3692" s="6">
        <v>-367616</v>
      </c>
      <c r="E3692" s="6">
        <v>-52931</v>
      </c>
      <c r="F3692" s="7">
        <v>5.7389999999999999</v>
      </c>
      <c r="G3692" s="7">
        <v>5.8440000000000003</v>
      </c>
      <c r="H3692" s="7">
        <v>5.9050000000000002</v>
      </c>
      <c r="I3692" s="7">
        <v>5.8659999999999997</v>
      </c>
      <c r="J3692" s="7">
        <v>5.52</v>
      </c>
      <c r="K3692" s="7">
        <v>5.2149999999999999</v>
      </c>
      <c r="L3692" s="7">
        <v>4.8040000000000003</v>
      </c>
      <c r="M3692" s="7">
        <v>5.0579999999999998</v>
      </c>
      <c r="N3692" s="7">
        <v>5.6920000000000002</v>
      </c>
      <c r="O3692" s="7">
        <v>6.1509999999999998</v>
      </c>
      <c r="P3692" s="7">
        <v>6.3710000000000004</v>
      </c>
      <c r="Q3692" s="7">
        <v>6.3949999999999996</v>
      </c>
      <c r="R3692" s="7">
        <v>6.0490000000000004</v>
      </c>
      <c r="S3692" s="7">
        <f t="shared" si="57"/>
        <v>5.7391666666666685</v>
      </c>
    </row>
    <row r="3693" spans="1:19">
      <c r="A3693" s="5" t="str">
        <f>B3693&amp;"-"&amp;COUNTIF($B$2:B3693,B3693)</f>
        <v>RIO GRANDE DO NORTE-8</v>
      </c>
      <c r="B3693" s="5" t="s">
        <v>2449</v>
      </c>
      <c r="C3693" s="5" t="s">
        <v>2456</v>
      </c>
      <c r="D3693" s="6">
        <v>-366097</v>
      </c>
      <c r="E3693" s="6">
        <v>-56583</v>
      </c>
      <c r="F3693" s="7">
        <v>5.8029999999999999</v>
      </c>
      <c r="G3693" s="7">
        <v>5.9160000000000004</v>
      </c>
      <c r="H3693" s="7">
        <v>5.9089999999999998</v>
      </c>
      <c r="I3693" s="7">
        <v>5.9820000000000002</v>
      </c>
      <c r="J3693" s="7">
        <v>5.649</v>
      </c>
      <c r="K3693" s="7">
        <v>5.2649999999999997</v>
      </c>
      <c r="L3693" s="7">
        <v>4.8120000000000003</v>
      </c>
      <c r="M3693" s="7">
        <v>5.085</v>
      </c>
      <c r="N3693" s="7">
        <v>5.8140000000000001</v>
      </c>
      <c r="O3693" s="7">
        <v>6.2690000000000001</v>
      </c>
      <c r="P3693" s="7">
        <v>6.4790000000000001</v>
      </c>
      <c r="Q3693" s="7">
        <v>6.4450000000000003</v>
      </c>
      <c r="R3693" s="7">
        <v>6.0140000000000002</v>
      </c>
      <c r="S3693" s="7">
        <f t="shared" si="57"/>
        <v>5.8032499999999994</v>
      </c>
    </row>
    <row r="3694" spans="1:19">
      <c r="A3694" s="5" t="str">
        <f>B3694&amp;"-"&amp;COUNTIF($B$2:B3694,B3694)</f>
        <v>RIO GRANDE DO NORTE-9</v>
      </c>
      <c r="B3694" s="5" t="s">
        <v>2449</v>
      </c>
      <c r="C3694" s="5" t="s">
        <v>4576</v>
      </c>
      <c r="D3694" s="6">
        <v>-378837</v>
      </c>
      <c r="E3694" s="6">
        <v>-62141</v>
      </c>
      <c r="F3694" s="7">
        <v>5.9649999999999999</v>
      </c>
      <c r="G3694" s="7">
        <v>6.0570000000000004</v>
      </c>
      <c r="H3694" s="7">
        <v>6.0430000000000001</v>
      </c>
      <c r="I3694" s="7">
        <v>6.0410000000000004</v>
      </c>
      <c r="J3694" s="7">
        <v>5.7949999999999999</v>
      </c>
      <c r="K3694" s="7">
        <v>5.33</v>
      </c>
      <c r="L3694" s="7">
        <v>4.9859999999999998</v>
      </c>
      <c r="M3694" s="7">
        <v>5.3280000000000003</v>
      </c>
      <c r="N3694" s="7">
        <v>6.0369999999999999</v>
      </c>
      <c r="O3694" s="7">
        <v>6.4980000000000002</v>
      </c>
      <c r="P3694" s="7">
        <v>6.6360000000000001</v>
      </c>
      <c r="Q3694" s="7">
        <v>6.64</v>
      </c>
      <c r="R3694" s="7">
        <v>6.1950000000000003</v>
      </c>
      <c r="S3694" s="7">
        <f t="shared" si="57"/>
        <v>5.9654999999999987</v>
      </c>
    </row>
    <row r="3695" spans="1:19">
      <c r="A3695" s="5" t="str">
        <f>B3695&amp;"-"&amp;COUNTIF($B$2:B3695,B3695)</f>
        <v>RIO GRANDE DO NORTE-10</v>
      </c>
      <c r="B3695" s="5" t="s">
        <v>2449</v>
      </c>
      <c r="C3695" s="5" t="s">
        <v>2457</v>
      </c>
      <c r="D3695" s="6">
        <v>-377949</v>
      </c>
      <c r="E3695" s="6">
        <v>-56539</v>
      </c>
      <c r="F3695" s="7">
        <v>5.9429999999999996</v>
      </c>
      <c r="G3695" s="7">
        <v>5.9770000000000003</v>
      </c>
      <c r="H3695" s="7">
        <v>6.1580000000000004</v>
      </c>
      <c r="I3695" s="7">
        <v>6.07</v>
      </c>
      <c r="J3695" s="7">
        <v>5.766</v>
      </c>
      <c r="K3695" s="7">
        <v>5.3529999999999998</v>
      </c>
      <c r="L3695" s="7">
        <v>5.0380000000000003</v>
      </c>
      <c r="M3695" s="7">
        <v>5.3319999999999999</v>
      </c>
      <c r="N3695" s="7">
        <v>5.9690000000000003</v>
      </c>
      <c r="O3695" s="7">
        <v>6.3659999999999997</v>
      </c>
      <c r="P3695" s="7">
        <v>6.585</v>
      </c>
      <c r="Q3695" s="7">
        <v>6.5350000000000001</v>
      </c>
      <c r="R3695" s="7">
        <v>6.1689999999999996</v>
      </c>
      <c r="S3695" s="7">
        <f t="shared" si="57"/>
        <v>5.9431666666666674</v>
      </c>
    </row>
    <row r="3696" spans="1:19">
      <c r="A3696" s="5" t="str">
        <f>B3696&amp;"-"&amp;COUNTIF($B$2:B3696,B3696)</f>
        <v>RIO GRANDE DO NORTE-11</v>
      </c>
      <c r="B3696" s="5" t="s">
        <v>2449</v>
      </c>
      <c r="C3696" s="5" t="s">
        <v>5313</v>
      </c>
      <c r="D3696" s="6">
        <v>-351628</v>
      </c>
      <c r="E3696" s="6">
        <v>-6197</v>
      </c>
      <c r="F3696" s="7">
        <v>5.66</v>
      </c>
      <c r="G3696" s="7">
        <v>5.93</v>
      </c>
      <c r="H3696" s="7">
        <v>6.1349999999999998</v>
      </c>
      <c r="I3696" s="7">
        <v>6.15</v>
      </c>
      <c r="J3696" s="7">
        <v>5.5359999999999996</v>
      </c>
      <c r="K3696" s="7">
        <v>5.0410000000000004</v>
      </c>
      <c r="L3696" s="7">
        <v>4.5030000000000001</v>
      </c>
      <c r="M3696" s="7">
        <v>4.6639999999999997</v>
      </c>
      <c r="N3696" s="7">
        <v>5.4669999999999996</v>
      </c>
      <c r="O3696" s="7">
        <v>5.9180000000000001</v>
      </c>
      <c r="P3696" s="7">
        <v>6.181</v>
      </c>
      <c r="Q3696" s="7">
        <v>6.2930000000000001</v>
      </c>
      <c r="R3696" s="7">
        <v>6.1020000000000003</v>
      </c>
      <c r="S3696" s="7">
        <f t="shared" si="57"/>
        <v>5.66</v>
      </c>
    </row>
    <row r="3697" spans="1:19">
      <c r="A3697" s="5" t="str">
        <f>B3697&amp;"-"&amp;COUNTIF($B$2:B3697,B3697)</f>
        <v>RIO GRANDE DO NORTE-12</v>
      </c>
      <c r="B3697" s="5" t="s">
        <v>2449</v>
      </c>
      <c r="C3697" s="5" t="s">
        <v>2458</v>
      </c>
      <c r="D3697" s="6">
        <v>-371255</v>
      </c>
      <c r="E3697" s="6">
        <v>-49529</v>
      </c>
      <c r="F3697" s="7">
        <v>5.7460000000000004</v>
      </c>
      <c r="G3697" s="7">
        <v>5.9909999999999997</v>
      </c>
      <c r="H3697" s="7">
        <v>5.8739999999999997</v>
      </c>
      <c r="I3697" s="7">
        <v>5.8310000000000004</v>
      </c>
      <c r="J3697" s="7">
        <v>5.4820000000000002</v>
      </c>
      <c r="K3697" s="7">
        <v>5.2679999999999998</v>
      </c>
      <c r="L3697" s="7">
        <v>4.9119999999999999</v>
      </c>
      <c r="M3697" s="7">
        <v>5.16</v>
      </c>
      <c r="N3697" s="7">
        <v>5.7169999999999996</v>
      </c>
      <c r="O3697" s="7">
        <v>6.1879999999999997</v>
      </c>
      <c r="P3697" s="7">
        <v>6.0880000000000001</v>
      </c>
      <c r="Q3697" s="7">
        <v>6.2539999999999996</v>
      </c>
      <c r="R3697" s="7">
        <v>6.1870000000000003</v>
      </c>
      <c r="S3697" s="7">
        <f t="shared" si="57"/>
        <v>5.7459999999999996</v>
      </c>
    </row>
    <row r="3698" spans="1:19">
      <c r="A3698" s="5" t="str">
        <f>B3698&amp;"-"&amp;COUNTIF($B$2:B3698,B3698)</f>
        <v>RIO GRANDE DO NORTE-13</v>
      </c>
      <c r="B3698" s="5" t="s">
        <v>2449</v>
      </c>
      <c r="C3698" s="5" t="s">
        <v>2459</v>
      </c>
      <c r="D3698" s="6">
        <v>-373109</v>
      </c>
      <c r="E3698" s="6">
        <v>-5854</v>
      </c>
      <c r="F3698" s="7">
        <v>5.944</v>
      </c>
      <c r="G3698" s="7">
        <v>6.0359999999999996</v>
      </c>
      <c r="H3698" s="7">
        <v>6.093</v>
      </c>
      <c r="I3698" s="7">
        <v>6.1050000000000004</v>
      </c>
      <c r="J3698" s="7">
        <v>5.8250000000000002</v>
      </c>
      <c r="K3698" s="7">
        <v>5.383</v>
      </c>
      <c r="L3698" s="7">
        <v>4.9720000000000004</v>
      </c>
      <c r="M3698" s="7">
        <v>5.2779999999999996</v>
      </c>
      <c r="N3698" s="7">
        <v>5.9729999999999999</v>
      </c>
      <c r="O3698" s="7">
        <v>6.4320000000000004</v>
      </c>
      <c r="P3698" s="7">
        <v>6.5510000000000002</v>
      </c>
      <c r="Q3698" s="7">
        <v>6.5880000000000001</v>
      </c>
      <c r="R3698" s="7">
        <v>6.0890000000000004</v>
      </c>
      <c r="S3698" s="7">
        <f t="shared" si="57"/>
        <v>5.9437500000000005</v>
      </c>
    </row>
    <row r="3699" spans="1:19">
      <c r="A3699" s="5" t="str">
        <f>B3699&amp;"-"&amp;COUNTIF($B$2:B3699,B3699)</f>
        <v>RIO GRANDE DO NORTE-14</v>
      </c>
      <c r="B3699" s="5" t="s">
        <v>2449</v>
      </c>
      <c r="C3699" s="5" t="s">
        <v>2460</v>
      </c>
      <c r="D3699" s="6">
        <v>-350071</v>
      </c>
      <c r="E3699" s="6">
        <v>-63712</v>
      </c>
      <c r="F3699" s="7">
        <v>5.6289999999999996</v>
      </c>
      <c r="G3699" s="7">
        <v>5.9279999999999999</v>
      </c>
      <c r="H3699" s="7">
        <v>6.0709999999999997</v>
      </c>
      <c r="I3699" s="7">
        <v>6.1109999999999998</v>
      </c>
      <c r="J3699" s="7">
        <v>5.5430000000000001</v>
      </c>
      <c r="K3699" s="7">
        <v>4.9820000000000002</v>
      </c>
      <c r="L3699" s="7">
        <v>4.5430000000000001</v>
      </c>
      <c r="M3699" s="7">
        <v>4.7</v>
      </c>
      <c r="N3699" s="7">
        <v>5.4790000000000001</v>
      </c>
      <c r="O3699" s="7">
        <v>5.8789999999999996</v>
      </c>
      <c r="P3699" s="7">
        <v>6.08</v>
      </c>
      <c r="Q3699" s="7">
        <v>6.2039999999999997</v>
      </c>
      <c r="R3699" s="7">
        <v>6.0309999999999997</v>
      </c>
      <c r="S3699" s="7">
        <f t="shared" si="57"/>
        <v>5.6292499999999999</v>
      </c>
    </row>
    <row r="3700" spans="1:19">
      <c r="A3700" s="5" t="str">
        <f>B3700&amp;"-"&amp;COUNTIF($B$2:B3700,B3700)</f>
        <v>RIO GRANDE DO NORTE-15</v>
      </c>
      <c r="B3700" s="5" t="s">
        <v>2449</v>
      </c>
      <c r="C3700" s="5" t="s">
        <v>4852</v>
      </c>
      <c r="D3700" s="6">
        <v>-376132</v>
      </c>
      <c r="E3700" s="6">
        <v>-50702</v>
      </c>
      <c r="F3700" s="7">
        <v>5.8259999999999996</v>
      </c>
      <c r="G3700" s="7">
        <v>5.7619999999999996</v>
      </c>
      <c r="H3700" s="7">
        <v>5.8070000000000004</v>
      </c>
      <c r="I3700" s="7">
        <v>5.8680000000000003</v>
      </c>
      <c r="J3700" s="7">
        <v>5.524</v>
      </c>
      <c r="K3700" s="7">
        <v>5.31</v>
      </c>
      <c r="L3700" s="7">
        <v>5.0990000000000002</v>
      </c>
      <c r="M3700" s="7">
        <v>5.4080000000000004</v>
      </c>
      <c r="N3700" s="7">
        <v>5.9560000000000004</v>
      </c>
      <c r="O3700" s="7">
        <v>6.367</v>
      </c>
      <c r="P3700" s="7">
        <v>6.4160000000000004</v>
      </c>
      <c r="Q3700" s="7">
        <v>6.375</v>
      </c>
      <c r="R3700" s="7">
        <v>6.0209999999999999</v>
      </c>
      <c r="S3700" s="7">
        <f t="shared" si="57"/>
        <v>5.8260833333333331</v>
      </c>
    </row>
    <row r="3701" spans="1:19">
      <c r="A3701" s="5" t="str">
        <f>B3701&amp;"-"&amp;COUNTIF($B$2:B3701,B3701)</f>
        <v>RIO GRANDE DO NORTE-16</v>
      </c>
      <c r="B3701" s="5" t="s">
        <v>2449</v>
      </c>
      <c r="C3701" s="5" t="s">
        <v>2461</v>
      </c>
      <c r="D3701" s="6">
        <v>-35928</v>
      </c>
      <c r="E3701" s="6">
        <v>-59506</v>
      </c>
      <c r="F3701" s="7">
        <v>5.5119999999999996</v>
      </c>
      <c r="G3701" s="7">
        <v>5.75</v>
      </c>
      <c r="H3701" s="7">
        <v>5.7889999999999997</v>
      </c>
      <c r="I3701" s="7">
        <v>5.798</v>
      </c>
      <c r="J3701" s="7">
        <v>5.4909999999999997</v>
      </c>
      <c r="K3701" s="7">
        <v>4.976</v>
      </c>
      <c r="L3701" s="7">
        <v>4.5439999999999996</v>
      </c>
      <c r="M3701" s="7">
        <v>4.7309999999999999</v>
      </c>
      <c r="N3701" s="7">
        <v>5.3719999999999999</v>
      </c>
      <c r="O3701" s="7">
        <v>5.7960000000000003</v>
      </c>
      <c r="P3701" s="7">
        <v>5.9969999999999999</v>
      </c>
      <c r="Q3701" s="7">
        <v>6.1260000000000003</v>
      </c>
      <c r="R3701" s="7">
        <v>5.7759999999999998</v>
      </c>
      <c r="S3701" s="7">
        <f t="shared" si="57"/>
        <v>5.5121666666666664</v>
      </c>
    </row>
    <row r="3702" spans="1:19">
      <c r="A3702" s="5" t="str">
        <f>B3702&amp;"-"&amp;COUNTIF($B$2:B3702,B3702)</f>
        <v>RIO GRANDE DO NORTE-17</v>
      </c>
      <c r="B3702" s="5" t="s">
        <v>2449</v>
      </c>
      <c r="C3702" s="5" t="s">
        <v>2462</v>
      </c>
      <c r="D3702" s="6">
        <v>-358207</v>
      </c>
      <c r="E3702" s="6">
        <v>-56924</v>
      </c>
      <c r="F3702" s="7">
        <v>5.5609999999999999</v>
      </c>
      <c r="G3702" s="7">
        <v>5.7679999999999998</v>
      </c>
      <c r="H3702" s="7">
        <v>5.7489999999999997</v>
      </c>
      <c r="I3702" s="7">
        <v>5.7729999999999997</v>
      </c>
      <c r="J3702" s="7">
        <v>5.4950000000000001</v>
      </c>
      <c r="K3702" s="7">
        <v>5.0339999999999998</v>
      </c>
      <c r="L3702" s="7">
        <v>4.6319999999999997</v>
      </c>
      <c r="M3702" s="7">
        <v>4.8470000000000004</v>
      </c>
      <c r="N3702" s="7">
        <v>5.52</v>
      </c>
      <c r="O3702" s="7">
        <v>5.899</v>
      </c>
      <c r="P3702" s="7">
        <v>6.0709999999999997</v>
      </c>
      <c r="Q3702" s="7">
        <v>6.1719999999999997</v>
      </c>
      <c r="R3702" s="7">
        <v>5.77</v>
      </c>
      <c r="S3702" s="7">
        <f t="shared" si="57"/>
        <v>5.5608333333333322</v>
      </c>
    </row>
    <row r="3703" spans="1:19">
      <c r="A3703" s="5" t="str">
        <f>B3703&amp;"-"&amp;COUNTIF($B$2:B3703,B3703)</f>
        <v>RIO GRANDE DO NORTE-18</v>
      </c>
      <c r="B3703" s="5" t="s">
        <v>2449</v>
      </c>
      <c r="C3703" s="5" t="s">
        <v>5199</v>
      </c>
      <c r="D3703" s="6">
        <v>-364128</v>
      </c>
      <c r="E3703" s="6">
        <v>-5987</v>
      </c>
      <c r="F3703" s="7">
        <v>5.8319999999999999</v>
      </c>
      <c r="G3703" s="7">
        <v>5.9960000000000004</v>
      </c>
      <c r="H3703" s="7">
        <v>6.0209999999999999</v>
      </c>
      <c r="I3703" s="7">
        <v>6.0119999999999996</v>
      </c>
      <c r="J3703" s="7">
        <v>5.5750000000000002</v>
      </c>
      <c r="K3703" s="7">
        <v>5.1779999999999999</v>
      </c>
      <c r="L3703" s="7">
        <v>4.8049999999999997</v>
      </c>
      <c r="M3703" s="7">
        <v>5.0839999999999996</v>
      </c>
      <c r="N3703" s="7">
        <v>5.8570000000000002</v>
      </c>
      <c r="O3703" s="7">
        <v>6.33</v>
      </c>
      <c r="P3703" s="7">
        <v>6.5369999999999999</v>
      </c>
      <c r="Q3703" s="7">
        <v>6.532</v>
      </c>
      <c r="R3703" s="7">
        <v>6.06</v>
      </c>
      <c r="S3703" s="7">
        <f t="shared" si="57"/>
        <v>5.832250000000001</v>
      </c>
    </row>
    <row r="3704" spans="1:19">
      <c r="A3704" s="5" t="str">
        <f>B3704&amp;"-"&amp;COUNTIF($B$2:B3704,B3704)</f>
        <v>RIO GRANDE DO NORTE-19</v>
      </c>
      <c r="B3704" s="5" t="s">
        <v>2449</v>
      </c>
      <c r="C3704" s="5" t="s">
        <v>1811</v>
      </c>
      <c r="D3704" s="6">
        <v>-355795</v>
      </c>
      <c r="E3704" s="6">
        <v>-59869</v>
      </c>
      <c r="F3704" s="7">
        <v>5.5789999999999997</v>
      </c>
      <c r="G3704" s="7">
        <v>5.9169999999999998</v>
      </c>
      <c r="H3704" s="7">
        <v>5.9189999999999996</v>
      </c>
      <c r="I3704" s="7">
        <v>5.98</v>
      </c>
      <c r="J3704" s="7">
        <v>5.516</v>
      </c>
      <c r="K3704" s="7">
        <v>4.9740000000000002</v>
      </c>
      <c r="L3704" s="7">
        <v>4.5220000000000002</v>
      </c>
      <c r="M3704" s="7">
        <v>4.6909999999999998</v>
      </c>
      <c r="N3704" s="7">
        <v>5.3940000000000001</v>
      </c>
      <c r="O3704" s="7">
        <v>5.8120000000000003</v>
      </c>
      <c r="P3704" s="7">
        <v>6.0449999999999999</v>
      </c>
      <c r="Q3704" s="7">
        <v>6.2370000000000001</v>
      </c>
      <c r="R3704" s="7">
        <v>5.9409999999999998</v>
      </c>
      <c r="S3704" s="7">
        <f t="shared" si="57"/>
        <v>5.5790000000000006</v>
      </c>
    </row>
    <row r="3705" spans="1:19">
      <c r="A3705" s="5" t="str">
        <f>B3705&amp;"-"&amp;COUNTIF($B$2:B3705,B3705)</f>
        <v>RIO GRANDE DO NORTE-20</v>
      </c>
      <c r="B3705" s="5" t="s">
        <v>2449</v>
      </c>
      <c r="C3705" s="5" t="s">
        <v>2155</v>
      </c>
      <c r="D3705" s="6">
        <v>-353561</v>
      </c>
      <c r="E3705" s="6">
        <v>-61954</v>
      </c>
      <c r="F3705" s="7">
        <v>5.5629999999999997</v>
      </c>
      <c r="G3705" s="7">
        <v>5.8949999999999996</v>
      </c>
      <c r="H3705" s="7">
        <v>5.9640000000000004</v>
      </c>
      <c r="I3705" s="7">
        <v>6.0780000000000003</v>
      </c>
      <c r="J3705" s="7">
        <v>5.4779999999999998</v>
      </c>
      <c r="K3705" s="7">
        <v>4.9219999999999997</v>
      </c>
      <c r="L3705" s="7">
        <v>4.4820000000000002</v>
      </c>
      <c r="M3705" s="7">
        <v>4.5789999999999997</v>
      </c>
      <c r="N3705" s="7">
        <v>5.3319999999999999</v>
      </c>
      <c r="O3705" s="7">
        <v>5.7880000000000003</v>
      </c>
      <c r="P3705" s="7">
        <v>6.0149999999999997</v>
      </c>
      <c r="Q3705" s="7">
        <v>6.25</v>
      </c>
      <c r="R3705" s="7">
        <v>5.9740000000000002</v>
      </c>
      <c r="S3705" s="7">
        <f t="shared" si="57"/>
        <v>5.563083333333334</v>
      </c>
    </row>
    <row r="3706" spans="1:19">
      <c r="A3706" s="5" t="str">
        <f>B3706&amp;"-"&amp;COUNTIF($B$2:B3706,B3706)</f>
        <v>RIO GRANDE DO NORTE-21</v>
      </c>
      <c r="B3706" s="5" t="s">
        <v>2449</v>
      </c>
      <c r="C3706" s="5" t="s">
        <v>4752</v>
      </c>
      <c r="D3706" s="6">
        <v>-360534</v>
      </c>
      <c r="E3706" s="6">
        <v>-50639</v>
      </c>
      <c r="F3706" s="7">
        <v>5.5890000000000004</v>
      </c>
      <c r="G3706" s="7">
        <v>5.8490000000000002</v>
      </c>
      <c r="H3706" s="7">
        <v>5.827</v>
      </c>
      <c r="I3706" s="7">
        <v>5.8579999999999997</v>
      </c>
      <c r="J3706" s="7">
        <v>5.3310000000000004</v>
      </c>
      <c r="K3706" s="7">
        <v>5.0659999999999998</v>
      </c>
      <c r="L3706" s="7">
        <v>4.7039999999999997</v>
      </c>
      <c r="M3706" s="7">
        <v>4.931</v>
      </c>
      <c r="N3706" s="7">
        <v>5.4790000000000001</v>
      </c>
      <c r="O3706" s="7">
        <v>5.8230000000000004</v>
      </c>
      <c r="P3706" s="7">
        <v>6.0209999999999999</v>
      </c>
      <c r="Q3706" s="7">
        <v>6.2290000000000001</v>
      </c>
      <c r="R3706" s="7">
        <v>5.9489999999999998</v>
      </c>
      <c r="S3706" s="7">
        <f t="shared" si="57"/>
        <v>5.5889166666666661</v>
      </c>
    </row>
    <row r="3707" spans="1:19">
      <c r="A3707" s="5" t="str">
        <f>B3707&amp;"-"&amp;COUNTIF($B$2:B3707,B3707)</f>
        <v>RIO GRANDE DO NORTE-22</v>
      </c>
      <c r="B3707" s="5" t="s">
        <v>2449</v>
      </c>
      <c r="C3707" s="5" t="s">
        <v>4753</v>
      </c>
      <c r="D3707" s="6">
        <v>-360011</v>
      </c>
      <c r="E3707" s="6">
        <v>-57575</v>
      </c>
      <c r="F3707" s="7">
        <v>5.5750000000000002</v>
      </c>
      <c r="G3707" s="7">
        <v>5.6970000000000001</v>
      </c>
      <c r="H3707" s="7">
        <v>5.7839999999999998</v>
      </c>
      <c r="I3707" s="7">
        <v>5.7910000000000004</v>
      </c>
      <c r="J3707" s="7">
        <v>5.4160000000000004</v>
      </c>
      <c r="K3707" s="7">
        <v>5.0590000000000002</v>
      </c>
      <c r="L3707" s="7">
        <v>4.6760000000000002</v>
      </c>
      <c r="M3707" s="7">
        <v>4.9000000000000004</v>
      </c>
      <c r="N3707" s="7">
        <v>5.5540000000000003</v>
      </c>
      <c r="O3707" s="7">
        <v>5.952</v>
      </c>
      <c r="P3707" s="7">
        <v>6.1509999999999998</v>
      </c>
      <c r="Q3707" s="7">
        <v>6.1710000000000003</v>
      </c>
      <c r="R3707" s="7">
        <v>5.7439999999999998</v>
      </c>
      <c r="S3707" s="7">
        <f t="shared" si="57"/>
        <v>5.5745833333333339</v>
      </c>
    </row>
    <row r="3708" spans="1:19">
      <c r="A3708" s="5" t="str">
        <f>B3708&amp;"-"&amp;COUNTIF($B$2:B3708,B3708)</f>
        <v>RIO GRANDE DO NORTE-23</v>
      </c>
      <c r="B3708" s="5" t="s">
        <v>2449</v>
      </c>
      <c r="C3708" s="5" t="s">
        <v>5200</v>
      </c>
      <c r="D3708" s="6">
        <v>-370956</v>
      </c>
      <c r="E3708" s="6">
        <v>-64626</v>
      </c>
      <c r="F3708" s="7">
        <v>5.91</v>
      </c>
      <c r="G3708" s="7">
        <v>6.1639999999999997</v>
      </c>
      <c r="H3708" s="7">
        <v>6.1989999999999998</v>
      </c>
      <c r="I3708" s="7">
        <v>6.1429999999999998</v>
      </c>
      <c r="J3708" s="7">
        <v>5.8019999999999996</v>
      </c>
      <c r="K3708" s="7">
        <v>5.202</v>
      </c>
      <c r="L3708" s="7">
        <v>4.7709999999999999</v>
      </c>
      <c r="M3708" s="7">
        <v>5.0529999999999999</v>
      </c>
      <c r="N3708" s="7">
        <v>5.806</v>
      </c>
      <c r="O3708" s="7">
        <v>6.3769999999999998</v>
      </c>
      <c r="P3708" s="7">
        <v>6.5640000000000001</v>
      </c>
      <c r="Q3708" s="7">
        <v>6.5449999999999999</v>
      </c>
      <c r="R3708" s="7">
        <v>6.2960000000000003</v>
      </c>
      <c r="S3708" s="7">
        <f t="shared" si="57"/>
        <v>5.9101666666666661</v>
      </c>
    </row>
    <row r="3709" spans="1:19">
      <c r="A3709" s="5" t="str">
        <f>B3709&amp;"-"&amp;COUNTIF($B$2:B3709,B3709)</f>
        <v>RIO GRANDE DO NORTE-24</v>
      </c>
      <c r="B3709" s="5" t="s">
        <v>2449</v>
      </c>
      <c r="C3709" s="5" t="s">
        <v>2463</v>
      </c>
      <c r="D3709" s="6">
        <v>-361832</v>
      </c>
      <c r="E3709" s="6">
        <v>-62427</v>
      </c>
      <c r="F3709" s="7">
        <v>5.52</v>
      </c>
      <c r="G3709" s="7">
        <v>5.7329999999999997</v>
      </c>
      <c r="H3709" s="7">
        <v>5.8319999999999999</v>
      </c>
      <c r="I3709" s="7">
        <v>5.7679999999999998</v>
      </c>
      <c r="J3709" s="7">
        <v>5.4509999999999996</v>
      </c>
      <c r="K3709" s="7">
        <v>4.9459999999999997</v>
      </c>
      <c r="L3709" s="7">
        <v>4.4859999999999998</v>
      </c>
      <c r="M3709" s="7">
        <v>4.7030000000000003</v>
      </c>
      <c r="N3709" s="7">
        <v>5.3860000000000001</v>
      </c>
      <c r="O3709" s="7">
        <v>5.9020000000000001</v>
      </c>
      <c r="P3709" s="7">
        <v>6.0919999999999996</v>
      </c>
      <c r="Q3709" s="7">
        <v>6.1909999999999998</v>
      </c>
      <c r="R3709" s="7">
        <v>5.7480000000000002</v>
      </c>
      <c r="S3709" s="7">
        <f t="shared" si="57"/>
        <v>5.5198333333333336</v>
      </c>
    </row>
    <row r="3710" spans="1:19">
      <c r="A3710" s="5" t="str">
        <f>B3710&amp;"-"&amp;COUNTIF($B$2:B3710,B3710)</f>
        <v>RIO GRANDE DO NORTE-25</v>
      </c>
      <c r="B3710" s="5" t="s">
        <v>2449</v>
      </c>
      <c r="C3710" s="5" t="s">
        <v>2464</v>
      </c>
      <c r="D3710" s="6">
        <v>-351293</v>
      </c>
      <c r="E3710" s="6">
        <v>-63814</v>
      </c>
      <c r="F3710" s="7">
        <v>5.548</v>
      </c>
      <c r="G3710" s="7">
        <v>5.8680000000000003</v>
      </c>
      <c r="H3710" s="7">
        <v>6.0190000000000001</v>
      </c>
      <c r="I3710" s="7">
        <v>6.0590000000000002</v>
      </c>
      <c r="J3710" s="7">
        <v>5.4569999999999999</v>
      </c>
      <c r="K3710" s="7">
        <v>4.8620000000000001</v>
      </c>
      <c r="L3710" s="7">
        <v>4.4240000000000004</v>
      </c>
      <c r="M3710" s="7">
        <v>4.5469999999999997</v>
      </c>
      <c r="N3710" s="7">
        <v>5.2990000000000004</v>
      </c>
      <c r="O3710" s="7">
        <v>5.8179999999999996</v>
      </c>
      <c r="P3710" s="7">
        <v>6.0209999999999999</v>
      </c>
      <c r="Q3710" s="7">
        <v>6.1710000000000003</v>
      </c>
      <c r="R3710" s="7">
        <v>6.024</v>
      </c>
      <c r="S3710" s="7">
        <f t="shared" si="57"/>
        <v>5.547416666666666</v>
      </c>
    </row>
    <row r="3711" spans="1:19">
      <c r="A3711" s="5" t="str">
        <f>B3711&amp;"-"&amp;COUNTIF($B$2:B3711,B3711)</f>
        <v>RIO GRANDE DO NORTE-26</v>
      </c>
      <c r="B3711" s="5" t="s">
        <v>2449</v>
      </c>
      <c r="C3711" s="5" t="s">
        <v>4854</v>
      </c>
      <c r="D3711" s="6">
        <v>-375589</v>
      </c>
      <c r="E3711" s="6">
        <v>-57843</v>
      </c>
      <c r="F3711" s="7">
        <v>5.9320000000000004</v>
      </c>
      <c r="G3711" s="7">
        <v>5.9779999999999998</v>
      </c>
      <c r="H3711" s="7">
        <v>6.1369999999999996</v>
      </c>
      <c r="I3711" s="7">
        <v>6.0449999999999999</v>
      </c>
      <c r="J3711" s="7">
        <v>5.7770000000000001</v>
      </c>
      <c r="K3711" s="7">
        <v>5.3739999999999997</v>
      </c>
      <c r="L3711" s="7">
        <v>5.032</v>
      </c>
      <c r="M3711" s="7">
        <v>5.3879999999999999</v>
      </c>
      <c r="N3711" s="7">
        <v>5.9640000000000004</v>
      </c>
      <c r="O3711" s="7">
        <v>6.3520000000000003</v>
      </c>
      <c r="P3711" s="7">
        <v>6.52</v>
      </c>
      <c r="Q3711" s="7">
        <v>6.5609999999999999</v>
      </c>
      <c r="R3711" s="7">
        <v>6.0519999999999996</v>
      </c>
      <c r="S3711" s="7">
        <f t="shared" si="57"/>
        <v>5.9316666666666649</v>
      </c>
    </row>
    <row r="3712" spans="1:19">
      <c r="A3712" s="5" t="str">
        <f>B3712&amp;"-"&amp;COUNTIF($B$2:B3712,B3712)</f>
        <v>RIO GRANDE DO NORTE-27</v>
      </c>
      <c r="B3712" s="5" t="s">
        <v>2449</v>
      </c>
      <c r="C3712" s="5" t="s">
        <v>4870</v>
      </c>
      <c r="D3712" s="6">
        <v>-365912</v>
      </c>
      <c r="E3712" s="6">
        <v>-65572</v>
      </c>
      <c r="F3712" s="7">
        <v>5.6920000000000002</v>
      </c>
      <c r="G3712" s="7">
        <v>5.9349999999999996</v>
      </c>
      <c r="H3712" s="7">
        <v>5.8680000000000003</v>
      </c>
      <c r="I3712" s="7">
        <v>5.9409999999999998</v>
      </c>
      <c r="J3712" s="7">
        <v>5.5170000000000003</v>
      </c>
      <c r="K3712" s="7">
        <v>4.9560000000000004</v>
      </c>
      <c r="L3712" s="7">
        <v>4.5330000000000004</v>
      </c>
      <c r="M3712" s="7">
        <v>4.8390000000000004</v>
      </c>
      <c r="N3712" s="7">
        <v>5.6079999999999997</v>
      </c>
      <c r="O3712" s="7">
        <v>6.1470000000000002</v>
      </c>
      <c r="P3712" s="7">
        <v>6.4130000000000003</v>
      </c>
      <c r="Q3712" s="7">
        <v>6.476</v>
      </c>
      <c r="R3712" s="7">
        <v>6.0670000000000002</v>
      </c>
      <c r="S3712" s="7">
        <f t="shared" si="57"/>
        <v>5.6916666666666655</v>
      </c>
    </row>
    <row r="3713" spans="1:19">
      <c r="A3713" s="5" t="str">
        <f>B3713&amp;"-"&amp;COUNTIF($B$2:B3713,B3713)</f>
        <v>RIO GRANDE DO NORTE-28</v>
      </c>
      <c r="B3713" s="5" t="s">
        <v>2449</v>
      </c>
      <c r="C3713" s="5" t="s">
        <v>2465</v>
      </c>
      <c r="D3713" s="6">
        <v>-368346</v>
      </c>
      <c r="E3713" s="6">
        <v>-53386</v>
      </c>
      <c r="F3713" s="7">
        <v>5.8040000000000003</v>
      </c>
      <c r="G3713" s="7">
        <v>5.9349999999999996</v>
      </c>
      <c r="H3713" s="7">
        <v>5.9240000000000004</v>
      </c>
      <c r="I3713" s="7">
        <v>5.9210000000000003</v>
      </c>
      <c r="J3713" s="7">
        <v>5.5140000000000002</v>
      </c>
      <c r="K3713" s="7">
        <v>5.2969999999999997</v>
      </c>
      <c r="L3713" s="7">
        <v>4.8730000000000002</v>
      </c>
      <c r="M3713" s="7">
        <v>5.0999999999999996</v>
      </c>
      <c r="N3713" s="7">
        <v>5.8150000000000004</v>
      </c>
      <c r="O3713" s="7">
        <v>6.2350000000000003</v>
      </c>
      <c r="P3713" s="7">
        <v>6.44</v>
      </c>
      <c r="Q3713" s="7">
        <v>6.476</v>
      </c>
      <c r="R3713" s="7">
        <v>6.1219999999999999</v>
      </c>
      <c r="S3713" s="7">
        <f t="shared" si="57"/>
        <v>5.8043333333333322</v>
      </c>
    </row>
    <row r="3714" spans="1:19">
      <c r="A3714" s="5" t="str">
        <f>B3714&amp;"-"&amp;COUNTIF($B$2:B3714,B3714)</f>
        <v>RIO GRANDE DO NORTE-29</v>
      </c>
      <c r="B3714" s="5" t="s">
        <v>2449</v>
      </c>
      <c r="C3714" s="5" t="s">
        <v>5700</v>
      </c>
      <c r="D3714" s="5" t="s">
        <v>2466</v>
      </c>
      <c r="E3714" s="6">
        <v>-56405</v>
      </c>
      <c r="F3714" s="7">
        <v>5.6420000000000003</v>
      </c>
      <c r="G3714" s="7">
        <v>5.9119999999999999</v>
      </c>
      <c r="H3714" s="7">
        <v>6.0759999999999996</v>
      </c>
      <c r="I3714" s="7">
        <v>6.0609999999999999</v>
      </c>
      <c r="J3714" s="7">
        <v>5.5540000000000003</v>
      </c>
      <c r="K3714" s="7">
        <v>5.0010000000000003</v>
      </c>
      <c r="L3714" s="7">
        <v>4.6539999999999999</v>
      </c>
      <c r="M3714" s="7">
        <v>4.7480000000000002</v>
      </c>
      <c r="N3714" s="7">
        <v>5.444</v>
      </c>
      <c r="O3714" s="7">
        <v>5.9550000000000001</v>
      </c>
      <c r="P3714" s="7">
        <v>6.12</v>
      </c>
      <c r="Q3714" s="7">
        <v>6.25</v>
      </c>
      <c r="R3714" s="7">
        <v>5.9279999999999999</v>
      </c>
      <c r="S3714" s="7">
        <f t="shared" si="57"/>
        <v>5.6419166666666669</v>
      </c>
    </row>
    <row r="3715" spans="1:19">
      <c r="A3715" s="5" t="str">
        <f>B3715&amp;"-"&amp;COUNTIF($B$2:B3715,B3715)</f>
        <v>RIO GRANDE DO NORTE-30</v>
      </c>
      <c r="B3715" s="5" t="s">
        <v>2449</v>
      </c>
      <c r="C3715" s="5" t="s">
        <v>5701</v>
      </c>
      <c r="D3715" s="6">
        <v>-363506</v>
      </c>
      <c r="E3715" s="6">
        <v>-60354</v>
      </c>
      <c r="F3715" s="7">
        <v>5.7770000000000001</v>
      </c>
      <c r="G3715" s="7">
        <v>5.9539999999999997</v>
      </c>
      <c r="H3715" s="7">
        <v>5.9560000000000004</v>
      </c>
      <c r="I3715" s="7">
        <v>5.9370000000000003</v>
      </c>
      <c r="J3715" s="7">
        <v>5.54</v>
      </c>
      <c r="K3715" s="7">
        <v>5.1740000000000004</v>
      </c>
      <c r="L3715" s="7">
        <v>4.774</v>
      </c>
      <c r="M3715" s="7">
        <v>5.032</v>
      </c>
      <c r="N3715" s="7">
        <v>5.7910000000000004</v>
      </c>
      <c r="O3715" s="7">
        <v>6.2670000000000003</v>
      </c>
      <c r="P3715" s="7">
        <v>6.4669999999999996</v>
      </c>
      <c r="Q3715" s="7">
        <v>6.4690000000000003</v>
      </c>
      <c r="R3715" s="7">
        <v>5.9660000000000002</v>
      </c>
      <c r="S3715" s="7">
        <f t="shared" ref="S3715:S3778" si="58">(G3715+H3715+I3715+J3715+K3715+L3715+M3715+N3715+O3715+P3715+Q3715+R3715)/12</f>
        <v>5.7772499999999996</v>
      </c>
    </row>
    <row r="3716" spans="1:19">
      <c r="A3716" s="5" t="str">
        <f>B3716&amp;"-"&amp;COUNTIF($B$2:B3716,B3716)</f>
        <v>RIO GRANDE DO NORTE-31</v>
      </c>
      <c r="B3716" s="5" t="s">
        <v>2449</v>
      </c>
      <c r="C3716" s="5" t="s">
        <v>2467</v>
      </c>
      <c r="D3716" s="6">
        <v>-362175</v>
      </c>
      <c r="E3716" s="6">
        <v>-63859</v>
      </c>
      <c r="F3716" s="7">
        <v>5.6479999999999997</v>
      </c>
      <c r="G3716" s="7">
        <v>5.9269999999999996</v>
      </c>
      <c r="H3716" s="7">
        <v>5.9349999999999996</v>
      </c>
      <c r="I3716" s="7">
        <v>5.9169999999999998</v>
      </c>
      <c r="J3716" s="7">
        <v>5.524</v>
      </c>
      <c r="K3716" s="7">
        <v>4.9589999999999996</v>
      </c>
      <c r="L3716" s="7">
        <v>4.5510000000000002</v>
      </c>
      <c r="M3716" s="7">
        <v>4.7469999999999999</v>
      </c>
      <c r="N3716" s="7">
        <v>5.5110000000000001</v>
      </c>
      <c r="O3716" s="7">
        <v>6.0209999999999999</v>
      </c>
      <c r="P3716" s="7">
        <v>6.2990000000000004</v>
      </c>
      <c r="Q3716" s="7">
        <v>6.3819999999999997</v>
      </c>
      <c r="R3716" s="7">
        <v>6</v>
      </c>
      <c r="S3716" s="7">
        <f t="shared" si="58"/>
        <v>5.6477499999999994</v>
      </c>
    </row>
    <row r="3717" spans="1:19">
      <c r="A3717" s="5" t="str">
        <f>B3717&amp;"-"&amp;COUNTIF($B$2:B3717,B3717)</f>
        <v>RIO GRANDE DO NORTE-32</v>
      </c>
      <c r="B3717" s="5" t="s">
        <v>2449</v>
      </c>
      <c r="C3717" s="5" t="s">
        <v>4140</v>
      </c>
      <c r="D3717" s="6">
        <v>-384445</v>
      </c>
      <c r="E3717" s="6">
        <v>-62501</v>
      </c>
      <c r="F3717" s="7">
        <v>5.8840000000000003</v>
      </c>
      <c r="G3717" s="7">
        <v>5.8680000000000003</v>
      </c>
      <c r="H3717" s="7">
        <v>5.8719999999999999</v>
      </c>
      <c r="I3717" s="7">
        <v>5.8330000000000002</v>
      </c>
      <c r="J3717" s="7">
        <v>5.5529999999999999</v>
      </c>
      <c r="K3717" s="7">
        <v>5.1680000000000001</v>
      </c>
      <c r="L3717" s="7">
        <v>5.0339999999999998</v>
      </c>
      <c r="M3717" s="7">
        <v>5.3659999999999997</v>
      </c>
      <c r="N3717" s="7">
        <v>6.1029999999999998</v>
      </c>
      <c r="O3717" s="7">
        <v>6.4740000000000002</v>
      </c>
      <c r="P3717" s="7">
        <v>6.5739999999999998</v>
      </c>
      <c r="Q3717" s="7">
        <v>6.665</v>
      </c>
      <c r="R3717" s="7">
        <v>6.1</v>
      </c>
      <c r="S3717" s="7">
        <f t="shared" si="58"/>
        <v>5.8841666666666663</v>
      </c>
    </row>
    <row r="3718" spans="1:19">
      <c r="A3718" s="5" t="str">
        <f>B3718&amp;"-"&amp;COUNTIF($B$2:B3718,B3718)</f>
        <v>RIO GRANDE DO NORTE-33</v>
      </c>
      <c r="B3718" s="5" t="s">
        <v>2449</v>
      </c>
      <c r="C3718" s="5" t="s">
        <v>2468</v>
      </c>
      <c r="D3718" s="6">
        <v>-36785</v>
      </c>
      <c r="E3718" s="6">
        <v>-64111</v>
      </c>
      <c r="F3718" s="7">
        <v>5.78</v>
      </c>
      <c r="G3718" s="7">
        <v>5.9939999999999998</v>
      </c>
      <c r="H3718" s="7">
        <v>6.0170000000000003</v>
      </c>
      <c r="I3718" s="7">
        <v>6.0389999999999997</v>
      </c>
      <c r="J3718" s="7">
        <v>5.6379999999999999</v>
      </c>
      <c r="K3718" s="7">
        <v>5.0839999999999996</v>
      </c>
      <c r="L3718" s="7">
        <v>4.681</v>
      </c>
      <c r="M3718" s="7">
        <v>4.92</v>
      </c>
      <c r="N3718" s="7">
        <v>5.657</v>
      </c>
      <c r="O3718" s="7">
        <v>6.2750000000000004</v>
      </c>
      <c r="P3718" s="7">
        <v>6.4829999999999997</v>
      </c>
      <c r="Q3718" s="7">
        <v>6.4950000000000001</v>
      </c>
      <c r="R3718" s="7">
        <v>6.077</v>
      </c>
      <c r="S3718" s="7">
        <f t="shared" si="58"/>
        <v>5.78</v>
      </c>
    </row>
    <row r="3719" spans="1:19">
      <c r="A3719" s="5" t="str">
        <f>B3719&amp;"-"&amp;COUNTIF($B$2:B3719,B3719)</f>
        <v>RIO GRANDE DO NORTE-34</v>
      </c>
      <c r="B3719" s="5" t="s">
        <v>2449</v>
      </c>
      <c r="C3719" s="5" t="s">
        <v>2469</v>
      </c>
      <c r="D3719" s="6">
        <v>-365149</v>
      </c>
      <c r="E3719" s="6">
        <v>-62553</v>
      </c>
      <c r="F3719" s="7">
        <v>5.6920000000000002</v>
      </c>
      <c r="G3719" s="7">
        <v>5.9180000000000001</v>
      </c>
      <c r="H3719" s="7">
        <v>5.9349999999999996</v>
      </c>
      <c r="I3719" s="7">
        <v>5.8659999999999997</v>
      </c>
      <c r="J3719" s="7">
        <v>5.56</v>
      </c>
      <c r="K3719" s="7">
        <v>4.9560000000000004</v>
      </c>
      <c r="L3719" s="7">
        <v>4.6050000000000004</v>
      </c>
      <c r="M3719" s="7">
        <v>4.8369999999999997</v>
      </c>
      <c r="N3719" s="7">
        <v>5.5730000000000004</v>
      </c>
      <c r="O3719" s="7">
        <v>6.18</v>
      </c>
      <c r="P3719" s="7">
        <v>6.3689999999999998</v>
      </c>
      <c r="Q3719" s="7">
        <v>6.4329999999999998</v>
      </c>
      <c r="R3719" s="7">
        <v>6.0759999999999996</v>
      </c>
      <c r="S3719" s="7">
        <f t="shared" si="58"/>
        <v>5.6923333333333339</v>
      </c>
    </row>
    <row r="3720" spans="1:19">
      <c r="A3720" s="5" t="str">
        <f>B3720&amp;"-"&amp;COUNTIF($B$2:B3720,B3720)</f>
        <v>RIO GRANDE DO NORTE-35</v>
      </c>
      <c r="B3720" s="5" t="s">
        <v>2449</v>
      </c>
      <c r="C3720" s="5" t="s">
        <v>2470</v>
      </c>
      <c r="D3720" s="6">
        <v>-383797</v>
      </c>
      <c r="E3720" s="6">
        <v>-60812</v>
      </c>
      <c r="F3720" s="7">
        <v>5.8730000000000002</v>
      </c>
      <c r="G3720" s="7">
        <v>5.8150000000000004</v>
      </c>
      <c r="H3720" s="7">
        <v>5.8550000000000004</v>
      </c>
      <c r="I3720" s="7">
        <v>5.8659999999999997</v>
      </c>
      <c r="J3720" s="7">
        <v>5.5949999999999998</v>
      </c>
      <c r="K3720" s="7">
        <v>5.2149999999999999</v>
      </c>
      <c r="L3720" s="7">
        <v>5.03</v>
      </c>
      <c r="M3720" s="7">
        <v>5.3529999999999998</v>
      </c>
      <c r="N3720" s="7">
        <v>6.0389999999999997</v>
      </c>
      <c r="O3720" s="7">
        <v>6.4859999999999998</v>
      </c>
      <c r="P3720" s="7">
        <v>6.5590000000000002</v>
      </c>
      <c r="Q3720" s="7">
        <v>6.6130000000000004</v>
      </c>
      <c r="R3720" s="7">
        <v>6.0490000000000004</v>
      </c>
      <c r="S3720" s="7">
        <f t="shared" si="58"/>
        <v>5.8729166666666677</v>
      </c>
    </row>
    <row r="3721" spans="1:19">
      <c r="A3721" s="5" t="str">
        <f>B3721&amp;"-"&amp;COUNTIF($B$2:B3721,B3721)</f>
        <v>RIO GRANDE DO NORTE-36</v>
      </c>
      <c r="B3721" s="5" t="s">
        <v>2449</v>
      </c>
      <c r="C3721" s="5" t="s">
        <v>2471</v>
      </c>
      <c r="D3721" s="6">
        <v>-383036</v>
      </c>
      <c r="E3721" s="6">
        <v>-61073</v>
      </c>
      <c r="F3721" s="7">
        <v>5.8730000000000002</v>
      </c>
      <c r="G3721" s="7">
        <v>5.8150000000000004</v>
      </c>
      <c r="H3721" s="7">
        <v>5.8550000000000004</v>
      </c>
      <c r="I3721" s="7">
        <v>5.8659999999999997</v>
      </c>
      <c r="J3721" s="7">
        <v>5.5949999999999998</v>
      </c>
      <c r="K3721" s="7">
        <v>5.2149999999999999</v>
      </c>
      <c r="L3721" s="7">
        <v>5.03</v>
      </c>
      <c r="M3721" s="7">
        <v>5.3529999999999998</v>
      </c>
      <c r="N3721" s="7">
        <v>6.0389999999999997</v>
      </c>
      <c r="O3721" s="7">
        <v>6.4859999999999998</v>
      </c>
      <c r="P3721" s="7">
        <v>6.5590000000000002</v>
      </c>
      <c r="Q3721" s="7">
        <v>6.6130000000000004</v>
      </c>
      <c r="R3721" s="7">
        <v>6.0490000000000004</v>
      </c>
      <c r="S3721" s="7">
        <f t="shared" si="58"/>
        <v>5.8729166666666677</v>
      </c>
    </row>
    <row r="3722" spans="1:19">
      <c r="A3722" s="5" t="str">
        <f>B3722&amp;"-"&amp;COUNTIF($B$2:B3722,B3722)</f>
        <v>RIO GRANDE DO NORTE-37</v>
      </c>
      <c r="B3722" s="5" t="s">
        <v>2449</v>
      </c>
      <c r="C3722" s="5" t="s">
        <v>2472</v>
      </c>
      <c r="D3722" s="6">
        <v>-367172</v>
      </c>
      <c r="E3722" s="6">
        <v>-69452</v>
      </c>
      <c r="F3722" s="7">
        <v>5.7830000000000004</v>
      </c>
      <c r="G3722" s="7">
        <v>6.0149999999999997</v>
      </c>
      <c r="H3722" s="7">
        <v>5.9770000000000003</v>
      </c>
      <c r="I3722" s="7">
        <v>6.0250000000000004</v>
      </c>
      <c r="J3722" s="7">
        <v>5.61</v>
      </c>
      <c r="K3722" s="7">
        <v>5.0250000000000004</v>
      </c>
      <c r="L3722" s="7">
        <v>4.6399999999999997</v>
      </c>
      <c r="M3722" s="7">
        <v>4.9450000000000003</v>
      </c>
      <c r="N3722" s="7">
        <v>5.7240000000000002</v>
      </c>
      <c r="O3722" s="7">
        <v>6.2750000000000004</v>
      </c>
      <c r="P3722" s="7">
        <v>6.4749999999999996</v>
      </c>
      <c r="Q3722" s="7">
        <v>6.516</v>
      </c>
      <c r="R3722" s="7">
        <v>6.1719999999999997</v>
      </c>
      <c r="S3722" s="7">
        <f t="shared" si="58"/>
        <v>5.7832499999999998</v>
      </c>
    </row>
    <row r="3723" spans="1:19">
      <c r="A3723" s="5" t="str">
        <f>B3723&amp;"-"&amp;COUNTIF($B$2:B3723,B3723)</f>
        <v>RIO GRANDE DO NORTE-38</v>
      </c>
      <c r="B3723" s="5" t="s">
        <v>2449</v>
      </c>
      <c r="C3723" s="5" t="s">
        <v>2473</v>
      </c>
      <c r="D3723" s="6">
        <v>-353117</v>
      </c>
      <c r="E3723" s="6">
        <v>-63329</v>
      </c>
      <c r="F3723" s="7">
        <v>5.5529999999999999</v>
      </c>
      <c r="G3723" s="7">
        <v>5.859</v>
      </c>
      <c r="H3723" s="7">
        <v>6.0019999999999998</v>
      </c>
      <c r="I3723" s="7">
        <v>6.085</v>
      </c>
      <c r="J3723" s="7">
        <v>5.4320000000000004</v>
      </c>
      <c r="K3723" s="7">
        <v>4.9390000000000001</v>
      </c>
      <c r="L3723" s="7">
        <v>4.4459999999999997</v>
      </c>
      <c r="M3723" s="7">
        <v>4.55</v>
      </c>
      <c r="N3723" s="7">
        <v>5.3550000000000004</v>
      </c>
      <c r="O3723" s="7">
        <v>5.7480000000000002</v>
      </c>
      <c r="P3723" s="7">
        <v>6.0279999999999996</v>
      </c>
      <c r="Q3723" s="7">
        <v>6.274</v>
      </c>
      <c r="R3723" s="7">
        <v>5.9139999999999997</v>
      </c>
      <c r="S3723" s="7">
        <f t="shared" si="58"/>
        <v>5.5526666666666662</v>
      </c>
    </row>
    <row r="3724" spans="1:19">
      <c r="A3724" s="5" t="str">
        <f>B3724&amp;"-"&amp;COUNTIF($B$2:B3724,B3724)</f>
        <v>RIO GRANDE DO NORTE-39</v>
      </c>
      <c r="B3724" s="5" t="s">
        <v>2449</v>
      </c>
      <c r="C3724" s="5" t="s">
        <v>2474</v>
      </c>
      <c r="D3724" s="6">
        <v>-352895</v>
      </c>
      <c r="E3724" s="6">
        <v>-57043</v>
      </c>
      <c r="F3724" s="7">
        <v>5.6909999999999998</v>
      </c>
      <c r="G3724" s="7">
        <v>5.9950000000000001</v>
      </c>
      <c r="H3724" s="7">
        <v>6.0579999999999998</v>
      </c>
      <c r="I3724" s="7">
        <v>6.0250000000000004</v>
      </c>
      <c r="J3724" s="7">
        <v>5.5830000000000002</v>
      </c>
      <c r="K3724" s="7">
        <v>5.1120000000000001</v>
      </c>
      <c r="L3724" s="7">
        <v>4.7039999999999997</v>
      </c>
      <c r="M3724" s="7">
        <v>4.8730000000000002</v>
      </c>
      <c r="N3724" s="7">
        <v>5.6239999999999997</v>
      </c>
      <c r="O3724" s="7">
        <v>6.0140000000000002</v>
      </c>
      <c r="P3724" s="7">
        <v>6.0860000000000003</v>
      </c>
      <c r="Q3724" s="7">
        <v>6.2519999999999998</v>
      </c>
      <c r="R3724" s="7">
        <v>5.9710000000000001</v>
      </c>
      <c r="S3724" s="7">
        <f t="shared" si="58"/>
        <v>5.6914166666666679</v>
      </c>
    </row>
    <row r="3725" spans="1:19">
      <c r="A3725" s="5" t="str">
        <f>B3725&amp;"-"&amp;COUNTIF($B$2:B3725,B3725)</f>
        <v>RIO GRANDE DO NORTE-40</v>
      </c>
      <c r="B3725" s="5" t="s">
        <v>2449</v>
      </c>
      <c r="C3725" s="5" t="s">
        <v>2475</v>
      </c>
      <c r="D3725" s="6">
        <v>-376967</v>
      </c>
      <c r="E3725" s="6">
        <v>-5597</v>
      </c>
      <c r="F3725" s="7">
        <v>5.9080000000000004</v>
      </c>
      <c r="G3725" s="7">
        <v>5.9779999999999998</v>
      </c>
      <c r="H3725" s="7">
        <v>6.0490000000000004</v>
      </c>
      <c r="I3725" s="7">
        <v>5.9580000000000002</v>
      </c>
      <c r="J3725" s="7">
        <v>5.7069999999999999</v>
      </c>
      <c r="K3725" s="7">
        <v>5.3410000000000002</v>
      </c>
      <c r="L3725" s="7">
        <v>4.99</v>
      </c>
      <c r="M3725" s="7">
        <v>5.3819999999999997</v>
      </c>
      <c r="N3725" s="7">
        <v>6.02</v>
      </c>
      <c r="O3725" s="7">
        <v>6.3470000000000004</v>
      </c>
      <c r="P3725" s="7">
        <v>6.5609999999999999</v>
      </c>
      <c r="Q3725" s="7">
        <v>6.5209999999999999</v>
      </c>
      <c r="R3725" s="7">
        <v>6.04</v>
      </c>
      <c r="S3725" s="7">
        <f t="shared" si="58"/>
        <v>5.9078333333333335</v>
      </c>
    </row>
    <row r="3726" spans="1:19">
      <c r="A3726" s="5" t="str">
        <f>B3726&amp;"-"&amp;COUNTIF($B$2:B3726,B3726)</f>
        <v>RIO GRANDE DO NORTE-41</v>
      </c>
      <c r="B3726" s="5" t="s">
        <v>2449</v>
      </c>
      <c r="C3726" s="5" t="s">
        <v>2476</v>
      </c>
      <c r="D3726" s="6">
        <v>-365285</v>
      </c>
      <c r="E3726" s="6">
        <v>-56914</v>
      </c>
      <c r="F3726" s="7">
        <v>5.7789999999999999</v>
      </c>
      <c r="G3726" s="7">
        <v>5.9169999999999998</v>
      </c>
      <c r="H3726" s="7">
        <v>5.9210000000000003</v>
      </c>
      <c r="I3726" s="7">
        <v>5.9909999999999997</v>
      </c>
      <c r="J3726" s="7">
        <v>5.5529999999999999</v>
      </c>
      <c r="K3726" s="7">
        <v>5.2149999999999999</v>
      </c>
      <c r="L3726" s="7">
        <v>4.8029999999999999</v>
      </c>
      <c r="M3726" s="7">
        <v>5.0780000000000003</v>
      </c>
      <c r="N3726" s="7">
        <v>5.7859999999999996</v>
      </c>
      <c r="O3726" s="7">
        <v>6.234</v>
      </c>
      <c r="P3726" s="7">
        <v>6.4279999999999999</v>
      </c>
      <c r="Q3726" s="7">
        <v>6.4189999999999996</v>
      </c>
      <c r="R3726" s="7">
        <v>6.0010000000000003</v>
      </c>
      <c r="S3726" s="7">
        <f t="shared" si="58"/>
        <v>5.7788333333333339</v>
      </c>
    </row>
    <row r="3727" spans="1:19">
      <c r="A3727" s="5" t="str">
        <f>B3727&amp;"-"&amp;COUNTIF($B$2:B3727,B3727)</f>
        <v>RIO GRANDE DO NORTE-42</v>
      </c>
      <c r="B3727" s="5" t="s">
        <v>2449</v>
      </c>
      <c r="C3727" s="5" t="s">
        <v>5010</v>
      </c>
      <c r="D3727" s="6">
        <v>-368106</v>
      </c>
      <c r="E3727" s="6">
        <v>-61236</v>
      </c>
      <c r="F3727" s="7">
        <v>5.7670000000000003</v>
      </c>
      <c r="G3727" s="7">
        <v>5.8630000000000004</v>
      </c>
      <c r="H3727" s="7">
        <v>5.9160000000000004</v>
      </c>
      <c r="I3727" s="7">
        <v>5.9130000000000003</v>
      </c>
      <c r="J3727" s="7">
        <v>5.6349999999999998</v>
      </c>
      <c r="K3727" s="7">
        <v>5.0780000000000003</v>
      </c>
      <c r="L3727" s="7">
        <v>4.766</v>
      </c>
      <c r="M3727" s="7">
        <v>5.0830000000000002</v>
      </c>
      <c r="N3727" s="7">
        <v>5.8970000000000002</v>
      </c>
      <c r="O3727" s="7">
        <v>6.3810000000000002</v>
      </c>
      <c r="P3727" s="7">
        <v>6.4390000000000001</v>
      </c>
      <c r="Q3727" s="7">
        <v>6.383</v>
      </c>
      <c r="R3727" s="7">
        <v>5.85</v>
      </c>
      <c r="S3727" s="7">
        <f t="shared" si="58"/>
        <v>5.7669999999999995</v>
      </c>
    </row>
    <row r="3728" spans="1:19">
      <c r="A3728" s="5" t="str">
        <f>B3728&amp;"-"&amp;COUNTIF($B$2:B3728,B3728)</f>
        <v>RIO GRANDE DO NORTE-43</v>
      </c>
      <c r="B3728" s="5" t="s">
        <v>2449</v>
      </c>
      <c r="C3728" s="5" t="s">
        <v>2477</v>
      </c>
      <c r="D3728" s="6">
        <v>-381215</v>
      </c>
      <c r="E3728" s="6">
        <v>-60728</v>
      </c>
      <c r="F3728" s="7">
        <v>5.92</v>
      </c>
      <c r="G3728" s="7">
        <v>5.9340000000000002</v>
      </c>
      <c r="H3728" s="7">
        <v>5.9630000000000001</v>
      </c>
      <c r="I3728" s="7">
        <v>6.0060000000000002</v>
      </c>
      <c r="J3728" s="7">
        <v>5.6630000000000003</v>
      </c>
      <c r="K3728" s="7">
        <v>5.3140000000000001</v>
      </c>
      <c r="L3728" s="7">
        <v>5.0220000000000002</v>
      </c>
      <c r="M3728" s="7">
        <v>5.3719999999999999</v>
      </c>
      <c r="N3728" s="7">
        <v>6.0430000000000001</v>
      </c>
      <c r="O3728" s="7">
        <v>6.415</v>
      </c>
      <c r="P3728" s="7">
        <v>6.5990000000000002</v>
      </c>
      <c r="Q3728" s="7">
        <v>6.6139999999999999</v>
      </c>
      <c r="R3728" s="7">
        <v>6.0990000000000002</v>
      </c>
      <c r="S3728" s="7">
        <f t="shared" si="58"/>
        <v>5.9203333333333346</v>
      </c>
    </row>
    <row r="3729" spans="1:19">
      <c r="A3729" s="5" t="str">
        <f>B3729&amp;"-"&amp;COUNTIF($B$2:B3729,B3729)</f>
        <v>RIO GRANDE DO NORTE-44</v>
      </c>
      <c r="B3729" s="5" t="s">
        <v>2449</v>
      </c>
      <c r="C3729" s="5" t="s">
        <v>2478</v>
      </c>
      <c r="D3729" s="6">
        <v>-378378</v>
      </c>
      <c r="E3729" s="6">
        <v>-61571</v>
      </c>
      <c r="F3729" s="7">
        <v>5.9649999999999999</v>
      </c>
      <c r="G3729" s="7">
        <v>6.0570000000000004</v>
      </c>
      <c r="H3729" s="7">
        <v>6.0430000000000001</v>
      </c>
      <c r="I3729" s="7">
        <v>6.0410000000000004</v>
      </c>
      <c r="J3729" s="7">
        <v>5.7949999999999999</v>
      </c>
      <c r="K3729" s="7">
        <v>5.33</v>
      </c>
      <c r="L3729" s="7">
        <v>4.9859999999999998</v>
      </c>
      <c r="M3729" s="7">
        <v>5.3280000000000003</v>
      </c>
      <c r="N3729" s="7">
        <v>6.0369999999999999</v>
      </c>
      <c r="O3729" s="7">
        <v>6.4980000000000002</v>
      </c>
      <c r="P3729" s="7">
        <v>6.6360000000000001</v>
      </c>
      <c r="Q3729" s="7">
        <v>6.64</v>
      </c>
      <c r="R3729" s="7">
        <v>6.1950000000000003</v>
      </c>
      <c r="S3729" s="7">
        <f t="shared" si="58"/>
        <v>5.9654999999999987</v>
      </c>
    </row>
    <row r="3730" spans="1:19">
      <c r="A3730" s="5" t="str">
        <f>B3730&amp;"-"&amp;COUNTIF($B$2:B3730,B3730)</f>
        <v>RIO GRANDE DO NORTE-45</v>
      </c>
      <c r="B3730" s="5" t="s">
        <v>2449</v>
      </c>
      <c r="C3730" s="5" t="s">
        <v>2479</v>
      </c>
      <c r="D3730" s="6">
        <v>-362757</v>
      </c>
      <c r="E3730" s="6">
        <v>-50913</v>
      </c>
      <c r="F3730" s="7">
        <v>5.7489999999999997</v>
      </c>
      <c r="G3730" s="7">
        <v>6.0469999999999997</v>
      </c>
      <c r="H3730" s="7">
        <v>5.9249999999999998</v>
      </c>
      <c r="I3730" s="7">
        <v>5.8879999999999999</v>
      </c>
      <c r="J3730" s="7">
        <v>5.5250000000000004</v>
      </c>
      <c r="K3730" s="7">
        <v>5.2770000000000001</v>
      </c>
      <c r="L3730" s="7">
        <v>4.8239999999999998</v>
      </c>
      <c r="M3730" s="7">
        <v>4.9880000000000004</v>
      </c>
      <c r="N3730" s="7">
        <v>5.6689999999999996</v>
      </c>
      <c r="O3730" s="7">
        <v>6.07</v>
      </c>
      <c r="P3730" s="7">
        <v>6.1580000000000004</v>
      </c>
      <c r="Q3730" s="7">
        <v>6.3970000000000002</v>
      </c>
      <c r="R3730" s="7">
        <v>6.2140000000000004</v>
      </c>
      <c r="S3730" s="7">
        <f t="shared" si="58"/>
        <v>5.7484999999999999</v>
      </c>
    </row>
    <row r="3731" spans="1:19">
      <c r="A3731" s="5" t="str">
        <f>B3731&amp;"-"&amp;COUNTIF($B$2:B3731,B3731)</f>
        <v>RIO GRANDE DO NORTE-46</v>
      </c>
      <c r="B3731" s="5" t="s">
        <v>2449</v>
      </c>
      <c r="C3731" s="5" t="s">
        <v>2480</v>
      </c>
      <c r="D3731" s="6">
        <v>-352092</v>
      </c>
      <c r="E3731" s="6">
        <v>-62678</v>
      </c>
      <c r="F3731" s="7">
        <v>5.5439999999999996</v>
      </c>
      <c r="G3731" s="7">
        <v>5.8550000000000004</v>
      </c>
      <c r="H3731" s="7">
        <v>5.9930000000000003</v>
      </c>
      <c r="I3731" s="7">
        <v>6.0650000000000004</v>
      </c>
      <c r="J3731" s="7">
        <v>5.4429999999999996</v>
      </c>
      <c r="K3731" s="7">
        <v>4.88</v>
      </c>
      <c r="L3731" s="7">
        <v>4.4260000000000002</v>
      </c>
      <c r="M3731" s="7">
        <v>4.5259999999999998</v>
      </c>
      <c r="N3731" s="7">
        <v>5.3170000000000002</v>
      </c>
      <c r="O3731" s="7">
        <v>5.7889999999999997</v>
      </c>
      <c r="P3731" s="7">
        <v>6.0129999999999999</v>
      </c>
      <c r="Q3731" s="7">
        <v>6.2279999999999998</v>
      </c>
      <c r="R3731" s="7">
        <v>5.9889999999999999</v>
      </c>
      <c r="S3731" s="7">
        <f t="shared" si="58"/>
        <v>5.5436666666666667</v>
      </c>
    </row>
    <row r="3732" spans="1:19">
      <c r="A3732" s="5" t="str">
        <f>B3732&amp;"-"&amp;COUNTIF($B$2:B3732,B3732)</f>
        <v>RIO GRANDE DO NORTE-47</v>
      </c>
      <c r="B3732" s="5" t="s">
        <v>2449</v>
      </c>
      <c r="C3732" s="5" t="s">
        <v>2481</v>
      </c>
      <c r="D3732" s="6">
        <v>-375186</v>
      </c>
      <c r="E3732" s="6">
        <v>-54493</v>
      </c>
      <c r="F3732" s="7">
        <v>5.8540000000000001</v>
      </c>
      <c r="G3732" s="7">
        <v>5.7889999999999997</v>
      </c>
      <c r="H3732" s="7">
        <v>5.8280000000000003</v>
      </c>
      <c r="I3732" s="7">
        <v>5.9029999999999996</v>
      </c>
      <c r="J3732" s="7">
        <v>5.6509999999999998</v>
      </c>
      <c r="K3732" s="7">
        <v>5.3390000000000004</v>
      </c>
      <c r="L3732" s="7">
        <v>5.0389999999999997</v>
      </c>
      <c r="M3732" s="7">
        <v>5.3319999999999999</v>
      </c>
      <c r="N3732" s="7">
        <v>5.9969999999999999</v>
      </c>
      <c r="O3732" s="7">
        <v>6.3639999999999999</v>
      </c>
      <c r="P3732" s="7">
        <v>6.5190000000000001</v>
      </c>
      <c r="Q3732" s="7">
        <v>6.5010000000000003</v>
      </c>
      <c r="R3732" s="7">
        <v>5.9820000000000002</v>
      </c>
      <c r="S3732" s="7">
        <f t="shared" si="58"/>
        <v>5.8536666666666664</v>
      </c>
    </row>
    <row r="3733" spans="1:19">
      <c r="A3733" s="5" t="str">
        <f>B3733&amp;"-"&amp;COUNTIF($B$2:B3733,B3733)</f>
        <v>RIO GRANDE DO NORTE-48</v>
      </c>
      <c r="B3733" s="5" t="s">
        <v>2449</v>
      </c>
      <c r="C3733" s="5" t="s">
        <v>2482</v>
      </c>
      <c r="D3733" s="6">
        <v>-371624</v>
      </c>
      <c r="E3733" s="6">
        <v>-49811</v>
      </c>
      <c r="F3733" s="7">
        <v>5.7460000000000004</v>
      </c>
      <c r="G3733" s="7">
        <v>5.9909999999999997</v>
      </c>
      <c r="H3733" s="7">
        <v>5.8739999999999997</v>
      </c>
      <c r="I3733" s="7">
        <v>5.8310000000000004</v>
      </c>
      <c r="J3733" s="7">
        <v>5.4820000000000002</v>
      </c>
      <c r="K3733" s="7">
        <v>5.2679999999999998</v>
      </c>
      <c r="L3733" s="7">
        <v>4.9119999999999999</v>
      </c>
      <c r="M3733" s="7">
        <v>5.16</v>
      </c>
      <c r="N3733" s="7">
        <v>5.7169999999999996</v>
      </c>
      <c r="O3733" s="7">
        <v>6.1879999999999997</v>
      </c>
      <c r="P3733" s="7">
        <v>6.0880000000000001</v>
      </c>
      <c r="Q3733" s="7">
        <v>6.2539999999999996</v>
      </c>
      <c r="R3733" s="7">
        <v>6.1870000000000003</v>
      </c>
      <c r="S3733" s="7">
        <f t="shared" si="58"/>
        <v>5.7459999999999996</v>
      </c>
    </row>
    <row r="3734" spans="1:19">
      <c r="A3734" s="5" t="str">
        <f>B3734&amp;"-"&amp;COUNTIF($B$2:B3734,B3734)</f>
        <v>RIO GRANDE DO NORTE-49</v>
      </c>
      <c r="B3734" s="5" t="s">
        <v>2449</v>
      </c>
      <c r="C3734" s="5" t="s">
        <v>4463</v>
      </c>
      <c r="D3734" s="6">
        <v>-363225</v>
      </c>
      <c r="E3734" s="6">
        <v>-51066</v>
      </c>
      <c r="F3734" s="7">
        <v>5.62</v>
      </c>
      <c r="G3734" s="7">
        <v>5.9340000000000002</v>
      </c>
      <c r="H3734" s="7">
        <v>5.84</v>
      </c>
      <c r="I3734" s="7">
        <v>5.806</v>
      </c>
      <c r="J3734" s="7">
        <v>5.4210000000000003</v>
      </c>
      <c r="K3734" s="7">
        <v>5.133</v>
      </c>
      <c r="L3734" s="7">
        <v>4.6740000000000004</v>
      </c>
      <c r="M3734" s="7">
        <v>4.8440000000000003</v>
      </c>
      <c r="N3734" s="7">
        <v>5.4790000000000001</v>
      </c>
      <c r="O3734" s="7">
        <v>6.0650000000000004</v>
      </c>
      <c r="P3734" s="7">
        <v>6.0519999999999996</v>
      </c>
      <c r="Q3734" s="7">
        <v>6.1879999999999997</v>
      </c>
      <c r="R3734" s="7">
        <v>6.0049999999999999</v>
      </c>
      <c r="S3734" s="7">
        <f t="shared" si="58"/>
        <v>5.6200833333333335</v>
      </c>
    </row>
    <row r="3735" spans="1:19">
      <c r="A3735" s="5" t="str">
        <f>B3735&amp;"-"&amp;COUNTIF($B$2:B3735,B3735)</f>
        <v>RIO GRANDE DO NORTE-50</v>
      </c>
      <c r="B3735" s="5" t="s">
        <v>2449</v>
      </c>
      <c r="C3735" s="5" t="s">
        <v>2483</v>
      </c>
      <c r="D3735" s="6">
        <v>-355519</v>
      </c>
      <c r="E3735" s="6">
        <v>-58221</v>
      </c>
      <c r="F3735" s="7">
        <v>5.5819999999999999</v>
      </c>
      <c r="G3735" s="7">
        <v>5.89</v>
      </c>
      <c r="H3735" s="7">
        <v>5.9260000000000002</v>
      </c>
      <c r="I3735" s="7">
        <v>5.9509999999999996</v>
      </c>
      <c r="J3735" s="7">
        <v>5.5129999999999999</v>
      </c>
      <c r="K3735" s="7">
        <v>4.9980000000000002</v>
      </c>
      <c r="L3735" s="7">
        <v>4.5709999999999997</v>
      </c>
      <c r="M3735" s="7">
        <v>4.7450000000000001</v>
      </c>
      <c r="N3735" s="7">
        <v>5.3949999999999996</v>
      </c>
      <c r="O3735" s="7">
        <v>5.835</v>
      </c>
      <c r="P3735" s="7">
        <v>6.0469999999999997</v>
      </c>
      <c r="Q3735" s="7">
        <v>6.242</v>
      </c>
      <c r="R3735" s="7">
        <v>5.867</v>
      </c>
      <c r="S3735" s="7">
        <f t="shared" si="58"/>
        <v>5.581666666666667</v>
      </c>
    </row>
    <row r="3736" spans="1:19">
      <c r="A3736" s="5" t="str">
        <f>B3736&amp;"-"&amp;COUNTIF($B$2:B3736,B3736)</f>
        <v>RIO GRANDE DO NORTE-51</v>
      </c>
      <c r="B3736" s="5" t="s">
        <v>2449</v>
      </c>
      <c r="C3736" s="5" t="s">
        <v>4754</v>
      </c>
      <c r="D3736" s="6">
        <v>-368586</v>
      </c>
      <c r="E3736" s="6">
        <v>-55092</v>
      </c>
      <c r="F3736" s="7">
        <v>5.8079999999999998</v>
      </c>
      <c r="G3736" s="7">
        <v>5.9080000000000004</v>
      </c>
      <c r="H3736" s="7">
        <v>5.968</v>
      </c>
      <c r="I3736" s="7">
        <v>5.9509999999999996</v>
      </c>
      <c r="J3736" s="7">
        <v>5.6109999999999998</v>
      </c>
      <c r="K3736" s="7">
        <v>5.3159999999999998</v>
      </c>
      <c r="L3736" s="7">
        <v>4.843</v>
      </c>
      <c r="M3736" s="7">
        <v>5.109</v>
      </c>
      <c r="N3736" s="7">
        <v>5.8529999999999998</v>
      </c>
      <c r="O3736" s="7">
        <v>6.2750000000000004</v>
      </c>
      <c r="P3736" s="7">
        <v>6.4130000000000003</v>
      </c>
      <c r="Q3736" s="7">
        <v>6.41</v>
      </c>
      <c r="R3736" s="7">
        <v>6.0380000000000003</v>
      </c>
      <c r="S3736" s="7">
        <f t="shared" si="58"/>
        <v>5.8079166666666664</v>
      </c>
    </row>
    <row r="3737" spans="1:19">
      <c r="A3737" s="5" t="str">
        <f>B3737&amp;"-"&amp;COUNTIF($B$2:B3737,B3737)</f>
        <v>RIO GRANDE DO NORTE-52</v>
      </c>
      <c r="B3737" s="5" t="s">
        <v>2449</v>
      </c>
      <c r="C3737" s="5" t="s">
        <v>2484</v>
      </c>
      <c r="D3737" s="6">
        <v>-371988</v>
      </c>
      <c r="E3737" s="6">
        <v>-6816</v>
      </c>
      <c r="F3737" s="7">
        <v>5.9219999999999997</v>
      </c>
      <c r="G3737" s="7">
        <v>6.1740000000000004</v>
      </c>
      <c r="H3737" s="7">
        <v>6.1820000000000004</v>
      </c>
      <c r="I3737" s="7">
        <v>6.2</v>
      </c>
      <c r="J3737" s="7">
        <v>5.8490000000000002</v>
      </c>
      <c r="K3737" s="7">
        <v>5.2080000000000002</v>
      </c>
      <c r="L3737" s="7">
        <v>4.7619999999999996</v>
      </c>
      <c r="M3737" s="7">
        <v>5.032</v>
      </c>
      <c r="N3737" s="7">
        <v>5.798</v>
      </c>
      <c r="O3737" s="7">
        <v>6.3730000000000002</v>
      </c>
      <c r="P3737" s="7">
        <v>6.5819999999999999</v>
      </c>
      <c r="Q3737" s="7">
        <v>6.6059999999999999</v>
      </c>
      <c r="R3737" s="7">
        <v>6.2910000000000004</v>
      </c>
      <c r="S3737" s="7">
        <f t="shared" si="58"/>
        <v>5.9214166666666657</v>
      </c>
    </row>
    <row r="3738" spans="1:19">
      <c r="A3738" s="5" t="str">
        <f>B3738&amp;"-"&amp;COUNTIF($B$2:B3738,B3738)</f>
        <v>RIO GRANDE DO NORTE-53</v>
      </c>
      <c r="B3738" s="5" t="s">
        <v>2449</v>
      </c>
      <c r="C3738" s="5" t="s">
        <v>4871</v>
      </c>
      <c r="D3738" s="6">
        <v>-379916</v>
      </c>
      <c r="E3738" s="6">
        <v>-58367</v>
      </c>
      <c r="F3738" s="7">
        <v>5.9740000000000002</v>
      </c>
      <c r="G3738" s="7">
        <v>6.0069999999999997</v>
      </c>
      <c r="H3738" s="7">
        <v>6.0830000000000002</v>
      </c>
      <c r="I3738" s="7">
        <v>6.08</v>
      </c>
      <c r="J3738" s="7">
        <v>5.7279999999999998</v>
      </c>
      <c r="K3738" s="7">
        <v>5.3659999999999997</v>
      </c>
      <c r="L3738" s="7">
        <v>5.0469999999999997</v>
      </c>
      <c r="M3738" s="7">
        <v>5.407</v>
      </c>
      <c r="N3738" s="7">
        <v>6.0750000000000002</v>
      </c>
      <c r="O3738" s="7">
        <v>6.4329999999999998</v>
      </c>
      <c r="P3738" s="7">
        <v>6.665</v>
      </c>
      <c r="Q3738" s="7">
        <v>6.6550000000000002</v>
      </c>
      <c r="R3738" s="7">
        <v>6.149</v>
      </c>
      <c r="S3738" s="7">
        <f t="shared" si="58"/>
        <v>5.9745833333333342</v>
      </c>
    </row>
    <row r="3739" spans="1:19">
      <c r="A3739" s="5" t="str">
        <f>B3739&amp;"-"&amp;COUNTIF($B$2:B3739,B3739)</f>
        <v>RIO GRANDE DO NORTE-54</v>
      </c>
      <c r="B3739" s="5" t="s">
        <v>2449</v>
      </c>
      <c r="C3739" s="5" t="s">
        <v>5521</v>
      </c>
      <c r="D3739" s="6">
        <v>-368676</v>
      </c>
      <c r="E3739" s="6">
        <v>-56409</v>
      </c>
      <c r="F3739" s="7">
        <v>5.8029999999999999</v>
      </c>
      <c r="G3739" s="7">
        <v>5.8470000000000004</v>
      </c>
      <c r="H3739" s="7">
        <v>6.01</v>
      </c>
      <c r="I3739" s="7">
        <v>5.9359999999999999</v>
      </c>
      <c r="J3739" s="7">
        <v>5.6449999999999996</v>
      </c>
      <c r="K3739" s="7">
        <v>5.2750000000000004</v>
      </c>
      <c r="L3739" s="7">
        <v>4.8470000000000004</v>
      </c>
      <c r="M3739" s="7">
        <v>5.1210000000000004</v>
      </c>
      <c r="N3739" s="7">
        <v>5.8419999999999996</v>
      </c>
      <c r="O3739" s="7">
        <v>6.2729999999999997</v>
      </c>
      <c r="P3739" s="7">
        <v>6.41</v>
      </c>
      <c r="Q3739" s="7">
        <v>6.4269999999999996</v>
      </c>
      <c r="R3739" s="7">
        <v>6.0049999999999999</v>
      </c>
      <c r="S3739" s="7">
        <f t="shared" si="58"/>
        <v>5.8031666666666668</v>
      </c>
    </row>
    <row r="3740" spans="1:19">
      <c r="A3740" s="5" t="str">
        <f>B3740&amp;"-"&amp;COUNTIF($B$2:B3740,B3740)</f>
        <v>RIO GRANDE DO NORTE-55</v>
      </c>
      <c r="B3740" s="5" t="s">
        <v>2449</v>
      </c>
      <c r="C3740" s="5" t="s">
        <v>5397</v>
      </c>
      <c r="D3740" s="6">
        <v>-362033</v>
      </c>
      <c r="E3740" s="6">
        <v>-64188</v>
      </c>
      <c r="F3740" s="7">
        <v>5.6479999999999997</v>
      </c>
      <c r="G3740" s="7">
        <v>5.9269999999999996</v>
      </c>
      <c r="H3740" s="7">
        <v>5.9349999999999996</v>
      </c>
      <c r="I3740" s="7">
        <v>5.9169999999999998</v>
      </c>
      <c r="J3740" s="7">
        <v>5.524</v>
      </c>
      <c r="K3740" s="7">
        <v>4.9589999999999996</v>
      </c>
      <c r="L3740" s="7">
        <v>4.5510000000000002</v>
      </c>
      <c r="M3740" s="7">
        <v>4.7469999999999999</v>
      </c>
      <c r="N3740" s="7">
        <v>5.5110000000000001</v>
      </c>
      <c r="O3740" s="7">
        <v>6.0209999999999999</v>
      </c>
      <c r="P3740" s="7">
        <v>6.2990000000000004</v>
      </c>
      <c r="Q3740" s="7">
        <v>6.3819999999999997</v>
      </c>
      <c r="R3740" s="7">
        <v>6</v>
      </c>
      <c r="S3740" s="7">
        <f t="shared" si="58"/>
        <v>5.6477499999999994</v>
      </c>
    </row>
    <row r="3741" spans="1:19">
      <c r="A3741" s="5" t="str">
        <f>B3741&amp;"-"&amp;COUNTIF($B$2:B3741,B3741)</f>
        <v>RIO GRANDE DO NORTE-56</v>
      </c>
      <c r="B3741" s="5" t="s">
        <v>2449</v>
      </c>
      <c r="C3741" s="5" t="s">
        <v>437</v>
      </c>
      <c r="D3741" s="6">
        <v>-361281</v>
      </c>
      <c r="E3741" s="6">
        <v>-53525</v>
      </c>
      <c r="F3741" s="7">
        <v>5.6740000000000004</v>
      </c>
      <c r="G3741" s="7">
        <v>5.7850000000000001</v>
      </c>
      <c r="H3741" s="7">
        <v>5.798</v>
      </c>
      <c r="I3741" s="7">
        <v>5.734</v>
      </c>
      <c r="J3741" s="7">
        <v>5.468</v>
      </c>
      <c r="K3741" s="7">
        <v>5.202</v>
      </c>
      <c r="L3741" s="7">
        <v>4.8319999999999999</v>
      </c>
      <c r="M3741" s="7">
        <v>5.0819999999999999</v>
      </c>
      <c r="N3741" s="7">
        <v>5.7590000000000003</v>
      </c>
      <c r="O3741" s="7">
        <v>6.0449999999999999</v>
      </c>
      <c r="P3741" s="7">
        <v>6.2640000000000002</v>
      </c>
      <c r="Q3741" s="7">
        <v>6.2610000000000001</v>
      </c>
      <c r="R3741" s="7">
        <v>5.8550000000000004</v>
      </c>
      <c r="S3741" s="7">
        <f t="shared" si="58"/>
        <v>5.673750000000001</v>
      </c>
    </row>
    <row r="3742" spans="1:19">
      <c r="A3742" s="5" t="str">
        <f>B3742&amp;"-"&amp;COUNTIF($B$2:B3742,B3742)</f>
        <v>RIO GRANDE DO NORTE-57</v>
      </c>
      <c r="B3742" s="5" t="s">
        <v>2449</v>
      </c>
      <c r="C3742" s="5" t="s">
        <v>2485</v>
      </c>
      <c r="D3742" s="6">
        <v>-374051</v>
      </c>
      <c r="E3742" s="6">
        <v>-60152</v>
      </c>
      <c r="F3742" s="7">
        <v>5.9610000000000003</v>
      </c>
      <c r="G3742" s="7">
        <v>6.0110000000000001</v>
      </c>
      <c r="H3742" s="7">
        <v>6.0819999999999999</v>
      </c>
      <c r="I3742" s="7">
        <v>6.0819999999999999</v>
      </c>
      <c r="J3742" s="7">
        <v>5.8460000000000001</v>
      </c>
      <c r="K3742" s="7">
        <v>5.3769999999999998</v>
      </c>
      <c r="L3742" s="7">
        <v>4.9690000000000003</v>
      </c>
      <c r="M3742" s="7">
        <v>5.3170000000000002</v>
      </c>
      <c r="N3742" s="7">
        <v>6.0259999999999998</v>
      </c>
      <c r="O3742" s="7">
        <v>6.4930000000000003</v>
      </c>
      <c r="P3742" s="7">
        <v>6.5979999999999999</v>
      </c>
      <c r="Q3742" s="7">
        <v>6.6079999999999997</v>
      </c>
      <c r="R3742" s="7">
        <v>6.1180000000000003</v>
      </c>
      <c r="S3742" s="7">
        <f t="shared" si="58"/>
        <v>5.9605833333333322</v>
      </c>
    </row>
    <row r="3743" spans="1:19">
      <c r="A3743" s="5" t="str">
        <f>B3743&amp;"-"&amp;COUNTIF($B$2:B3743,B3743)</f>
        <v>RIO GRANDE DO NORTE-58</v>
      </c>
      <c r="B3743" s="5" t="s">
        <v>2449</v>
      </c>
      <c r="C3743" s="5" t="s">
        <v>5702</v>
      </c>
      <c r="D3743" s="6">
        <v>-355996</v>
      </c>
      <c r="E3743" s="6">
        <v>-61602</v>
      </c>
      <c r="F3743" s="7">
        <v>5.4889999999999999</v>
      </c>
      <c r="G3743" s="7">
        <v>5.6890000000000001</v>
      </c>
      <c r="H3743" s="7">
        <v>5.82</v>
      </c>
      <c r="I3743" s="7">
        <v>5.8680000000000003</v>
      </c>
      <c r="J3743" s="7">
        <v>5.48</v>
      </c>
      <c r="K3743" s="7">
        <v>4.9470000000000001</v>
      </c>
      <c r="L3743" s="7">
        <v>4.5220000000000002</v>
      </c>
      <c r="M3743" s="7">
        <v>4.6470000000000002</v>
      </c>
      <c r="N3743" s="7">
        <v>5.3460000000000001</v>
      </c>
      <c r="O3743" s="7">
        <v>5.7380000000000004</v>
      </c>
      <c r="P3743" s="7">
        <v>5.9210000000000003</v>
      </c>
      <c r="Q3743" s="7">
        <v>6.1180000000000003</v>
      </c>
      <c r="R3743" s="7">
        <v>5.7690000000000001</v>
      </c>
      <c r="S3743" s="7">
        <f t="shared" si="58"/>
        <v>5.4887500000000005</v>
      </c>
    </row>
    <row r="3744" spans="1:19">
      <c r="A3744" s="5" t="str">
        <f>B3744&amp;"-"&amp;COUNTIF($B$2:B3744,B3744)</f>
        <v>RIO GRANDE DO NORTE-59</v>
      </c>
      <c r="B3744" s="5" t="s">
        <v>2449</v>
      </c>
      <c r="C3744" s="5" t="s">
        <v>2486</v>
      </c>
      <c r="D3744" s="6">
        <v>-359464</v>
      </c>
      <c r="E3744" s="6">
        <v>-64664</v>
      </c>
      <c r="F3744" s="7">
        <v>5.4379999999999997</v>
      </c>
      <c r="G3744" s="7">
        <v>5.7240000000000002</v>
      </c>
      <c r="H3744" s="7">
        <v>5.7590000000000003</v>
      </c>
      <c r="I3744" s="7">
        <v>5.7839999999999998</v>
      </c>
      <c r="J3744" s="7">
        <v>5.335</v>
      </c>
      <c r="K3744" s="7">
        <v>4.8029999999999999</v>
      </c>
      <c r="L3744" s="7">
        <v>4.3860000000000001</v>
      </c>
      <c r="M3744" s="7">
        <v>4.5430000000000001</v>
      </c>
      <c r="N3744" s="7">
        <v>5.3040000000000003</v>
      </c>
      <c r="O3744" s="7">
        <v>5.7320000000000002</v>
      </c>
      <c r="P3744" s="7">
        <v>5.9560000000000004</v>
      </c>
      <c r="Q3744" s="7">
        <v>6.1390000000000002</v>
      </c>
      <c r="R3744" s="7">
        <v>5.7949999999999999</v>
      </c>
      <c r="S3744" s="7">
        <f t="shared" si="58"/>
        <v>5.4383333333333335</v>
      </c>
    </row>
    <row r="3745" spans="1:19">
      <c r="A3745" s="5" t="str">
        <f>B3745&amp;"-"&amp;COUNTIF($B$2:B3745,B3745)</f>
        <v>RIO GRANDE DO NORTE-60</v>
      </c>
      <c r="B3745" s="5" t="s">
        <v>2449</v>
      </c>
      <c r="C3745" s="5" t="s">
        <v>2487</v>
      </c>
      <c r="D3745" s="6">
        <v>-359716</v>
      </c>
      <c r="E3745" s="6">
        <v>-56504</v>
      </c>
      <c r="F3745" s="7">
        <v>5.5810000000000004</v>
      </c>
      <c r="G3745" s="7">
        <v>5.7489999999999997</v>
      </c>
      <c r="H3745" s="7">
        <v>5.7770000000000001</v>
      </c>
      <c r="I3745" s="7">
        <v>5.7640000000000002</v>
      </c>
      <c r="J3745" s="7">
        <v>5.4989999999999997</v>
      </c>
      <c r="K3745" s="7">
        <v>5.0579999999999998</v>
      </c>
      <c r="L3745" s="7">
        <v>4.6909999999999998</v>
      </c>
      <c r="M3745" s="7">
        <v>4.8970000000000002</v>
      </c>
      <c r="N3745" s="7">
        <v>5.53</v>
      </c>
      <c r="O3745" s="7">
        <v>5.9039999999999999</v>
      </c>
      <c r="P3745" s="7">
        <v>6.1180000000000003</v>
      </c>
      <c r="Q3745" s="7">
        <v>6.2039999999999997</v>
      </c>
      <c r="R3745" s="7">
        <v>5.7809999999999997</v>
      </c>
      <c r="S3745" s="7">
        <f t="shared" si="58"/>
        <v>5.5810000000000004</v>
      </c>
    </row>
    <row r="3746" spans="1:19">
      <c r="A3746" s="5" t="str">
        <f>B3746&amp;"-"&amp;COUNTIF($B$2:B3746,B3746)</f>
        <v>RIO GRANDE DO NORTE-61</v>
      </c>
      <c r="B3746" s="5" t="s">
        <v>2449</v>
      </c>
      <c r="C3746" s="5" t="s">
        <v>2488</v>
      </c>
      <c r="D3746" s="6">
        <v>-373499</v>
      </c>
      <c r="E3746" s="6">
        <v>-63771</v>
      </c>
      <c r="F3746" s="7">
        <v>5.9660000000000002</v>
      </c>
      <c r="G3746" s="7">
        <v>6.1989999999999998</v>
      </c>
      <c r="H3746" s="7">
        <v>6.2480000000000002</v>
      </c>
      <c r="I3746" s="7">
        <v>6.22</v>
      </c>
      <c r="J3746" s="7">
        <v>5.86</v>
      </c>
      <c r="K3746" s="7">
        <v>5.2969999999999997</v>
      </c>
      <c r="L3746" s="7">
        <v>4.8460000000000001</v>
      </c>
      <c r="M3746" s="7">
        <v>5.1580000000000004</v>
      </c>
      <c r="N3746" s="7">
        <v>5.9240000000000004</v>
      </c>
      <c r="O3746" s="7">
        <v>6.4160000000000004</v>
      </c>
      <c r="P3746" s="7">
        <v>6.6040000000000001</v>
      </c>
      <c r="Q3746" s="7">
        <v>6.6029999999999998</v>
      </c>
      <c r="R3746" s="7">
        <v>6.2140000000000004</v>
      </c>
      <c r="S3746" s="7">
        <f t="shared" si="58"/>
        <v>5.9657499999999999</v>
      </c>
    </row>
    <row r="3747" spans="1:19">
      <c r="A3747" s="5" t="str">
        <f>B3747&amp;"-"&amp;COUNTIF($B$2:B3747,B3747)</f>
        <v>RIO GRANDE DO NORTE-62</v>
      </c>
      <c r="B3747" s="5" t="s">
        <v>2449</v>
      </c>
      <c r="C3747" s="5" t="s">
        <v>5201</v>
      </c>
      <c r="D3747" s="6">
        <v>-367764</v>
      </c>
      <c r="E3747" s="6">
        <v>-65857</v>
      </c>
      <c r="F3747" s="7">
        <v>5.8280000000000003</v>
      </c>
      <c r="G3747" s="7">
        <v>6.0369999999999999</v>
      </c>
      <c r="H3747" s="7">
        <v>6.0490000000000004</v>
      </c>
      <c r="I3747" s="7">
        <v>6.1070000000000002</v>
      </c>
      <c r="J3747" s="7">
        <v>5.7169999999999996</v>
      </c>
      <c r="K3747" s="7">
        <v>5.16</v>
      </c>
      <c r="L3747" s="7">
        <v>4.6210000000000004</v>
      </c>
      <c r="M3747" s="7">
        <v>4.992</v>
      </c>
      <c r="N3747" s="7">
        <v>5.7560000000000002</v>
      </c>
      <c r="O3747" s="7">
        <v>6.3140000000000001</v>
      </c>
      <c r="P3747" s="7">
        <v>6.53</v>
      </c>
      <c r="Q3747" s="7">
        <v>6.5039999999999996</v>
      </c>
      <c r="R3747" s="7">
        <v>6.1449999999999996</v>
      </c>
      <c r="S3747" s="7">
        <f t="shared" si="58"/>
        <v>5.8276666666666666</v>
      </c>
    </row>
    <row r="3748" spans="1:19">
      <c r="A3748" s="5" t="str">
        <f>B3748&amp;"-"&amp;COUNTIF($B$2:B3748,B3748)</f>
        <v>RIO GRANDE DO NORTE-63</v>
      </c>
      <c r="B3748" s="5" t="s">
        <v>2449</v>
      </c>
      <c r="C3748" s="5" t="s">
        <v>5011</v>
      </c>
      <c r="D3748" s="6">
        <v>-358186</v>
      </c>
      <c r="E3748" s="6">
        <v>-55391</v>
      </c>
      <c r="F3748" s="7">
        <v>5.5910000000000002</v>
      </c>
      <c r="G3748" s="7">
        <v>5.8040000000000003</v>
      </c>
      <c r="H3748" s="7">
        <v>5.7880000000000003</v>
      </c>
      <c r="I3748" s="7">
        <v>5.7939999999999996</v>
      </c>
      <c r="J3748" s="7">
        <v>5.47</v>
      </c>
      <c r="K3748" s="7">
        <v>5.0410000000000004</v>
      </c>
      <c r="L3748" s="7">
        <v>4.681</v>
      </c>
      <c r="M3748" s="7">
        <v>4.8650000000000002</v>
      </c>
      <c r="N3748" s="7">
        <v>5.5259999999999998</v>
      </c>
      <c r="O3748" s="7">
        <v>5.95</v>
      </c>
      <c r="P3748" s="7">
        <v>6.109</v>
      </c>
      <c r="Q3748" s="7">
        <v>6.2249999999999996</v>
      </c>
      <c r="R3748" s="7">
        <v>5.8339999999999996</v>
      </c>
      <c r="S3748" s="7">
        <f t="shared" si="58"/>
        <v>5.5905833333333339</v>
      </c>
    </row>
    <row r="3749" spans="1:19">
      <c r="A3749" s="5" t="str">
        <f>B3749&amp;"-"&amp;COUNTIF($B$2:B3749,B3749)</f>
        <v>RIO GRANDE DO NORTE-64</v>
      </c>
      <c r="B3749" s="5" t="s">
        <v>2449</v>
      </c>
      <c r="C3749" s="5" t="s">
        <v>4141</v>
      </c>
      <c r="D3749" s="6">
        <v>-377889</v>
      </c>
      <c r="E3749" s="6">
        <v>-62726</v>
      </c>
      <c r="F3749" s="7">
        <v>5.95</v>
      </c>
      <c r="G3749" s="7">
        <v>6.0430000000000001</v>
      </c>
      <c r="H3749" s="7">
        <v>6.0890000000000004</v>
      </c>
      <c r="I3749" s="7">
        <v>6.0659999999999998</v>
      </c>
      <c r="J3749" s="7">
        <v>5.7350000000000003</v>
      </c>
      <c r="K3749" s="7">
        <v>5.2990000000000004</v>
      </c>
      <c r="L3749" s="7">
        <v>4.931</v>
      </c>
      <c r="M3749" s="7">
        <v>5.2939999999999996</v>
      </c>
      <c r="N3749" s="7">
        <v>6.0289999999999999</v>
      </c>
      <c r="O3749" s="7">
        <v>6.5410000000000004</v>
      </c>
      <c r="P3749" s="7">
        <v>6.5960000000000001</v>
      </c>
      <c r="Q3749" s="7">
        <v>6.5730000000000004</v>
      </c>
      <c r="R3749" s="7">
        <v>6.1980000000000004</v>
      </c>
      <c r="S3749" s="7">
        <f t="shared" si="58"/>
        <v>5.9495000000000005</v>
      </c>
    </row>
    <row r="3750" spans="1:19">
      <c r="A3750" s="5" t="str">
        <f>B3750&amp;"-"&amp;COUNTIF($B$2:B3750,B3750)</f>
        <v>RIO GRANDE DO NORTE-65</v>
      </c>
      <c r="B3750" s="5" t="s">
        <v>2449</v>
      </c>
      <c r="C3750" s="5" t="s">
        <v>4464</v>
      </c>
      <c r="D3750" s="6">
        <v>-382826</v>
      </c>
      <c r="E3750" s="6">
        <v>-63114</v>
      </c>
      <c r="F3750" s="7">
        <v>5.9320000000000004</v>
      </c>
      <c r="G3750" s="7">
        <v>6.0060000000000002</v>
      </c>
      <c r="H3750" s="7">
        <v>6.0389999999999997</v>
      </c>
      <c r="I3750" s="7">
        <v>6.016</v>
      </c>
      <c r="J3750" s="7">
        <v>5.7240000000000002</v>
      </c>
      <c r="K3750" s="7">
        <v>5.2789999999999999</v>
      </c>
      <c r="L3750" s="7">
        <v>4.992</v>
      </c>
      <c r="M3750" s="7">
        <v>5.3170000000000002</v>
      </c>
      <c r="N3750" s="7">
        <v>6.0010000000000003</v>
      </c>
      <c r="O3750" s="7">
        <v>6.4409999999999998</v>
      </c>
      <c r="P3750" s="7">
        <v>6.5540000000000003</v>
      </c>
      <c r="Q3750" s="7">
        <v>6.6210000000000004</v>
      </c>
      <c r="R3750" s="7">
        <v>6.1879999999999997</v>
      </c>
      <c r="S3750" s="7">
        <f t="shared" si="58"/>
        <v>5.9314999999999998</v>
      </c>
    </row>
    <row r="3751" spans="1:19">
      <c r="A3751" s="5" t="str">
        <f>B3751&amp;"-"&amp;COUNTIF($B$2:B3751,B3751)</f>
        <v>RIO GRANDE DO NORTE-66</v>
      </c>
      <c r="B3751" s="5" t="s">
        <v>2449</v>
      </c>
      <c r="C3751" s="5" t="s">
        <v>2489</v>
      </c>
      <c r="D3751" s="6">
        <v>-370203</v>
      </c>
      <c r="E3751" s="6">
        <v>-60355</v>
      </c>
      <c r="F3751" s="7">
        <v>5.8890000000000002</v>
      </c>
      <c r="G3751" s="7">
        <v>6.008</v>
      </c>
      <c r="H3751" s="7">
        <v>6.1040000000000001</v>
      </c>
      <c r="I3751" s="7">
        <v>6.165</v>
      </c>
      <c r="J3751" s="7">
        <v>5.7949999999999999</v>
      </c>
      <c r="K3751" s="7">
        <v>5.298</v>
      </c>
      <c r="L3751" s="7">
        <v>4.8840000000000003</v>
      </c>
      <c r="M3751" s="7">
        <v>5.1379999999999999</v>
      </c>
      <c r="N3751" s="7">
        <v>5.8460000000000001</v>
      </c>
      <c r="O3751" s="7">
        <v>6.3710000000000004</v>
      </c>
      <c r="P3751" s="7">
        <v>6.4779999999999998</v>
      </c>
      <c r="Q3751" s="7">
        <v>6.5149999999999997</v>
      </c>
      <c r="R3751" s="7">
        <v>6.069</v>
      </c>
      <c r="S3751" s="7">
        <f t="shared" si="58"/>
        <v>5.8892500000000005</v>
      </c>
    </row>
    <row r="3752" spans="1:19">
      <c r="A3752" s="5" t="str">
        <f>B3752&amp;"-"&amp;COUNTIF($B$2:B3752,B3752)</f>
        <v>RIO GRANDE DO NORTE-67</v>
      </c>
      <c r="B3752" s="5" t="s">
        <v>2449</v>
      </c>
      <c r="C3752" s="5" t="s">
        <v>141</v>
      </c>
      <c r="D3752" s="6">
        <v>-353273</v>
      </c>
      <c r="E3752" s="6">
        <v>-62707</v>
      </c>
      <c r="F3752" s="7">
        <v>5.5529999999999999</v>
      </c>
      <c r="G3752" s="7">
        <v>5.859</v>
      </c>
      <c r="H3752" s="7">
        <v>6.0019999999999998</v>
      </c>
      <c r="I3752" s="7">
        <v>6.085</v>
      </c>
      <c r="J3752" s="7">
        <v>5.4320000000000004</v>
      </c>
      <c r="K3752" s="7">
        <v>4.9390000000000001</v>
      </c>
      <c r="L3752" s="7">
        <v>4.4459999999999997</v>
      </c>
      <c r="M3752" s="7">
        <v>4.55</v>
      </c>
      <c r="N3752" s="7">
        <v>5.3550000000000004</v>
      </c>
      <c r="O3752" s="7">
        <v>5.7480000000000002</v>
      </c>
      <c r="P3752" s="7">
        <v>6.0279999999999996</v>
      </c>
      <c r="Q3752" s="7">
        <v>6.274</v>
      </c>
      <c r="R3752" s="7">
        <v>5.9139999999999997</v>
      </c>
      <c r="S3752" s="7">
        <f t="shared" si="58"/>
        <v>5.5526666666666662</v>
      </c>
    </row>
    <row r="3753" spans="1:19">
      <c r="A3753" s="5" t="str">
        <f>B3753&amp;"-"&amp;COUNTIF($B$2:B3753,B3753)</f>
        <v>RIO GRANDE DO NORTE-68</v>
      </c>
      <c r="B3753" s="5" t="s">
        <v>2449</v>
      </c>
      <c r="C3753" s="5" t="s">
        <v>2490</v>
      </c>
      <c r="D3753" s="6">
        <v>-355973</v>
      </c>
      <c r="E3753" s="6">
        <v>-63916</v>
      </c>
      <c r="F3753" s="7">
        <v>5.476</v>
      </c>
      <c r="G3753" s="7">
        <v>5.7450000000000001</v>
      </c>
      <c r="H3753" s="7">
        <v>5.8289999999999997</v>
      </c>
      <c r="I3753" s="7">
        <v>5.8760000000000003</v>
      </c>
      <c r="J3753" s="7">
        <v>5.4249999999999998</v>
      </c>
      <c r="K3753" s="7">
        <v>4.883</v>
      </c>
      <c r="L3753" s="7">
        <v>4.4790000000000001</v>
      </c>
      <c r="M3753" s="7">
        <v>4.6420000000000003</v>
      </c>
      <c r="N3753" s="7">
        <v>5.3150000000000004</v>
      </c>
      <c r="O3753" s="7">
        <v>5.7220000000000004</v>
      </c>
      <c r="P3753" s="7">
        <v>5.9029999999999996</v>
      </c>
      <c r="Q3753" s="7">
        <v>6.0949999999999998</v>
      </c>
      <c r="R3753" s="7">
        <v>5.8049999999999997</v>
      </c>
      <c r="S3753" s="7">
        <f t="shared" si="58"/>
        <v>5.4765833333333331</v>
      </c>
    </row>
    <row r="3754" spans="1:19">
      <c r="A3754" s="5" t="str">
        <f>B3754&amp;"-"&amp;COUNTIF($B$2:B3754,B3754)</f>
        <v>RIO GRANDE DO NORTE-69</v>
      </c>
      <c r="B3754" s="5" t="s">
        <v>2449</v>
      </c>
      <c r="C3754" s="5" t="s">
        <v>2491</v>
      </c>
      <c r="D3754" s="6">
        <v>-354378</v>
      </c>
      <c r="E3754" s="6">
        <v>-61557</v>
      </c>
      <c r="F3754" s="7">
        <v>5.5410000000000004</v>
      </c>
      <c r="G3754" s="7">
        <v>5.859</v>
      </c>
      <c r="H3754" s="7">
        <v>5.9329999999999998</v>
      </c>
      <c r="I3754" s="7">
        <v>5.9820000000000002</v>
      </c>
      <c r="J3754" s="7">
        <v>5.4770000000000003</v>
      </c>
      <c r="K3754" s="7">
        <v>4.9089999999999998</v>
      </c>
      <c r="L3754" s="7">
        <v>4.5270000000000001</v>
      </c>
      <c r="M3754" s="7">
        <v>4.665</v>
      </c>
      <c r="N3754" s="7">
        <v>5.3719999999999999</v>
      </c>
      <c r="O3754" s="7">
        <v>5.766</v>
      </c>
      <c r="P3754" s="7">
        <v>5.9809999999999999</v>
      </c>
      <c r="Q3754" s="7">
        <v>6.1749999999999998</v>
      </c>
      <c r="R3754" s="7">
        <v>5.8479999999999999</v>
      </c>
      <c r="S3754" s="7">
        <f t="shared" si="58"/>
        <v>5.5411666666666664</v>
      </c>
    </row>
    <row r="3755" spans="1:19">
      <c r="A3755" s="5" t="str">
        <f>B3755&amp;"-"&amp;COUNTIF($B$2:B3755,B3755)</f>
        <v>RIO GRANDE DO NORTE-70</v>
      </c>
      <c r="B3755" s="5" t="s">
        <v>2449</v>
      </c>
      <c r="C3755" s="5" t="s">
        <v>2492</v>
      </c>
      <c r="D3755" s="6">
        <v>-358712</v>
      </c>
      <c r="E3755" s="6">
        <v>-60039</v>
      </c>
      <c r="F3755" s="7">
        <v>5.4909999999999997</v>
      </c>
      <c r="G3755" s="7">
        <v>5.7519999999999998</v>
      </c>
      <c r="H3755" s="7">
        <v>5.7720000000000002</v>
      </c>
      <c r="I3755" s="7">
        <v>5.7679999999999998</v>
      </c>
      <c r="J3755" s="7">
        <v>5.4569999999999999</v>
      </c>
      <c r="K3755" s="7">
        <v>4.9489999999999998</v>
      </c>
      <c r="L3755" s="7">
        <v>4.5060000000000002</v>
      </c>
      <c r="M3755" s="7">
        <v>4.7249999999999996</v>
      </c>
      <c r="N3755" s="7">
        <v>5.3819999999999997</v>
      </c>
      <c r="O3755" s="7">
        <v>5.7519999999999998</v>
      </c>
      <c r="P3755" s="7">
        <v>5.9619999999999997</v>
      </c>
      <c r="Q3755" s="7">
        <v>6.1079999999999997</v>
      </c>
      <c r="R3755" s="7">
        <v>5.76</v>
      </c>
      <c r="S3755" s="7">
        <f t="shared" si="58"/>
        <v>5.4910833333333331</v>
      </c>
    </row>
    <row r="3756" spans="1:19">
      <c r="A3756" s="5" t="str">
        <f>B3756&amp;"-"&amp;COUNTIF($B$2:B3756,B3756)</f>
        <v>RIO GRANDE DO NORTE-71</v>
      </c>
      <c r="B3756" s="5" t="s">
        <v>2449</v>
      </c>
      <c r="C3756" s="5" t="s">
        <v>2493</v>
      </c>
      <c r="D3756" s="6">
        <v>-364706</v>
      </c>
      <c r="E3756" s="6">
        <v>-60938</v>
      </c>
      <c r="F3756" s="7">
        <v>5.601</v>
      </c>
      <c r="G3756" s="7">
        <v>5.7450000000000001</v>
      </c>
      <c r="H3756" s="7">
        <v>5.8150000000000004</v>
      </c>
      <c r="I3756" s="7">
        <v>5.8159999999999998</v>
      </c>
      <c r="J3756" s="7">
        <v>5.41</v>
      </c>
      <c r="K3756" s="7">
        <v>4.9489999999999998</v>
      </c>
      <c r="L3756" s="7">
        <v>4.5839999999999996</v>
      </c>
      <c r="M3756" s="7">
        <v>4.7969999999999997</v>
      </c>
      <c r="N3756" s="7">
        <v>5.5819999999999999</v>
      </c>
      <c r="O3756" s="7">
        <v>6.1050000000000004</v>
      </c>
      <c r="P3756" s="7">
        <v>6.23</v>
      </c>
      <c r="Q3756" s="7">
        <v>6.3150000000000004</v>
      </c>
      <c r="R3756" s="7">
        <v>5.8609999999999998</v>
      </c>
      <c r="S3756" s="7">
        <f t="shared" si="58"/>
        <v>5.6007500000000006</v>
      </c>
    </row>
    <row r="3757" spans="1:19">
      <c r="A3757" s="5" t="str">
        <f>B3757&amp;"-"&amp;COUNTIF($B$2:B3757,B3757)</f>
        <v>RIO GRANDE DO NORTE-72</v>
      </c>
      <c r="B3757" s="5" t="s">
        <v>2449</v>
      </c>
      <c r="C3757" s="5" t="s">
        <v>2494</v>
      </c>
      <c r="D3757" s="6">
        <v>-354759</v>
      </c>
      <c r="E3757" s="6">
        <v>-61212</v>
      </c>
      <c r="F3757" s="7">
        <v>5.5190000000000001</v>
      </c>
      <c r="G3757" s="7">
        <v>5.7850000000000001</v>
      </c>
      <c r="H3757" s="7">
        <v>5.8490000000000002</v>
      </c>
      <c r="I3757" s="7">
        <v>5.98</v>
      </c>
      <c r="J3757" s="7">
        <v>5.4569999999999999</v>
      </c>
      <c r="K3757" s="7">
        <v>4.9240000000000004</v>
      </c>
      <c r="L3757" s="7">
        <v>4.4880000000000004</v>
      </c>
      <c r="M3757" s="7">
        <v>4.6260000000000003</v>
      </c>
      <c r="N3757" s="7">
        <v>5.3259999999999996</v>
      </c>
      <c r="O3757" s="7">
        <v>5.7409999999999997</v>
      </c>
      <c r="P3757" s="7">
        <v>5.9480000000000004</v>
      </c>
      <c r="Q3757" s="7">
        <v>6.18</v>
      </c>
      <c r="R3757" s="7">
        <v>5.9219999999999997</v>
      </c>
      <c r="S3757" s="7">
        <f t="shared" si="58"/>
        <v>5.5188333333333333</v>
      </c>
    </row>
    <row r="3758" spans="1:19">
      <c r="A3758" s="5" t="str">
        <f>B3758&amp;"-"&amp;COUNTIF($B$2:B3758,B3758)</f>
        <v>RIO GRANDE DO NORTE-73</v>
      </c>
      <c r="B3758" s="5" t="s">
        <v>2449</v>
      </c>
      <c r="C3758" s="5" t="s">
        <v>2495</v>
      </c>
      <c r="D3758" s="6">
        <v>-362475</v>
      </c>
      <c r="E3758" s="6">
        <v>-57016</v>
      </c>
      <c r="F3758" s="7">
        <v>5.7690000000000001</v>
      </c>
      <c r="G3758" s="7">
        <v>5.9459999999999997</v>
      </c>
      <c r="H3758" s="7">
        <v>5.9660000000000002</v>
      </c>
      <c r="I3758" s="7">
        <v>5.89</v>
      </c>
      <c r="J3758" s="7">
        <v>5.6120000000000001</v>
      </c>
      <c r="K3758" s="7">
        <v>5.242</v>
      </c>
      <c r="L3758" s="7">
        <v>4.7679999999999998</v>
      </c>
      <c r="M3758" s="7">
        <v>5.0199999999999996</v>
      </c>
      <c r="N3758" s="7">
        <v>5.7619999999999996</v>
      </c>
      <c r="O3758" s="7">
        <v>6.1749999999999998</v>
      </c>
      <c r="P3758" s="7">
        <v>6.4349999999999996</v>
      </c>
      <c r="Q3758" s="7">
        <v>6.41</v>
      </c>
      <c r="R3758" s="7">
        <v>6.0019999999999998</v>
      </c>
      <c r="S3758" s="7">
        <f t="shared" si="58"/>
        <v>5.7689999999999992</v>
      </c>
    </row>
    <row r="3759" spans="1:19">
      <c r="A3759" s="5" t="str">
        <f>B3759&amp;"-"&amp;COUNTIF($B$2:B3759,B3759)</f>
        <v>RIO GRANDE DO NORTE-74</v>
      </c>
      <c r="B3759" s="5" t="s">
        <v>2449</v>
      </c>
      <c r="C3759" s="5" t="s">
        <v>2496</v>
      </c>
      <c r="D3759" s="6">
        <v>-361174</v>
      </c>
      <c r="E3759" s="6">
        <v>-61498</v>
      </c>
      <c r="F3759" s="7">
        <v>5.524</v>
      </c>
      <c r="G3759" s="7">
        <v>5.673</v>
      </c>
      <c r="H3759" s="7">
        <v>5.8</v>
      </c>
      <c r="I3759" s="7">
        <v>5.718</v>
      </c>
      <c r="J3759" s="7">
        <v>5.4550000000000001</v>
      </c>
      <c r="K3759" s="7">
        <v>4.9400000000000004</v>
      </c>
      <c r="L3759" s="7">
        <v>4.5270000000000001</v>
      </c>
      <c r="M3759" s="7">
        <v>4.7720000000000002</v>
      </c>
      <c r="N3759" s="7">
        <v>5.4669999999999996</v>
      </c>
      <c r="O3759" s="7">
        <v>5.9139999999999997</v>
      </c>
      <c r="P3759" s="7">
        <v>6.11</v>
      </c>
      <c r="Q3759" s="7">
        <v>6.18</v>
      </c>
      <c r="R3759" s="7">
        <v>5.7329999999999997</v>
      </c>
      <c r="S3759" s="7">
        <f t="shared" si="58"/>
        <v>5.5240833333333335</v>
      </c>
    </row>
    <row r="3760" spans="1:19">
      <c r="A3760" s="5" t="str">
        <f>B3760&amp;"-"&amp;COUNTIF($B$2:B3760,B3760)</f>
        <v>RIO GRANDE DO NORTE-75</v>
      </c>
      <c r="B3760" s="5" t="s">
        <v>2449</v>
      </c>
      <c r="C3760" s="5" t="s">
        <v>2497</v>
      </c>
      <c r="D3760" s="6">
        <v>-383902</v>
      </c>
      <c r="E3760" s="6">
        <v>-64063</v>
      </c>
      <c r="F3760" s="7">
        <v>5.93</v>
      </c>
      <c r="G3760" s="7">
        <v>6.01</v>
      </c>
      <c r="H3760" s="7">
        <v>5.9820000000000002</v>
      </c>
      <c r="I3760" s="7">
        <v>6.0129999999999999</v>
      </c>
      <c r="J3760" s="7">
        <v>5.641</v>
      </c>
      <c r="K3760" s="7">
        <v>5.21</v>
      </c>
      <c r="L3760" s="7">
        <v>4.95</v>
      </c>
      <c r="M3760" s="7">
        <v>5.3239999999999998</v>
      </c>
      <c r="N3760" s="7">
        <v>6.069</v>
      </c>
      <c r="O3760" s="7">
        <v>6.476</v>
      </c>
      <c r="P3760" s="7">
        <v>6.5819999999999999</v>
      </c>
      <c r="Q3760" s="7">
        <v>6.7</v>
      </c>
      <c r="R3760" s="7">
        <v>6.2009999999999996</v>
      </c>
      <c r="S3760" s="7">
        <f t="shared" si="58"/>
        <v>5.9298333333333337</v>
      </c>
    </row>
    <row r="3761" spans="1:19">
      <c r="A3761" s="5" t="str">
        <f>B3761&amp;"-"&amp;COUNTIF($B$2:B3761,B3761)</f>
        <v>RIO GRANDE DO NORTE-76</v>
      </c>
      <c r="B3761" s="5" t="s">
        <v>2449</v>
      </c>
      <c r="C3761" s="5" t="s">
        <v>4465</v>
      </c>
      <c r="D3761" s="6">
        <v>-378137</v>
      </c>
      <c r="E3761" s="6">
        <v>-61057</v>
      </c>
      <c r="F3761" s="7">
        <v>5.9820000000000002</v>
      </c>
      <c r="G3761" s="7">
        <v>6.1139999999999999</v>
      </c>
      <c r="H3761" s="7">
        <v>6.0140000000000002</v>
      </c>
      <c r="I3761" s="7">
        <v>6.0469999999999997</v>
      </c>
      <c r="J3761" s="7">
        <v>5.8090000000000002</v>
      </c>
      <c r="K3761" s="7">
        <v>5.3319999999999999</v>
      </c>
      <c r="L3761" s="7">
        <v>5.024</v>
      </c>
      <c r="M3761" s="7">
        <v>5.383</v>
      </c>
      <c r="N3761" s="7">
        <v>6.08</v>
      </c>
      <c r="O3761" s="7">
        <v>6.5090000000000003</v>
      </c>
      <c r="P3761" s="7">
        <v>6.6559999999999997</v>
      </c>
      <c r="Q3761" s="7">
        <v>6.6689999999999996</v>
      </c>
      <c r="R3761" s="7">
        <v>6.1529999999999996</v>
      </c>
      <c r="S3761" s="7">
        <f t="shared" si="58"/>
        <v>5.9825000000000008</v>
      </c>
    </row>
    <row r="3762" spans="1:19">
      <c r="A3762" s="5" t="str">
        <f>B3762&amp;"-"&amp;COUNTIF($B$2:B3762,B3762)</f>
        <v>RIO GRANDE DO NORTE-77</v>
      </c>
      <c r="B3762" s="5" t="s">
        <v>2449</v>
      </c>
      <c r="C3762" s="5" t="s">
        <v>2498</v>
      </c>
      <c r="D3762" s="6">
        <v>-353535</v>
      </c>
      <c r="E3762" s="6">
        <v>-58572</v>
      </c>
      <c r="F3762" s="7">
        <v>5.6390000000000002</v>
      </c>
      <c r="G3762" s="7">
        <v>5.9269999999999996</v>
      </c>
      <c r="H3762" s="7">
        <v>6.0410000000000004</v>
      </c>
      <c r="I3762" s="7">
        <v>6.0819999999999999</v>
      </c>
      <c r="J3762" s="7">
        <v>5.5259999999999998</v>
      </c>
      <c r="K3762" s="7">
        <v>5.0640000000000001</v>
      </c>
      <c r="L3762" s="7">
        <v>4.6020000000000003</v>
      </c>
      <c r="M3762" s="7">
        <v>4.6920000000000002</v>
      </c>
      <c r="N3762" s="7">
        <v>5.4880000000000004</v>
      </c>
      <c r="O3762" s="7">
        <v>5.9290000000000003</v>
      </c>
      <c r="P3762" s="7">
        <v>6.109</v>
      </c>
      <c r="Q3762" s="7">
        <v>6.2560000000000002</v>
      </c>
      <c r="R3762" s="7">
        <v>5.9560000000000004</v>
      </c>
      <c r="S3762" s="7">
        <f t="shared" si="58"/>
        <v>5.639333333333334</v>
      </c>
    </row>
    <row r="3763" spans="1:19">
      <c r="A3763" s="5" t="str">
        <f>B3763&amp;"-"&amp;COUNTIF($B$2:B3763,B3763)</f>
        <v>RIO GRANDE DO NORTE-78</v>
      </c>
      <c r="B3763" s="5" t="s">
        <v>2449</v>
      </c>
      <c r="C3763" s="5" t="s">
        <v>2499</v>
      </c>
      <c r="D3763" s="6">
        <v>-366345</v>
      </c>
      <c r="E3763" s="6">
        <v>-5113</v>
      </c>
      <c r="F3763" s="7">
        <v>5.8529999999999998</v>
      </c>
      <c r="G3763" s="7">
        <v>6.2370000000000001</v>
      </c>
      <c r="H3763" s="7">
        <v>6.0819999999999999</v>
      </c>
      <c r="I3763" s="7">
        <v>5.98</v>
      </c>
      <c r="J3763" s="7">
        <v>5.6349999999999998</v>
      </c>
      <c r="K3763" s="7">
        <v>5.3159999999999998</v>
      </c>
      <c r="L3763" s="7">
        <v>4.8940000000000001</v>
      </c>
      <c r="M3763" s="7">
        <v>5.1040000000000001</v>
      </c>
      <c r="N3763" s="7">
        <v>5.77</v>
      </c>
      <c r="O3763" s="7">
        <v>6.2629999999999999</v>
      </c>
      <c r="P3763" s="7">
        <v>6.2590000000000003</v>
      </c>
      <c r="Q3763" s="7">
        <v>6.3659999999999997</v>
      </c>
      <c r="R3763" s="7">
        <v>6.3289999999999997</v>
      </c>
      <c r="S3763" s="7">
        <f t="shared" si="58"/>
        <v>5.8529166666666663</v>
      </c>
    </row>
    <row r="3764" spans="1:19">
      <c r="A3764" s="5" t="str">
        <f>B3764&amp;"-"&amp;COUNTIF($B$2:B3764,B3764)</f>
        <v>RIO GRANDE DO NORTE-79</v>
      </c>
      <c r="B3764" s="5" t="s">
        <v>2449</v>
      </c>
      <c r="C3764" s="5" t="s">
        <v>2500</v>
      </c>
      <c r="D3764" s="6">
        <v>-383243</v>
      </c>
      <c r="E3764" s="6">
        <v>-63999</v>
      </c>
      <c r="F3764" s="7">
        <v>5.93</v>
      </c>
      <c r="G3764" s="7">
        <v>6.01</v>
      </c>
      <c r="H3764" s="7">
        <v>5.9820000000000002</v>
      </c>
      <c r="I3764" s="7">
        <v>6.0129999999999999</v>
      </c>
      <c r="J3764" s="7">
        <v>5.641</v>
      </c>
      <c r="K3764" s="7">
        <v>5.21</v>
      </c>
      <c r="L3764" s="7">
        <v>4.95</v>
      </c>
      <c r="M3764" s="7">
        <v>5.3239999999999998</v>
      </c>
      <c r="N3764" s="7">
        <v>6.069</v>
      </c>
      <c r="O3764" s="7">
        <v>6.476</v>
      </c>
      <c r="P3764" s="7">
        <v>6.5819999999999999</v>
      </c>
      <c r="Q3764" s="7">
        <v>6.7</v>
      </c>
      <c r="R3764" s="7">
        <v>6.2009999999999996</v>
      </c>
      <c r="S3764" s="7">
        <f t="shared" si="58"/>
        <v>5.9298333333333337</v>
      </c>
    </row>
    <row r="3765" spans="1:19">
      <c r="A3765" s="5" t="str">
        <f>B3765&amp;"-"&amp;COUNTIF($B$2:B3765,B3765)</f>
        <v>RIO GRANDE DO NORTE-80</v>
      </c>
      <c r="B3765" s="5" t="s">
        <v>2449</v>
      </c>
      <c r="C3765" s="5" t="s">
        <v>2501</v>
      </c>
      <c r="D3765" s="6">
        <v>-381645</v>
      </c>
      <c r="E3765" s="6">
        <v>-6285</v>
      </c>
      <c r="F3765" s="7">
        <v>5.9370000000000003</v>
      </c>
      <c r="G3765" s="7">
        <v>6.0449999999999999</v>
      </c>
      <c r="H3765" s="7">
        <v>6.02</v>
      </c>
      <c r="I3765" s="7">
        <v>6.0640000000000001</v>
      </c>
      <c r="J3765" s="7">
        <v>5.7759999999999998</v>
      </c>
      <c r="K3765" s="7">
        <v>5.25</v>
      </c>
      <c r="L3765" s="7">
        <v>4.931</v>
      </c>
      <c r="M3765" s="7">
        <v>5.2949999999999999</v>
      </c>
      <c r="N3765" s="7">
        <v>6.0369999999999999</v>
      </c>
      <c r="O3765" s="7">
        <v>6.4610000000000003</v>
      </c>
      <c r="P3765" s="7">
        <v>6.5730000000000004</v>
      </c>
      <c r="Q3765" s="7">
        <v>6.6239999999999997</v>
      </c>
      <c r="R3765" s="7">
        <v>6.165</v>
      </c>
      <c r="S3765" s="7">
        <f t="shared" si="58"/>
        <v>5.93675</v>
      </c>
    </row>
    <row r="3766" spans="1:19">
      <c r="A3766" s="5" t="str">
        <f>B3766&amp;"-"&amp;COUNTIF($B$2:B3766,B3766)</f>
        <v>RIO GRANDE DO NORTE-81</v>
      </c>
      <c r="B3766" s="5" t="s">
        <v>2449</v>
      </c>
      <c r="C3766" s="5" t="s">
        <v>2502</v>
      </c>
      <c r="D3766" s="6">
        <v>-379083</v>
      </c>
      <c r="E3766" s="6">
        <v>-60832</v>
      </c>
      <c r="F3766" s="7">
        <v>5.992</v>
      </c>
      <c r="G3766" s="7">
        <v>6.1020000000000003</v>
      </c>
      <c r="H3766" s="7">
        <v>6.008</v>
      </c>
      <c r="I3766" s="7">
        <v>6.03</v>
      </c>
      <c r="J3766" s="7">
        <v>5.7629999999999999</v>
      </c>
      <c r="K3766" s="7">
        <v>5.3179999999999996</v>
      </c>
      <c r="L3766" s="7">
        <v>5.0570000000000004</v>
      </c>
      <c r="M3766" s="7">
        <v>5.4169999999999998</v>
      </c>
      <c r="N3766" s="7">
        <v>6.1029999999999998</v>
      </c>
      <c r="O3766" s="7">
        <v>6.5209999999999999</v>
      </c>
      <c r="P3766" s="7">
        <v>6.6790000000000003</v>
      </c>
      <c r="Q3766" s="7">
        <v>6.7119999999999997</v>
      </c>
      <c r="R3766" s="7">
        <v>6.19</v>
      </c>
      <c r="S3766" s="7">
        <f t="shared" si="58"/>
        <v>5.9916666666666671</v>
      </c>
    </row>
    <row r="3767" spans="1:19">
      <c r="A3767" s="5" t="str">
        <f>B3767&amp;"-"&amp;COUNTIF($B$2:B3767,B3767)</f>
        <v>RIO GRANDE DO NORTE-82</v>
      </c>
      <c r="B3767" s="5" t="s">
        <v>2449</v>
      </c>
      <c r="C3767" s="5" t="s">
        <v>2503</v>
      </c>
      <c r="D3767" s="6">
        <v>-35258</v>
      </c>
      <c r="E3767" s="6">
        <v>-55183</v>
      </c>
      <c r="F3767" s="7">
        <v>5.8529999999999998</v>
      </c>
      <c r="G3767" s="7">
        <v>6.1559999999999997</v>
      </c>
      <c r="H3767" s="7">
        <v>6.2249999999999996</v>
      </c>
      <c r="I3767" s="7">
        <v>6.12</v>
      </c>
      <c r="J3767" s="7">
        <v>5.6950000000000003</v>
      </c>
      <c r="K3767" s="7">
        <v>5.23</v>
      </c>
      <c r="L3767" s="7">
        <v>4.819</v>
      </c>
      <c r="M3767" s="7">
        <v>4.984</v>
      </c>
      <c r="N3767" s="7">
        <v>5.7750000000000004</v>
      </c>
      <c r="O3767" s="7">
        <v>6.23</v>
      </c>
      <c r="P3767" s="7">
        <v>6.3239999999999998</v>
      </c>
      <c r="Q3767" s="7">
        <v>6.4720000000000004</v>
      </c>
      <c r="R3767" s="7">
        <v>6.2030000000000003</v>
      </c>
      <c r="S3767" s="7">
        <f t="shared" si="58"/>
        <v>5.8527500000000003</v>
      </c>
    </row>
    <row r="3768" spans="1:19">
      <c r="A3768" s="5" t="str">
        <f>B3768&amp;"-"&amp;COUNTIF($B$2:B3768,B3768)</f>
        <v>RIO GRANDE DO NORTE-83</v>
      </c>
      <c r="B3768" s="5" t="s">
        <v>2449</v>
      </c>
      <c r="C3768" s="5" t="s">
        <v>2504</v>
      </c>
      <c r="D3768" s="6">
        <v>-375161</v>
      </c>
      <c r="E3768" s="6">
        <v>-60723</v>
      </c>
      <c r="F3768" s="7">
        <v>5.9809999999999999</v>
      </c>
      <c r="G3768" s="7">
        <v>6.1130000000000004</v>
      </c>
      <c r="H3768" s="7">
        <v>6.12</v>
      </c>
      <c r="I3768" s="7">
        <v>6.109</v>
      </c>
      <c r="J3768" s="7">
        <v>5.859</v>
      </c>
      <c r="K3768" s="7">
        <v>5.3789999999999996</v>
      </c>
      <c r="L3768" s="7">
        <v>5.0149999999999997</v>
      </c>
      <c r="M3768" s="7">
        <v>5.2859999999999996</v>
      </c>
      <c r="N3768" s="7">
        <v>5.9729999999999999</v>
      </c>
      <c r="O3768" s="7">
        <v>6.5209999999999999</v>
      </c>
      <c r="P3768" s="7">
        <v>6.5990000000000002</v>
      </c>
      <c r="Q3768" s="7">
        <v>6.633</v>
      </c>
      <c r="R3768" s="7">
        <v>6.1689999999999996</v>
      </c>
      <c r="S3768" s="7">
        <f t="shared" si="58"/>
        <v>5.9813333333333327</v>
      </c>
    </row>
    <row r="3769" spans="1:19">
      <c r="A3769" s="5" t="str">
        <f>B3769&amp;"-"&amp;COUNTIF($B$2:B3769,B3769)</f>
        <v>RIO GRANDE DO NORTE-84</v>
      </c>
      <c r="B3769" s="5" t="s">
        <v>2449</v>
      </c>
      <c r="C3769" s="5" t="s">
        <v>2505</v>
      </c>
      <c r="D3769" s="6">
        <v>-352844</v>
      </c>
      <c r="E3769" s="6">
        <v>-64856</v>
      </c>
      <c r="F3769" s="7">
        <v>5.5330000000000004</v>
      </c>
      <c r="G3769" s="7">
        <v>5.9219999999999997</v>
      </c>
      <c r="H3769" s="7">
        <v>6.0190000000000001</v>
      </c>
      <c r="I3769" s="7">
        <v>6.0289999999999999</v>
      </c>
      <c r="J3769" s="7">
        <v>5.4210000000000003</v>
      </c>
      <c r="K3769" s="7">
        <v>4.8449999999999998</v>
      </c>
      <c r="L3769" s="7">
        <v>4.4000000000000004</v>
      </c>
      <c r="M3769" s="7">
        <v>4.5199999999999996</v>
      </c>
      <c r="N3769" s="7">
        <v>5.266</v>
      </c>
      <c r="O3769" s="7">
        <v>5.76</v>
      </c>
      <c r="P3769" s="7">
        <v>5.9880000000000004</v>
      </c>
      <c r="Q3769" s="7">
        <v>6.202</v>
      </c>
      <c r="R3769" s="7">
        <v>6.0170000000000003</v>
      </c>
      <c r="S3769" s="7">
        <f t="shared" si="58"/>
        <v>5.5324166666666654</v>
      </c>
    </row>
    <row r="3770" spans="1:19">
      <c r="A3770" s="5" t="str">
        <f>B3770&amp;"-"&amp;COUNTIF($B$2:B3770,B3770)</f>
        <v>RIO GRANDE DO NORTE-85</v>
      </c>
      <c r="B3770" s="5" t="s">
        <v>2449</v>
      </c>
      <c r="C3770" s="5" t="s">
        <v>1747</v>
      </c>
      <c r="D3770" s="6">
        <v>-353326</v>
      </c>
      <c r="E3770" s="6">
        <v>-60692</v>
      </c>
      <c r="F3770" s="7">
        <v>5.5990000000000002</v>
      </c>
      <c r="G3770" s="7">
        <v>5.976</v>
      </c>
      <c r="H3770" s="7">
        <v>6.0309999999999997</v>
      </c>
      <c r="I3770" s="7">
        <v>6.0739999999999998</v>
      </c>
      <c r="J3770" s="7">
        <v>5.5039999999999996</v>
      </c>
      <c r="K3770" s="7">
        <v>4.9459999999999997</v>
      </c>
      <c r="L3770" s="7">
        <v>4.4930000000000003</v>
      </c>
      <c r="M3770" s="7">
        <v>4.577</v>
      </c>
      <c r="N3770" s="7">
        <v>5.3289999999999997</v>
      </c>
      <c r="O3770" s="7">
        <v>5.843</v>
      </c>
      <c r="P3770" s="7">
        <v>6.0739999999999998</v>
      </c>
      <c r="Q3770" s="7">
        <v>6.3339999999999996</v>
      </c>
      <c r="R3770" s="7">
        <v>6.0090000000000003</v>
      </c>
      <c r="S3770" s="7">
        <f t="shared" si="58"/>
        <v>5.5991666666666662</v>
      </c>
    </row>
    <row r="3771" spans="1:19">
      <c r="A3771" s="5" t="str">
        <f>B3771&amp;"-"&amp;COUNTIF($B$2:B3771,B3771)</f>
        <v>RIO GRANDE DO NORTE-86</v>
      </c>
      <c r="B3771" s="5" t="s">
        <v>2449</v>
      </c>
      <c r="C3771" s="5" t="s">
        <v>2506</v>
      </c>
      <c r="D3771" s="6">
        <v>-357834</v>
      </c>
      <c r="E3771" s="6">
        <v>-64374</v>
      </c>
      <c r="F3771" s="7">
        <v>5.5359999999999996</v>
      </c>
      <c r="G3771" s="7">
        <v>5.8129999999999997</v>
      </c>
      <c r="H3771" s="7">
        <v>5.9359999999999999</v>
      </c>
      <c r="I3771" s="7">
        <v>5.984</v>
      </c>
      <c r="J3771" s="7">
        <v>5.484</v>
      </c>
      <c r="K3771" s="7">
        <v>4.9109999999999996</v>
      </c>
      <c r="L3771" s="7">
        <v>4.5039999999999996</v>
      </c>
      <c r="M3771" s="7">
        <v>4.6289999999999996</v>
      </c>
      <c r="N3771" s="7">
        <v>5.3769999999999998</v>
      </c>
      <c r="O3771" s="7">
        <v>5.7850000000000001</v>
      </c>
      <c r="P3771" s="7">
        <v>5.9429999999999996</v>
      </c>
      <c r="Q3771" s="7">
        <v>6.1589999999999998</v>
      </c>
      <c r="R3771" s="7">
        <v>5.9020000000000001</v>
      </c>
      <c r="S3771" s="7">
        <f t="shared" si="58"/>
        <v>5.5355833333333324</v>
      </c>
    </row>
    <row r="3772" spans="1:19">
      <c r="A3772" s="5" t="str">
        <f>B3772&amp;"-"&amp;COUNTIF($B$2:B3772,B3772)</f>
        <v>RIO GRANDE DO NORTE-87</v>
      </c>
      <c r="B3772" s="5" t="s">
        <v>2449</v>
      </c>
      <c r="C3772" s="5" t="s">
        <v>5202</v>
      </c>
      <c r="D3772" s="6">
        <v>-373478</v>
      </c>
      <c r="E3772" s="6">
        <v>-51841</v>
      </c>
      <c r="F3772" s="7">
        <v>5.8010000000000002</v>
      </c>
      <c r="G3772" s="7">
        <v>5.8449999999999998</v>
      </c>
      <c r="H3772" s="7">
        <v>5.86</v>
      </c>
      <c r="I3772" s="7">
        <v>5.9279999999999999</v>
      </c>
      <c r="J3772" s="7">
        <v>5.5570000000000004</v>
      </c>
      <c r="K3772" s="7">
        <v>5.2619999999999996</v>
      </c>
      <c r="L3772" s="7">
        <v>4.9260000000000002</v>
      </c>
      <c r="M3772" s="7">
        <v>5.2110000000000003</v>
      </c>
      <c r="N3772" s="7">
        <v>5.8620000000000001</v>
      </c>
      <c r="O3772" s="7">
        <v>6.2439999999999998</v>
      </c>
      <c r="P3772" s="7">
        <v>6.391</v>
      </c>
      <c r="Q3772" s="7">
        <v>6.45</v>
      </c>
      <c r="R3772" s="7">
        <v>6.0839999999999996</v>
      </c>
      <c r="S3772" s="7">
        <f t="shared" si="58"/>
        <v>5.8016666666666667</v>
      </c>
    </row>
    <row r="3773" spans="1:19">
      <c r="A3773" s="5" t="str">
        <f>B3773&amp;"-"&amp;COUNTIF($B$2:B3773,B3773)</f>
        <v>RIO GRANDE DO NORTE-88</v>
      </c>
      <c r="B3773" s="5" t="s">
        <v>2449</v>
      </c>
      <c r="C3773" s="5" t="s">
        <v>2507</v>
      </c>
      <c r="D3773" s="6">
        <v>-35209</v>
      </c>
      <c r="E3773" s="6">
        <v>-60886</v>
      </c>
      <c r="F3773" s="7">
        <v>5.6779999999999999</v>
      </c>
      <c r="G3773" s="7">
        <v>6.0170000000000003</v>
      </c>
      <c r="H3773" s="7">
        <v>6.1749999999999998</v>
      </c>
      <c r="I3773" s="7">
        <v>6.1310000000000002</v>
      </c>
      <c r="J3773" s="7">
        <v>5.5579999999999998</v>
      </c>
      <c r="K3773" s="7">
        <v>5.0430000000000001</v>
      </c>
      <c r="L3773" s="7">
        <v>4.532</v>
      </c>
      <c r="M3773" s="7">
        <v>4.6550000000000002</v>
      </c>
      <c r="N3773" s="7">
        <v>5.4409999999999998</v>
      </c>
      <c r="O3773" s="7">
        <v>5.9329999999999998</v>
      </c>
      <c r="P3773" s="7">
        <v>6.1959999999999997</v>
      </c>
      <c r="Q3773" s="7">
        <v>6.36</v>
      </c>
      <c r="R3773" s="7">
        <v>6.0970000000000004</v>
      </c>
      <c r="S3773" s="7">
        <f t="shared" si="58"/>
        <v>5.6781666666666668</v>
      </c>
    </row>
    <row r="3774" spans="1:19">
      <c r="A3774" s="5" t="str">
        <f>B3774&amp;"-"&amp;COUNTIF($B$2:B3774,B3774)</f>
        <v>RIO GRANDE DO NORTE-89</v>
      </c>
      <c r="B3774" s="5" t="s">
        <v>2449</v>
      </c>
      <c r="C3774" s="5" t="s">
        <v>2508</v>
      </c>
      <c r="D3774" s="6">
        <v>-351992</v>
      </c>
      <c r="E3774" s="6">
        <v>-57944</v>
      </c>
      <c r="F3774" s="7">
        <v>5.6740000000000004</v>
      </c>
      <c r="G3774" s="7">
        <v>6.0170000000000003</v>
      </c>
      <c r="H3774" s="7">
        <v>6.032</v>
      </c>
      <c r="I3774" s="7">
        <v>6.0819999999999999</v>
      </c>
      <c r="J3774" s="7">
        <v>5.5609999999999999</v>
      </c>
      <c r="K3774" s="7">
        <v>5.0750000000000002</v>
      </c>
      <c r="L3774" s="7">
        <v>4.6580000000000004</v>
      </c>
      <c r="M3774" s="7">
        <v>4.7729999999999997</v>
      </c>
      <c r="N3774" s="7">
        <v>5.5709999999999997</v>
      </c>
      <c r="O3774" s="7">
        <v>5.9710000000000001</v>
      </c>
      <c r="P3774" s="7">
        <v>6.1120000000000001</v>
      </c>
      <c r="Q3774" s="7">
        <v>6.2690000000000001</v>
      </c>
      <c r="R3774" s="7">
        <v>5.968</v>
      </c>
      <c r="S3774" s="7">
        <f t="shared" si="58"/>
        <v>5.6740833333333329</v>
      </c>
    </row>
    <row r="3775" spans="1:19">
      <c r="A3775" s="5" t="str">
        <f>B3775&amp;"-"&amp;COUNTIF($B$2:B3775,B3775)</f>
        <v>RIO GRANDE DO NORTE-90</v>
      </c>
      <c r="B3775" s="5" t="s">
        <v>2449</v>
      </c>
      <c r="C3775" s="5" t="s">
        <v>2509</v>
      </c>
      <c r="D3775" s="6">
        <v>-354343</v>
      </c>
      <c r="E3775" s="6">
        <v>-64791</v>
      </c>
      <c r="F3775" s="7">
        <v>5.4610000000000003</v>
      </c>
      <c r="G3775" s="7">
        <v>5.7709999999999999</v>
      </c>
      <c r="H3775" s="7">
        <v>5.81</v>
      </c>
      <c r="I3775" s="7">
        <v>5.875</v>
      </c>
      <c r="J3775" s="7">
        <v>5.3810000000000002</v>
      </c>
      <c r="K3775" s="7">
        <v>4.8449999999999998</v>
      </c>
      <c r="L3775" s="7">
        <v>4.4059999999999997</v>
      </c>
      <c r="M3775" s="7">
        <v>4.5830000000000002</v>
      </c>
      <c r="N3775" s="7">
        <v>5.2679999999999998</v>
      </c>
      <c r="O3775" s="7">
        <v>5.6929999999999996</v>
      </c>
      <c r="P3775" s="7">
        <v>5.9050000000000002</v>
      </c>
      <c r="Q3775" s="7">
        <v>6.1349999999999998</v>
      </c>
      <c r="R3775" s="7">
        <v>5.859</v>
      </c>
      <c r="S3775" s="7">
        <f t="shared" si="58"/>
        <v>5.460916666666666</v>
      </c>
    </row>
    <row r="3776" spans="1:19">
      <c r="A3776" s="5" t="str">
        <f>B3776&amp;"-"&amp;COUNTIF($B$2:B3776,B3776)</f>
        <v>RIO GRANDE DO NORTE-91</v>
      </c>
      <c r="B3776" s="5" t="s">
        <v>2449</v>
      </c>
      <c r="C3776" s="5" t="s">
        <v>2510</v>
      </c>
      <c r="D3776" s="6">
        <v>-37705</v>
      </c>
      <c r="E3776" s="6">
        <v>-5949</v>
      </c>
      <c r="F3776" s="7">
        <v>5.9580000000000002</v>
      </c>
      <c r="G3776" s="7">
        <v>5.984</v>
      </c>
      <c r="H3776" s="7">
        <v>6.04</v>
      </c>
      <c r="I3776" s="7">
        <v>6.0759999999999996</v>
      </c>
      <c r="J3776" s="7">
        <v>5.758</v>
      </c>
      <c r="K3776" s="7">
        <v>5.3710000000000004</v>
      </c>
      <c r="L3776" s="7">
        <v>5.032</v>
      </c>
      <c r="M3776" s="7">
        <v>5.3769999999999998</v>
      </c>
      <c r="N3776" s="7">
        <v>6.05</v>
      </c>
      <c r="O3776" s="7">
        <v>6.4370000000000003</v>
      </c>
      <c r="P3776" s="7">
        <v>6.62</v>
      </c>
      <c r="Q3776" s="7">
        <v>6.6130000000000004</v>
      </c>
      <c r="R3776" s="7">
        <v>6.14</v>
      </c>
      <c r="S3776" s="7">
        <f t="shared" si="58"/>
        <v>5.9581666666666662</v>
      </c>
    </row>
    <row r="3777" spans="1:19">
      <c r="A3777" s="5" t="str">
        <f>B3777&amp;"-"&amp;COUNTIF($B$2:B3777,B3777)</f>
        <v>RIO GRANDE DO NORTE-92</v>
      </c>
      <c r="B3777" s="5" t="s">
        <v>2449</v>
      </c>
      <c r="C3777" s="5" t="s">
        <v>164</v>
      </c>
      <c r="D3777" s="6">
        <v>-369452</v>
      </c>
      <c r="E3777" s="6">
        <v>-67024</v>
      </c>
      <c r="F3777" s="7">
        <v>5.91</v>
      </c>
      <c r="G3777" s="7">
        <v>6.12</v>
      </c>
      <c r="H3777" s="7">
        <v>6.1870000000000003</v>
      </c>
      <c r="I3777" s="7">
        <v>6.2270000000000003</v>
      </c>
      <c r="J3777" s="7">
        <v>5.8479999999999999</v>
      </c>
      <c r="K3777" s="7">
        <v>5.1790000000000003</v>
      </c>
      <c r="L3777" s="7">
        <v>4.7300000000000004</v>
      </c>
      <c r="M3777" s="7">
        <v>5.0250000000000004</v>
      </c>
      <c r="N3777" s="7">
        <v>5.7990000000000004</v>
      </c>
      <c r="O3777" s="7">
        <v>6.3259999999999996</v>
      </c>
      <c r="P3777" s="7">
        <v>6.5579999999999998</v>
      </c>
      <c r="Q3777" s="7">
        <v>6.6070000000000002</v>
      </c>
      <c r="R3777" s="7">
        <v>6.3090000000000002</v>
      </c>
      <c r="S3777" s="7">
        <f t="shared" si="58"/>
        <v>5.909583333333333</v>
      </c>
    </row>
    <row r="3778" spans="1:19">
      <c r="A3778" s="5" t="str">
        <f>B3778&amp;"-"&amp;COUNTIF($B$2:B3778,B3778)</f>
        <v>RIO GRANDE DO NORTE-93</v>
      </c>
      <c r="B3778" s="5" t="s">
        <v>2449</v>
      </c>
      <c r="C3778" s="5" t="s">
        <v>4872</v>
      </c>
      <c r="D3778" s="6">
        <v>-37102</v>
      </c>
      <c r="E3778" s="6">
        <v>-57773</v>
      </c>
      <c r="F3778" s="7">
        <v>5.9619999999999997</v>
      </c>
      <c r="G3778" s="7">
        <v>6.077</v>
      </c>
      <c r="H3778" s="7">
        <v>6.1689999999999996</v>
      </c>
      <c r="I3778" s="7">
        <v>6.2089999999999996</v>
      </c>
      <c r="J3778" s="7">
        <v>5.819</v>
      </c>
      <c r="K3778" s="7">
        <v>5.3979999999999997</v>
      </c>
      <c r="L3778" s="7">
        <v>4.9630000000000001</v>
      </c>
      <c r="M3778" s="7">
        <v>5.2450000000000001</v>
      </c>
      <c r="N3778" s="7">
        <v>5.9180000000000001</v>
      </c>
      <c r="O3778" s="7">
        <v>6.4080000000000004</v>
      </c>
      <c r="P3778" s="7">
        <v>6.5949999999999998</v>
      </c>
      <c r="Q3778" s="7">
        <v>6.56</v>
      </c>
      <c r="R3778" s="7">
        <v>6.1829999999999998</v>
      </c>
      <c r="S3778" s="7">
        <f t="shared" si="58"/>
        <v>5.9619999999999989</v>
      </c>
    </row>
    <row r="3779" spans="1:19">
      <c r="A3779" s="5" t="str">
        <f>B3779&amp;"-"&amp;COUNTIF($B$2:B3779,B3779)</f>
        <v>RIO GRANDE DO NORTE-94</v>
      </c>
      <c r="B3779" s="5" t="s">
        <v>2449</v>
      </c>
      <c r="C3779" s="5" t="s">
        <v>5703</v>
      </c>
      <c r="D3779" s="6">
        <v>-383111</v>
      </c>
      <c r="E3779" s="6">
        <v>-64815</v>
      </c>
      <c r="F3779" s="7">
        <v>5.9340000000000002</v>
      </c>
      <c r="G3779" s="7">
        <v>6.0369999999999999</v>
      </c>
      <c r="H3779" s="7">
        <v>6.02</v>
      </c>
      <c r="I3779" s="7">
        <v>6.0140000000000002</v>
      </c>
      <c r="J3779" s="7">
        <v>5.6559999999999997</v>
      </c>
      <c r="K3779" s="7">
        <v>5.2060000000000004</v>
      </c>
      <c r="L3779" s="7">
        <v>4.9649999999999999</v>
      </c>
      <c r="M3779" s="7">
        <v>5.2809999999999997</v>
      </c>
      <c r="N3779" s="7">
        <v>6.0510000000000002</v>
      </c>
      <c r="O3779" s="7">
        <v>6.4619999999999997</v>
      </c>
      <c r="P3779" s="7">
        <v>6.6020000000000003</v>
      </c>
      <c r="Q3779" s="7">
        <v>6.7080000000000002</v>
      </c>
      <c r="R3779" s="7">
        <v>6.2030000000000003</v>
      </c>
      <c r="S3779" s="7">
        <f t="shared" ref="S3779:S3842" si="59">(G3779+H3779+I3779+J3779+K3779+L3779+M3779+N3779+O3779+P3779+Q3779+R3779)/12</f>
        <v>5.9337499999999999</v>
      </c>
    </row>
    <row r="3780" spans="1:19">
      <c r="A3780" s="5" t="str">
        <f>B3780&amp;"-"&amp;COUNTIF($B$2:B3780,B3780)</f>
        <v>RIO GRANDE DO NORTE-95</v>
      </c>
      <c r="B3780" s="5" t="s">
        <v>2449</v>
      </c>
      <c r="C3780" s="5" t="s">
        <v>2511</v>
      </c>
      <c r="D3780" s="6">
        <v>-358401</v>
      </c>
      <c r="E3780" s="6">
        <v>-52232</v>
      </c>
      <c r="F3780" s="7">
        <v>5.6470000000000002</v>
      </c>
      <c r="G3780" s="7">
        <v>5.8479999999999999</v>
      </c>
      <c r="H3780" s="7">
        <v>5.8520000000000003</v>
      </c>
      <c r="I3780" s="7">
        <v>5.8630000000000004</v>
      </c>
      <c r="J3780" s="7">
        <v>5.4340000000000002</v>
      </c>
      <c r="K3780" s="7">
        <v>5.1539999999999999</v>
      </c>
      <c r="L3780" s="7">
        <v>4.8250000000000002</v>
      </c>
      <c r="M3780" s="7">
        <v>5.0110000000000001</v>
      </c>
      <c r="N3780" s="7">
        <v>5.681</v>
      </c>
      <c r="O3780" s="7">
        <v>5.9359999999999999</v>
      </c>
      <c r="P3780" s="7">
        <v>6.1230000000000002</v>
      </c>
      <c r="Q3780" s="7">
        <v>6.2149999999999999</v>
      </c>
      <c r="R3780" s="7">
        <v>5.819</v>
      </c>
      <c r="S3780" s="7">
        <f t="shared" si="59"/>
        <v>5.6467499999999999</v>
      </c>
    </row>
    <row r="3781" spans="1:19">
      <c r="A3781" s="5" t="str">
        <f>B3781&amp;"-"&amp;COUNTIF($B$2:B3781,B3781)</f>
        <v>RIO GRANDE DO NORTE-96</v>
      </c>
      <c r="B3781" s="5" t="s">
        <v>2449</v>
      </c>
      <c r="C3781" s="5" t="s">
        <v>2512</v>
      </c>
      <c r="D3781" s="6">
        <v>-366569</v>
      </c>
      <c r="E3781" s="6">
        <v>-66853</v>
      </c>
      <c r="F3781" s="7">
        <v>5.7889999999999997</v>
      </c>
      <c r="G3781" s="7">
        <v>6.0449999999999999</v>
      </c>
      <c r="H3781" s="7">
        <v>6.0620000000000003</v>
      </c>
      <c r="I3781" s="7">
        <v>6.032</v>
      </c>
      <c r="J3781" s="7">
        <v>5.7</v>
      </c>
      <c r="K3781" s="7">
        <v>5.0810000000000004</v>
      </c>
      <c r="L3781" s="7">
        <v>4.641</v>
      </c>
      <c r="M3781" s="7">
        <v>4.9290000000000003</v>
      </c>
      <c r="N3781" s="7">
        <v>5.6790000000000003</v>
      </c>
      <c r="O3781" s="7">
        <v>6.2220000000000004</v>
      </c>
      <c r="P3781" s="7">
        <v>6.4080000000000004</v>
      </c>
      <c r="Q3781" s="7">
        <v>6.4710000000000001</v>
      </c>
      <c r="R3781" s="7">
        <v>6.1920000000000002</v>
      </c>
      <c r="S3781" s="7">
        <f t="shared" si="59"/>
        <v>5.7885000000000018</v>
      </c>
    </row>
    <row r="3782" spans="1:19">
      <c r="A3782" s="5" t="str">
        <f>B3782&amp;"-"&amp;COUNTIF($B$2:B3782,B3782)</f>
        <v>RIO GRANDE DO NORTE-97</v>
      </c>
      <c r="B3782" s="5" t="s">
        <v>2449</v>
      </c>
      <c r="C3782" s="5" t="s">
        <v>2224</v>
      </c>
      <c r="D3782" s="6">
        <v>-352713</v>
      </c>
      <c r="E3782" s="6">
        <v>-59116</v>
      </c>
      <c r="F3782" s="7">
        <v>5.649</v>
      </c>
      <c r="G3782" s="7">
        <v>5.9450000000000003</v>
      </c>
      <c r="H3782" s="7">
        <v>6.0469999999999997</v>
      </c>
      <c r="I3782" s="7">
        <v>6.0579999999999998</v>
      </c>
      <c r="J3782" s="7">
        <v>5.5350000000000001</v>
      </c>
      <c r="K3782" s="7">
        <v>5.0730000000000004</v>
      </c>
      <c r="L3782" s="7">
        <v>4.665</v>
      </c>
      <c r="M3782" s="7">
        <v>4.7519999999999998</v>
      </c>
      <c r="N3782" s="7">
        <v>5.5419999999999998</v>
      </c>
      <c r="O3782" s="7">
        <v>5.9029999999999996</v>
      </c>
      <c r="P3782" s="7">
        <v>6.0819999999999999</v>
      </c>
      <c r="Q3782" s="7">
        <v>6.2190000000000003</v>
      </c>
      <c r="R3782" s="7">
        <v>5.9630000000000001</v>
      </c>
      <c r="S3782" s="7">
        <f t="shared" si="59"/>
        <v>5.6486666666666672</v>
      </c>
    </row>
    <row r="3783" spans="1:19">
      <c r="A3783" s="5" t="str">
        <f>B3783&amp;"-"&amp;COUNTIF($B$2:B3783,B3783)</f>
        <v>RIO GRANDE DO NORTE-98</v>
      </c>
      <c r="B3783" s="5" t="s">
        <v>2449</v>
      </c>
      <c r="C3783" s="5" t="s">
        <v>2513</v>
      </c>
      <c r="D3783" s="6">
        <v>-356445</v>
      </c>
      <c r="E3783" s="6">
        <v>-64306</v>
      </c>
      <c r="F3783" s="7">
        <v>5.48</v>
      </c>
      <c r="G3783" s="7">
        <v>5.7549999999999999</v>
      </c>
      <c r="H3783" s="7">
        <v>5.8090000000000002</v>
      </c>
      <c r="I3783" s="7">
        <v>5.8659999999999997</v>
      </c>
      <c r="J3783" s="7">
        <v>5.44</v>
      </c>
      <c r="K3783" s="7">
        <v>4.9189999999999996</v>
      </c>
      <c r="L3783" s="7">
        <v>4.5220000000000002</v>
      </c>
      <c r="M3783" s="7">
        <v>4.6920000000000002</v>
      </c>
      <c r="N3783" s="7">
        <v>5.3440000000000003</v>
      </c>
      <c r="O3783" s="7">
        <v>5.726</v>
      </c>
      <c r="P3783" s="7">
        <v>5.891</v>
      </c>
      <c r="Q3783" s="7">
        <v>6.0609999999999999</v>
      </c>
      <c r="R3783" s="7">
        <v>5.7329999999999997</v>
      </c>
      <c r="S3783" s="7">
        <f t="shared" si="59"/>
        <v>5.4798333333333327</v>
      </c>
    </row>
    <row r="3784" spans="1:19">
      <c r="A3784" s="5" t="str">
        <f>B3784&amp;"-"&amp;COUNTIF($B$2:B3784,B3784)</f>
        <v>RIO GRANDE DO NORTE-99</v>
      </c>
      <c r="B3784" s="5" t="s">
        <v>2449</v>
      </c>
      <c r="C3784" s="5" t="s">
        <v>1886</v>
      </c>
      <c r="D3784" s="6">
        <v>-353703</v>
      </c>
      <c r="E3784" s="6">
        <v>-62731</v>
      </c>
      <c r="F3784" s="7">
        <v>5.5529999999999999</v>
      </c>
      <c r="G3784" s="7">
        <v>5.859</v>
      </c>
      <c r="H3784" s="7">
        <v>6.0019999999999998</v>
      </c>
      <c r="I3784" s="7">
        <v>6.085</v>
      </c>
      <c r="J3784" s="7">
        <v>5.4320000000000004</v>
      </c>
      <c r="K3784" s="7">
        <v>4.9390000000000001</v>
      </c>
      <c r="L3784" s="7">
        <v>4.4459999999999997</v>
      </c>
      <c r="M3784" s="7">
        <v>4.55</v>
      </c>
      <c r="N3784" s="7">
        <v>5.3550000000000004</v>
      </c>
      <c r="O3784" s="7">
        <v>5.7480000000000002</v>
      </c>
      <c r="P3784" s="7">
        <v>6.0279999999999996</v>
      </c>
      <c r="Q3784" s="7">
        <v>6.274</v>
      </c>
      <c r="R3784" s="7">
        <v>5.9139999999999997</v>
      </c>
      <c r="S3784" s="7">
        <f t="shared" si="59"/>
        <v>5.5526666666666662</v>
      </c>
    </row>
    <row r="3785" spans="1:19">
      <c r="A3785" s="5" t="str">
        <f>B3785&amp;"-"&amp;COUNTIF($B$2:B3785,B3785)</f>
        <v>RIO GRANDE DO NORTE-100</v>
      </c>
      <c r="B3785" s="5" t="s">
        <v>2449</v>
      </c>
      <c r="C3785" s="5" t="s">
        <v>2514</v>
      </c>
      <c r="D3785" s="6">
        <v>-376359</v>
      </c>
      <c r="E3785" s="6">
        <v>-6107</v>
      </c>
      <c r="F3785" s="7">
        <v>6.0140000000000002</v>
      </c>
      <c r="G3785" s="7">
        <v>6.1609999999999996</v>
      </c>
      <c r="H3785" s="7">
        <v>6.165</v>
      </c>
      <c r="I3785" s="7">
        <v>6.1550000000000002</v>
      </c>
      <c r="J3785" s="7">
        <v>5.8680000000000003</v>
      </c>
      <c r="K3785" s="7">
        <v>5.431</v>
      </c>
      <c r="L3785" s="7">
        <v>5.0919999999999996</v>
      </c>
      <c r="M3785" s="7">
        <v>5.3339999999999996</v>
      </c>
      <c r="N3785" s="7">
        <v>5.9809999999999999</v>
      </c>
      <c r="O3785" s="7">
        <v>6.5469999999999997</v>
      </c>
      <c r="P3785" s="7">
        <v>6.6079999999999997</v>
      </c>
      <c r="Q3785" s="7">
        <v>6.63</v>
      </c>
      <c r="R3785" s="7">
        <v>6.1980000000000004</v>
      </c>
      <c r="S3785" s="7">
        <f t="shared" si="59"/>
        <v>6.0141666666666653</v>
      </c>
    </row>
    <row r="3786" spans="1:19">
      <c r="A3786" s="5" t="str">
        <f>B3786&amp;"-"&amp;COUNTIF($B$2:B3786,B3786)</f>
        <v>RIO GRANDE DO NORTE-101</v>
      </c>
      <c r="B3786" s="5" t="s">
        <v>2449</v>
      </c>
      <c r="C3786" s="5" t="s">
        <v>2515</v>
      </c>
      <c r="D3786" s="6">
        <v>-38208</v>
      </c>
      <c r="E3786" s="6">
        <v>-61054</v>
      </c>
      <c r="F3786" s="7">
        <v>5.9180000000000001</v>
      </c>
      <c r="G3786" s="7">
        <v>5.8630000000000004</v>
      </c>
      <c r="H3786" s="7">
        <v>5.9610000000000003</v>
      </c>
      <c r="I3786" s="7">
        <v>6.016</v>
      </c>
      <c r="J3786" s="7">
        <v>5.6950000000000003</v>
      </c>
      <c r="K3786" s="7">
        <v>5.3109999999999999</v>
      </c>
      <c r="L3786" s="7">
        <v>5.0140000000000002</v>
      </c>
      <c r="M3786" s="7">
        <v>5.3609999999999998</v>
      </c>
      <c r="N3786" s="7">
        <v>6.0519999999999996</v>
      </c>
      <c r="O3786" s="7">
        <v>6.4359999999999999</v>
      </c>
      <c r="P3786" s="7">
        <v>6.5789999999999997</v>
      </c>
      <c r="Q3786" s="7">
        <v>6.6260000000000003</v>
      </c>
      <c r="R3786" s="7">
        <v>6.1029999999999998</v>
      </c>
      <c r="S3786" s="7">
        <f t="shared" si="59"/>
        <v>5.9180833333333327</v>
      </c>
    </row>
    <row r="3787" spans="1:19">
      <c r="A3787" s="5" t="str">
        <f>B3787&amp;"-"&amp;COUNTIF($B$2:B3787,B3787)</f>
        <v>RIO GRANDE DO NORTE-102</v>
      </c>
      <c r="B3787" s="5" t="s">
        <v>2449</v>
      </c>
      <c r="C3787" s="5" t="s">
        <v>2516</v>
      </c>
      <c r="D3787" s="6">
        <v>-358763</v>
      </c>
      <c r="E3787" s="6">
        <v>-51503</v>
      </c>
      <c r="F3787" s="7">
        <v>5.5759999999999996</v>
      </c>
      <c r="G3787" s="7">
        <v>5.8730000000000002</v>
      </c>
      <c r="H3787" s="7">
        <v>5.9409999999999998</v>
      </c>
      <c r="I3787" s="7">
        <v>5.9260000000000002</v>
      </c>
      <c r="J3787" s="7">
        <v>5.4039999999999999</v>
      </c>
      <c r="K3787" s="7">
        <v>5.0289999999999999</v>
      </c>
      <c r="L3787" s="7">
        <v>4.7</v>
      </c>
      <c r="M3787" s="7">
        <v>4.8220000000000001</v>
      </c>
      <c r="N3787" s="7">
        <v>5.492</v>
      </c>
      <c r="O3787" s="7">
        <v>5.8090000000000002</v>
      </c>
      <c r="P3787" s="7">
        <v>5.9290000000000003</v>
      </c>
      <c r="Q3787" s="7">
        <v>6.14</v>
      </c>
      <c r="R3787" s="7">
        <v>5.8460000000000001</v>
      </c>
      <c r="S3787" s="7">
        <f t="shared" si="59"/>
        <v>5.5759166666666671</v>
      </c>
    </row>
    <row r="3788" spans="1:19">
      <c r="A3788" s="5" t="str">
        <f>B3788&amp;"-"&amp;COUNTIF($B$2:B3788,B3788)</f>
        <v>RIO GRANDE DO NORTE-103</v>
      </c>
      <c r="B3788" s="5" t="s">
        <v>2449</v>
      </c>
      <c r="C3788" s="5" t="s">
        <v>1052</v>
      </c>
      <c r="D3788" s="6">
        <v>-361034</v>
      </c>
      <c r="E3788" s="6">
        <v>-55797</v>
      </c>
      <c r="F3788" s="7">
        <v>5.6879999999999997</v>
      </c>
      <c r="G3788" s="7">
        <v>5.8460000000000001</v>
      </c>
      <c r="H3788" s="7">
        <v>5.8390000000000004</v>
      </c>
      <c r="I3788" s="7">
        <v>5.78</v>
      </c>
      <c r="J3788" s="7">
        <v>5.5060000000000002</v>
      </c>
      <c r="K3788" s="7">
        <v>5.1660000000000004</v>
      </c>
      <c r="L3788" s="7">
        <v>4.8010000000000002</v>
      </c>
      <c r="M3788" s="7">
        <v>5.0209999999999999</v>
      </c>
      <c r="N3788" s="7">
        <v>5.7220000000000004</v>
      </c>
      <c r="O3788" s="7">
        <v>6.077</v>
      </c>
      <c r="P3788" s="7">
        <v>6.2960000000000003</v>
      </c>
      <c r="Q3788" s="7">
        <v>6.3019999999999996</v>
      </c>
      <c r="R3788" s="7">
        <v>5.8979999999999997</v>
      </c>
      <c r="S3788" s="7">
        <f t="shared" si="59"/>
        <v>5.6878333333333337</v>
      </c>
    </row>
    <row r="3789" spans="1:19">
      <c r="A3789" s="5" t="str">
        <f>B3789&amp;"-"&amp;COUNTIF($B$2:B3789,B3789)</f>
        <v>RIO GRANDE DO NORTE-104</v>
      </c>
      <c r="B3789" s="5" t="s">
        <v>2449</v>
      </c>
      <c r="C3789" s="5" t="s">
        <v>2517</v>
      </c>
      <c r="D3789" s="6">
        <v>-36387</v>
      </c>
      <c r="E3789" s="6">
        <v>-55165</v>
      </c>
      <c r="F3789" s="7">
        <v>5.6840000000000002</v>
      </c>
      <c r="G3789" s="7">
        <v>5.7640000000000002</v>
      </c>
      <c r="H3789" s="7">
        <v>5.8680000000000003</v>
      </c>
      <c r="I3789" s="7">
        <v>5.742</v>
      </c>
      <c r="J3789" s="7">
        <v>5.4560000000000004</v>
      </c>
      <c r="K3789" s="7">
        <v>5.1829999999999998</v>
      </c>
      <c r="L3789" s="7">
        <v>4.7910000000000004</v>
      </c>
      <c r="M3789" s="7">
        <v>5.01</v>
      </c>
      <c r="N3789" s="7">
        <v>5.7489999999999997</v>
      </c>
      <c r="O3789" s="7">
        <v>6.09</v>
      </c>
      <c r="P3789" s="7">
        <v>6.3079999999999998</v>
      </c>
      <c r="Q3789" s="7">
        <v>6.3289999999999997</v>
      </c>
      <c r="R3789" s="7">
        <v>5.9130000000000003</v>
      </c>
      <c r="S3789" s="7">
        <f t="shared" si="59"/>
        <v>5.6835833333333339</v>
      </c>
    </row>
    <row r="3790" spans="1:19">
      <c r="A3790" s="5" t="str">
        <f>B3790&amp;"-"&amp;COUNTIF($B$2:B3790,B3790)</f>
        <v>RIO GRANDE DO NORTE-105</v>
      </c>
      <c r="B3790" s="5" t="s">
        <v>2449</v>
      </c>
      <c r="C3790" s="5" t="s">
        <v>2518</v>
      </c>
      <c r="D3790" s="6">
        <v>-352217</v>
      </c>
      <c r="E3790" s="6">
        <v>-6439</v>
      </c>
      <c r="F3790" s="7">
        <v>5.5049999999999999</v>
      </c>
      <c r="G3790" s="7">
        <v>5.8479999999999999</v>
      </c>
      <c r="H3790" s="7">
        <v>5.97</v>
      </c>
      <c r="I3790" s="7">
        <v>6.02</v>
      </c>
      <c r="J3790" s="7">
        <v>5.4119999999999999</v>
      </c>
      <c r="K3790" s="7">
        <v>4.84</v>
      </c>
      <c r="L3790" s="7">
        <v>4.4089999999999998</v>
      </c>
      <c r="M3790" s="7">
        <v>4.516</v>
      </c>
      <c r="N3790" s="7">
        <v>5.2729999999999997</v>
      </c>
      <c r="O3790" s="7">
        <v>5.718</v>
      </c>
      <c r="P3790" s="7">
        <v>5.9420000000000002</v>
      </c>
      <c r="Q3790" s="7">
        <v>6.1580000000000004</v>
      </c>
      <c r="R3790" s="7">
        <v>5.9550000000000001</v>
      </c>
      <c r="S3790" s="7">
        <f t="shared" si="59"/>
        <v>5.5050833333333342</v>
      </c>
    </row>
    <row r="3791" spans="1:19">
      <c r="A3791" s="5" t="str">
        <f>B3791&amp;"-"&amp;COUNTIF($B$2:B3791,B3791)</f>
        <v>RIO GRANDE DO NORTE-106</v>
      </c>
      <c r="B3791" s="5" t="s">
        <v>2449</v>
      </c>
      <c r="C3791" s="5" t="s">
        <v>5314</v>
      </c>
      <c r="D3791" s="6">
        <v>-367185</v>
      </c>
      <c r="E3791" s="6">
        <v>-52608</v>
      </c>
      <c r="F3791" s="7">
        <v>5.7389999999999999</v>
      </c>
      <c r="G3791" s="7">
        <v>5.8440000000000003</v>
      </c>
      <c r="H3791" s="7">
        <v>5.9050000000000002</v>
      </c>
      <c r="I3791" s="7">
        <v>5.8659999999999997</v>
      </c>
      <c r="J3791" s="7">
        <v>5.52</v>
      </c>
      <c r="K3791" s="7">
        <v>5.2149999999999999</v>
      </c>
      <c r="L3791" s="7">
        <v>4.8040000000000003</v>
      </c>
      <c r="M3791" s="7">
        <v>5.0579999999999998</v>
      </c>
      <c r="N3791" s="7">
        <v>5.6920000000000002</v>
      </c>
      <c r="O3791" s="7">
        <v>6.1509999999999998</v>
      </c>
      <c r="P3791" s="7">
        <v>6.3710000000000004</v>
      </c>
      <c r="Q3791" s="7">
        <v>6.3949999999999996</v>
      </c>
      <c r="R3791" s="7">
        <v>6.0490000000000004</v>
      </c>
      <c r="S3791" s="7">
        <f t="shared" si="59"/>
        <v>5.7391666666666685</v>
      </c>
    </row>
    <row r="3792" spans="1:19">
      <c r="A3792" s="5" t="str">
        <f>B3792&amp;"-"&amp;COUNTIF($B$2:B3792,B3792)</f>
        <v>RIO GRANDE DO NORTE-107</v>
      </c>
      <c r="B3792" s="5" t="s">
        <v>2449</v>
      </c>
      <c r="C3792" s="5" t="s">
        <v>5438</v>
      </c>
      <c r="D3792" s="6">
        <v>-380464</v>
      </c>
      <c r="E3792" s="6">
        <v>-6264</v>
      </c>
      <c r="F3792" s="7">
        <v>5.9729999999999999</v>
      </c>
      <c r="G3792" s="7">
        <v>6.0910000000000002</v>
      </c>
      <c r="H3792" s="7">
        <v>6.01</v>
      </c>
      <c r="I3792" s="7">
        <v>6.125</v>
      </c>
      <c r="J3792" s="7">
        <v>5.8280000000000003</v>
      </c>
      <c r="K3792" s="7">
        <v>5.2679999999999998</v>
      </c>
      <c r="L3792" s="7">
        <v>4.9569999999999999</v>
      </c>
      <c r="M3792" s="7">
        <v>5.3129999999999997</v>
      </c>
      <c r="N3792" s="7">
        <v>6.0910000000000002</v>
      </c>
      <c r="O3792" s="7">
        <v>6.4950000000000001</v>
      </c>
      <c r="P3792" s="7">
        <v>6.6379999999999999</v>
      </c>
      <c r="Q3792" s="7">
        <v>6.67</v>
      </c>
      <c r="R3792" s="7">
        <v>6.1870000000000003</v>
      </c>
      <c r="S3792" s="7">
        <f t="shared" si="59"/>
        <v>5.9727499999999987</v>
      </c>
    </row>
    <row r="3793" spans="1:19">
      <c r="A3793" s="5" t="str">
        <f>B3793&amp;"-"&amp;COUNTIF($B$2:B3793,B3793)</f>
        <v>RIO GRANDE DO NORTE-108</v>
      </c>
      <c r="B3793" s="5" t="s">
        <v>2449</v>
      </c>
      <c r="C3793" s="5" t="s">
        <v>4755</v>
      </c>
      <c r="D3793" s="6">
        <v>-356638</v>
      </c>
      <c r="E3793" s="6">
        <v>-56227</v>
      </c>
      <c r="F3793" s="7">
        <v>5.5839999999999996</v>
      </c>
      <c r="G3793" s="7">
        <v>5.8529999999999998</v>
      </c>
      <c r="H3793" s="7">
        <v>5.944</v>
      </c>
      <c r="I3793" s="7">
        <v>5.875</v>
      </c>
      <c r="J3793" s="7">
        <v>5.5380000000000003</v>
      </c>
      <c r="K3793" s="7">
        <v>5.0199999999999996</v>
      </c>
      <c r="L3793" s="7">
        <v>4.6289999999999996</v>
      </c>
      <c r="M3793" s="7">
        <v>4.7530000000000001</v>
      </c>
      <c r="N3793" s="7">
        <v>5.4480000000000004</v>
      </c>
      <c r="O3793" s="7">
        <v>5.9029999999999996</v>
      </c>
      <c r="P3793" s="7">
        <v>6.0430000000000001</v>
      </c>
      <c r="Q3793" s="7">
        <v>6.1970000000000001</v>
      </c>
      <c r="R3793" s="7">
        <v>5.8029999999999999</v>
      </c>
      <c r="S3793" s="7">
        <f t="shared" si="59"/>
        <v>5.5838333333333336</v>
      </c>
    </row>
    <row r="3794" spans="1:19">
      <c r="A3794" s="5" t="str">
        <f>B3794&amp;"-"&amp;COUNTIF($B$2:B3794,B3794)</f>
        <v>RIO GRANDE DO NORTE-109</v>
      </c>
      <c r="B3794" s="5" t="s">
        <v>2449</v>
      </c>
      <c r="C3794" s="5" t="s">
        <v>2519</v>
      </c>
      <c r="D3794" s="6">
        <v>-379868</v>
      </c>
      <c r="E3794" s="6">
        <v>-60211</v>
      </c>
      <c r="F3794" s="7">
        <v>6.0179999999999998</v>
      </c>
      <c r="G3794" s="7">
        <v>6.0529999999999999</v>
      </c>
      <c r="H3794" s="7">
        <v>6.1180000000000003</v>
      </c>
      <c r="I3794" s="7">
        <v>6.1390000000000002</v>
      </c>
      <c r="J3794" s="7">
        <v>5.8470000000000004</v>
      </c>
      <c r="K3794" s="7">
        <v>5.3979999999999997</v>
      </c>
      <c r="L3794" s="7">
        <v>5.1079999999999997</v>
      </c>
      <c r="M3794" s="7">
        <v>5.4320000000000004</v>
      </c>
      <c r="N3794" s="7">
        <v>6.1020000000000003</v>
      </c>
      <c r="O3794" s="7">
        <v>6.5</v>
      </c>
      <c r="P3794" s="7">
        <v>6.6710000000000003</v>
      </c>
      <c r="Q3794" s="7">
        <v>6.7009999999999996</v>
      </c>
      <c r="R3794" s="7">
        <v>6.149</v>
      </c>
      <c r="S3794" s="7">
        <f t="shared" si="59"/>
        <v>6.0181666666666667</v>
      </c>
    </row>
    <row r="3795" spans="1:19">
      <c r="A3795" s="5" t="str">
        <f>B3795&amp;"-"&amp;COUNTIF($B$2:B3795,B3795)</f>
        <v>RIO GRANDE DO NORTE-110</v>
      </c>
      <c r="B3795" s="5" t="s">
        <v>2449</v>
      </c>
      <c r="C3795" s="5" t="s">
        <v>2520</v>
      </c>
      <c r="D3795" s="6">
        <v>-512074</v>
      </c>
      <c r="E3795" s="6">
        <v>-300327</v>
      </c>
      <c r="F3795" s="7">
        <v>4.43</v>
      </c>
      <c r="G3795" s="7">
        <v>6.4489999999999998</v>
      </c>
      <c r="H3795" s="7">
        <v>5.8630000000000004</v>
      </c>
      <c r="I3795" s="7">
        <v>4.8479999999999999</v>
      </c>
      <c r="J3795" s="7">
        <v>3.819</v>
      </c>
      <c r="K3795" s="7">
        <v>2.7770000000000001</v>
      </c>
      <c r="L3795" s="7">
        <v>2.3090000000000002</v>
      </c>
      <c r="M3795" s="7">
        <v>2.524</v>
      </c>
      <c r="N3795" s="7">
        <v>3.194</v>
      </c>
      <c r="O3795" s="7">
        <v>3.5960000000000001</v>
      </c>
      <c r="P3795" s="7">
        <v>4.8220000000000001</v>
      </c>
      <c r="Q3795" s="7">
        <v>6.2480000000000002</v>
      </c>
      <c r="R3795" s="7">
        <v>6.7160000000000002</v>
      </c>
      <c r="S3795" s="7">
        <f t="shared" si="59"/>
        <v>4.4304166666666669</v>
      </c>
    </row>
    <row r="3796" spans="1:19">
      <c r="A3796" s="5" t="str">
        <f>B3796&amp;"-"&amp;COUNTIF($B$2:B3796,B3796)</f>
        <v>RIO GRANDE DO NORTE-111</v>
      </c>
      <c r="B3796" s="5" t="s">
        <v>2449</v>
      </c>
      <c r="C3796" s="5" t="s">
        <v>2521</v>
      </c>
      <c r="D3796" s="5" t="s">
        <v>2522</v>
      </c>
      <c r="E3796" s="6">
        <v>-50673</v>
      </c>
      <c r="F3796" s="7">
        <v>5.8179999999999996</v>
      </c>
      <c r="G3796" s="7">
        <v>6.2460000000000004</v>
      </c>
      <c r="H3796" s="7">
        <v>6.0620000000000003</v>
      </c>
      <c r="I3796" s="7">
        <v>5.9790000000000001</v>
      </c>
      <c r="J3796" s="7">
        <v>5.6630000000000003</v>
      </c>
      <c r="K3796" s="7">
        <v>5.2380000000000004</v>
      </c>
      <c r="L3796" s="7">
        <v>4.9189999999999996</v>
      </c>
      <c r="M3796" s="7">
        <v>5.0970000000000004</v>
      </c>
      <c r="N3796" s="7">
        <v>5.7439999999999998</v>
      </c>
      <c r="O3796" s="7">
        <v>6.1790000000000003</v>
      </c>
      <c r="P3796" s="7">
        <v>6.11</v>
      </c>
      <c r="Q3796" s="7">
        <v>6.2889999999999997</v>
      </c>
      <c r="R3796" s="7">
        <v>6.2869999999999999</v>
      </c>
      <c r="S3796" s="7">
        <f t="shared" si="59"/>
        <v>5.8177500000000002</v>
      </c>
    </row>
    <row r="3797" spans="1:19">
      <c r="A3797" s="5" t="str">
        <f>B3797&amp;"-"&amp;COUNTIF($B$2:B3797,B3797)</f>
        <v>RIO GRANDE DO NORTE-112</v>
      </c>
      <c r="B3797" s="5" t="s">
        <v>2449</v>
      </c>
      <c r="C3797" s="5" t="s">
        <v>2523</v>
      </c>
      <c r="D3797" s="6">
        <v>-355557</v>
      </c>
      <c r="E3797" s="6">
        <v>-54643</v>
      </c>
      <c r="F3797" s="7">
        <v>5.6059999999999999</v>
      </c>
      <c r="G3797" s="7">
        <v>5.8209999999999997</v>
      </c>
      <c r="H3797" s="7">
        <v>5.9960000000000004</v>
      </c>
      <c r="I3797" s="7">
        <v>5.984</v>
      </c>
      <c r="J3797" s="7">
        <v>5.4930000000000003</v>
      </c>
      <c r="K3797" s="7">
        <v>5.0389999999999997</v>
      </c>
      <c r="L3797" s="7">
        <v>4.6529999999999996</v>
      </c>
      <c r="M3797" s="7">
        <v>4.7350000000000003</v>
      </c>
      <c r="N3797" s="7">
        <v>5.4560000000000004</v>
      </c>
      <c r="O3797" s="7">
        <v>5.9329999999999998</v>
      </c>
      <c r="P3797" s="7">
        <v>6.0540000000000003</v>
      </c>
      <c r="Q3797" s="7">
        <v>6.2169999999999996</v>
      </c>
      <c r="R3797" s="7">
        <v>5.8879999999999999</v>
      </c>
      <c r="S3797" s="7">
        <f t="shared" si="59"/>
        <v>5.6057500000000005</v>
      </c>
    </row>
    <row r="3798" spans="1:19">
      <c r="A3798" s="5" t="str">
        <f>B3798&amp;"-"&amp;COUNTIF($B$2:B3798,B3798)</f>
        <v>RIO GRANDE DO NORTE-113</v>
      </c>
      <c r="B3798" s="5" t="s">
        <v>2449</v>
      </c>
      <c r="C3798" s="5" t="s">
        <v>2524</v>
      </c>
      <c r="D3798" s="6">
        <v>-382214</v>
      </c>
      <c r="E3798" s="6">
        <v>-61903</v>
      </c>
      <c r="F3798" s="7">
        <v>5.9260000000000002</v>
      </c>
      <c r="G3798" s="7">
        <v>5.9359999999999999</v>
      </c>
      <c r="H3798" s="7">
        <v>6.0259999999999998</v>
      </c>
      <c r="I3798" s="7">
        <v>6.02</v>
      </c>
      <c r="J3798" s="7">
        <v>5.6989999999999998</v>
      </c>
      <c r="K3798" s="7">
        <v>5.2850000000000001</v>
      </c>
      <c r="L3798" s="7">
        <v>4.992</v>
      </c>
      <c r="M3798" s="7">
        <v>5.3239999999999998</v>
      </c>
      <c r="N3798" s="7">
        <v>6.0469999999999997</v>
      </c>
      <c r="O3798" s="7">
        <v>6.4450000000000003</v>
      </c>
      <c r="P3798" s="7">
        <v>6.5720000000000001</v>
      </c>
      <c r="Q3798" s="7">
        <v>6.6159999999999997</v>
      </c>
      <c r="R3798" s="7">
        <v>6.1559999999999997</v>
      </c>
      <c r="S3798" s="7">
        <f t="shared" si="59"/>
        <v>5.9264999999999999</v>
      </c>
    </row>
    <row r="3799" spans="1:19">
      <c r="A3799" s="5" t="str">
        <f>B3799&amp;"-"&amp;COUNTIF($B$2:B3799,B3799)</f>
        <v>RIO GRANDE DO NORTE-114</v>
      </c>
      <c r="B3799" s="5" t="s">
        <v>2449</v>
      </c>
      <c r="C3799" s="5" t="s">
        <v>2525</v>
      </c>
      <c r="D3799" s="6">
        <v>-377163</v>
      </c>
      <c r="E3799" s="6">
        <v>-60729</v>
      </c>
      <c r="F3799" s="7">
        <v>6.0049999999999999</v>
      </c>
      <c r="G3799" s="7">
        <v>6.1470000000000002</v>
      </c>
      <c r="H3799" s="7">
        <v>6.0650000000000004</v>
      </c>
      <c r="I3799" s="7">
        <v>6.1239999999999997</v>
      </c>
      <c r="J3799" s="7">
        <v>5.8819999999999997</v>
      </c>
      <c r="K3799" s="7">
        <v>5.4059999999999997</v>
      </c>
      <c r="L3799" s="7">
        <v>5.07</v>
      </c>
      <c r="M3799" s="7">
        <v>5.3680000000000003</v>
      </c>
      <c r="N3799" s="7">
        <v>6.0570000000000004</v>
      </c>
      <c r="O3799" s="7">
        <v>6.5030000000000001</v>
      </c>
      <c r="P3799" s="7">
        <v>6.6269999999999998</v>
      </c>
      <c r="Q3799" s="7">
        <v>6.6509999999999998</v>
      </c>
      <c r="R3799" s="7">
        <v>6.1630000000000003</v>
      </c>
      <c r="S3799" s="7">
        <f t="shared" si="59"/>
        <v>6.0052500000000002</v>
      </c>
    </row>
    <row r="3800" spans="1:19">
      <c r="A3800" s="5" t="str">
        <f>B3800&amp;"-"&amp;COUNTIF($B$2:B3800,B3800)</f>
        <v>RIO GRANDE DO NORTE-115</v>
      </c>
      <c r="B3800" s="5" t="s">
        <v>2449</v>
      </c>
      <c r="C3800" s="5" t="s">
        <v>2526</v>
      </c>
      <c r="D3800" s="6">
        <v>-379494</v>
      </c>
      <c r="E3800" s="6">
        <v>-5927</v>
      </c>
      <c r="F3800" s="7">
        <v>5.9960000000000004</v>
      </c>
      <c r="G3800" s="7">
        <v>6.0209999999999999</v>
      </c>
      <c r="H3800" s="7">
        <v>6.1040000000000001</v>
      </c>
      <c r="I3800" s="7">
        <v>6.1059999999999999</v>
      </c>
      <c r="J3800" s="7">
        <v>5.8070000000000004</v>
      </c>
      <c r="K3800" s="7">
        <v>5.407</v>
      </c>
      <c r="L3800" s="7">
        <v>5.077</v>
      </c>
      <c r="M3800" s="7">
        <v>5.41</v>
      </c>
      <c r="N3800" s="7">
        <v>6.085</v>
      </c>
      <c r="O3800" s="7">
        <v>6.4580000000000002</v>
      </c>
      <c r="P3800" s="7">
        <v>6.6580000000000004</v>
      </c>
      <c r="Q3800" s="7">
        <v>6.6760000000000002</v>
      </c>
      <c r="R3800" s="7">
        <v>6.1479999999999997</v>
      </c>
      <c r="S3800" s="7">
        <f t="shared" si="59"/>
        <v>5.9964166666666658</v>
      </c>
    </row>
    <row r="3801" spans="1:19">
      <c r="A3801" s="5" t="str">
        <f>B3801&amp;"-"&amp;COUNTIF($B$2:B3801,B3801)</f>
        <v>RIO GRANDE DO NORTE-116</v>
      </c>
      <c r="B3801" s="5" t="s">
        <v>2449</v>
      </c>
      <c r="C3801" s="5" t="s">
        <v>510</v>
      </c>
      <c r="D3801" s="6">
        <v>-383119</v>
      </c>
      <c r="E3801" s="6">
        <v>-62518</v>
      </c>
      <c r="F3801" s="7">
        <v>5.9039999999999999</v>
      </c>
      <c r="G3801" s="7">
        <v>5.96</v>
      </c>
      <c r="H3801" s="7">
        <v>5.9340000000000002</v>
      </c>
      <c r="I3801" s="7">
        <v>5.9550000000000001</v>
      </c>
      <c r="J3801" s="7">
        <v>5.6150000000000002</v>
      </c>
      <c r="K3801" s="7">
        <v>5.2080000000000002</v>
      </c>
      <c r="L3801" s="7">
        <v>4.9530000000000003</v>
      </c>
      <c r="M3801" s="7">
        <v>5.3470000000000004</v>
      </c>
      <c r="N3801" s="7">
        <v>6.048</v>
      </c>
      <c r="O3801" s="7">
        <v>6.4710000000000001</v>
      </c>
      <c r="P3801" s="7">
        <v>6.5519999999999996</v>
      </c>
      <c r="Q3801" s="7">
        <v>6.64</v>
      </c>
      <c r="R3801" s="7">
        <v>6.16</v>
      </c>
      <c r="S3801" s="7">
        <f t="shared" si="59"/>
        <v>5.9035833333333327</v>
      </c>
    </row>
    <row r="3802" spans="1:19">
      <c r="A3802" s="5" t="str">
        <f>B3802&amp;"-"&amp;COUNTIF($B$2:B3802,B3802)</f>
        <v>RIO GRANDE DO NORTE-117</v>
      </c>
      <c r="B3802" s="5" t="s">
        <v>2449</v>
      </c>
      <c r="C3802" s="5" t="s">
        <v>2527</v>
      </c>
      <c r="D3802" s="6">
        <v>-35824</v>
      </c>
      <c r="E3802" s="6">
        <v>-58141</v>
      </c>
      <c r="F3802" s="7">
        <v>5.4809999999999999</v>
      </c>
      <c r="G3802" s="7">
        <v>5.7130000000000001</v>
      </c>
      <c r="H3802" s="7">
        <v>5.7140000000000004</v>
      </c>
      <c r="I3802" s="7">
        <v>5.7610000000000001</v>
      </c>
      <c r="J3802" s="7">
        <v>5.3979999999999997</v>
      </c>
      <c r="K3802" s="7">
        <v>4.9690000000000003</v>
      </c>
      <c r="L3802" s="7">
        <v>4.5330000000000004</v>
      </c>
      <c r="M3802" s="7">
        <v>4.7910000000000004</v>
      </c>
      <c r="N3802" s="7">
        <v>5.3570000000000002</v>
      </c>
      <c r="O3802" s="7">
        <v>5.7619999999999996</v>
      </c>
      <c r="P3802" s="7">
        <v>5.9589999999999996</v>
      </c>
      <c r="Q3802" s="7">
        <v>6.0709999999999997</v>
      </c>
      <c r="R3802" s="7">
        <v>5.7389999999999999</v>
      </c>
      <c r="S3802" s="7">
        <f t="shared" si="59"/>
        <v>5.4805833333333345</v>
      </c>
    </row>
    <row r="3803" spans="1:19">
      <c r="A3803" s="5" t="str">
        <f>B3803&amp;"-"&amp;COUNTIF($B$2:B3803,B3803)</f>
        <v>RIO GRANDE DO NORTE-118</v>
      </c>
      <c r="B3803" s="5" t="s">
        <v>2449</v>
      </c>
      <c r="C3803" s="5" t="s">
        <v>2528</v>
      </c>
      <c r="D3803" s="6">
        <v>-353826</v>
      </c>
      <c r="E3803" s="6">
        <v>-52728</v>
      </c>
      <c r="F3803" s="7">
        <v>5.8620000000000001</v>
      </c>
      <c r="G3803" s="7">
        <v>6.1609999999999996</v>
      </c>
      <c r="H3803" s="7">
        <v>6.1959999999999997</v>
      </c>
      <c r="I3803" s="7">
        <v>6.1210000000000004</v>
      </c>
      <c r="J3803" s="7">
        <v>5.7039999999999997</v>
      </c>
      <c r="K3803" s="7">
        <v>5.2359999999999998</v>
      </c>
      <c r="L3803" s="7">
        <v>4.8479999999999999</v>
      </c>
      <c r="M3803" s="7">
        <v>5.016</v>
      </c>
      <c r="N3803" s="7">
        <v>5.8179999999999996</v>
      </c>
      <c r="O3803" s="7">
        <v>6.234</v>
      </c>
      <c r="P3803" s="7">
        <v>6.2670000000000003</v>
      </c>
      <c r="Q3803" s="7">
        <v>6.5060000000000002</v>
      </c>
      <c r="R3803" s="7">
        <v>6.2329999999999997</v>
      </c>
      <c r="S3803" s="7">
        <f t="shared" si="59"/>
        <v>5.8616666666666672</v>
      </c>
    </row>
    <row r="3804" spans="1:19">
      <c r="A3804" s="5" t="str">
        <f>B3804&amp;"-"&amp;COUNTIF($B$2:B3804,B3804)</f>
        <v>RIO GRANDE DO NORTE-119</v>
      </c>
      <c r="B3804" s="5" t="s">
        <v>2449</v>
      </c>
      <c r="C3804" s="5" t="s">
        <v>2529</v>
      </c>
      <c r="D3804" s="6">
        <v>-380582</v>
      </c>
      <c r="E3804" s="6">
        <v>-57843</v>
      </c>
      <c r="F3804" s="7">
        <v>5.9710000000000001</v>
      </c>
      <c r="G3804" s="7">
        <v>5.984</v>
      </c>
      <c r="H3804" s="7">
        <v>6.0949999999999998</v>
      </c>
      <c r="I3804" s="7">
        <v>6.0510000000000002</v>
      </c>
      <c r="J3804" s="7">
        <v>5.7210000000000001</v>
      </c>
      <c r="K3804" s="7">
        <v>5.3639999999999999</v>
      </c>
      <c r="L3804" s="7">
        <v>5.0490000000000004</v>
      </c>
      <c r="M3804" s="7">
        <v>5.3929999999999998</v>
      </c>
      <c r="N3804" s="7">
        <v>6.077</v>
      </c>
      <c r="O3804" s="7">
        <v>6.423</v>
      </c>
      <c r="P3804" s="7">
        <v>6.6639999999999997</v>
      </c>
      <c r="Q3804" s="7">
        <v>6.6769999999999996</v>
      </c>
      <c r="R3804" s="7">
        <v>6.1470000000000002</v>
      </c>
      <c r="S3804" s="7">
        <f t="shared" si="59"/>
        <v>5.9704166666666678</v>
      </c>
    </row>
    <row r="3805" spans="1:19">
      <c r="A3805" s="5" t="str">
        <f>B3805&amp;"-"&amp;COUNTIF($B$2:B3805,B3805)</f>
        <v>RIO GRANDE DO NORTE-120</v>
      </c>
      <c r="B3805" s="5" t="s">
        <v>2449</v>
      </c>
      <c r="C3805" s="5" t="s">
        <v>517</v>
      </c>
      <c r="D3805" s="6">
        <v>-359353</v>
      </c>
      <c r="E3805" s="6">
        <v>-58813</v>
      </c>
      <c r="F3805" s="7">
        <v>5.484</v>
      </c>
      <c r="G3805" s="7">
        <v>5.72</v>
      </c>
      <c r="H3805" s="7">
        <v>5.7069999999999999</v>
      </c>
      <c r="I3805" s="7">
        <v>5.7460000000000004</v>
      </c>
      <c r="J3805" s="7">
        <v>5.4530000000000003</v>
      </c>
      <c r="K3805" s="7">
        <v>4.9450000000000003</v>
      </c>
      <c r="L3805" s="7">
        <v>4.524</v>
      </c>
      <c r="M3805" s="7">
        <v>4.7450000000000001</v>
      </c>
      <c r="N3805" s="7">
        <v>5.375</v>
      </c>
      <c r="O3805" s="7">
        <v>5.7859999999999996</v>
      </c>
      <c r="P3805" s="7">
        <v>5.9829999999999997</v>
      </c>
      <c r="Q3805" s="7">
        <v>6.101</v>
      </c>
      <c r="R3805" s="7">
        <v>5.7249999999999996</v>
      </c>
      <c r="S3805" s="7">
        <f t="shared" si="59"/>
        <v>5.484166666666666</v>
      </c>
    </row>
    <row r="3806" spans="1:19">
      <c r="A3806" s="5" t="str">
        <f>B3806&amp;"-"&amp;COUNTIF($B$2:B3806,B3806)</f>
        <v>RIO GRANDE DO NORTE-121</v>
      </c>
      <c r="B3806" s="5" t="s">
        <v>2449</v>
      </c>
      <c r="C3806" s="5" t="s">
        <v>4142</v>
      </c>
      <c r="D3806" s="6">
        <v>-359779</v>
      </c>
      <c r="E3806" s="6">
        <v>-51094</v>
      </c>
      <c r="F3806" s="7">
        <v>5.6289999999999996</v>
      </c>
      <c r="G3806" s="7">
        <v>5.883</v>
      </c>
      <c r="H3806" s="7">
        <v>5.9119999999999999</v>
      </c>
      <c r="I3806" s="7">
        <v>5.9349999999999996</v>
      </c>
      <c r="J3806" s="7">
        <v>5.4130000000000003</v>
      </c>
      <c r="K3806" s="7">
        <v>5.0830000000000002</v>
      </c>
      <c r="L3806" s="7">
        <v>4.7560000000000002</v>
      </c>
      <c r="M3806" s="7">
        <v>4.8929999999999998</v>
      </c>
      <c r="N3806" s="7">
        <v>5.5659999999999998</v>
      </c>
      <c r="O3806" s="7">
        <v>5.8259999999999996</v>
      </c>
      <c r="P3806" s="7">
        <v>6.0389999999999997</v>
      </c>
      <c r="Q3806" s="7">
        <v>6.2750000000000004</v>
      </c>
      <c r="R3806" s="7">
        <v>5.9589999999999996</v>
      </c>
      <c r="S3806" s="7">
        <f t="shared" si="59"/>
        <v>5.6283333333333339</v>
      </c>
    </row>
    <row r="3807" spans="1:19">
      <c r="A3807" s="5" t="str">
        <f>B3807&amp;"-"&amp;COUNTIF($B$2:B3807,B3807)</f>
        <v>RIO GRANDE DO NORTE-122</v>
      </c>
      <c r="B3807" s="5" t="s">
        <v>2449</v>
      </c>
      <c r="C3807" s="5" t="s">
        <v>4143</v>
      </c>
      <c r="D3807" s="6">
        <v>-360856</v>
      </c>
      <c r="E3807" s="6">
        <v>-63422</v>
      </c>
      <c r="F3807" s="7">
        <v>5.4669999999999996</v>
      </c>
      <c r="G3807" s="7">
        <v>5.7050000000000001</v>
      </c>
      <c r="H3807" s="7">
        <v>5.8179999999999996</v>
      </c>
      <c r="I3807" s="7">
        <v>5.85</v>
      </c>
      <c r="J3807" s="7">
        <v>5.4349999999999996</v>
      </c>
      <c r="K3807" s="7">
        <v>4.8840000000000003</v>
      </c>
      <c r="L3807" s="7">
        <v>4.3490000000000002</v>
      </c>
      <c r="M3807" s="7">
        <v>4.5339999999999998</v>
      </c>
      <c r="N3807" s="7">
        <v>5.3070000000000004</v>
      </c>
      <c r="O3807" s="7">
        <v>5.7750000000000004</v>
      </c>
      <c r="P3807" s="7">
        <v>6.0069999999999997</v>
      </c>
      <c r="Q3807" s="7">
        <v>6.1660000000000004</v>
      </c>
      <c r="R3807" s="7">
        <v>5.7779999999999996</v>
      </c>
      <c r="S3807" s="7">
        <f t="shared" si="59"/>
        <v>5.4673333333333334</v>
      </c>
    </row>
    <row r="3808" spans="1:19">
      <c r="A3808" s="5" t="str">
        <f>B3808&amp;"-"&amp;COUNTIF($B$2:B3808,B3808)</f>
        <v>RIO GRANDE DO NORTE-123</v>
      </c>
      <c r="B3808" s="5" t="s">
        <v>2449</v>
      </c>
      <c r="C3808" s="5" t="s">
        <v>4144</v>
      </c>
      <c r="D3808" s="6">
        <v>-371867</v>
      </c>
      <c r="E3808" s="6">
        <v>-63802</v>
      </c>
      <c r="F3808" s="7">
        <v>5.9269999999999996</v>
      </c>
      <c r="G3808" s="7">
        <v>6.141</v>
      </c>
      <c r="H3808" s="7">
        <v>6.1319999999999997</v>
      </c>
      <c r="I3808" s="7">
        <v>6.1079999999999997</v>
      </c>
      <c r="J3808" s="7">
        <v>5.8319999999999999</v>
      </c>
      <c r="K3808" s="7">
        <v>5.24</v>
      </c>
      <c r="L3808" s="7">
        <v>4.8239999999999998</v>
      </c>
      <c r="M3808" s="7">
        <v>5.1319999999999997</v>
      </c>
      <c r="N3808" s="7">
        <v>5.88</v>
      </c>
      <c r="O3808" s="7">
        <v>6.431</v>
      </c>
      <c r="P3808" s="7">
        <v>6.59</v>
      </c>
      <c r="Q3808" s="7">
        <v>6.5960000000000001</v>
      </c>
      <c r="R3808" s="7">
        <v>6.2169999999999996</v>
      </c>
      <c r="S3808" s="7">
        <f t="shared" si="59"/>
        <v>5.9269166666666671</v>
      </c>
    </row>
    <row r="3809" spans="1:19">
      <c r="A3809" s="5" t="str">
        <f>B3809&amp;"-"&amp;COUNTIF($B$2:B3809,B3809)</f>
        <v>RIO GRANDE DO NORTE-124</v>
      </c>
      <c r="B3809" s="5" t="s">
        <v>2449</v>
      </c>
      <c r="C3809" s="5" t="s">
        <v>4145</v>
      </c>
      <c r="D3809" s="6">
        <v>-381523</v>
      </c>
      <c r="E3809" s="6">
        <v>-59751</v>
      </c>
      <c r="F3809" s="7">
        <v>5.9169999999999998</v>
      </c>
      <c r="G3809" s="7">
        <v>5.8449999999999998</v>
      </c>
      <c r="H3809" s="7">
        <v>5.9569999999999999</v>
      </c>
      <c r="I3809" s="7">
        <v>5.9960000000000004</v>
      </c>
      <c r="J3809" s="7">
        <v>5.6390000000000002</v>
      </c>
      <c r="K3809" s="7">
        <v>5.2960000000000003</v>
      </c>
      <c r="L3809" s="7">
        <v>5.0549999999999997</v>
      </c>
      <c r="M3809" s="7">
        <v>5.3929999999999998</v>
      </c>
      <c r="N3809" s="7">
        <v>6.0869999999999997</v>
      </c>
      <c r="O3809" s="7">
        <v>6.4450000000000003</v>
      </c>
      <c r="P3809" s="7">
        <v>6.5960000000000001</v>
      </c>
      <c r="Q3809" s="7">
        <v>6.6120000000000001</v>
      </c>
      <c r="R3809" s="7">
        <v>6.0880000000000001</v>
      </c>
      <c r="S3809" s="7">
        <f t="shared" si="59"/>
        <v>5.9174166666666652</v>
      </c>
    </row>
    <row r="3810" spans="1:19">
      <c r="A3810" s="5" t="str">
        <f>B3810&amp;"-"&amp;COUNTIF($B$2:B3810,B3810)</f>
        <v>RIO GRANDE DO NORTE-125</v>
      </c>
      <c r="B3810" s="5" t="s">
        <v>2449</v>
      </c>
      <c r="C3810" s="5" t="s">
        <v>4627</v>
      </c>
      <c r="D3810" s="6">
        <v>-353305</v>
      </c>
      <c r="E3810" s="6">
        <v>-57852</v>
      </c>
      <c r="F3810" s="7">
        <v>5.6619999999999999</v>
      </c>
      <c r="G3810" s="7">
        <v>5.9850000000000003</v>
      </c>
      <c r="H3810" s="7">
        <v>6.056</v>
      </c>
      <c r="I3810" s="7">
        <v>6.1050000000000004</v>
      </c>
      <c r="J3810" s="7">
        <v>5.5570000000000004</v>
      </c>
      <c r="K3810" s="7">
        <v>5.0910000000000002</v>
      </c>
      <c r="L3810" s="7">
        <v>4.6130000000000004</v>
      </c>
      <c r="M3810" s="7">
        <v>4.7210000000000001</v>
      </c>
      <c r="N3810" s="7">
        <v>5.4909999999999997</v>
      </c>
      <c r="O3810" s="7">
        <v>5.9390000000000001</v>
      </c>
      <c r="P3810" s="7">
        <v>6.1369999999999996</v>
      </c>
      <c r="Q3810" s="7">
        <v>6.2869999999999999</v>
      </c>
      <c r="R3810" s="7">
        <v>5.9640000000000004</v>
      </c>
      <c r="S3810" s="7">
        <f t="shared" si="59"/>
        <v>5.6621666666666668</v>
      </c>
    </row>
    <row r="3811" spans="1:19">
      <c r="A3811" s="5" t="str">
        <f>B3811&amp;"-"&amp;COUNTIF($B$2:B3811,B3811)</f>
        <v>RIO GRANDE DO NORTE-126</v>
      </c>
      <c r="B3811" s="5" t="s">
        <v>2449</v>
      </c>
      <c r="C3811" s="5" t="s">
        <v>4146</v>
      </c>
      <c r="D3811" s="6">
        <v>-37203</v>
      </c>
      <c r="E3811" s="6">
        <v>-67143</v>
      </c>
      <c r="F3811" s="7">
        <v>5.95</v>
      </c>
      <c r="G3811" s="7">
        <v>6.1619999999999999</v>
      </c>
      <c r="H3811" s="7">
        <v>6.24</v>
      </c>
      <c r="I3811" s="7">
        <v>6.2080000000000002</v>
      </c>
      <c r="J3811" s="7">
        <v>5.843</v>
      </c>
      <c r="K3811" s="7">
        <v>5.226</v>
      </c>
      <c r="L3811" s="7">
        <v>4.7759999999999998</v>
      </c>
      <c r="M3811" s="7">
        <v>5.085</v>
      </c>
      <c r="N3811" s="7">
        <v>5.8339999999999996</v>
      </c>
      <c r="O3811" s="7">
        <v>6.3940000000000001</v>
      </c>
      <c r="P3811" s="7">
        <v>6.6210000000000004</v>
      </c>
      <c r="Q3811" s="7">
        <v>6.6680000000000001</v>
      </c>
      <c r="R3811" s="7">
        <v>6.3440000000000003</v>
      </c>
      <c r="S3811" s="7">
        <f t="shared" si="59"/>
        <v>5.9500833333333327</v>
      </c>
    </row>
    <row r="3812" spans="1:19">
      <c r="A3812" s="5" t="str">
        <f>B3812&amp;"-"&amp;COUNTIF($B$2:B3812,B3812)</f>
        <v>RIO GRANDE DO NORTE-127</v>
      </c>
      <c r="B3812" s="5" t="s">
        <v>2449</v>
      </c>
      <c r="C3812" s="5" t="s">
        <v>4466</v>
      </c>
      <c r="D3812" s="6">
        <v>-352353</v>
      </c>
      <c r="E3812" s="6">
        <v>-6074</v>
      </c>
      <c r="F3812" s="7">
        <v>5.6779999999999999</v>
      </c>
      <c r="G3812" s="7">
        <v>6.0170000000000003</v>
      </c>
      <c r="H3812" s="7">
        <v>6.1749999999999998</v>
      </c>
      <c r="I3812" s="7">
        <v>6.1310000000000002</v>
      </c>
      <c r="J3812" s="7">
        <v>5.5579999999999998</v>
      </c>
      <c r="K3812" s="7">
        <v>5.0430000000000001</v>
      </c>
      <c r="L3812" s="7">
        <v>4.532</v>
      </c>
      <c r="M3812" s="7">
        <v>4.6550000000000002</v>
      </c>
      <c r="N3812" s="7">
        <v>5.4409999999999998</v>
      </c>
      <c r="O3812" s="7">
        <v>5.9329999999999998</v>
      </c>
      <c r="P3812" s="7">
        <v>6.1959999999999997</v>
      </c>
      <c r="Q3812" s="7">
        <v>6.36</v>
      </c>
      <c r="R3812" s="7">
        <v>6.0970000000000004</v>
      </c>
      <c r="S3812" s="7">
        <f t="shared" si="59"/>
        <v>5.6781666666666668</v>
      </c>
    </row>
    <row r="3813" spans="1:19">
      <c r="A3813" s="5" t="str">
        <f>B3813&amp;"-"&amp;COUNTIF($B$2:B3813,B3813)</f>
        <v>RIO GRANDE DO NORTE-128</v>
      </c>
      <c r="B3813" s="5" t="s">
        <v>2449</v>
      </c>
      <c r="C3813" s="5" t="s">
        <v>4467</v>
      </c>
      <c r="D3813" s="6">
        <v>-357126</v>
      </c>
      <c r="E3813" s="6">
        <v>-63176</v>
      </c>
      <c r="F3813" s="7">
        <v>5.5229999999999997</v>
      </c>
      <c r="G3813" s="7">
        <v>5.798</v>
      </c>
      <c r="H3813" s="7">
        <v>5.9089999999999998</v>
      </c>
      <c r="I3813" s="7">
        <v>5.9409999999999998</v>
      </c>
      <c r="J3813" s="7">
        <v>5.4939999999999998</v>
      </c>
      <c r="K3813" s="7">
        <v>4.9550000000000001</v>
      </c>
      <c r="L3813" s="7">
        <v>4.4989999999999997</v>
      </c>
      <c r="M3813" s="7">
        <v>4.6189999999999998</v>
      </c>
      <c r="N3813" s="7">
        <v>5.3479999999999999</v>
      </c>
      <c r="O3813" s="7">
        <v>5.7439999999999998</v>
      </c>
      <c r="P3813" s="7">
        <v>5.96</v>
      </c>
      <c r="Q3813" s="7">
        <v>6.149</v>
      </c>
      <c r="R3813" s="7">
        <v>5.8630000000000004</v>
      </c>
      <c r="S3813" s="7">
        <f t="shared" si="59"/>
        <v>5.5232500000000009</v>
      </c>
    </row>
    <row r="3814" spans="1:19">
      <c r="A3814" s="5" t="str">
        <f>B3814&amp;"-"&amp;COUNTIF($B$2:B3814,B3814)</f>
        <v>RIO GRANDE DO NORTE-129</v>
      </c>
      <c r="B3814" s="5" t="s">
        <v>2449</v>
      </c>
      <c r="C3814" s="5" t="s">
        <v>5203</v>
      </c>
      <c r="D3814" s="6">
        <v>-368813</v>
      </c>
      <c r="E3814" s="6">
        <v>-6448</v>
      </c>
      <c r="F3814" s="7">
        <v>5.806</v>
      </c>
      <c r="G3814" s="7">
        <v>6.03</v>
      </c>
      <c r="H3814" s="7">
        <v>6.0330000000000004</v>
      </c>
      <c r="I3814" s="7">
        <v>6.0789999999999997</v>
      </c>
      <c r="J3814" s="7">
        <v>5.6980000000000004</v>
      </c>
      <c r="K3814" s="7">
        <v>5.0970000000000004</v>
      </c>
      <c r="L3814" s="7">
        <v>4.6929999999999996</v>
      </c>
      <c r="M3814" s="7">
        <v>4.944</v>
      </c>
      <c r="N3814" s="7">
        <v>5.7169999999999996</v>
      </c>
      <c r="O3814" s="7">
        <v>6.29</v>
      </c>
      <c r="P3814" s="7">
        <v>6.4690000000000003</v>
      </c>
      <c r="Q3814" s="7">
        <v>6.47</v>
      </c>
      <c r="R3814" s="7">
        <v>6.1580000000000004</v>
      </c>
      <c r="S3814" s="7">
        <f t="shared" si="59"/>
        <v>5.8064999999999998</v>
      </c>
    </row>
    <row r="3815" spans="1:19">
      <c r="A3815" s="5" t="str">
        <f>B3815&amp;"-"&amp;COUNTIF($B$2:B3815,B3815)</f>
        <v>RIO GRANDE DO NORTE-130</v>
      </c>
      <c r="B3815" s="5" t="s">
        <v>2449</v>
      </c>
      <c r="C3815" s="5" t="s">
        <v>4147</v>
      </c>
      <c r="D3815" s="6">
        <v>-38495</v>
      </c>
      <c r="E3815" s="6">
        <v>-62032</v>
      </c>
      <c r="F3815" s="7">
        <v>5.8840000000000003</v>
      </c>
      <c r="G3815" s="7">
        <v>5.8680000000000003</v>
      </c>
      <c r="H3815" s="7">
        <v>5.8719999999999999</v>
      </c>
      <c r="I3815" s="7">
        <v>5.8330000000000002</v>
      </c>
      <c r="J3815" s="7">
        <v>5.5529999999999999</v>
      </c>
      <c r="K3815" s="7">
        <v>5.1680000000000001</v>
      </c>
      <c r="L3815" s="7">
        <v>5.0339999999999998</v>
      </c>
      <c r="M3815" s="7">
        <v>5.3659999999999997</v>
      </c>
      <c r="N3815" s="7">
        <v>6.1029999999999998</v>
      </c>
      <c r="O3815" s="7">
        <v>6.4740000000000002</v>
      </c>
      <c r="P3815" s="7">
        <v>6.5739999999999998</v>
      </c>
      <c r="Q3815" s="7">
        <v>6.665</v>
      </c>
      <c r="R3815" s="7">
        <v>6.1</v>
      </c>
      <c r="S3815" s="7">
        <f t="shared" si="59"/>
        <v>5.8841666666666663</v>
      </c>
    </row>
    <row r="3816" spans="1:19">
      <c r="A3816" s="5" t="str">
        <f>B3816&amp;"-"&amp;COUNTIF($B$2:B3816,B3816)</f>
        <v>RIO GRANDE DO NORTE-131</v>
      </c>
      <c r="B3816" s="5" t="s">
        <v>2449</v>
      </c>
      <c r="C3816" s="5" t="s">
        <v>4148</v>
      </c>
      <c r="D3816" s="6">
        <v>-356417</v>
      </c>
      <c r="E3816" s="6">
        <v>-51263</v>
      </c>
      <c r="F3816" s="7">
        <v>5.8609999999999998</v>
      </c>
      <c r="G3816" s="7">
        <v>6.2439999999999998</v>
      </c>
      <c r="H3816" s="7">
        <v>6.165</v>
      </c>
      <c r="I3816" s="7">
        <v>6.1749999999999998</v>
      </c>
      <c r="J3816" s="7">
        <v>5.6139999999999999</v>
      </c>
      <c r="K3816" s="7">
        <v>5.2949999999999999</v>
      </c>
      <c r="L3816" s="7">
        <v>4.8319999999999999</v>
      </c>
      <c r="M3816" s="7">
        <v>5</v>
      </c>
      <c r="N3816" s="7">
        <v>5.7569999999999997</v>
      </c>
      <c r="O3816" s="7">
        <v>6.1859999999999999</v>
      </c>
      <c r="P3816" s="7">
        <v>6.3150000000000004</v>
      </c>
      <c r="Q3816" s="7">
        <v>6.516</v>
      </c>
      <c r="R3816" s="7">
        <v>6.23</v>
      </c>
      <c r="S3816" s="7">
        <f t="shared" si="59"/>
        <v>5.8607500000000003</v>
      </c>
    </row>
    <row r="3817" spans="1:19">
      <c r="A3817" s="5" t="str">
        <f>B3817&amp;"-"&amp;COUNTIF($B$2:B3817,B3817)</f>
        <v>RIO GRANDE DO NORTE-132</v>
      </c>
      <c r="B3817" s="5" t="s">
        <v>2449</v>
      </c>
      <c r="C3817" s="5" t="s">
        <v>4149</v>
      </c>
      <c r="D3817" s="6">
        <v>-357645</v>
      </c>
      <c r="E3817" s="6">
        <v>-58998</v>
      </c>
      <c r="F3817" s="7">
        <v>5.52</v>
      </c>
      <c r="G3817" s="7">
        <v>5.7990000000000004</v>
      </c>
      <c r="H3817" s="7">
        <v>5.8170000000000002</v>
      </c>
      <c r="I3817" s="7">
        <v>5.827</v>
      </c>
      <c r="J3817" s="7">
        <v>5.4550000000000001</v>
      </c>
      <c r="K3817" s="7">
        <v>4.9779999999999998</v>
      </c>
      <c r="L3817" s="7">
        <v>4.5229999999999997</v>
      </c>
      <c r="M3817" s="7">
        <v>4.7619999999999996</v>
      </c>
      <c r="N3817" s="7">
        <v>5.3810000000000002</v>
      </c>
      <c r="O3817" s="7">
        <v>5.78</v>
      </c>
      <c r="P3817" s="7">
        <v>5.9640000000000004</v>
      </c>
      <c r="Q3817" s="7">
        <v>6.1390000000000002</v>
      </c>
      <c r="R3817" s="7">
        <v>5.8159999999999998</v>
      </c>
      <c r="S3817" s="7">
        <f t="shared" si="59"/>
        <v>5.520083333333333</v>
      </c>
    </row>
    <row r="3818" spans="1:19">
      <c r="A3818" s="5" t="str">
        <f>B3818&amp;"-"&amp;COUNTIF($B$2:B3818,B3818)</f>
        <v>RIO GRANDE DO NORTE-133</v>
      </c>
      <c r="B3818" s="5" t="s">
        <v>2449</v>
      </c>
      <c r="C3818" s="5" t="s">
        <v>4150</v>
      </c>
      <c r="D3818" s="6">
        <v>-356349</v>
      </c>
      <c r="E3818" s="6">
        <v>-58962</v>
      </c>
      <c r="F3818" s="7">
        <v>5.5369999999999999</v>
      </c>
      <c r="G3818" s="7">
        <v>5.835</v>
      </c>
      <c r="H3818" s="7">
        <v>5.8630000000000004</v>
      </c>
      <c r="I3818" s="7">
        <v>5.867</v>
      </c>
      <c r="J3818" s="7">
        <v>5.4850000000000003</v>
      </c>
      <c r="K3818" s="7">
        <v>4.968</v>
      </c>
      <c r="L3818" s="7">
        <v>4.5350000000000001</v>
      </c>
      <c r="M3818" s="7">
        <v>4.6989999999999998</v>
      </c>
      <c r="N3818" s="7">
        <v>5.39</v>
      </c>
      <c r="O3818" s="7">
        <v>5.7960000000000003</v>
      </c>
      <c r="P3818" s="7">
        <v>5.9889999999999999</v>
      </c>
      <c r="Q3818" s="7">
        <v>6.1749999999999998</v>
      </c>
      <c r="R3818" s="7">
        <v>5.8419999999999996</v>
      </c>
      <c r="S3818" s="7">
        <f t="shared" si="59"/>
        <v>5.536999999999999</v>
      </c>
    </row>
    <row r="3819" spans="1:19">
      <c r="A3819" s="5" t="str">
        <f>B3819&amp;"-"&amp;COUNTIF($B$2:B3819,B3819)</f>
        <v>RIO GRANDE DO NORTE-134</v>
      </c>
      <c r="B3819" s="5" t="s">
        <v>2449</v>
      </c>
      <c r="C3819" s="5" t="s">
        <v>4151</v>
      </c>
      <c r="D3819" s="6">
        <v>-368855</v>
      </c>
      <c r="E3819" s="6">
        <v>-58024</v>
      </c>
      <c r="F3819" s="7">
        <v>5.8239999999999998</v>
      </c>
      <c r="G3819" s="7">
        <v>5.9829999999999997</v>
      </c>
      <c r="H3819" s="7">
        <v>5.968</v>
      </c>
      <c r="I3819" s="7">
        <v>6.1180000000000003</v>
      </c>
      <c r="J3819" s="7">
        <v>5.8209999999999997</v>
      </c>
      <c r="K3819" s="7">
        <v>5.2690000000000001</v>
      </c>
      <c r="L3819" s="7">
        <v>4.819</v>
      </c>
      <c r="M3819" s="7">
        <v>5.0739999999999998</v>
      </c>
      <c r="N3819" s="7">
        <v>5.7539999999999996</v>
      </c>
      <c r="O3819" s="7">
        <v>6.2430000000000003</v>
      </c>
      <c r="P3819" s="7">
        <v>6.3440000000000003</v>
      </c>
      <c r="Q3819" s="7">
        <v>6.4039999999999999</v>
      </c>
      <c r="R3819" s="7">
        <v>6.0990000000000002</v>
      </c>
      <c r="S3819" s="7">
        <f t="shared" si="59"/>
        <v>5.8246666666666664</v>
      </c>
    </row>
    <row r="3820" spans="1:19">
      <c r="A3820" s="5" t="str">
        <f>B3820&amp;"-"&amp;COUNTIF($B$2:B3820,B3820)</f>
        <v>RIO GRANDE DO NORTE-135</v>
      </c>
      <c r="B3820" s="5" t="s">
        <v>2449</v>
      </c>
      <c r="C3820" s="5" t="s">
        <v>4424</v>
      </c>
      <c r="D3820" s="6">
        <v>-36077</v>
      </c>
      <c r="E3820" s="6">
        <v>-59749</v>
      </c>
      <c r="F3820" s="7">
        <v>5.5359999999999996</v>
      </c>
      <c r="G3820" s="7">
        <v>5.7809999999999997</v>
      </c>
      <c r="H3820" s="7">
        <v>5.827</v>
      </c>
      <c r="I3820" s="7">
        <v>5.8049999999999997</v>
      </c>
      <c r="J3820" s="7">
        <v>5.4790000000000001</v>
      </c>
      <c r="K3820" s="7">
        <v>4.9930000000000003</v>
      </c>
      <c r="L3820" s="7">
        <v>4.5060000000000002</v>
      </c>
      <c r="M3820" s="7">
        <v>4.7439999999999998</v>
      </c>
      <c r="N3820" s="7">
        <v>5.3840000000000003</v>
      </c>
      <c r="O3820" s="7">
        <v>5.8879999999999999</v>
      </c>
      <c r="P3820" s="7">
        <v>6.0510000000000002</v>
      </c>
      <c r="Q3820" s="7">
        <v>6.1559999999999997</v>
      </c>
      <c r="R3820" s="7">
        <v>5.819</v>
      </c>
      <c r="S3820" s="7">
        <f t="shared" si="59"/>
        <v>5.536083333333333</v>
      </c>
    </row>
    <row r="3821" spans="1:19">
      <c r="A3821" s="5" t="str">
        <f>B3821&amp;"-"&amp;COUNTIF($B$2:B3821,B3821)</f>
        <v>RIO GRANDE DO NORTE-136</v>
      </c>
      <c r="B3821" s="5" t="s">
        <v>2449</v>
      </c>
      <c r="C3821" s="5" t="s">
        <v>4152</v>
      </c>
      <c r="D3821" s="6">
        <v>-36683</v>
      </c>
      <c r="E3821" s="6">
        <v>-62193</v>
      </c>
      <c r="F3821" s="7">
        <v>5.7430000000000003</v>
      </c>
      <c r="G3821" s="7">
        <v>5.9450000000000003</v>
      </c>
      <c r="H3821" s="7">
        <v>5.9139999999999997</v>
      </c>
      <c r="I3821" s="7">
        <v>5.9050000000000002</v>
      </c>
      <c r="J3821" s="7">
        <v>5.5439999999999996</v>
      </c>
      <c r="K3821" s="7">
        <v>5.0659999999999998</v>
      </c>
      <c r="L3821" s="7">
        <v>4.6500000000000004</v>
      </c>
      <c r="M3821" s="7">
        <v>4.9269999999999996</v>
      </c>
      <c r="N3821" s="7">
        <v>5.7169999999999996</v>
      </c>
      <c r="O3821" s="7">
        <v>6.2439999999999998</v>
      </c>
      <c r="P3821" s="7">
        <v>6.452</v>
      </c>
      <c r="Q3821" s="7">
        <v>6.4880000000000004</v>
      </c>
      <c r="R3821" s="7">
        <v>6.0640000000000001</v>
      </c>
      <c r="S3821" s="7">
        <f t="shared" si="59"/>
        <v>5.7429999999999994</v>
      </c>
    </row>
    <row r="3822" spans="1:19">
      <c r="A3822" s="5" t="str">
        <f>B3822&amp;"-"&amp;COUNTIF($B$2:B3822,B3822)</f>
        <v>RIO GRANDE DO NORTE-137</v>
      </c>
      <c r="B3822" s="5" t="s">
        <v>2449</v>
      </c>
      <c r="C3822" s="5" t="s">
        <v>1904</v>
      </c>
      <c r="D3822" s="6">
        <v>-360196</v>
      </c>
      <c r="E3822" s="6">
        <v>-62252</v>
      </c>
      <c r="F3822" s="7">
        <v>5.468</v>
      </c>
      <c r="G3822" s="7">
        <v>5.6829999999999998</v>
      </c>
      <c r="H3822" s="7">
        <v>5.8310000000000004</v>
      </c>
      <c r="I3822" s="7">
        <v>5.7679999999999998</v>
      </c>
      <c r="J3822" s="7">
        <v>5.4</v>
      </c>
      <c r="K3822" s="7">
        <v>4.9210000000000003</v>
      </c>
      <c r="L3822" s="7">
        <v>4.444</v>
      </c>
      <c r="M3822" s="7">
        <v>4.63</v>
      </c>
      <c r="N3822" s="7">
        <v>5.2809999999999997</v>
      </c>
      <c r="O3822" s="7">
        <v>5.798</v>
      </c>
      <c r="P3822" s="7">
        <v>5.9969999999999999</v>
      </c>
      <c r="Q3822" s="7">
        <v>6.1139999999999999</v>
      </c>
      <c r="R3822" s="7">
        <v>5.7480000000000002</v>
      </c>
      <c r="S3822" s="7">
        <f t="shared" si="59"/>
        <v>5.4679166666666674</v>
      </c>
    </row>
    <row r="3823" spans="1:19">
      <c r="A3823" s="5" t="str">
        <f>B3823&amp;"-"&amp;COUNTIF($B$2:B3823,B3823)</f>
        <v>RIO GRANDE DO NORTE-138</v>
      </c>
      <c r="B3823" s="5" t="s">
        <v>2449</v>
      </c>
      <c r="C3823" s="5" t="s">
        <v>2530</v>
      </c>
      <c r="D3823" s="6">
        <v>-356917</v>
      </c>
      <c r="E3823" s="6">
        <v>-58384</v>
      </c>
      <c r="F3823" s="7">
        <v>5.5359999999999996</v>
      </c>
      <c r="G3823" s="7">
        <v>5.8010000000000002</v>
      </c>
      <c r="H3823" s="7">
        <v>5.859</v>
      </c>
      <c r="I3823" s="7">
        <v>5.859</v>
      </c>
      <c r="J3823" s="7">
        <v>5.4889999999999999</v>
      </c>
      <c r="K3823" s="7">
        <v>4.9850000000000003</v>
      </c>
      <c r="L3823" s="7">
        <v>4.5449999999999999</v>
      </c>
      <c r="M3823" s="7">
        <v>4.71</v>
      </c>
      <c r="N3823" s="7">
        <v>5.3710000000000004</v>
      </c>
      <c r="O3823" s="7">
        <v>5.8140000000000001</v>
      </c>
      <c r="P3823" s="7">
        <v>6.0030000000000001</v>
      </c>
      <c r="Q3823" s="7">
        <v>6.1840000000000002</v>
      </c>
      <c r="R3823" s="7">
        <v>5.8090000000000002</v>
      </c>
      <c r="S3823" s="7">
        <f t="shared" si="59"/>
        <v>5.5357500000000002</v>
      </c>
    </row>
    <row r="3824" spans="1:19">
      <c r="A3824" s="5" t="str">
        <f>B3824&amp;"-"&amp;COUNTIF($B$2:B3824,B3824)</f>
        <v>RIO GRANDE DO NORTE-139</v>
      </c>
      <c r="B3824" s="5" t="s">
        <v>2449</v>
      </c>
      <c r="C3824" s="5" t="s">
        <v>2531</v>
      </c>
      <c r="D3824" s="6">
        <v>-366534</v>
      </c>
      <c r="E3824" s="6">
        <v>-59503</v>
      </c>
      <c r="F3824" s="7">
        <v>5.8109999999999999</v>
      </c>
      <c r="G3824" s="7">
        <v>5.9850000000000003</v>
      </c>
      <c r="H3824" s="7">
        <v>5.9690000000000003</v>
      </c>
      <c r="I3824" s="7">
        <v>6.0140000000000002</v>
      </c>
      <c r="J3824" s="7">
        <v>5.649</v>
      </c>
      <c r="K3824" s="7">
        <v>5.21</v>
      </c>
      <c r="L3824" s="7">
        <v>4.7439999999999998</v>
      </c>
      <c r="M3824" s="7">
        <v>5.0739999999999998</v>
      </c>
      <c r="N3824" s="7">
        <v>5.7679999999999998</v>
      </c>
      <c r="O3824" s="7">
        <v>6.2729999999999997</v>
      </c>
      <c r="P3824" s="7">
        <v>6.4909999999999997</v>
      </c>
      <c r="Q3824" s="7">
        <v>6.4820000000000002</v>
      </c>
      <c r="R3824" s="7">
        <v>6.0670000000000002</v>
      </c>
      <c r="S3824" s="7">
        <f t="shared" si="59"/>
        <v>5.8105000000000002</v>
      </c>
    </row>
    <row r="3825" spans="1:19">
      <c r="A3825" s="5" t="str">
        <f>B3825&amp;"-"&amp;COUNTIF($B$2:B3825,B3825)</f>
        <v>RIO GRANDE DO NORTE-140</v>
      </c>
      <c r="B3825" s="5" t="s">
        <v>2449</v>
      </c>
      <c r="C3825" s="5" t="s">
        <v>5204</v>
      </c>
      <c r="D3825" s="6">
        <v>-367344</v>
      </c>
      <c r="E3825" s="5" t="s">
        <v>2532</v>
      </c>
      <c r="F3825" s="7">
        <v>5.8049999999999997</v>
      </c>
      <c r="G3825" s="7">
        <v>6.0369999999999999</v>
      </c>
      <c r="H3825" s="7">
        <v>6.0519999999999996</v>
      </c>
      <c r="I3825" s="7">
        <v>6.109</v>
      </c>
      <c r="J3825" s="7">
        <v>5.6829999999999998</v>
      </c>
      <c r="K3825" s="7">
        <v>5.0679999999999996</v>
      </c>
      <c r="L3825" s="7">
        <v>4.6429999999999998</v>
      </c>
      <c r="M3825" s="7">
        <v>4.9390000000000001</v>
      </c>
      <c r="N3825" s="7">
        <v>5.7279999999999998</v>
      </c>
      <c r="O3825" s="7">
        <v>6.2670000000000003</v>
      </c>
      <c r="P3825" s="7">
        <v>6.4489999999999998</v>
      </c>
      <c r="Q3825" s="7">
        <v>6.4820000000000002</v>
      </c>
      <c r="R3825" s="7">
        <v>6.2060000000000004</v>
      </c>
      <c r="S3825" s="7">
        <f t="shared" si="59"/>
        <v>5.80525</v>
      </c>
    </row>
    <row r="3826" spans="1:19">
      <c r="A3826" s="5" t="str">
        <f>B3826&amp;"-"&amp;COUNTIF($B$2:B3826,B3826)</f>
        <v>RIO GRANDE DO NORTE-141</v>
      </c>
      <c r="B3826" s="5" t="s">
        <v>2449</v>
      </c>
      <c r="C3826" s="5" t="s">
        <v>4577</v>
      </c>
      <c r="D3826" s="6">
        <v>-354805</v>
      </c>
      <c r="E3826" s="6">
        <v>-63112</v>
      </c>
      <c r="F3826" s="7">
        <v>5.5209999999999999</v>
      </c>
      <c r="G3826" s="7">
        <v>5.7439999999999998</v>
      </c>
      <c r="H3826" s="7">
        <v>5.9</v>
      </c>
      <c r="I3826" s="7">
        <v>6.0259999999999998</v>
      </c>
      <c r="J3826" s="7">
        <v>5.4219999999999997</v>
      </c>
      <c r="K3826" s="7">
        <v>4.8979999999999997</v>
      </c>
      <c r="L3826" s="7">
        <v>4.4809999999999999</v>
      </c>
      <c r="M3826" s="7">
        <v>4.6550000000000002</v>
      </c>
      <c r="N3826" s="7">
        <v>5.298</v>
      </c>
      <c r="O3826" s="7">
        <v>5.7469999999999999</v>
      </c>
      <c r="P3826" s="7">
        <v>5.9950000000000001</v>
      </c>
      <c r="Q3826" s="7">
        <v>6.226</v>
      </c>
      <c r="R3826" s="7">
        <v>5.8570000000000002</v>
      </c>
      <c r="S3826" s="7">
        <f t="shared" si="59"/>
        <v>5.5207500000000005</v>
      </c>
    </row>
    <row r="3827" spans="1:19">
      <c r="A3827" s="5" t="str">
        <f>B3827&amp;"-"&amp;COUNTIF($B$2:B3827,B3827)</f>
        <v>RIO GRANDE DO NORTE-142</v>
      </c>
      <c r="B3827" s="5" t="s">
        <v>2449</v>
      </c>
      <c r="C3827" s="5" t="s">
        <v>976</v>
      </c>
      <c r="D3827" s="6">
        <v>-35911</v>
      </c>
      <c r="E3827" s="6">
        <v>-6104</v>
      </c>
      <c r="F3827" s="7">
        <v>5.4980000000000002</v>
      </c>
      <c r="G3827" s="7">
        <v>5.7279999999999998</v>
      </c>
      <c r="H3827" s="7">
        <v>5.8730000000000002</v>
      </c>
      <c r="I3827" s="7">
        <v>5.7960000000000003</v>
      </c>
      <c r="J3827" s="7">
        <v>5.492</v>
      </c>
      <c r="K3827" s="7">
        <v>4.97</v>
      </c>
      <c r="L3827" s="7">
        <v>4.4980000000000002</v>
      </c>
      <c r="M3827" s="7">
        <v>4.7050000000000001</v>
      </c>
      <c r="N3827" s="7">
        <v>5.351</v>
      </c>
      <c r="O3827" s="7">
        <v>5.8079999999999998</v>
      </c>
      <c r="P3827" s="7">
        <v>5.9580000000000002</v>
      </c>
      <c r="Q3827" s="7">
        <v>6.1040000000000001</v>
      </c>
      <c r="R3827" s="7">
        <v>5.6879999999999997</v>
      </c>
      <c r="S3827" s="7">
        <f t="shared" si="59"/>
        <v>5.4975833333333322</v>
      </c>
    </row>
    <row r="3828" spans="1:19">
      <c r="A3828" s="5" t="str">
        <f>B3828&amp;"-"&amp;COUNTIF($B$2:B3828,B3828)</f>
        <v>RIO GRANDE DO NORTE-143</v>
      </c>
      <c r="B3828" s="5" t="s">
        <v>2449</v>
      </c>
      <c r="C3828" s="5" t="s">
        <v>5205</v>
      </c>
      <c r="D3828" s="6">
        <v>-356928</v>
      </c>
      <c r="E3828" s="6">
        <v>-6036</v>
      </c>
      <c r="F3828" s="7">
        <v>5.5590000000000002</v>
      </c>
      <c r="G3828" s="7">
        <v>5.8879999999999999</v>
      </c>
      <c r="H3828" s="7">
        <v>5.87</v>
      </c>
      <c r="I3828" s="7">
        <v>5.9059999999999997</v>
      </c>
      <c r="J3828" s="7">
        <v>5.516</v>
      </c>
      <c r="K3828" s="7">
        <v>4.9729999999999999</v>
      </c>
      <c r="L3828" s="7">
        <v>4.5389999999999997</v>
      </c>
      <c r="M3828" s="7">
        <v>4.7050000000000001</v>
      </c>
      <c r="N3828" s="7">
        <v>5.4240000000000004</v>
      </c>
      <c r="O3828" s="7">
        <v>5.806</v>
      </c>
      <c r="P3828" s="7">
        <v>6.0049999999999999</v>
      </c>
      <c r="Q3828" s="7">
        <v>6.1920000000000002</v>
      </c>
      <c r="R3828" s="7">
        <v>5.8819999999999997</v>
      </c>
      <c r="S3828" s="7">
        <f t="shared" si="59"/>
        <v>5.5588333333333333</v>
      </c>
    </row>
    <row r="3829" spans="1:19">
      <c r="A3829" s="5" t="str">
        <f>B3829&amp;"-"&amp;COUNTIF($B$2:B3829,B3829)</f>
        <v>RIO GRANDE DO NORTE-144</v>
      </c>
      <c r="B3829" s="5" t="s">
        <v>2449</v>
      </c>
      <c r="C3829" s="5" t="s">
        <v>2533</v>
      </c>
      <c r="D3829" s="6">
        <v>-351255</v>
      </c>
      <c r="E3829" s="6">
        <v>-61638</v>
      </c>
      <c r="F3829" s="7">
        <v>5.66</v>
      </c>
      <c r="G3829" s="7">
        <v>5.93</v>
      </c>
      <c r="H3829" s="7">
        <v>6.1349999999999998</v>
      </c>
      <c r="I3829" s="7">
        <v>6.15</v>
      </c>
      <c r="J3829" s="7">
        <v>5.5359999999999996</v>
      </c>
      <c r="K3829" s="7">
        <v>5.0410000000000004</v>
      </c>
      <c r="L3829" s="7">
        <v>4.5030000000000001</v>
      </c>
      <c r="M3829" s="7">
        <v>4.6639999999999997</v>
      </c>
      <c r="N3829" s="7">
        <v>5.4669999999999996</v>
      </c>
      <c r="O3829" s="7">
        <v>5.9180000000000001</v>
      </c>
      <c r="P3829" s="7">
        <v>6.181</v>
      </c>
      <c r="Q3829" s="7">
        <v>6.2930000000000001</v>
      </c>
      <c r="R3829" s="7">
        <v>6.1020000000000003</v>
      </c>
      <c r="S3829" s="7">
        <f t="shared" si="59"/>
        <v>5.66</v>
      </c>
    </row>
    <row r="3830" spans="1:19">
      <c r="A3830" s="5" t="str">
        <f>B3830&amp;"-"&amp;COUNTIF($B$2:B3830,B3830)</f>
        <v>RIO GRANDE DO NORTE-145</v>
      </c>
      <c r="B3830" s="5" t="s">
        <v>2449</v>
      </c>
      <c r="C3830" s="5" t="s">
        <v>2534</v>
      </c>
      <c r="D3830" s="6">
        <v>-357124</v>
      </c>
      <c r="E3830" s="6">
        <v>-61059</v>
      </c>
      <c r="F3830" s="7">
        <v>5.4960000000000004</v>
      </c>
      <c r="G3830" s="7">
        <v>5.7</v>
      </c>
      <c r="H3830" s="7">
        <v>5.8029999999999999</v>
      </c>
      <c r="I3830" s="7">
        <v>5.7869999999999999</v>
      </c>
      <c r="J3830" s="7">
        <v>5.4740000000000002</v>
      </c>
      <c r="K3830" s="7">
        <v>4.9809999999999999</v>
      </c>
      <c r="L3830" s="7">
        <v>4.5010000000000003</v>
      </c>
      <c r="M3830" s="7">
        <v>4.6790000000000003</v>
      </c>
      <c r="N3830" s="7">
        <v>5.407</v>
      </c>
      <c r="O3830" s="7">
        <v>5.7549999999999999</v>
      </c>
      <c r="P3830" s="7">
        <v>5.9279999999999999</v>
      </c>
      <c r="Q3830" s="7">
        <v>6.1269999999999998</v>
      </c>
      <c r="R3830" s="7">
        <v>5.8049999999999997</v>
      </c>
      <c r="S3830" s="7">
        <f t="shared" si="59"/>
        <v>5.4955833333333333</v>
      </c>
    </row>
    <row r="3831" spans="1:19">
      <c r="A3831" s="5" t="str">
        <f>B3831&amp;"-"&amp;COUNTIF($B$2:B3831,B3831)</f>
        <v>RIO GRANDE DO NORTE-146</v>
      </c>
      <c r="B3831" s="5" t="s">
        <v>2449</v>
      </c>
      <c r="C3831" s="5" t="s">
        <v>4153</v>
      </c>
      <c r="D3831" s="6">
        <v>-357049</v>
      </c>
      <c r="E3831" s="6">
        <v>-64178</v>
      </c>
      <c r="F3831" s="7">
        <v>5.5359999999999996</v>
      </c>
      <c r="G3831" s="7">
        <v>5.8129999999999997</v>
      </c>
      <c r="H3831" s="7">
        <v>5.9359999999999999</v>
      </c>
      <c r="I3831" s="7">
        <v>5.984</v>
      </c>
      <c r="J3831" s="7">
        <v>5.484</v>
      </c>
      <c r="K3831" s="7">
        <v>4.9109999999999996</v>
      </c>
      <c r="L3831" s="7">
        <v>4.5039999999999996</v>
      </c>
      <c r="M3831" s="7">
        <v>4.6289999999999996</v>
      </c>
      <c r="N3831" s="7">
        <v>5.3769999999999998</v>
      </c>
      <c r="O3831" s="7">
        <v>5.7850000000000001</v>
      </c>
      <c r="P3831" s="7">
        <v>5.9429999999999996</v>
      </c>
      <c r="Q3831" s="7">
        <v>6.1589999999999998</v>
      </c>
      <c r="R3831" s="7">
        <v>5.9020000000000001</v>
      </c>
      <c r="S3831" s="7">
        <f t="shared" si="59"/>
        <v>5.5355833333333324</v>
      </c>
    </row>
    <row r="3832" spans="1:19">
      <c r="A3832" s="5" t="str">
        <f>B3832&amp;"-"&amp;COUNTIF($B$2:B3832,B3832)</f>
        <v>RIO GRANDE DO NORTE-147</v>
      </c>
      <c r="B3832" s="5" t="s">
        <v>2449</v>
      </c>
      <c r="C3832" s="5" t="s">
        <v>2535</v>
      </c>
      <c r="D3832" s="5" t="s">
        <v>2536</v>
      </c>
      <c r="E3832" s="6">
        <v>-51716</v>
      </c>
      <c r="F3832" s="7">
        <v>5.8369999999999997</v>
      </c>
      <c r="G3832" s="7">
        <v>5.9219999999999997</v>
      </c>
      <c r="H3832" s="7">
        <v>5.8810000000000002</v>
      </c>
      <c r="I3832" s="7">
        <v>5.8070000000000004</v>
      </c>
      <c r="J3832" s="7">
        <v>5.4619999999999997</v>
      </c>
      <c r="K3832" s="7">
        <v>5.3049999999999997</v>
      </c>
      <c r="L3832" s="7">
        <v>5.0030000000000001</v>
      </c>
      <c r="M3832" s="7">
        <v>5.2240000000000002</v>
      </c>
      <c r="N3832" s="7">
        <v>5.9180000000000001</v>
      </c>
      <c r="O3832" s="7">
        <v>6.3959999999999999</v>
      </c>
      <c r="P3832" s="7">
        <v>6.4880000000000004</v>
      </c>
      <c r="Q3832" s="7">
        <v>6.5209999999999999</v>
      </c>
      <c r="R3832" s="7">
        <v>6.1210000000000004</v>
      </c>
      <c r="S3832" s="7">
        <f t="shared" si="59"/>
        <v>5.8373333333333335</v>
      </c>
    </row>
    <row r="3833" spans="1:19">
      <c r="A3833" s="5" t="str">
        <f>B3833&amp;"-"&amp;COUNTIF($B$2:B3833,B3833)</f>
        <v>RIO GRANDE DO NORTE-148</v>
      </c>
      <c r="B3833" s="5" t="s">
        <v>2449</v>
      </c>
      <c r="C3833" s="5" t="s">
        <v>2537</v>
      </c>
      <c r="D3833" s="6">
        <v>-373987</v>
      </c>
      <c r="E3833" s="6">
        <v>-66658</v>
      </c>
      <c r="F3833" s="7">
        <v>5.9349999999999996</v>
      </c>
      <c r="G3833" s="7">
        <v>6.1059999999999999</v>
      </c>
      <c r="H3833" s="7">
        <v>6.2359999999999998</v>
      </c>
      <c r="I3833" s="7">
        <v>6.1790000000000003</v>
      </c>
      <c r="J3833" s="7">
        <v>5.835</v>
      </c>
      <c r="K3833" s="7">
        <v>5.2160000000000002</v>
      </c>
      <c r="L3833" s="7">
        <v>4.7859999999999996</v>
      </c>
      <c r="M3833" s="7">
        <v>5.0910000000000002</v>
      </c>
      <c r="N3833" s="7">
        <v>5.8369999999999997</v>
      </c>
      <c r="O3833" s="7">
        <v>6.3789999999999996</v>
      </c>
      <c r="P3833" s="7">
        <v>6.5979999999999999</v>
      </c>
      <c r="Q3833" s="7">
        <v>6.68</v>
      </c>
      <c r="R3833" s="7">
        <v>6.282</v>
      </c>
      <c r="S3833" s="7">
        <f t="shared" si="59"/>
        <v>5.9354166666666659</v>
      </c>
    </row>
    <row r="3834" spans="1:19">
      <c r="A3834" s="5" t="str">
        <f>B3834&amp;"-"&amp;COUNTIF($B$2:B3834,B3834)</f>
        <v>RIO GRANDE DO NORTE-149</v>
      </c>
      <c r="B3834" s="5" t="s">
        <v>2449</v>
      </c>
      <c r="C3834" s="5" t="s">
        <v>533</v>
      </c>
      <c r="D3834" s="6">
        <v>-354972</v>
      </c>
      <c r="E3834" s="6">
        <v>-62781</v>
      </c>
      <c r="F3834" s="7">
        <v>5.5209999999999999</v>
      </c>
      <c r="G3834" s="7">
        <v>5.7439999999999998</v>
      </c>
      <c r="H3834" s="7">
        <v>5.9</v>
      </c>
      <c r="I3834" s="7">
        <v>6.0259999999999998</v>
      </c>
      <c r="J3834" s="7">
        <v>5.4219999999999997</v>
      </c>
      <c r="K3834" s="7">
        <v>4.8979999999999997</v>
      </c>
      <c r="L3834" s="7">
        <v>4.4809999999999999</v>
      </c>
      <c r="M3834" s="7">
        <v>4.6550000000000002</v>
      </c>
      <c r="N3834" s="7">
        <v>5.298</v>
      </c>
      <c r="O3834" s="7">
        <v>5.7469999999999999</v>
      </c>
      <c r="P3834" s="7">
        <v>5.9950000000000001</v>
      </c>
      <c r="Q3834" s="7">
        <v>6.226</v>
      </c>
      <c r="R3834" s="7">
        <v>5.8570000000000002</v>
      </c>
      <c r="S3834" s="7">
        <f t="shared" si="59"/>
        <v>5.5207500000000005</v>
      </c>
    </row>
    <row r="3835" spans="1:19">
      <c r="A3835" s="5" t="str">
        <f>B3835&amp;"-"&amp;COUNTIF($B$2:B3835,B3835)</f>
        <v>RIO GRANDE DO NORTE-150</v>
      </c>
      <c r="B3835" s="5" t="s">
        <v>2449</v>
      </c>
      <c r="C3835" s="5" t="s">
        <v>2538</v>
      </c>
      <c r="D3835" s="6">
        <v>-379551</v>
      </c>
      <c r="E3835" s="6">
        <v>-61113</v>
      </c>
      <c r="F3835" s="7">
        <v>5.992</v>
      </c>
      <c r="G3835" s="7">
        <v>6.1020000000000003</v>
      </c>
      <c r="H3835" s="7">
        <v>6.008</v>
      </c>
      <c r="I3835" s="7">
        <v>6.03</v>
      </c>
      <c r="J3835" s="7">
        <v>5.7629999999999999</v>
      </c>
      <c r="K3835" s="7">
        <v>5.3179999999999996</v>
      </c>
      <c r="L3835" s="7">
        <v>5.0570000000000004</v>
      </c>
      <c r="M3835" s="7">
        <v>5.4169999999999998</v>
      </c>
      <c r="N3835" s="7">
        <v>6.1029999999999998</v>
      </c>
      <c r="O3835" s="7">
        <v>6.5209999999999999</v>
      </c>
      <c r="P3835" s="7">
        <v>6.6790000000000003</v>
      </c>
      <c r="Q3835" s="7">
        <v>6.7119999999999997</v>
      </c>
      <c r="R3835" s="7">
        <v>6.19</v>
      </c>
      <c r="S3835" s="7">
        <f t="shared" si="59"/>
        <v>5.9916666666666671</v>
      </c>
    </row>
    <row r="3836" spans="1:19">
      <c r="A3836" s="5" t="str">
        <f>B3836&amp;"-"&amp;COUNTIF($B$2:B3836,B3836)</f>
        <v>RIO GRANDE DO NORTE-151</v>
      </c>
      <c r="B3836" s="5" t="s">
        <v>2449</v>
      </c>
      <c r="C3836" s="5" t="s">
        <v>2539</v>
      </c>
      <c r="D3836" s="6">
        <v>-379573</v>
      </c>
      <c r="E3836" s="6">
        <v>-57771</v>
      </c>
      <c r="F3836" s="7">
        <v>5.9740000000000002</v>
      </c>
      <c r="G3836" s="7">
        <v>6.0069999999999997</v>
      </c>
      <c r="H3836" s="7">
        <v>6.0830000000000002</v>
      </c>
      <c r="I3836" s="7">
        <v>6.08</v>
      </c>
      <c r="J3836" s="7">
        <v>5.7279999999999998</v>
      </c>
      <c r="K3836" s="7">
        <v>5.3659999999999997</v>
      </c>
      <c r="L3836" s="7">
        <v>5.0469999999999997</v>
      </c>
      <c r="M3836" s="7">
        <v>5.407</v>
      </c>
      <c r="N3836" s="7">
        <v>6.0750000000000002</v>
      </c>
      <c r="O3836" s="7">
        <v>6.4329999999999998</v>
      </c>
      <c r="P3836" s="7">
        <v>6.665</v>
      </c>
      <c r="Q3836" s="7">
        <v>6.6550000000000002</v>
      </c>
      <c r="R3836" s="7">
        <v>6.149</v>
      </c>
      <c r="S3836" s="7">
        <f t="shared" si="59"/>
        <v>5.9745833333333342</v>
      </c>
    </row>
    <row r="3837" spans="1:19">
      <c r="A3837" s="5" t="str">
        <f>B3837&amp;"-"&amp;COUNTIF($B$2:B3837,B3837)</f>
        <v>RIO GRANDE DO NORTE-152</v>
      </c>
      <c r="B3837" s="5" t="s">
        <v>2449</v>
      </c>
      <c r="C3837" s="5" t="s">
        <v>2540</v>
      </c>
      <c r="D3837" s="6">
        <v>-38037</v>
      </c>
      <c r="E3837" s="6">
        <v>-59199</v>
      </c>
      <c r="F3837" s="7">
        <v>5.9589999999999996</v>
      </c>
      <c r="G3837" s="7">
        <v>5.9550000000000001</v>
      </c>
      <c r="H3837" s="7">
        <v>6.0780000000000003</v>
      </c>
      <c r="I3837" s="7">
        <v>6.0679999999999996</v>
      </c>
      <c r="J3837" s="7">
        <v>5.7329999999999997</v>
      </c>
      <c r="K3837" s="7">
        <v>5.3490000000000002</v>
      </c>
      <c r="L3837" s="7">
        <v>5.0179999999999998</v>
      </c>
      <c r="M3837" s="7">
        <v>5.3609999999999998</v>
      </c>
      <c r="N3837" s="7">
        <v>6.0209999999999999</v>
      </c>
      <c r="O3837" s="7">
        <v>6.4530000000000003</v>
      </c>
      <c r="P3837" s="7">
        <v>6.649</v>
      </c>
      <c r="Q3837" s="7">
        <v>6.66</v>
      </c>
      <c r="R3837" s="7">
        <v>6.1639999999999997</v>
      </c>
      <c r="S3837" s="7">
        <f t="shared" si="59"/>
        <v>5.9590833333333331</v>
      </c>
    </row>
    <row r="3838" spans="1:19">
      <c r="A3838" s="5" t="str">
        <f>B3838&amp;"-"&amp;COUNTIF($B$2:B3838,B3838)</f>
        <v>RIO GRANDE DO NORTE-153</v>
      </c>
      <c r="B3838" s="5" t="s">
        <v>2449</v>
      </c>
      <c r="C3838" s="5" t="s">
        <v>2541</v>
      </c>
      <c r="D3838" s="6">
        <v>-355988</v>
      </c>
      <c r="E3838" s="6">
        <v>-56254</v>
      </c>
      <c r="F3838" s="7">
        <v>5.6189999999999998</v>
      </c>
      <c r="G3838" s="7">
        <v>5.9059999999999997</v>
      </c>
      <c r="H3838" s="7">
        <v>6.0339999999999998</v>
      </c>
      <c r="I3838" s="7">
        <v>5.99</v>
      </c>
      <c r="J3838" s="7">
        <v>5.5369999999999999</v>
      </c>
      <c r="K3838" s="7">
        <v>5.0129999999999999</v>
      </c>
      <c r="L3838" s="7">
        <v>4.641</v>
      </c>
      <c r="M3838" s="7">
        <v>4.7450000000000001</v>
      </c>
      <c r="N3838" s="7">
        <v>5.4370000000000003</v>
      </c>
      <c r="O3838" s="7">
        <v>5.9370000000000003</v>
      </c>
      <c r="P3838" s="7">
        <v>6.085</v>
      </c>
      <c r="Q3838" s="7">
        <v>6.2359999999999998</v>
      </c>
      <c r="R3838" s="7">
        <v>5.867</v>
      </c>
      <c r="S3838" s="7">
        <f t="shared" si="59"/>
        <v>5.6189999999999989</v>
      </c>
    </row>
    <row r="3839" spans="1:19">
      <c r="A3839" s="5" t="str">
        <f>B3839&amp;"-"&amp;COUNTIF($B$2:B3839,B3839)</f>
        <v>RIO GRANDE DO NORTE-154</v>
      </c>
      <c r="B3839" s="5" t="s">
        <v>2449</v>
      </c>
      <c r="C3839" s="5" t="s">
        <v>5704</v>
      </c>
      <c r="D3839" s="6">
        <v>-358003</v>
      </c>
      <c r="E3839" s="6">
        <v>-61976</v>
      </c>
      <c r="F3839" s="7">
        <v>5.4740000000000002</v>
      </c>
      <c r="G3839" s="7">
        <v>5.7560000000000002</v>
      </c>
      <c r="H3839" s="7">
        <v>5.8449999999999998</v>
      </c>
      <c r="I3839" s="7">
        <v>5.8380000000000001</v>
      </c>
      <c r="J3839" s="7">
        <v>5.4859999999999998</v>
      </c>
      <c r="K3839" s="7">
        <v>4.9560000000000004</v>
      </c>
      <c r="L3839" s="7">
        <v>4.4669999999999996</v>
      </c>
      <c r="M3839" s="7">
        <v>4.6100000000000003</v>
      </c>
      <c r="N3839" s="7">
        <v>5.3040000000000003</v>
      </c>
      <c r="O3839" s="7">
        <v>5.7290000000000001</v>
      </c>
      <c r="P3839" s="7">
        <v>5.8970000000000002</v>
      </c>
      <c r="Q3839" s="7">
        <v>6.0570000000000004</v>
      </c>
      <c r="R3839" s="7">
        <v>5.7409999999999997</v>
      </c>
      <c r="S3839" s="7">
        <f t="shared" si="59"/>
        <v>5.4738333333333342</v>
      </c>
    </row>
    <row r="3840" spans="1:19">
      <c r="A3840" s="5" t="str">
        <f>B3840&amp;"-"&amp;COUNTIF($B$2:B3840,B3840)</f>
        <v>RIO GRANDE DO NORTE-155</v>
      </c>
      <c r="B3840" s="5" t="s">
        <v>2449</v>
      </c>
      <c r="C3840" s="5" t="s">
        <v>2542</v>
      </c>
      <c r="D3840" s="6">
        <v>-381823</v>
      </c>
      <c r="E3840" s="6">
        <v>-64586</v>
      </c>
      <c r="F3840" s="7">
        <v>5.9429999999999996</v>
      </c>
      <c r="G3840" s="7">
        <v>6.0220000000000002</v>
      </c>
      <c r="H3840" s="7">
        <v>5.97</v>
      </c>
      <c r="I3840" s="7">
        <v>6.0519999999999996</v>
      </c>
      <c r="J3840" s="7">
        <v>5.7149999999999999</v>
      </c>
      <c r="K3840" s="7">
        <v>5.26</v>
      </c>
      <c r="L3840" s="7">
        <v>4.9820000000000002</v>
      </c>
      <c r="M3840" s="7">
        <v>5.2690000000000001</v>
      </c>
      <c r="N3840" s="7">
        <v>6.0309999999999997</v>
      </c>
      <c r="O3840" s="7">
        <v>6.4640000000000004</v>
      </c>
      <c r="P3840" s="7">
        <v>6.5970000000000004</v>
      </c>
      <c r="Q3840" s="7">
        <v>6.75</v>
      </c>
      <c r="R3840" s="7">
        <v>6.2030000000000003</v>
      </c>
      <c r="S3840" s="7">
        <f t="shared" si="59"/>
        <v>5.9429166666666662</v>
      </c>
    </row>
    <row r="3841" spans="1:19">
      <c r="A3841" s="5" t="str">
        <f>B3841&amp;"-"&amp;COUNTIF($B$2:B3841,B3841)</f>
        <v>RIO GRANDE DO NORTE-156</v>
      </c>
      <c r="B3841" s="5" t="s">
        <v>2449</v>
      </c>
      <c r="C3841" s="5" t="s">
        <v>2543</v>
      </c>
      <c r="D3841" s="6">
        <v>-367174</v>
      </c>
      <c r="E3841" s="6">
        <v>-61481</v>
      </c>
      <c r="F3841" s="7">
        <v>5.718</v>
      </c>
      <c r="G3841" s="7">
        <v>5.8319999999999999</v>
      </c>
      <c r="H3841" s="7">
        <v>5.7270000000000003</v>
      </c>
      <c r="I3841" s="7">
        <v>5.8040000000000003</v>
      </c>
      <c r="J3841" s="7">
        <v>5.4889999999999999</v>
      </c>
      <c r="K3841" s="7">
        <v>5.0460000000000003</v>
      </c>
      <c r="L3841" s="7">
        <v>4.7149999999999999</v>
      </c>
      <c r="M3841" s="7">
        <v>5.0720000000000001</v>
      </c>
      <c r="N3841" s="7">
        <v>5.8659999999999997</v>
      </c>
      <c r="O3841" s="7">
        <v>6.3479999999999999</v>
      </c>
      <c r="P3841" s="7">
        <v>6.4450000000000003</v>
      </c>
      <c r="Q3841" s="7">
        <v>6.431</v>
      </c>
      <c r="R3841" s="7">
        <v>5.8490000000000002</v>
      </c>
      <c r="S3841" s="7">
        <f t="shared" si="59"/>
        <v>5.7186666666666666</v>
      </c>
    </row>
    <row r="3842" spans="1:19">
      <c r="A3842" s="5" t="str">
        <f>B3842&amp;"-"&amp;COUNTIF($B$2:B3842,B3842)</f>
        <v>RIO GRANDE DO NORTE-157</v>
      </c>
      <c r="B3842" s="5" t="s">
        <v>2449</v>
      </c>
      <c r="C3842" s="5" t="s">
        <v>2544</v>
      </c>
      <c r="D3842" s="6">
        <v>-372557</v>
      </c>
      <c r="E3842" s="6">
        <v>-48377</v>
      </c>
      <c r="F3842" s="7">
        <v>5.9610000000000003</v>
      </c>
      <c r="G3842" s="7">
        <v>6.3289999999999997</v>
      </c>
      <c r="H3842" s="7">
        <v>6.2679999999999998</v>
      </c>
      <c r="I3842" s="7">
        <v>6.1319999999999997</v>
      </c>
      <c r="J3842" s="7">
        <v>5.7629999999999999</v>
      </c>
      <c r="K3842" s="7">
        <v>5.5190000000000001</v>
      </c>
      <c r="L3842" s="7">
        <v>5.2469999999999999</v>
      </c>
      <c r="M3842" s="7">
        <v>5.46</v>
      </c>
      <c r="N3842" s="7">
        <v>6.0359999999999996</v>
      </c>
      <c r="O3842" s="7">
        <v>6.0810000000000004</v>
      </c>
      <c r="P3842" s="7">
        <v>6.0529999999999999</v>
      </c>
      <c r="Q3842" s="7">
        <v>6.2409999999999997</v>
      </c>
      <c r="R3842" s="7">
        <v>6.407</v>
      </c>
      <c r="S3842" s="7">
        <f t="shared" si="59"/>
        <v>5.9613333333333323</v>
      </c>
    </row>
    <row r="3843" spans="1:19">
      <c r="A3843" s="5" t="str">
        <f>B3843&amp;"-"&amp;COUNTIF($B$2:B3843,B3843)</f>
        <v>RIO GRANDE DO NORTE-158</v>
      </c>
      <c r="B3843" s="5" t="s">
        <v>2449</v>
      </c>
      <c r="C3843" s="5" t="s">
        <v>2545</v>
      </c>
      <c r="D3843" s="6">
        <v>-350921</v>
      </c>
      <c r="E3843" s="6">
        <v>-61874</v>
      </c>
      <c r="F3843" s="7">
        <v>5.8419999999999996</v>
      </c>
      <c r="G3843" s="7">
        <v>6.16</v>
      </c>
      <c r="H3843" s="7">
        <v>6.28</v>
      </c>
      <c r="I3843" s="7">
        <v>6.2489999999999997</v>
      </c>
      <c r="J3843" s="7">
        <v>5.6609999999999996</v>
      </c>
      <c r="K3843" s="7">
        <v>5.1909999999999998</v>
      </c>
      <c r="L3843" s="7">
        <v>4.6539999999999999</v>
      </c>
      <c r="M3843" s="7">
        <v>4.8440000000000003</v>
      </c>
      <c r="N3843" s="7">
        <v>5.7249999999999996</v>
      </c>
      <c r="O3843" s="7">
        <v>6.1310000000000002</v>
      </c>
      <c r="P3843" s="7">
        <v>6.3360000000000003</v>
      </c>
      <c r="Q3843" s="7">
        <v>6.5439999999999996</v>
      </c>
      <c r="R3843" s="7">
        <v>6.3250000000000002</v>
      </c>
      <c r="S3843" s="7">
        <f t="shared" ref="S3843:S3906" si="60">(G3843+H3843+I3843+J3843+K3843+L3843+M3843+N3843+O3843+P3843+Q3843+R3843)/12</f>
        <v>5.8416666666666659</v>
      </c>
    </row>
    <row r="3844" spans="1:19">
      <c r="A3844" s="5" t="str">
        <f>B3844&amp;"-"&amp;COUNTIF($B$2:B3844,B3844)</f>
        <v>RIO GRANDE DO NORTE-159</v>
      </c>
      <c r="B3844" s="5" t="s">
        <v>2449</v>
      </c>
      <c r="C3844" s="5" t="s">
        <v>4873</v>
      </c>
      <c r="D3844" s="6">
        <v>-372733</v>
      </c>
      <c r="E3844" s="6">
        <v>-64625</v>
      </c>
      <c r="F3844" s="7">
        <v>5.9489999999999998</v>
      </c>
      <c r="G3844" s="7">
        <v>6.1420000000000003</v>
      </c>
      <c r="H3844" s="7">
        <v>6.2709999999999999</v>
      </c>
      <c r="I3844" s="7">
        <v>6.18</v>
      </c>
      <c r="J3844" s="7">
        <v>5.8620000000000001</v>
      </c>
      <c r="K3844" s="7">
        <v>5.2949999999999999</v>
      </c>
      <c r="L3844" s="7">
        <v>4.835</v>
      </c>
      <c r="M3844" s="7">
        <v>5.12</v>
      </c>
      <c r="N3844" s="7">
        <v>5.8559999999999999</v>
      </c>
      <c r="O3844" s="7">
        <v>6.3890000000000002</v>
      </c>
      <c r="P3844" s="7">
        <v>6.6059999999999999</v>
      </c>
      <c r="Q3844" s="7">
        <v>6.5789999999999997</v>
      </c>
      <c r="R3844" s="7">
        <v>6.2569999999999997</v>
      </c>
      <c r="S3844" s="7">
        <f t="shared" si="60"/>
        <v>5.9493333333333345</v>
      </c>
    </row>
    <row r="3845" spans="1:19">
      <c r="A3845" s="5" t="str">
        <f>B3845&amp;"-"&amp;COUNTIF($B$2:B3845,B3845)</f>
        <v>RIO GRANDE DO NORTE-160</v>
      </c>
      <c r="B3845" s="5" t="s">
        <v>2449</v>
      </c>
      <c r="C3845" s="5" t="s">
        <v>2546</v>
      </c>
      <c r="D3845" s="6">
        <v>-354597</v>
      </c>
      <c r="E3845" s="6">
        <v>-51993</v>
      </c>
      <c r="F3845" s="7">
        <v>5.8239999999999998</v>
      </c>
      <c r="G3845" s="7">
        <v>6.1740000000000004</v>
      </c>
      <c r="H3845" s="7">
        <v>6.2149999999999999</v>
      </c>
      <c r="I3845" s="7">
        <v>6.1020000000000003</v>
      </c>
      <c r="J3845" s="7">
        <v>5.6550000000000002</v>
      </c>
      <c r="K3845" s="7">
        <v>5.2190000000000003</v>
      </c>
      <c r="L3845" s="7">
        <v>4.8810000000000002</v>
      </c>
      <c r="M3845" s="7">
        <v>5.0439999999999996</v>
      </c>
      <c r="N3845" s="7">
        <v>5.7290000000000001</v>
      </c>
      <c r="O3845" s="7">
        <v>6.2080000000000002</v>
      </c>
      <c r="P3845" s="7">
        <v>6.1760000000000002</v>
      </c>
      <c r="Q3845" s="7">
        <v>6.37</v>
      </c>
      <c r="R3845" s="7">
        <v>6.1189999999999998</v>
      </c>
      <c r="S3845" s="7">
        <f t="shared" si="60"/>
        <v>5.8243333333333327</v>
      </c>
    </row>
    <row r="3846" spans="1:19">
      <c r="A3846" s="5" t="str">
        <f>B3846&amp;"-"&amp;COUNTIF($B$2:B3846,B3846)</f>
        <v>RIO GRANDE DO NORTE-161</v>
      </c>
      <c r="B3846" s="5" t="s">
        <v>2449</v>
      </c>
      <c r="C3846" s="5" t="s">
        <v>2547</v>
      </c>
      <c r="D3846" s="6">
        <v>-371864</v>
      </c>
      <c r="E3846" s="6">
        <v>-58672</v>
      </c>
      <c r="F3846" s="7">
        <v>5.952</v>
      </c>
      <c r="G3846" s="7">
        <v>6.0640000000000001</v>
      </c>
      <c r="H3846" s="7">
        <v>6.1449999999999996</v>
      </c>
      <c r="I3846" s="7">
        <v>6.1719999999999997</v>
      </c>
      <c r="J3846" s="7">
        <v>5.8029999999999999</v>
      </c>
      <c r="K3846" s="7">
        <v>5.3840000000000003</v>
      </c>
      <c r="L3846" s="7">
        <v>4.9480000000000004</v>
      </c>
      <c r="M3846" s="7">
        <v>5.2610000000000001</v>
      </c>
      <c r="N3846" s="7">
        <v>5.9279999999999999</v>
      </c>
      <c r="O3846" s="7">
        <v>6.41</v>
      </c>
      <c r="P3846" s="7">
        <v>6.569</v>
      </c>
      <c r="Q3846" s="7">
        <v>6.569</v>
      </c>
      <c r="R3846" s="7">
        <v>6.1660000000000004</v>
      </c>
      <c r="S3846" s="7">
        <f t="shared" si="60"/>
        <v>5.9515833333333346</v>
      </c>
    </row>
    <row r="3847" spans="1:19">
      <c r="A3847" s="5" t="str">
        <f>B3847&amp;"-"&amp;COUNTIF($B$2:B3847,B3847)</f>
        <v>RIO GRANDE DO NORTE-162</v>
      </c>
      <c r="B3847" s="5" t="s">
        <v>2449</v>
      </c>
      <c r="C3847" s="5" t="s">
        <v>2548</v>
      </c>
      <c r="D3847" s="6">
        <v>-378183</v>
      </c>
      <c r="E3847" s="6">
        <v>-59828</v>
      </c>
      <c r="F3847" s="7">
        <v>6.0250000000000004</v>
      </c>
      <c r="G3847" s="7">
        <v>6.0940000000000003</v>
      </c>
      <c r="H3847" s="7">
        <v>6.1269999999999998</v>
      </c>
      <c r="I3847" s="7">
        <v>6.1529999999999996</v>
      </c>
      <c r="J3847" s="7">
        <v>5.875</v>
      </c>
      <c r="K3847" s="7">
        <v>5.4509999999999996</v>
      </c>
      <c r="L3847" s="7">
        <v>5.0979999999999999</v>
      </c>
      <c r="M3847" s="7">
        <v>5.4359999999999999</v>
      </c>
      <c r="N3847" s="7">
        <v>6.1059999999999999</v>
      </c>
      <c r="O3847" s="7">
        <v>6.4809999999999999</v>
      </c>
      <c r="P3847" s="7">
        <v>6.6639999999999997</v>
      </c>
      <c r="Q3847" s="7">
        <v>6.6749999999999998</v>
      </c>
      <c r="R3847" s="7">
        <v>6.1420000000000003</v>
      </c>
      <c r="S3847" s="7">
        <f t="shared" si="60"/>
        <v>6.0251666666666672</v>
      </c>
    </row>
    <row r="3848" spans="1:19">
      <c r="A3848" s="5" t="str">
        <f>B3848&amp;"-"&amp;COUNTIF($B$2:B3848,B3848)</f>
        <v>RIO GRANDE DO NORTE-163</v>
      </c>
      <c r="B3848" s="5" t="s">
        <v>2449</v>
      </c>
      <c r="C3848" s="5" t="s">
        <v>2549</v>
      </c>
      <c r="D3848" s="6">
        <v>-372598</v>
      </c>
      <c r="E3848" s="6">
        <v>-56423</v>
      </c>
      <c r="F3848" s="7">
        <v>5.9160000000000004</v>
      </c>
      <c r="G3848" s="7">
        <v>5.9770000000000003</v>
      </c>
      <c r="H3848" s="7">
        <v>5.9870000000000001</v>
      </c>
      <c r="I3848" s="7">
        <v>6.0309999999999997</v>
      </c>
      <c r="J3848" s="7">
        <v>5.7830000000000004</v>
      </c>
      <c r="K3848" s="7">
        <v>5.3760000000000003</v>
      </c>
      <c r="L3848" s="7">
        <v>5.0529999999999999</v>
      </c>
      <c r="M3848" s="7">
        <v>5.2869999999999999</v>
      </c>
      <c r="N3848" s="7">
        <v>5.9779999999999998</v>
      </c>
      <c r="O3848" s="7">
        <v>6.3769999999999998</v>
      </c>
      <c r="P3848" s="7">
        <v>6.5720000000000001</v>
      </c>
      <c r="Q3848" s="7">
        <v>6.5339999999999998</v>
      </c>
      <c r="R3848" s="7">
        <v>6.0419999999999998</v>
      </c>
      <c r="S3848" s="7">
        <f t="shared" si="60"/>
        <v>5.9164166666666675</v>
      </c>
    </row>
    <row r="3849" spans="1:19">
      <c r="A3849" s="5" t="str">
        <f>B3849&amp;"-"&amp;COUNTIF($B$2:B3849,B3849)</f>
        <v>RIO GRANDE DO NORTE-164</v>
      </c>
      <c r="B3849" s="5" t="s">
        <v>2449</v>
      </c>
      <c r="C3849" s="5" t="s">
        <v>5650</v>
      </c>
      <c r="D3849" s="6">
        <v>-353735</v>
      </c>
      <c r="E3849" s="6">
        <v>-63468</v>
      </c>
      <c r="F3849" s="7">
        <v>5.5529999999999999</v>
      </c>
      <c r="G3849" s="7">
        <v>5.859</v>
      </c>
      <c r="H3849" s="7">
        <v>6.0019999999999998</v>
      </c>
      <c r="I3849" s="7">
        <v>6.085</v>
      </c>
      <c r="J3849" s="7">
        <v>5.4320000000000004</v>
      </c>
      <c r="K3849" s="7">
        <v>4.9390000000000001</v>
      </c>
      <c r="L3849" s="7">
        <v>4.4459999999999997</v>
      </c>
      <c r="M3849" s="7">
        <v>4.55</v>
      </c>
      <c r="N3849" s="7">
        <v>5.3550000000000004</v>
      </c>
      <c r="O3849" s="7">
        <v>5.7480000000000002</v>
      </c>
      <c r="P3849" s="7">
        <v>6.0279999999999996</v>
      </c>
      <c r="Q3849" s="7">
        <v>6.274</v>
      </c>
      <c r="R3849" s="7">
        <v>5.9139999999999997</v>
      </c>
      <c r="S3849" s="7">
        <f t="shared" si="60"/>
        <v>5.5526666666666662</v>
      </c>
    </row>
    <row r="3850" spans="1:19">
      <c r="A3850" s="5" t="str">
        <f>B3850&amp;"-"&amp;COUNTIF($B$2:B3850,B3850)</f>
        <v>RIO GRANDE DO NORTE-165</v>
      </c>
      <c r="B3850" s="5" t="s">
        <v>2449</v>
      </c>
      <c r="C3850" s="5" t="s">
        <v>2550</v>
      </c>
      <c r="D3850" s="6">
        <v>-384877</v>
      </c>
      <c r="E3850" s="6">
        <v>-63152</v>
      </c>
      <c r="F3850" s="7">
        <v>5.91</v>
      </c>
      <c r="G3850" s="7">
        <v>5.9610000000000003</v>
      </c>
      <c r="H3850" s="7">
        <v>5.8959999999999999</v>
      </c>
      <c r="I3850" s="7">
        <v>5.9050000000000002</v>
      </c>
      <c r="J3850" s="7">
        <v>5.5709999999999997</v>
      </c>
      <c r="K3850" s="7">
        <v>5.2050000000000001</v>
      </c>
      <c r="L3850" s="7">
        <v>4.9749999999999996</v>
      </c>
      <c r="M3850" s="7">
        <v>5.3639999999999999</v>
      </c>
      <c r="N3850" s="7">
        <v>6.0970000000000004</v>
      </c>
      <c r="O3850" s="7">
        <v>6.4889999999999999</v>
      </c>
      <c r="P3850" s="7">
        <v>6.585</v>
      </c>
      <c r="Q3850" s="7">
        <v>6.7119999999999997</v>
      </c>
      <c r="R3850" s="7">
        <v>6.16</v>
      </c>
      <c r="S3850" s="7">
        <f t="shared" si="60"/>
        <v>5.9099999999999993</v>
      </c>
    </row>
    <row r="3851" spans="1:19">
      <c r="A3851" s="5" t="str">
        <f>B3851&amp;"-"&amp;COUNTIF($B$2:B3851,B3851)</f>
        <v>RIO GRANDE DO NORTE-166</v>
      </c>
      <c r="B3851" s="5" t="s">
        <v>2449</v>
      </c>
      <c r="C3851" s="5" t="s">
        <v>553</v>
      </c>
      <c r="D3851" s="6">
        <v>-354283</v>
      </c>
      <c r="E3851" s="6">
        <v>-60444</v>
      </c>
      <c r="F3851" s="7">
        <v>5.5890000000000004</v>
      </c>
      <c r="G3851" s="7">
        <v>5.9530000000000003</v>
      </c>
      <c r="H3851" s="7">
        <v>5.952</v>
      </c>
      <c r="I3851" s="7">
        <v>6.0170000000000003</v>
      </c>
      <c r="J3851" s="7">
        <v>5.5190000000000001</v>
      </c>
      <c r="K3851" s="7">
        <v>4.9660000000000002</v>
      </c>
      <c r="L3851" s="7">
        <v>4.5</v>
      </c>
      <c r="M3851" s="7">
        <v>4.6669999999999998</v>
      </c>
      <c r="N3851" s="7">
        <v>5.37</v>
      </c>
      <c r="O3851" s="7">
        <v>5.8220000000000001</v>
      </c>
      <c r="P3851" s="7">
        <v>6.07</v>
      </c>
      <c r="Q3851" s="7">
        <v>6.2649999999999997</v>
      </c>
      <c r="R3851" s="7">
        <v>5.9640000000000004</v>
      </c>
      <c r="S3851" s="7">
        <f t="shared" si="60"/>
        <v>5.588750000000001</v>
      </c>
    </row>
    <row r="3852" spans="1:19">
      <c r="A3852" s="5" t="str">
        <f>B3852&amp;"-"&amp;COUNTIF($B$2:B3852,B3852)</f>
        <v>RIO GRANDE DO NORTE-167</v>
      </c>
      <c r="B3852" s="5" t="s">
        <v>2449</v>
      </c>
      <c r="C3852" s="5" t="s">
        <v>201</v>
      </c>
      <c r="D3852" s="6">
        <v>-379465</v>
      </c>
      <c r="E3852" s="6">
        <v>-59829</v>
      </c>
      <c r="F3852" s="7">
        <v>6.0179999999999998</v>
      </c>
      <c r="G3852" s="7">
        <v>6.0529999999999999</v>
      </c>
      <c r="H3852" s="7">
        <v>6.1180000000000003</v>
      </c>
      <c r="I3852" s="7">
        <v>6.1390000000000002</v>
      </c>
      <c r="J3852" s="7">
        <v>5.8470000000000004</v>
      </c>
      <c r="K3852" s="7">
        <v>5.3979999999999997</v>
      </c>
      <c r="L3852" s="7">
        <v>5.1079999999999997</v>
      </c>
      <c r="M3852" s="7">
        <v>5.4320000000000004</v>
      </c>
      <c r="N3852" s="7">
        <v>6.1020000000000003</v>
      </c>
      <c r="O3852" s="7">
        <v>6.5</v>
      </c>
      <c r="P3852" s="7">
        <v>6.6710000000000003</v>
      </c>
      <c r="Q3852" s="7">
        <v>6.7009999999999996</v>
      </c>
      <c r="R3852" s="7">
        <v>6.149</v>
      </c>
      <c r="S3852" s="7">
        <f t="shared" si="60"/>
        <v>6.0181666666666667</v>
      </c>
    </row>
    <row r="3853" spans="1:19">
      <c r="A3853" s="5" t="str">
        <f>B3853&amp;"-"&amp;COUNTIF($B$2:B3853,B3853)</f>
        <v>RIO GRANDE DO NORTE-168</v>
      </c>
      <c r="B3853" s="5" t="s">
        <v>2449</v>
      </c>
      <c r="C3853" s="5" t="s">
        <v>2551</v>
      </c>
      <c r="D3853" s="6">
        <v>-350763</v>
      </c>
      <c r="E3853" s="6">
        <v>-63138</v>
      </c>
      <c r="F3853" s="7">
        <v>5.718</v>
      </c>
      <c r="G3853" s="7">
        <v>6.0010000000000003</v>
      </c>
      <c r="H3853" s="7">
        <v>6.15</v>
      </c>
      <c r="I3853" s="7">
        <v>6.1929999999999996</v>
      </c>
      <c r="J3853" s="7">
        <v>5.5860000000000003</v>
      </c>
      <c r="K3853" s="7">
        <v>5.0380000000000003</v>
      </c>
      <c r="L3853" s="7">
        <v>4.5759999999999996</v>
      </c>
      <c r="M3853" s="7">
        <v>4.742</v>
      </c>
      <c r="N3853" s="7">
        <v>5.548</v>
      </c>
      <c r="O3853" s="7">
        <v>6.0209999999999999</v>
      </c>
      <c r="P3853" s="7">
        <v>6.2409999999999997</v>
      </c>
      <c r="Q3853" s="7">
        <v>6.3520000000000003</v>
      </c>
      <c r="R3853" s="7">
        <v>6.173</v>
      </c>
      <c r="S3853" s="7">
        <f t="shared" si="60"/>
        <v>5.7184166666666663</v>
      </c>
    </row>
    <row r="3854" spans="1:19">
      <c r="A3854" s="5" t="str">
        <f>B3854&amp;"-"&amp;COUNTIF($B$2:B3854,B3854)</f>
        <v>RIO GRANDE DO SUL-1</v>
      </c>
      <c r="B3854" s="5" t="s">
        <v>2552</v>
      </c>
      <c r="C3854" s="5" t="s">
        <v>2553</v>
      </c>
      <c r="D3854" s="6">
        <v>-520315</v>
      </c>
      <c r="E3854" s="6">
        <v>-281677</v>
      </c>
      <c r="F3854" s="7">
        <v>4.5419999999999998</v>
      </c>
      <c r="G3854" s="7">
        <v>6.2210000000000001</v>
      </c>
      <c r="H3854" s="7">
        <v>5.7329999999999997</v>
      </c>
      <c r="I3854" s="7">
        <v>4.9390000000000001</v>
      </c>
      <c r="J3854" s="7">
        <v>4.0170000000000003</v>
      </c>
      <c r="K3854" s="7">
        <v>3.0089999999999999</v>
      </c>
      <c r="L3854" s="7">
        <v>2.5129999999999999</v>
      </c>
      <c r="M3854" s="7">
        <v>2.8519999999999999</v>
      </c>
      <c r="N3854" s="7">
        <v>3.6459999999999999</v>
      </c>
      <c r="O3854" s="7">
        <v>3.8690000000000002</v>
      </c>
      <c r="P3854" s="7">
        <v>5.0110000000000001</v>
      </c>
      <c r="Q3854" s="7">
        <v>6.1849999999999996</v>
      </c>
      <c r="R3854" s="7">
        <v>6.5060000000000002</v>
      </c>
      <c r="S3854" s="7">
        <f t="shared" si="60"/>
        <v>4.5417500000000004</v>
      </c>
    </row>
    <row r="3855" spans="1:19">
      <c r="A3855" s="5" t="str">
        <f>B3855&amp;"-"&amp;COUNTIF($B$2:B3855,B3855)</f>
        <v>RIO GRANDE DO SUL-2</v>
      </c>
      <c r="B3855" s="5" t="s">
        <v>2552</v>
      </c>
      <c r="C3855" s="5" t="s">
        <v>2554</v>
      </c>
      <c r="D3855" s="6">
        <v>-52051</v>
      </c>
      <c r="E3855" s="6">
        <v>-276941</v>
      </c>
      <c r="F3855" s="7">
        <v>4.5750000000000002</v>
      </c>
      <c r="G3855" s="7">
        <v>6.21</v>
      </c>
      <c r="H3855" s="7">
        <v>5.7839999999999998</v>
      </c>
      <c r="I3855" s="7">
        <v>5</v>
      </c>
      <c r="J3855" s="7">
        <v>4.0419999999999998</v>
      </c>
      <c r="K3855" s="7">
        <v>3.0630000000000002</v>
      </c>
      <c r="L3855" s="7">
        <v>2.5499999999999998</v>
      </c>
      <c r="M3855" s="7">
        <v>2.899</v>
      </c>
      <c r="N3855" s="7">
        <v>3.698</v>
      </c>
      <c r="O3855" s="7">
        <v>3.95</v>
      </c>
      <c r="P3855" s="7">
        <v>5.0339999999999998</v>
      </c>
      <c r="Q3855" s="7">
        <v>6.1820000000000004</v>
      </c>
      <c r="R3855" s="7">
        <v>6.484</v>
      </c>
      <c r="S3855" s="7">
        <f t="shared" si="60"/>
        <v>4.5746666666666673</v>
      </c>
    </row>
    <row r="3856" spans="1:19">
      <c r="A3856" s="5" t="str">
        <f>B3856&amp;"-"&amp;COUNTIF($B$2:B3856,B3856)</f>
        <v>RIO GRANDE DO SUL-3</v>
      </c>
      <c r="B3856" s="5" t="s">
        <v>2552</v>
      </c>
      <c r="C3856" s="5" t="s">
        <v>5705</v>
      </c>
      <c r="D3856" s="6">
        <v>-541619</v>
      </c>
      <c r="E3856" s="6">
        <v>-31867</v>
      </c>
      <c r="F3856" s="7">
        <v>4.5179999999999998</v>
      </c>
      <c r="G3856" s="7">
        <v>6.5679999999999996</v>
      </c>
      <c r="H3856" s="7">
        <v>5.883</v>
      </c>
      <c r="I3856" s="7">
        <v>5.0270000000000001</v>
      </c>
      <c r="J3856" s="7">
        <v>3.75</v>
      </c>
      <c r="K3856" s="7">
        <v>2.6709999999999998</v>
      </c>
      <c r="L3856" s="7">
        <v>2.2610000000000001</v>
      </c>
      <c r="M3856" s="7">
        <v>2.4860000000000002</v>
      </c>
      <c r="N3856" s="7">
        <v>3.1120000000000001</v>
      </c>
      <c r="O3856" s="7">
        <v>3.8260000000000001</v>
      </c>
      <c r="P3856" s="7">
        <v>5.1760000000000002</v>
      </c>
      <c r="Q3856" s="7">
        <v>6.4539999999999997</v>
      </c>
      <c r="R3856" s="7">
        <v>7.008</v>
      </c>
      <c r="S3856" s="7">
        <f t="shared" si="60"/>
        <v>4.5185000000000004</v>
      </c>
    </row>
    <row r="3857" spans="1:19">
      <c r="A3857" s="5" t="str">
        <f>B3857&amp;"-"&amp;COUNTIF($B$2:B3857,B3857)</f>
        <v>RIO GRANDE DO SUL-4</v>
      </c>
      <c r="B3857" s="5" t="s">
        <v>2552</v>
      </c>
      <c r="C3857" s="5" t="s">
        <v>2555</v>
      </c>
      <c r="D3857" s="6">
        <v>-532519</v>
      </c>
      <c r="E3857" s="6">
        <v>-296452</v>
      </c>
      <c r="F3857" s="7">
        <v>4.4720000000000004</v>
      </c>
      <c r="G3857" s="7">
        <v>6.3319999999999999</v>
      </c>
      <c r="H3857" s="7">
        <v>5.88</v>
      </c>
      <c r="I3857" s="7">
        <v>4.9820000000000002</v>
      </c>
      <c r="J3857" s="7">
        <v>3.8410000000000002</v>
      </c>
      <c r="K3857" s="7">
        <v>2.8079999999999998</v>
      </c>
      <c r="L3857" s="7">
        <v>2.3479999999999999</v>
      </c>
      <c r="M3857" s="7">
        <v>2.5830000000000002</v>
      </c>
      <c r="N3857" s="7">
        <v>3.347</v>
      </c>
      <c r="O3857" s="7">
        <v>3.6859999999999999</v>
      </c>
      <c r="P3857" s="7">
        <v>4.8840000000000003</v>
      </c>
      <c r="Q3857" s="7">
        <v>6.2359999999999998</v>
      </c>
      <c r="R3857" s="7">
        <v>6.742</v>
      </c>
      <c r="S3857" s="7">
        <f t="shared" si="60"/>
        <v>4.4724166666666667</v>
      </c>
    </row>
    <row r="3858" spans="1:19">
      <c r="A3858" s="5" t="str">
        <f>B3858&amp;"-"&amp;COUNTIF($B$2:B3858,B3858)</f>
        <v>RIO GRANDE DO SUL-5</v>
      </c>
      <c r="B3858" s="5" t="s">
        <v>2552</v>
      </c>
      <c r="C3858" s="5" t="s">
        <v>2556</v>
      </c>
      <c r="D3858" s="6">
        <v>-537709</v>
      </c>
      <c r="E3858" s="6">
        <v>-28239</v>
      </c>
      <c r="F3858" s="7">
        <v>4.617</v>
      </c>
      <c r="G3858" s="7">
        <v>6.4180000000000001</v>
      </c>
      <c r="H3858" s="7">
        <v>6.0019999999999998</v>
      </c>
      <c r="I3858" s="7">
        <v>5.1040000000000001</v>
      </c>
      <c r="J3858" s="7">
        <v>4.0199999999999996</v>
      </c>
      <c r="K3858" s="7">
        <v>3.085</v>
      </c>
      <c r="L3858" s="7">
        <v>2.5310000000000001</v>
      </c>
      <c r="M3858" s="7">
        <v>2.8210000000000002</v>
      </c>
      <c r="N3858" s="7">
        <v>3.605</v>
      </c>
      <c r="O3858" s="7">
        <v>3.9449999999999998</v>
      </c>
      <c r="P3858" s="7">
        <v>5.0919999999999996</v>
      </c>
      <c r="Q3858" s="7">
        <v>6.181</v>
      </c>
      <c r="R3858" s="7">
        <v>6.6040000000000001</v>
      </c>
      <c r="S3858" s="7">
        <f t="shared" si="60"/>
        <v>4.6173333333333328</v>
      </c>
    </row>
    <row r="3859" spans="1:19">
      <c r="A3859" s="5" t="str">
        <f>B3859&amp;"-"&amp;COUNTIF($B$2:B3859,B3859)</f>
        <v>RIO GRANDE DO SUL-6</v>
      </c>
      <c r="B3859" s="5" t="s">
        <v>2552</v>
      </c>
      <c r="C3859" s="5" t="s">
        <v>2557</v>
      </c>
      <c r="D3859" s="6">
        <v>-547653</v>
      </c>
      <c r="E3859" s="6">
        <v>-276583</v>
      </c>
      <c r="F3859" s="7">
        <v>4.665</v>
      </c>
      <c r="G3859" s="7">
        <v>6.492</v>
      </c>
      <c r="H3859" s="7">
        <v>5.9820000000000002</v>
      </c>
      <c r="I3859" s="7">
        <v>5.1609999999999996</v>
      </c>
      <c r="J3859" s="7">
        <v>4.0750000000000002</v>
      </c>
      <c r="K3859" s="7">
        <v>3.0880000000000001</v>
      </c>
      <c r="L3859" s="7">
        <v>2.5209999999999999</v>
      </c>
      <c r="M3859" s="7">
        <v>2.8380000000000001</v>
      </c>
      <c r="N3859" s="7">
        <v>3.6480000000000001</v>
      </c>
      <c r="O3859" s="7">
        <v>4.0369999999999999</v>
      </c>
      <c r="P3859" s="7">
        <v>5.1879999999999997</v>
      </c>
      <c r="Q3859" s="7">
        <v>6.24</v>
      </c>
      <c r="R3859" s="7">
        <v>6.7119999999999997</v>
      </c>
      <c r="S3859" s="7">
        <f t="shared" si="60"/>
        <v>4.6651666666666669</v>
      </c>
    </row>
    <row r="3860" spans="1:19">
      <c r="A3860" s="5" t="str">
        <f>B3860&amp;"-"&amp;COUNTIF($B$2:B3860,B3860)</f>
        <v>RIO GRANDE DO SUL-7</v>
      </c>
      <c r="B3860" s="5" t="s">
        <v>2552</v>
      </c>
      <c r="C3860" s="5" t="s">
        <v>2558</v>
      </c>
      <c r="D3860" s="6">
        <v>-558025</v>
      </c>
      <c r="E3860" s="6">
        <v>-297891</v>
      </c>
      <c r="F3860" s="7">
        <v>4.7770000000000001</v>
      </c>
      <c r="G3860" s="7">
        <v>6.8780000000000001</v>
      </c>
      <c r="H3860" s="7">
        <v>6.1459999999999999</v>
      </c>
      <c r="I3860" s="7">
        <v>5.2869999999999999</v>
      </c>
      <c r="J3860" s="7">
        <v>4.1120000000000001</v>
      </c>
      <c r="K3860" s="7">
        <v>2.9660000000000002</v>
      </c>
      <c r="L3860" s="7">
        <v>2.4580000000000002</v>
      </c>
      <c r="M3860" s="7">
        <v>2.75</v>
      </c>
      <c r="N3860" s="7">
        <v>3.516</v>
      </c>
      <c r="O3860" s="7">
        <v>4.1550000000000002</v>
      </c>
      <c r="P3860" s="7">
        <v>5.4210000000000003</v>
      </c>
      <c r="Q3860" s="7">
        <v>6.532</v>
      </c>
      <c r="R3860" s="7">
        <v>7.1059999999999999</v>
      </c>
      <c r="S3860" s="7">
        <f t="shared" si="60"/>
        <v>4.7772500000000004</v>
      </c>
    </row>
    <row r="3861" spans="1:19">
      <c r="A3861" s="5" t="str">
        <f>B3861&amp;"-"&amp;COUNTIF($B$2:B3861,B3861)</f>
        <v>RIO GRANDE DO SUL-8</v>
      </c>
      <c r="B3861" s="5" t="s">
        <v>2552</v>
      </c>
      <c r="C3861" s="5" t="s">
        <v>2559</v>
      </c>
      <c r="D3861" s="6">
        <v>-540562</v>
      </c>
      <c r="E3861" s="6">
        <v>-278349</v>
      </c>
      <c r="F3861" s="7">
        <v>4.6769999999999996</v>
      </c>
      <c r="G3861" s="7">
        <v>6.476</v>
      </c>
      <c r="H3861" s="7">
        <v>6.0030000000000001</v>
      </c>
      <c r="I3861" s="7">
        <v>5.1420000000000003</v>
      </c>
      <c r="J3861" s="7">
        <v>4.09</v>
      </c>
      <c r="K3861" s="7">
        <v>3.1070000000000002</v>
      </c>
      <c r="L3861" s="7">
        <v>2.5790000000000002</v>
      </c>
      <c r="M3861" s="7">
        <v>2.875</v>
      </c>
      <c r="N3861" s="7">
        <v>3.6909999999999998</v>
      </c>
      <c r="O3861" s="7">
        <v>3.9940000000000002</v>
      </c>
      <c r="P3861" s="7">
        <v>5.2</v>
      </c>
      <c r="Q3861" s="7">
        <v>6.2610000000000001</v>
      </c>
      <c r="R3861" s="7">
        <v>6.7060000000000004</v>
      </c>
      <c r="S3861" s="7">
        <f t="shared" si="60"/>
        <v>4.6770000000000005</v>
      </c>
    </row>
    <row r="3862" spans="1:19">
      <c r="A3862" s="5" t="str">
        <f>B3862&amp;"-"&amp;COUNTIF($B$2:B3862,B3862)</f>
        <v>RIO GRANDE DO SUL-9</v>
      </c>
      <c r="B3862" s="5" t="s">
        <v>2552</v>
      </c>
      <c r="C3862" s="5" t="s">
        <v>4468</v>
      </c>
      <c r="D3862" s="6">
        <v>-529147</v>
      </c>
      <c r="E3862" s="6">
        <v>-281154</v>
      </c>
      <c r="F3862" s="7">
        <v>4.6130000000000004</v>
      </c>
      <c r="G3862" s="7">
        <v>6.3380000000000001</v>
      </c>
      <c r="H3862" s="7">
        <v>5.9160000000000004</v>
      </c>
      <c r="I3862" s="7">
        <v>5.0179999999999998</v>
      </c>
      <c r="J3862" s="7">
        <v>4.0780000000000003</v>
      </c>
      <c r="K3862" s="7">
        <v>3.0760000000000001</v>
      </c>
      <c r="L3862" s="7">
        <v>2.552</v>
      </c>
      <c r="M3862" s="7">
        <v>2.8650000000000002</v>
      </c>
      <c r="N3862" s="7">
        <v>3.6429999999999998</v>
      </c>
      <c r="O3862" s="7">
        <v>3.883</v>
      </c>
      <c r="P3862" s="7">
        <v>5.0940000000000003</v>
      </c>
      <c r="Q3862" s="7">
        <v>6.2549999999999999</v>
      </c>
      <c r="R3862" s="7">
        <v>6.6310000000000002</v>
      </c>
      <c r="S3862" s="7">
        <f t="shared" si="60"/>
        <v>4.6124166666666673</v>
      </c>
    </row>
    <row r="3863" spans="1:19">
      <c r="A3863" s="5" t="str">
        <f>B3863&amp;"-"&amp;COUNTIF($B$2:B3863,B3863)</f>
        <v>RIO GRANDE DO SUL-10</v>
      </c>
      <c r="B3863" s="5" t="s">
        <v>2552</v>
      </c>
      <c r="C3863" s="5" t="s">
        <v>2560</v>
      </c>
      <c r="D3863" s="6">
        <v>-530346</v>
      </c>
      <c r="E3863" s="6">
        <v>-272506</v>
      </c>
      <c r="F3863" s="7">
        <v>4.6459999999999999</v>
      </c>
      <c r="G3863" s="7">
        <v>6.2960000000000003</v>
      </c>
      <c r="H3863" s="7">
        <v>5.8440000000000003</v>
      </c>
      <c r="I3863" s="7">
        <v>5.1689999999999996</v>
      </c>
      <c r="J3863" s="7">
        <v>4.0839999999999996</v>
      </c>
      <c r="K3863" s="7">
        <v>3.1110000000000002</v>
      </c>
      <c r="L3863" s="7">
        <v>2.6120000000000001</v>
      </c>
      <c r="M3863" s="7">
        <v>2.8889999999999998</v>
      </c>
      <c r="N3863" s="7">
        <v>3.7429999999999999</v>
      </c>
      <c r="O3863" s="7">
        <v>4.0179999999999998</v>
      </c>
      <c r="P3863" s="7">
        <v>5.1719999999999997</v>
      </c>
      <c r="Q3863" s="7">
        <v>6.2039999999999997</v>
      </c>
      <c r="R3863" s="7">
        <v>6.6109999999999998</v>
      </c>
      <c r="S3863" s="7">
        <f t="shared" si="60"/>
        <v>4.6460833333333325</v>
      </c>
    </row>
    <row r="3864" spans="1:19">
      <c r="A3864" s="5" t="str">
        <f>B3864&amp;"-"&amp;COUNTIF($B$2:B3864,B3864)</f>
        <v>RIO GRANDE DO SUL-11</v>
      </c>
      <c r="B3864" s="5" t="s">
        <v>2552</v>
      </c>
      <c r="C3864" s="5" t="s">
        <v>2561</v>
      </c>
      <c r="D3864" s="6">
        <v>-529897</v>
      </c>
      <c r="E3864" s="6">
        <v>-287773</v>
      </c>
      <c r="F3864" s="7">
        <v>4.577</v>
      </c>
      <c r="G3864" s="7">
        <v>6.3520000000000003</v>
      </c>
      <c r="H3864" s="7">
        <v>5.9249999999999998</v>
      </c>
      <c r="I3864" s="7">
        <v>5.0759999999999996</v>
      </c>
      <c r="J3864" s="7">
        <v>3.9609999999999999</v>
      </c>
      <c r="K3864" s="7">
        <v>3.0169999999999999</v>
      </c>
      <c r="L3864" s="7">
        <v>2.4470000000000001</v>
      </c>
      <c r="M3864" s="7">
        <v>2.7360000000000002</v>
      </c>
      <c r="N3864" s="7">
        <v>3.532</v>
      </c>
      <c r="O3864" s="7">
        <v>3.859</v>
      </c>
      <c r="P3864" s="7">
        <v>5.0359999999999996</v>
      </c>
      <c r="Q3864" s="7">
        <v>6.2930000000000001</v>
      </c>
      <c r="R3864" s="7">
        <v>6.6909999999999998</v>
      </c>
      <c r="S3864" s="7">
        <f t="shared" si="60"/>
        <v>4.5770833333333334</v>
      </c>
    </row>
    <row r="3865" spans="1:19">
      <c r="A3865" s="5" t="str">
        <f>B3865&amp;"-"&amp;COUNTIF($B$2:B3865,B3865)</f>
        <v>RIO GRANDE DO SUL-12</v>
      </c>
      <c r="B3865" s="5" t="s">
        <v>2552</v>
      </c>
      <c r="C3865" s="5" t="s">
        <v>2562</v>
      </c>
      <c r="D3865" s="6">
        <v>-513135</v>
      </c>
      <c r="E3865" s="6">
        <v>-293802</v>
      </c>
      <c r="F3865" s="7">
        <v>4.3090000000000002</v>
      </c>
      <c r="G3865" s="7">
        <v>6.085</v>
      </c>
      <c r="H3865" s="7">
        <v>5.59</v>
      </c>
      <c r="I3865" s="7">
        <v>4.7149999999999999</v>
      </c>
      <c r="J3865" s="7">
        <v>3.7789999999999999</v>
      </c>
      <c r="K3865" s="7">
        <v>2.8079999999999998</v>
      </c>
      <c r="L3865" s="7">
        <v>2.3559999999999999</v>
      </c>
      <c r="M3865" s="7">
        <v>2.59</v>
      </c>
      <c r="N3865" s="7">
        <v>3.2829999999999999</v>
      </c>
      <c r="O3865" s="7">
        <v>3.544</v>
      </c>
      <c r="P3865" s="7">
        <v>4.577</v>
      </c>
      <c r="Q3865" s="7">
        <v>6.0019999999999998</v>
      </c>
      <c r="R3865" s="7">
        <v>6.3789999999999996</v>
      </c>
      <c r="S3865" s="7">
        <f t="shared" si="60"/>
        <v>4.3090000000000002</v>
      </c>
    </row>
    <row r="3866" spans="1:19">
      <c r="A3866" s="5" t="str">
        <f>B3866&amp;"-"&amp;COUNTIF($B$2:B3866,B3866)</f>
        <v>RIO GRANDE DO SUL-13</v>
      </c>
      <c r="B3866" s="5" t="s">
        <v>2552</v>
      </c>
      <c r="C3866" s="5" t="s">
        <v>2563</v>
      </c>
      <c r="D3866" s="6">
        <v>-510813</v>
      </c>
      <c r="E3866" s="6">
        <v>-299919</v>
      </c>
      <c r="F3866" s="7">
        <v>4.38</v>
      </c>
      <c r="G3866" s="7">
        <v>6.3689999999999998</v>
      </c>
      <c r="H3866" s="7">
        <v>5.7610000000000001</v>
      </c>
      <c r="I3866" s="7">
        <v>4.8099999999999996</v>
      </c>
      <c r="J3866" s="7">
        <v>3.78</v>
      </c>
      <c r="K3866" s="7">
        <v>2.7650000000000001</v>
      </c>
      <c r="L3866" s="7">
        <v>2.3029999999999999</v>
      </c>
      <c r="M3866" s="7">
        <v>2.512</v>
      </c>
      <c r="N3866" s="7">
        <v>3.1720000000000002</v>
      </c>
      <c r="O3866" s="7">
        <v>3.5609999999999999</v>
      </c>
      <c r="P3866" s="7">
        <v>4.7290000000000001</v>
      </c>
      <c r="Q3866" s="7">
        <v>6.1870000000000003</v>
      </c>
      <c r="R3866" s="7">
        <v>6.6120000000000001</v>
      </c>
      <c r="S3866" s="7">
        <f t="shared" si="60"/>
        <v>4.3800833333333333</v>
      </c>
    </row>
    <row r="3867" spans="1:19">
      <c r="A3867" s="5" t="str">
        <f>B3867&amp;"-"&amp;COUNTIF($B$2:B3867,B3867)</f>
        <v>RIO GRANDE DO SUL-14</v>
      </c>
      <c r="B3867" s="5" t="s">
        <v>2552</v>
      </c>
      <c r="C3867" s="5" t="s">
        <v>2564</v>
      </c>
      <c r="D3867" s="6">
        <v>-522514</v>
      </c>
      <c r="E3867" s="6">
        <v>-308761</v>
      </c>
      <c r="F3867" s="7">
        <v>4.335</v>
      </c>
      <c r="G3867" s="7">
        <v>6.2910000000000004</v>
      </c>
      <c r="H3867" s="7">
        <v>5.6689999999999996</v>
      </c>
      <c r="I3867" s="7">
        <v>4.7530000000000001</v>
      </c>
      <c r="J3867" s="7">
        <v>3.6960000000000002</v>
      </c>
      <c r="K3867" s="7">
        <v>2.71</v>
      </c>
      <c r="L3867" s="7">
        <v>2.2709999999999999</v>
      </c>
      <c r="M3867" s="7">
        <v>2.456</v>
      </c>
      <c r="N3867" s="7">
        <v>3.0939999999999999</v>
      </c>
      <c r="O3867" s="7">
        <v>3.573</v>
      </c>
      <c r="P3867" s="7">
        <v>4.734</v>
      </c>
      <c r="Q3867" s="7">
        <v>6.1070000000000002</v>
      </c>
      <c r="R3867" s="7">
        <v>6.665</v>
      </c>
      <c r="S3867" s="7">
        <f t="shared" si="60"/>
        <v>4.3349166666666674</v>
      </c>
    </row>
    <row r="3868" spans="1:19">
      <c r="A3868" s="5" t="str">
        <f>B3868&amp;"-"&amp;COUNTIF($B$2:B3868,B3868)</f>
        <v>RIO GRANDE DO SUL-15</v>
      </c>
      <c r="B3868" s="5" t="s">
        <v>2552</v>
      </c>
      <c r="C3868" s="5" t="s">
        <v>2565</v>
      </c>
      <c r="D3868" s="6">
        <v>-531835</v>
      </c>
      <c r="E3868" s="6">
        <v>-273611</v>
      </c>
      <c r="F3868" s="7">
        <v>4.6449999999999996</v>
      </c>
      <c r="G3868" s="7">
        <v>6.3390000000000004</v>
      </c>
      <c r="H3868" s="7">
        <v>5.8949999999999996</v>
      </c>
      <c r="I3868" s="7">
        <v>5.1479999999999997</v>
      </c>
      <c r="J3868" s="7">
        <v>4.0880000000000001</v>
      </c>
      <c r="K3868" s="7">
        <v>3.1070000000000002</v>
      </c>
      <c r="L3868" s="7">
        <v>2.5670000000000002</v>
      </c>
      <c r="M3868" s="7">
        <v>2.89</v>
      </c>
      <c r="N3868" s="7">
        <v>3.7309999999999999</v>
      </c>
      <c r="O3868" s="7">
        <v>3.9780000000000002</v>
      </c>
      <c r="P3868" s="7">
        <v>5.1680000000000001</v>
      </c>
      <c r="Q3868" s="7">
        <v>6.2190000000000003</v>
      </c>
      <c r="R3868" s="7">
        <v>6.6130000000000004</v>
      </c>
      <c r="S3868" s="7">
        <f t="shared" si="60"/>
        <v>4.6452499999999999</v>
      </c>
    </row>
    <row r="3869" spans="1:19">
      <c r="A3869" s="5" t="str">
        <f>B3869&amp;"-"&amp;COUNTIF($B$2:B3869,B3869)</f>
        <v>RIO GRANDE DO SUL-16</v>
      </c>
      <c r="B3869" s="5" t="s">
        <v>2552</v>
      </c>
      <c r="C3869" s="5" t="s">
        <v>4469</v>
      </c>
      <c r="D3869" s="6">
        <v>-515802</v>
      </c>
      <c r="E3869" s="6">
        <v>-286288</v>
      </c>
      <c r="F3869" s="7">
        <v>4.4450000000000003</v>
      </c>
      <c r="G3869" s="7">
        <v>6.1050000000000004</v>
      </c>
      <c r="H3869" s="7">
        <v>5.6529999999999996</v>
      </c>
      <c r="I3869" s="7">
        <v>4.8369999999999997</v>
      </c>
      <c r="J3869" s="7">
        <v>3.887</v>
      </c>
      <c r="K3869" s="7">
        <v>2.9319999999999999</v>
      </c>
      <c r="L3869" s="7">
        <v>2.464</v>
      </c>
      <c r="M3869" s="7">
        <v>2.8</v>
      </c>
      <c r="N3869" s="7">
        <v>3.5019999999999998</v>
      </c>
      <c r="O3869" s="7">
        <v>3.7639999999999998</v>
      </c>
      <c r="P3869" s="7">
        <v>4.8559999999999999</v>
      </c>
      <c r="Q3869" s="7">
        <v>6.1319999999999997</v>
      </c>
      <c r="R3869" s="7">
        <v>6.4029999999999996</v>
      </c>
      <c r="S3869" s="7">
        <f t="shared" si="60"/>
        <v>4.4445833333333331</v>
      </c>
    </row>
    <row r="3870" spans="1:19">
      <c r="A3870" s="5" t="str">
        <f>B3870&amp;"-"&amp;COUNTIF($B$2:B3870,B3870)</f>
        <v>RIO GRANDE DO SUL-17</v>
      </c>
      <c r="B3870" s="5" t="s">
        <v>2552</v>
      </c>
      <c r="C3870" s="5" t="s">
        <v>2566</v>
      </c>
      <c r="D3870" s="6">
        <v>-520106</v>
      </c>
      <c r="E3870" s="6">
        <v>-289702</v>
      </c>
      <c r="F3870" s="7">
        <v>4.38</v>
      </c>
      <c r="G3870" s="7">
        <v>6.0640000000000001</v>
      </c>
      <c r="H3870" s="7">
        <v>5.6719999999999997</v>
      </c>
      <c r="I3870" s="7">
        <v>4.7859999999999996</v>
      </c>
      <c r="J3870" s="7">
        <v>3.8220000000000001</v>
      </c>
      <c r="K3870" s="7">
        <v>2.8420000000000001</v>
      </c>
      <c r="L3870" s="7">
        <v>2.3879999999999999</v>
      </c>
      <c r="M3870" s="7">
        <v>2.6909999999999998</v>
      </c>
      <c r="N3870" s="7">
        <v>3.4209999999999998</v>
      </c>
      <c r="O3870" s="7">
        <v>3.6960000000000002</v>
      </c>
      <c r="P3870" s="7">
        <v>4.7030000000000003</v>
      </c>
      <c r="Q3870" s="7">
        <v>6.0670000000000002</v>
      </c>
      <c r="R3870" s="7">
        <v>6.4009999999999998</v>
      </c>
      <c r="S3870" s="7">
        <f t="shared" si="60"/>
        <v>4.3794166666666667</v>
      </c>
    </row>
    <row r="3871" spans="1:19">
      <c r="A3871" s="5" t="str">
        <f>B3871&amp;"-"&amp;COUNTIF($B$2:B3871,B3871)</f>
        <v>RIO GRANDE DO SUL-18</v>
      </c>
      <c r="B3871" s="5" t="s">
        <v>2552</v>
      </c>
      <c r="C3871" s="5" t="s">
        <v>4578</v>
      </c>
      <c r="D3871" s="6">
        <v>-512887</v>
      </c>
      <c r="E3871" s="6">
        <v>-28857</v>
      </c>
      <c r="F3871" s="7">
        <v>4.4269999999999996</v>
      </c>
      <c r="G3871" s="7">
        <v>6.1</v>
      </c>
      <c r="H3871" s="7">
        <v>5.7039999999999997</v>
      </c>
      <c r="I3871" s="7">
        <v>4.8380000000000001</v>
      </c>
      <c r="J3871" s="7">
        <v>3.8580000000000001</v>
      </c>
      <c r="K3871" s="7">
        <v>2.87</v>
      </c>
      <c r="L3871" s="7">
        <v>2.4209999999999998</v>
      </c>
      <c r="M3871" s="7">
        <v>2.7389999999999999</v>
      </c>
      <c r="N3871" s="7">
        <v>3.4569999999999999</v>
      </c>
      <c r="O3871" s="7">
        <v>3.706</v>
      </c>
      <c r="P3871" s="7">
        <v>4.8049999999999997</v>
      </c>
      <c r="Q3871" s="7">
        <v>6.1710000000000003</v>
      </c>
      <c r="R3871" s="7">
        <v>6.45</v>
      </c>
      <c r="S3871" s="7">
        <f t="shared" si="60"/>
        <v>4.4265833333333342</v>
      </c>
    </row>
    <row r="3872" spans="1:19">
      <c r="A3872" s="5" t="str">
        <f>B3872&amp;"-"&amp;COUNTIF($B$2:B3872,B3872)</f>
        <v>RIO GRANDE DO SUL-19</v>
      </c>
      <c r="B3872" s="5" t="s">
        <v>2552</v>
      </c>
      <c r="C3872" s="5" t="s">
        <v>4470</v>
      </c>
      <c r="D3872" s="6">
        <v>-51505</v>
      </c>
      <c r="E3872" s="6">
        <v>-309097</v>
      </c>
      <c r="F3872" s="7">
        <v>4.3929999999999998</v>
      </c>
      <c r="G3872" s="7">
        <v>6.4779999999999998</v>
      </c>
      <c r="H3872" s="7">
        <v>5.8140000000000001</v>
      </c>
      <c r="I3872" s="7">
        <v>4.8810000000000002</v>
      </c>
      <c r="J3872" s="7">
        <v>3.7370000000000001</v>
      </c>
      <c r="K3872" s="7">
        <v>2.7709999999999999</v>
      </c>
      <c r="L3872" s="7">
        <v>2.2629999999999999</v>
      </c>
      <c r="M3872" s="7">
        <v>2.4740000000000002</v>
      </c>
      <c r="N3872" s="7">
        <v>3.0950000000000002</v>
      </c>
      <c r="O3872" s="7">
        <v>3.6</v>
      </c>
      <c r="P3872" s="7">
        <v>4.7469999999999999</v>
      </c>
      <c r="Q3872" s="7">
        <v>6.1749999999999998</v>
      </c>
      <c r="R3872" s="7">
        <v>6.6859999999999999</v>
      </c>
      <c r="S3872" s="7">
        <f t="shared" si="60"/>
        <v>4.3934166666666661</v>
      </c>
    </row>
    <row r="3873" spans="1:19">
      <c r="A3873" s="5" t="str">
        <f>B3873&amp;"-"&amp;COUNTIF($B$2:B3873,B3873)</f>
        <v>RIO GRANDE DO SUL-20</v>
      </c>
      <c r="B3873" s="5" t="s">
        <v>2552</v>
      </c>
      <c r="C3873" s="5" t="s">
        <v>5706</v>
      </c>
      <c r="D3873" s="6">
        <v>-509296</v>
      </c>
      <c r="E3873" s="6">
        <v>-296173</v>
      </c>
      <c r="F3873" s="7">
        <v>4.2809999999999997</v>
      </c>
      <c r="G3873" s="7">
        <v>6.0810000000000004</v>
      </c>
      <c r="H3873" s="7">
        <v>5.5960000000000001</v>
      </c>
      <c r="I3873" s="7">
        <v>4.6520000000000001</v>
      </c>
      <c r="J3873" s="7">
        <v>3.7320000000000002</v>
      </c>
      <c r="K3873" s="7">
        <v>2.7890000000000001</v>
      </c>
      <c r="L3873" s="7">
        <v>2.3380000000000001</v>
      </c>
      <c r="M3873" s="7">
        <v>2.5489999999999999</v>
      </c>
      <c r="N3873" s="7">
        <v>3.2240000000000002</v>
      </c>
      <c r="O3873" s="7">
        <v>3.4969999999999999</v>
      </c>
      <c r="P3873" s="7">
        <v>4.5570000000000004</v>
      </c>
      <c r="Q3873" s="7">
        <v>5.9790000000000001</v>
      </c>
      <c r="R3873" s="7">
        <v>6.375</v>
      </c>
      <c r="S3873" s="7">
        <f t="shared" si="60"/>
        <v>4.2807500000000003</v>
      </c>
    </row>
    <row r="3874" spans="1:19">
      <c r="A3874" s="5" t="str">
        <f>B3874&amp;"-"&amp;COUNTIF($B$2:B3874,B3874)</f>
        <v>RIO GRANDE DO SUL-21</v>
      </c>
      <c r="B3874" s="5" t="s">
        <v>2552</v>
      </c>
      <c r="C3874" s="5" t="s">
        <v>2567</v>
      </c>
      <c r="D3874" s="6">
        <v>-522979</v>
      </c>
      <c r="E3874" s="6">
        <v>-273983</v>
      </c>
      <c r="F3874" s="7">
        <v>4.6289999999999996</v>
      </c>
      <c r="G3874" s="7">
        <v>6.327</v>
      </c>
      <c r="H3874" s="7">
        <v>5.867</v>
      </c>
      <c r="I3874" s="7">
        <v>5.1390000000000002</v>
      </c>
      <c r="J3874" s="7">
        <v>4.0519999999999996</v>
      </c>
      <c r="K3874" s="7">
        <v>3.06</v>
      </c>
      <c r="L3874" s="7">
        <v>2.5470000000000002</v>
      </c>
      <c r="M3874" s="7">
        <v>2.8719999999999999</v>
      </c>
      <c r="N3874" s="7">
        <v>3.7250000000000001</v>
      </c>
      <c r="O3874" s="7">
        <v>3.9809999999999999</v>
      </c>
      <c r="P3874" s="7">
        <v>5.1079999999999997</v>
      </c>
      <c r="Q3874" s="7">
        <v>6.2640000000000002</v>
      </c>
      <c r="R3874" s="7">
        <v>6.6020000000000003</v>
      </c>
      <c r="S3874" s="7">
        <f t="shared" si="60"/>
        <v>4.6286666666666667</v>
      </c>
    </row>
    <row r="3875" spans="1:19">
      <c r="A3875" s="5" t="str">
        <f>B3875&amp;"-"&amp;COUNTIF($B$2:B3875,B3875)</f>
        <v>RIO GRANDE DO SUL-22</v>
      </c>
      <c r="B3875" s="5" t="s">
        <v>2552</v>
      </c>
      <c r="C3875" s="5" t="s">
        <v>2568</v>
      </c>
      <c r="D3875" s="6">
        <v>-519449</v>
      </c>
      <c r="E3875" s="6">
        <v>-29401</v>
      </c>
      <c r="F3875" s="7">
        <v>4.3440000000000003</v>
      </c>
      <c r="G3875" s="7">
        <v>6.0869999999999997</v>
      </c>
      <c r="H3875" s="7">
        <v>5.7210000000000001</v>
      </c>
      <c r="I3875" s="7">
        <v>4.8029999999999999</v>
      </c>
      <c r="J3875" s="7">
        <v>3.778</v>
      </c>
      <c r="K3875" s="7">
        <v>2.806</v>
      </c>
      <c r="L3875" s="7">
        <v>2.3330000000000002</v>
      </c>
      <c r="M3875" s="7">
        <v>2.581</v>
      </c>
      <c r="N3875" s="7">
        <v>3.2959999999999998</v>
      </c>
      <c r="O3875" s="7">
        <v>3.5649999999999999</v>
      </c>
      <c r="P3875" s="7">
        <v>4.6390000000000002</v>
      </c>
      <c r="Q3875" s="7">
        <v>6.0650000000000004</v>
      </c>
      <c r="R3875" s="7">
        <v>6.4489999999999998</v>
      </c>
      <c r="S3875" s="7">
        <f t="shared" si="60"/>
        <v>4.3435833333333331</v>
      </c>
    </row>
    <row r="3876" spans="1:19">
      <c r="A3876" s="5" t="str">
        <f>B3876&amp;"-"&amp;COUNTIF($B$2:B3876,B3876)</f>
        <v>RIO GRANDE DO SUL-23</v>
      </c>
      <c r="B3876" s="5" t="s">
        <v>2552</v>
      </c>
      <c r="C3876" s="5" t="s">
        <v>2569</v>
      </c>
      <c r="D3876" s="6">
        <v>-524222</v>
      </c>
      <c r="E3876" s="6">
        <v>-314426</v>
      </c>
      <c r="F3876" s="7">
        <v>4.2679999999999998</v>
      </c>
      <c r="G3876" s="7">
        <v>6.1310000000000002</v>
      </c>
      <c r="H3876" s="7">
        <v>5.5460000000000003</v>
      </c>
      <c r="I3876" s="7">
        <v>4.6900000000000004</v>
      </c>
      <c r="J3876" s="7">
        <v>3.6429999999999998</v>
      </c>
      <c r="K3876" s="7">
        <v>2.66</v>
      </c>
      <c r="L3876" s="7">
        <v>2.2440000000000002</v>
      </c>
      <c r="M3876" s="7">
        <v>2.468</v>
      </c>
      <c r="N3876" s="7">
        <v>3.0529999999999999</v>
      </c>
      <c r="O3876" s="7">
        <v>3.5230000000000001</v>
      </c>
      <c r="P3876" s="7">
        <v>4.7430000000000003</v>
      </c>
      <c r="Q3876" s="7">
        <v>6.0090000000000003</v>
      </c>
      <c r="R3876" s="7">
        <v>6.5039999999999996</v>
      </c>
      <c r="S3876" s="7">
        <f t="shared" si="60"/>
        <v>4.2678333333333338</v>
      </c>
    </row>
    <row r="3877" spans="1:19">
      <c r="A3877" s="5" t="str">
        <f>B3877&amp;"-"&amp;COUNTIF($B$2:B3877,B3877)</f>
        <v>RIO GRANDE DO SUL-24</v>
      </c>
      <c r="B3877" s="5" t="s">
        <v>2552</v>
      </c>
      <c r="C3877" s="5" t="s">
        <v>2570</v>
      </c>
      <c r="D3877" s="5" t="s">
        <v>2571</v>
      </c>
      <c r="E3877" s="6">
        <v>-295444</v>
      </c>
      <c r="F3877" s="7">
        <v>4.218</v>
      </c>
      <c r="G3877" s="7">
        <v>5.8369999999999997</v>
      </c>
      <c r="H3877" s="7">
        <v>5.3869999999999996</v>
      </c>
      <c r="I3877" s="7">
        <v>4.55</v>
      </c>
      <c r="J3877" s="7">
        <v>3.8410000000000002</v>
      </c>
      <c r="K3877" s="7">
        <v>2.948</v>
      </c>
      <c r="L3877" s="7">
        <v>2.4300000000000002</v>
      </c>
      <c r="M3877" s="7">
        <v>2.63</v>
      </c>
      <c r="N3877" s="7">
        <v>3.2989999999999999</v>
      </c>
      <c r="O3877" s="7">
        <v>3.5139999999999998</v>
      </c>
      <c r="P3877" s="7">
        <v>4.3639999999999999</v>
      </c>
      <c r="Q3877" s="7">
        <v>5.7370000000000001</v>
      </c>
      <c r="R3877" s="7">
        <v>6.0759999999999996</v>
      </c>
      <c r="S3877" s="7">
        <f t="shared" si="60"/>
        <v>4.2177499999999997</v>
      </c>
    </row>
    <row r="3878" spans="1:19">
      <c r="A3878" s="5" t="str">
        <f>B3878&amp;"-"&amp;COUNTIF($B$2:B3878,B3878)</f>
        <v>RIO GRANDE DO SUL-25</v>
      </c>
      <c r="B3878" s="5" t="s">
        <v>2552</v>
      </c>
      <c r="C3878" s="5" t="s">
        <v>2572</v>
      </c>
      <c r="D3878" s="6">
        <v>-530864</v>
      </c>
      <c r="E3878" s="6">
        <v>-293336</v>
      </c>
      <c r="F3878" s="7">
        <v>4.5439999999999996</v>
      </c>
      <c r="G3878" s="7">
        <v>6.319</v>
      </c>
      <c r="H3878" s="7">
        <v>5.9749999999999996</v>
      </c>
      <c r="I3878" s="7">
        <v>5.0529999999999999</v>
      </c>
      <c r="J3878" s="7">
        <v>3.9129999999999998</v>
      </c>
      <c r="K3878" s="7">
        <v>2.9180000000000001</v>
      </c>
      <c r="L3878" s="7">
        <v>2.4220000000000002</v>
      </c>
      <c r="M3878" s="7">
        <v>2.6869999999999998</v>
      </c>
      <c r="N3878" s="7">
        <v>3.4550000000000001</v>
      </c>
      <c r="O3878" s="7">
        <v>3.766</v>
      </c>
      <c r="P3878" s="7">
        <v>4.9820000000000002</v>
      </c>
      <c r="Q3878" s="7">
        <v>6.2889999999999997</v>
      </c>
      <c r="R3878" s="7">
        <v>6.75</v>
      </c>
      <c r="S3878" s="7">
        <f t="shared" si="60"/>
        <v>4.5440833333333339</v>
      </c>
    </row>
    <row r="3879" spans="1:19">
      <c r="A3879" s="5" t="str">
        <f>B3879&amp;"-"&amp;COUNTIF($B$2:B3879,B3879)</f>
        <v>RIO GRANDE DO SUL-26</v>
      </c>
      <c r="B3879" s="5" t="s">
        <v>2552</v>
      </c>
      <c r="C3879" s="5" t="s">
        <v>2573</v>
      </c>
      <c r="D3879" s="6">
        <v>-517279</v>
      </c>
      <c r="E3879" s="6">
        <v>-30088</v>
      </c>
      <c r="F3879" s="7">
        <v>4.423</v>
      </c>
      <c r="G3879" s="7">
        <v>6.4130000000000003</v>
      </c>
      <c r="H3879" s="7">
        <v>5.8239999999999998</v>
      </c>
      <c r="I3879" s="7">
        <v>4.875</v>
      </c>
      <c r="J3879" s="7">
        <v>3.7930000000000001</v>
      </c>
      <c r="K3879" s="7">
        <v>2.7549999999999999</v>
      </c>
      <c r="L3879" s="7">
        <v>2.3180000000000001</v>
      </c>
      <c r="M3879" s="7">
        <v>2.5259999999999998</v>
      </c>
      <c r="N3879" s="7">
        <v>3.2040000000000002</v>
      </c>
      <c r="O3879" s="7">
        <v>3.6230000000000002</v>
      </c>
      <c r="P3879" s="7">
        <v>4.84</v>
      </c>
      <c r="Q3879" s="7">
        <v>6.2069999999999999</v>
      </c>
      <c r="R3879" s="7">
        <v>6.6980000000000004</v>
      </c>
      <c r="S3879" s="7">
        <f t="shared" si="60"/>
        <v>4.4230000000000009</v>
      </c>
    </row>
    <row r="3880" spans="1:19">
      <c r="A3880" s="5" t="str">
        <f>B3880&amp;"-"&amp;COUNTIF($B$2:B3880,B3880)</f>
        <v>RIO GRANDE DO SUL-27</v>
      </c>
      <c r="B3880" s="5" t="s">
        <v>2552</v>
      </c>
      <c r="C3880" s="5" t="s">
        <v>2574</v>
      </c>
      <c r="D3880" s="6">
        <v>-530866</v>
      </c>
      <c r="E3880" s="6">
        <v>-322331</v>
      </c>
      <c r="F3880" s="7">
        <v>4.34</v>
      </c>
      <c r="G3880" s="7">
        <v>6.3760000000000003</v>
      </c>
      <c r="H3880" s="7">
        <v>5.6070000000000002</v>
      </c>
      <c r="I3880" s="7">
        <v>4.7880000000000003</v>
      </c>
      <c r="J3880" s="7">
        <v>3.6349999999999998</v>
      </c>
      <c r="K3880" s="7">
        <v>2.629</v>
      </c>
      <c r="L3880" s="7">
        <v>2.2189999999999999</v>
      </c>
      <c r="M3880" s="7">
        <v>2.383</v>
      </c>
      <c r="N3880" s="7">
        <v>2.9980000000000002</v>
      </c>
      <c r="O3880" s="7">
        <v>3.6120000000000001</v>
      </c>
      <c r="P3880" s="7">
        <v>4.9000000000000004</v>
      </c>
      <c r="Q3880" s="7">
        <v>6.2009999999999996</v>
      </c>
      <c r="R3880" s="7">
        <v>6.7270000000000003</v>
      </c>
      <c r="S3880" s="7">
        <f t="shared" si="60"/>
        <v>4.3395833333333336</v>
      </c>
    </row>
    <row r="3881" spans="1:19">
      <c r="A3881" s="5" t="str">
        <f>B3881&amp;"-"&amp;COUNTIF($B$2:B3881,B3881)</f>
        <v>RIO GRANDE DO SUL-28</v>
      </c>
      <c r="B3881" s="5" t="s">
        <v>2552</v>
      </c>
      <c r="C3881" s="5" t="s">
        <v>2575</v>
      </c>
      <c r="D3881" s="6">
        <v>-521785</v>
      </c>
      <c r="E3881" s="6">
        <v>-288742</v>
      </c>
      <c r="F3881" s="7">
        <v>4.4130000000000003</v>
      </c>
      <c r="G3881" s="7">
        <v>6.0869999999999997</v>
      </c>
      <c r="H3881" s="7">
        <v>5.6890000000000001</v>
      </c>
      <c r="I3881" s="7">
        <v>4.7859999999999996</v>
      </c>
      <c r="J3881" s="7">
        <v>3.855</v>
      </c>
      <c r="K3881" s="7">
        <v>2.8740000000000001</v>
      </c>
      <c r="L3881" s="7">
        <v>2.4119999999999999</v>
      </c>
      <c r="M3881" s="7">
        <v>2.7189999999999999</v>
      </c>
      <c r="N3881" s="7">
        <v>3.4740000000000002</v>
      </c>
      <c r="O3881" s="7">
        <v>3.72</v>
      </c>
      <c r="P3881" s="7">
        <v>4.7759999999999998</v>
      </c>
      <c r="Q3881" s="7">
        <v>6.0979999999999999</v>
      </c>
      <c r="R3881" s="7">
        <v>6.46</v>
      </c>
      <c r="S3881" s="7">
        <f t="shared" si="60"/>
        <v>4.4124999999999996</v>
      </c>
    </row>
    <row r="3882" spans="1:19">
      <c r="A3882" s="5" t="str">
        <f>B3882&amp;"-"&amp;COUNTIF($B$2:B3882,B3882)</f>
        <v>RIO GRANDE DO SUL-29</v>
      </c>
      <c r="B3882" s="5" t="s">
        <v>2552</v>
      </c>
      <c r="C3882" s="5" t="s">
        <v>2576</v>
      </c>
      <c r="D3882" s="6">
        <v>-539888</v>
      </c>
      <c r="E3882" s="6">
        <v>-285177</v>
      </c>
      <c r="F3882" s="7">
        <v>4.6429999999999998</v>
      </c>
      <c r="G3882" s="7">
        <v>6.48</v>
      </c>
      <c r="H3882" s="7">
        <v>6.0540000000000003</v>
      </c>
      <c r="I3882" s="7">
        <v>5.1719999999999997</v>
      </c>
      <c r="J3882" s="7">
        <v>4.0279999999999996</v>
      </c>
      <c r="K3882" s="7">
        <v>3.0590000000000002</v>
      </c>
      <c r="L3882" s="7">
        <v>2.5</v>
      </c>
      <c r="M3882" s="7">
        <v>2.7930000000000001</v>
      </c>
      <c r="N3882" s="7">
        <v>3.5720000000000001</v>
      </c>
      <c r="O3882" s="7">
        <v>3.9660000000000002</v>
      </c>
      <c r="P3882" s="7">
        <v>5.085</v>
      </c>
      <c r="Q3882" s="7">
        <v>6.2969999999999997</v>
      </c>
      <c r="R3882" s="7">
        <v>6.7140000000000004</v>
      </c>
      <c r="S3882" s="7">
        <f t="shared" si="60"/>
        <v>4.6433333333333335</v>
      </c>
    </row>
    <row r="3883" spans="1:19">
      <c r="A3883" s="5" t="str">
        <f>B3883&amp;"-"&amp;COUNTIF($B$2:B3883,B3883)</f>
        <v>RIO GRANDE DO SUL-30</v>
      </c>
      <c r="B3883" s="5" t="s">
        <v>2552</v>
      </c>
      <c r="C3883" s="5" t="s">
        <v>4471</v>
      </c>
      <c r="D3883" s="6">
        <v>-541069</v>
      </c>
      <c r="E3883" s="6">
        <v>-31331</v>
      </c>
      <c r="F3883" s="7">
        <v>4.5350000000000001</v>
      </c>
      <c r="G3883" s="7">
        <v>6.4820000000000002</v>
      </c>
      <c r="H3883" s="7">
        <v>5.9409999999999998</v>
      </c>
      <c r="I3883" s="7">
        <v>5.0129999999999999</v>
      </c>
      <c r="J3883" s="7">
        <v>3.774</v>
      </c>
      <c r="K3883" s="7">
        <v>2.7330000000000001</v>
      </c>
      <c r="L3883" s="7">
        <v>2.3079999999999998</v>
      </c>
      <c r="M3883" s="7">
        <v>2.5649999999999999</v>
      </c>
      <c r="N3883" s="7">
        <v>3.2109999999999999</v>
      </c>
      <c r="O3883" s="7">
        <v>3.835</v>
      </c>
      <c r="P3883" s="7">
        <v>5.1619999999999999</v>
      </c>
      <c r="Q3883" s="7">
        <v>6.4420000000000002</v>
      </c>
      <c r="R3883" s="7">
        <v>6.95</v>
      </c>
      <c r="S3883" s="7">
        <f t="shared" si="60"/>
        <v>4.5346666666666673</v>
      </c>
    </row>
    <row r="3884" spans="1:19">
      <c r="A3884" s="5" t="str">
        <f>B3884&amp;"-"&amp;COUNTIF($B$2:B3884,B3884)</f>
        <v>RIO GRANDE DO SUL-31</v>
      </c>
      <c r="B3884" s="5" t="s">
        <v>2552</v>
      </c>
      <c r="C3884" s="5" t="s">
        <v>5707</v>
      </c>
      <c r="D3884" s="6">
        <v>-502341</v>
      </c>
      <c r="E3884" s="6">
        <v>-302424</v>
      </c>
      <c r="F3884" s="7">
        <v>4.4039999999999999</v>
      </c>
      <c r="G3884" s="7">
        <v>6.4409999999999998</v>
      </c>
      <c r="H3884" s="7">
        <v>5.7880000000000003</v>
      </c>
      <c r="I3884" s="7">
        <v>4.7910000000000004</v>
      </c>
      <c r="J3884" s="7">
        <v>3.8610000000000002</v>
      </c>
      <c r="K3884" s="7">
        <v>2.798</v>
      </c>
      <c r="L3884" s="7">
        <v>2.35</v>
      </c>
      <c r="M3884" s="7">
        <v>2.5190000000000001</v>
      </c>
      <c r="N3884" s="7">
        <v>3.1419999999999999</v>
      </c>
      <c r="O3884" s="7">
        <v>3.5670000000000002</v>
      </c>
      <c r="P3884" s="7">
        <v>4.7439999999999998</v>
      </c>
      <c r="Q3884" s="7">
        <v>6.1719999999999997</v>
      </c>
      <c r="R3884" s="7">
        <v>6.6719999999999997</v>
      </c>
      <c r="S3884" s="7">
        <f t="shared" si="60"/>
        <v>4.4037499999999996</v>
      </c>
    </row>
    <row r="3885" spans="1:19">
      <c r="A3885" s="5" t="str">
        <f>B3885&amp;"-"&amp;COUNTIF($B$2:B3885,B3885)</f>
        <v>RIO GRANDE DO SUL-32</v>
      </c>
      <c r="B3885" s="5" t="s">
        <v>2552</v>
      </c>
      <c r="C3885" s="5" t="s">
        <v>4154</v>
      </c>
      <c r="D3885" s="6">
        <v>-514993</v>
      </c>
      <c r="E3885" s="6">
        <v>-293764</v>
      </c>
      <c r="F3885" s="7">
        <v>4.3339999999999996</v>
      </c>
      <c r="G3885" s="7">
        <v>6.1429999999999998</v>
      </c>
      <c r="H3885" s="7">
        <v>5.64</v>
      </c>
      <c r="I3885" s="7">
        <v>4.72</v>
      </c>
      <c r="J3885" s="7">
        <v>3.782</v>
      </c>
      <c r="K3885" s="7">
        <v>2.8</v>
      </c>
      <c r="L3885" s="7">
        <v>2.36</v>
      </c>
      <c r="M3885" s="7">
        <v>2.61</v>
      </c>
      <c r="N3885" s="7">
        <v>3.29</v>
      </c>
      <c r="O3885" s="7">
        <v>3.556</v>
      </c>
      <c r="P3885" s="7">
        <v>4.6360000000000001</v>
      </c>
      <c r="Q3885" s="7">
        <v>6.0419999999999998</v>
      </c>
      <c r="R3885" s="7">
        <v>6.4290000000000003</v>
      </c>
      <c r="S3885" s="7">
        <f t="shared" si="60"/>
        <v>4.3340000000000005</v>
      </c>
    </row>
    <row r="3886" spans="1:19">
      <c r="A3886" s="5" t="str">
        <f>B3886&amp;"-"&amp;COUNTIF($B$2:B3886,B3886)</f>
        <v>RIO GRANDE DO SUL-33</v>
      </c>
      <c r="B3886" s="5" t="s">
        <v>2552</v>
      </c>
      <c r="C3886" s="5" t="s">
        <v>4155</v>
      </c>
      <c r="D3886" s="6">
        <v>-523803</v>
      </c>
      <c r="E3886" s="6">
        <v>-276213</v>
      </c>
      <c r="F3886" s="7">
        <v>4.59</v>
      </c>
      <c r="G3886" s="7">
        <v>6.1970000000000001</v>
      </c>
      <c r="H3886" s="7">
        <v>5.7629999999999999</v>
      </c>
      <c r="I3886" s="7">
        <v>5</v>
      </c>
      <c r="J3886" s="7">
        <v>4.0599999999999996</v>
      </c>
      <c r="K3886" s="7">
        <v>3.0750000000000002</v>
      </c>
      <c r="L3886" s="7">
        <v>2.5939999999999999</v>
      </c>
      <c r="M3886" s="7">
        <v>2.9449999999999998</v>
      </c>
      <c r="N3886" s="7">
        <v>3.7250000000000001</v>
      </c>
      <c r="O3886" s="7">
        <v>3.96</v>
      </c>
      <c r="P3886" s="7">
        <v>5.0730000000000004</v>
      </c>
      <c r="Q3886" s="7">
        <v>6.2080000000000002</v>
      </c>
      <c r="R3886" s="7">
        <v>6.4809999999999999</v>
      </c>
      <c r="S3886" s="7">
        <f t="shared" si="60"/>
        <v>4.5900833333333333</v>
      </c>
    </row>
    <row r="3887" spans="1:19">
      <c r="A3887" s="5" t="str">
        <f>B3887&amp;"-"&amp;COUNTIF($B$2:B3887,B3887)</f>
        <v>RIO GRANDE DO SUL-34</v>
      </c>
      <c r="B3887" s="5" t="s">
        <v>2552</v>
      </c>
      <c r="C3887" s="5" t="s">
        <v>4156</v>
      </c>
      <c r="D3887" s="6">
        <v>-517389</v>
      </c>
      <c r="E3887" s="6">
        <v>-303896</v>
      </c>
      <c r="F3887" s="7">
        <v>4.3410000000000002</v>
      </c>
      <c r="G3887" s="7">
        <v>6.1740000000000004</v>
      </c>
      <c r="H3887" s="7">
        <v>5.62</v>
      </c>
      <c r="I3887" s="7">
        <v>4.7309999999999999</v>
      </c>
      <c r="J3887" s="7">
        <v>3.76</v>
      </c>
      <c r="K3887" s="7">
        <v>2.7559999999999998</v>
      </c>
      <c r="L3887" s="7">
        <v>2.3559999999999999</v>
      </c>
      <c r="M3887" s="7">
        <v>2.5449999999999999</v>
      </c>
      <c r="N3887" s="7">
        <v>3.1960000000000002</v>
      </c>
      <c r="O3887" s="7">
        <v>3.57</v>
      </c>
      <c r="P3887" s="7">
        <v>4.7270000000000003</v>
      </c>
      <c r="Q3887" s="7">
        <v>6.1150000000000002</v>
      </c>
      <c r="R3887" s="7">
        <v>6.5469999999999997</v>
      </c>
      <c r="S3887" s="7">
        <f t="shared" si="60"/>
        <v>4.3414166666666665</v>
      </c>
    </row>
    <row r="3888" spans="1:19">
      <c r="A3888" s="5" t="str">
        <f>B3888&amp;"-"&amp;COUNTIF($B$2:B3888,B3888)</f>
        <v>RIO GRANDE DO SUL-35</v>
      </c>
      <c r="B3888" s="5" t="s">
        <v>2552</v>
      </c>
      <c r="C3888" s="5" t="s">
        <v>2577</v>
      </c>
      <c r="D3888" s="6">
        <v>-537113</v>
      </c>
      <c r="E3888" s="6">
        <v>-271931</v>
      </c>
      <c r="F3888" s="7">
        <v>4.625</v>
      </c>
      <c r="G3888" s="7">
        <v>6.407</v>
      </c>
      <c r="H3888" s="7">
        <v>5.867</v>
      </c>
      <c r="I3888" s="7">
        <v>5.1520000000000001</v>
      </c>
      <c r="J3888" s="7">
        <v>4.0250000000000004</v>
      </c>
      <c r="K3888" s="7">
        <v>3.093</v>
      </c>
      <c r="L3888" s="7">
        <v>2.5150000000000001</v>
      </c>
      <c r="M3888" s="7">
        <v>2.8570000000000002</v>
      </c>
      <c r="N3888" s="7">
        <v>3.7109999999999999</v>
      </c>
      <c r="O3888" s="7">
        <v>3.9980000000000002</v>
      </c>
      <c r="P3888" s="7">
        <v>5.1660000000000004</v>
      </c>
      <c r="Q3888" s="7">
        <v>6.1580000000000004</v>
      </c>
      <c r="R3888" s="7">
        <v>6.5519999999999996</v>
      </c>
      <c r="S3888" s="7">
        <f t="shared" si="60"/>
        <v>4.6250833333333334</v>
      </c>
    </row>
    <row r="3889" spans="1:19">
      <c r="A3889" s="5" t="str">
        <f>B3889&amp;"-"&amp;COUNTIF($B$2:B3889,B3889)</f>
        <v>RIO GRANDE DO SUL-36</v>
      </c>
      <c r="B3889" s="5" t="s">
        <v>2552</v>
      </c>
      <c r="C3889" s="5" t="s">
        <v>2578</v>
      </c>
      <c r="D3889" s="6">
        <v>-575502</v>
      </c>
      <c r="E3889" s="6">
        <v>-302033</v>
      </c>
      <c r="F3889" s="7">
        <v>4.8739999999999997</v>
      </c>
      <c r="G3889" s="7">
        <v>7.0679999999999996</v>
      </c>
      <c r="H3889" s="7">
        <v>6.3170000000000002</v>
      </c>
      <c r="I3889" s="7">
        <v>5.335</v>
      </c>
      <c r="J3889" s="7">
        <v>4.17</v>
      </c>
      <c r="K3889" s="7">
        <v>2.992</v>
      </c>
      <c r="L3889" s="7">
        <v>2.4340000000000002</v>
      </c>
      <c r="M3889" s="7">
        <v>2.8220000000000001</v>
      </c>
      <c r="N3889" s="7">
        <v>3.5840000000000001</v>
      </c>
      <c r="O3889" s="7">
        <v>4.3120000000000003</v>
      </c>
      <c r="P3889" s="7">
        <v>5.5670000000000002</v>
      </c>
      <c r="Q3889" s="7">
        <v>6.6150000000000002</v>
      </c>
      <c r="R3889" s="7">
        <v>7.2670000000000003</v>
      </c>
      <c r="S3889" s="7">
        <f t="shared" si="60"/>
        <v>4.8735833333333334</v>
      </c>
    </row>
    <row r="3890" spans="1:19">
      <c r="A3890" s="5" t="str">
        <f>B3890&amp;"-"&amp;COUNTIF($B$2:B3890,B3890)</f>
        <v>RIO GRANDE DO SUL-37</v>
      </c>
      <c r="B3890" s="5" t="s">
        <v>2552</v>
      </c>
      <c r="C3890" s="5" t="s">
        <v>2579</v>
      </c>
      <c r="D3890" s="6">
        <v>-513018</v>
      </c>
      <c r="E3890" s="6">
        <v>-302944</v>
      </c>
      <c r="F3890" s="7">
        <v>4.4240000000000004</v>
      </c>
      <c r="G3890" s="7">
        <v>6.5259999999999998</v>
      </c>
      <c r="H3890" s="7">
        <v>5.8019999999999996</v>
      </c>
      <c r="I3890" s="7">
        <v>4.8419999999999996</v>
      </c>
      <c r="J3890" s="7">
        <v>3.8029999999999999</v>
      </c>
      <c r="K3890" s="7">
        <v>2.7850000000000001</v>
      </c>
      <c r="L3890" s="7">
        <v>2.33</v>
      </c>
      <c r="M3890" s="7">
        <v>2.544</v>
      </c>
      <c r="N3890" s="7">
        <v>3.1680000000000001</v>
      </c>
      <c r="O3890" s="7">
        <v>3.6150000000000002</v>
      </c>
      <c r="P3890" s="7">
        <v>4.8049999999999997</v>
      </c>
      <c r="Q3890" s="7">
        <v>6.1909999999999998</v>
      </c>
      <c r="R3890" s="7">
        <v>6.6760000000000002</v>
      </c>
      <c r="S3890" s="7">
        <f t="shared" si="60"/>
        <v>4.4239166666666669</v>
      </c>
    </row>
    <row r="3891" spans="1:19">
      <c r="A3891" s="5" t="str">
        <f>B3891&amp;"-"&amp;COUNTIF($B$2:B3891,B3891)</f>
        <v>RIO GRANDE DO SUL-38</v>
      </c>
      <c r="B3891" s="5" t="s">
        <v>2552</v>
      </c>
      <c r="C3891" s="5" t="s">
        <v>2580</v>
      </c>
      <c r="D3891" s="6">
        <v>-524088</v>
      </c>
      <c r="E3891" s="6">
        <v>-274073</v>
      </c>
      <c r="F3891" s="7">
        <v>4.6150000000000002</v>
      </c>
      <c r="G3891" s="7">
        <v>6.226</v>
      </c>
      <c r="H3891" s="7">
        <v>5.7910000000000004</v>
      </c>
      <c r="I3891" s="7">
        <v>5.1050000000000004</v>
      </c>
      <c r="J3891" s="7">
        <v>4.0960000000000001</v>
      </c>
      <c r="K3891" s="7">
        <v>3.07</v>
      </c>
      <c r="L3891" s="7">
        <v>2.5369999999999999</v>
      </c>
      <c r="M3891" s="7">
        <v>2.891</v>
      </c>
      <c r="N3891" s="7">
        <v>3.7410000000000001</v>
      </c>
      <c r="O3891" s="7">
        <v>4.0030000000000001</v>
      </c>
      <c r="P3891" s="7">
        <v>5.1150000000000002</v>
      </c>
      <c r="Q3891" s="7">
        <v>6.2430000000000003</v>
      </c>
      <c r="R3891" s="7">
        <v>6.5659999999999998</v>
      </c>
      <c r="S3891" s="7">
        <f t="shared" si="60"/>
        <v>4.615333333333334</v>
      </c>
    </row>
    <row r="3892" spans="1:19">
      <c r="A3892" s="5" t="str">
        <f>B3892&amp;"-"&amp;COUNTIF($B$2:B3892,B3892)</f>
        <v>RIO GRANDE DO SUL-39</v>
      </c>
      <c r="B3892" s="5" t="s">
        <v>2552</v>
      </c>
      <c r="C3892" s="5" t="s">
        <v>2581</v>
      </c>
      <c r="D3892" s="6">
        <v>-530395</v>
      </c>
      <c r="E3892" s="6">
        <v>-279209</v>
      </c>
      <c r="F3892" s="7">
        <v>4.6479999999999997</v>
      </c>
      <c r="G3892" s="7">
        <v>6.391</v>
      </c>
      <c r="H3892" s="7">
        <v>5.9630000000000001</v>
      </c>
      <c r="I3892" s="7">
        <v>5.0949999999999998</v>
      </c>
      <c r="J3892" s="7">
        <v>4.1050000000000004</v>
      </c>
      <c r="K3892" s="7">
        <v>3.0870000000000002</v>
      </c>
      <c r="L3892" s="7">
        <v>2.5550000000000002</v>
      </c>
      <c r="M3892" s="7">
        <v>2.899</v>
      </c>
      <c r="N3892" s="7">
        <v>3.6549999999999998</v>
      </c>
      <c r="O3892" s="7">
        <v>3.9369999999999998</v>
      </c>
      <c r="P3892" s="7">
        <v>5.1340000000000003</v>
      </c>
      <c r="Q3892" s="7">
        <v>6.2779999999999996</v>
      </c>
      <c r="R3892" s="7">
        <v>6.6710000000000003</v>
      </c>
      <c r="S3892" s="7">
        <f t="shared" si="60"/>
        <v>4.6475</v>
      </c>
    </row>
    <row r="3893" spans="1:19">
      <c r="A3893" s="5" t="str">
        <f>B3893&amp;"-"&amp;COUNTIF($B$2:B3893,B3893)</f>
        <v>RIO GRANDE DO SUL-40</v>
      </c>
      <c r="B3893" s="5" t="s">
        <v>2552</v>
      </c>
      <c r="C3893" s="5" t="s">
        <v>4073</v>
      </c>
      <c r="D3893" s="6">
        <v>-51459</v>
      </c>
      <c r="E3893" s="6">
        <v>-276743</v>
      </c>
      <c r="F3893" s="7">
        <v>4.5590000000000002</v>
      </c>
      <c r="G3893" s="7">
        <v>6.2190000000000003</v>
      </c>
      <c r="H3893" s="7">
        <v>5.7359999999999998</v>
      </c>
      <c r="I3893" s="7">
        <v>4.9660000000000002</v>
      </c>
      <c r="J3893" s="7">
        <v>4.0179999999999998</v>
      </c>
      <c r="K3893" s="7">
        <v>3.0190000000000001</v>
      </c>
      <c r="L3893" s="7">
        <v>2.5720000000000001</v>
      </c>
      <c r="M3893" s="7">
        <v>2.8849999999999998</v>
      </c>
      <c r="N3893" s="7">
        <v>3.7090000000000001</v>
      </c>
      <c r="O3893" s="7">
        <v>3.931</v>
      </c>
      <c r="P3893" s="7">
        <v>4.9779999999999998</v>
      </c>
      <c r="Q3893" s="7">
        <v>6.181</v>
      </c>
      <c r="R3893" s="7">
        <v>6.4939999999999998</v>
      </c>
      <c r="S3893" s="7">
        <f t="shared" si="60"/>
        <v>4.5590000000000002</v>
      </c>
    </row>
    <row r="3894" spans="1:19">
      <c r="A3894" s="5" t="str">
        <f>B3894&amp;"-"&amp;COUNTIF($B$2:B3894,B3894)</f>
        <v>RIO GRANDE DO SUL-41</v>
      </c>
      <c r="B3894" s="5" t="s">
        <v>2552</v>
      </c>
      <c r="C3894" s="5" t="s">
        <v>2582</v>
      </c>
      <c r="D3894" s="6">
        <v>-525829</v>
      </c>
      <c r="E3894" s="6">
        <v>-29093</v>
      </c>
      <c r="F3894" s="7">
        <v>4.4640000000000004</v>
      </c>
      <c r="G3894" s="7">
        <v>6.234</v>
      </c>
      <c r="H3894" s="7">
        <v>5.7750000000000004</v>
      </c>
      <c r="I3894" s="7">
        <v>4.9329999999999998</v>
      </c>
      <c r="J3894" s="7">
        <v>3.8980000000000001</v>
      </c>
      <c r="K3894" s="7">
        <v>2.9049999999999998</v>
      </c>
      <c r="L3894" s="7">
        <v>2.4260000000000002</v>
      </c>
      <c r="M3894" s="7">
        <v>2.69</v>
      </c>
      <c r="N3894" s="7">
        <v>3.448</v>
      </c>
      <c r="O3894" s="7">
        <v>3.7250000000000001</v>
      </c>
      <c r="P3894" s="7">
        <v>4.827</v>
      </c>
      <c r="Q3894" s="7">
        <v>6.173</v>
      </c>
      <c r="R3894" s="7">
        <v>6.5369999999999999</v>
      </c>
      <c r="S3894" s="7">
        <f t="shared" si="60"/>
        <v>4.4642499999999998</v>
      </c>
    </row>
    <row r="3895" spans="1:19">
      <c r="A3895" s="5" t="str">
        <f>B3895&amp;"-"&amp;COUNTIF($B$2:B3895,B3895)</f>
        <v>RIO GRANDE DO SUL-42</v>
      </c>
      <c r="B3895" s="5" t="s">
        <v>2552</v>
      </c>
      <c r="C3895" s="5" t="s">
        <v>2583</v>
      </c>
      <c r="D3895" s="5" t="s">
        <v>2584</v>
      </c>
      <c r="E3895" s="6">
        <v>-27509</v>
      </c>
      <c r="F3895" s="7">
        <v>4.6230000000000002</v>
      </c>
      <c r="G3895" s="7">
        <v>6.2640000000000002</v>
      </c>
      <c r="H3895" s="7">
        <v>5.7859999999999996</v>
      </c>
      <c r="I3895" s="7">
        <v>5.0839999999999996</v>
      </c>
      <c r="J3895" s="7">
        <v>4.101</v>
      </c>
      <c r="K3895" s="7">
        <v>3.1070000000000002</v>
      </c>
      <c r="L3895" s="7">
        <v>2.6230000000000002</v>
      </c>
      <c r="M3895" s="7">
        <v>2.9279999999999999</v>
      </c>
      <c r="N3895" s="7">
        <v>3.7589999999999999</v>
      </c>
      <c r="O3895" s="7">
        <v>3.9910000000000001</v>
      </c>
      <c r="P3895" s="7">
        <v>5.1139999999999999</v>
      </c>
      <c r="Q3895" s="7">
        <v>6.18</v>
      </c>
      <c r="R3895" s="7">
        <v>6.5330000000000004</v>
      </c>
      <c r="S3895" s="7">
        <f t="shared" si="60"/>
        <v>4.6224999999999996</v>
      </c>
    </row>
    <row r="3896" spans="1:19">
      <c r="A3896" s="5" t="str">
        <f>B3896&amp;"-"&amp;COUNTIF($B$2:B3896,B3896)</f>
        <v>RIO GRANDE DO SUL-43</v>
      </c>
      <c r="B3896" s="5" t="s">
        <v>2552</v>
      </c>
      <c r="C3896" s="53" t="s">
        <v>4756</v>
      </c>
      <c r="D3896" s="6">
        <v>-515169</v>
      </c>
      <c r="E3896" s="6">
        <v>-291667</v>
      </c>
      <c r="F3896" s="7">
        <v>4.4189999999999996</v>
      </c>
      <c r="G3896" s="7">
        <v>6.1959999999999997</v>
      </c>
      <c r="H3896" s="7">
        <v>5.7720000000000002</v>
      </c>
      <c r="I3896" s="7">
        <v>4.7779999999999996</v>
      </c>
      <c r="J3896" s="7">
        <v>3.8380000000000001</v>
      </c>
      <c r="K3896" s="7">
        <v>2.8340000000000001</v>
      </c>
      <c r="L3896" s="7">
        <v>2.3860000000000001</v>
      </c>
      <c r="M3896" s="7">
        <v>2.657</v>
      </c>
      <c r="N3896" s="7">
        <v>3.4</v>
      </c>
      <c r="O3896" s="7">
        <v>3.6549999999999998</v>
      </c>
      <c r="P3896" s="7">
        <v>4.7889999999999997</v>
      </c>
      <c r="Q3896" s="7">
        <v>6.1660000000000004</v>
      </c>
      <c r="R3896" s="7">
        <v>6.5629999999999997</v>
      </c>
      <c r="S3896" s="7">
        <f t="shared" si="60"/>
        <v>4.4195000000000002</v>
      </c>
    </row>
    <row r="3897" spans="1:19">
      <c r="A3897" s="5" t="str">
        <f>B3897&amp;"-"&amp;COUNTIF($B$2:B3897,B3897)</f>
        <v>RIO GRANDE DO SUL-44</v>
      </c>
      <c r="B3897" s="5" t="s">
        <v>2552</v>
      </c>
      <c r="C3897" s="5" t="s">
        <v>5441</v>
      </c>
      <c r="D3897" s="6">
        <v>-533106</v>
      </c>
      <c r="E3897" s="6">
        <v>-276676</v>
      </c>
      <c r="F3897" s="7">
        <v>4.6449999999999996</v>
      </c>
      <c r="G3897" s="7">
        <v>6.38</v>
      </c>
      <c r="H3897" s="7">
        <v>5.9020000000000001</v>
      </c>
      <c r="I3897" s="7">
        <v>5.0460000000000003</v>
      </c>
      <c r="J3897" s="7">
        <v>4.077</v>
      </c>
      <c r="K3897" s="7">
        <v>3.1160000000000001</v>
      </c>
      <c r="L3897" s="7">
        <v>2.585</v>
      </c>
      <c r="M3897" s="7">
        <v>2.9369999999999998</v>
      </c>
      <c r="N3897" s="7">
        <v>3.7069999999999999</v>
      </c>
      <c r="O3897" s="7">
        <v>3.9809999999999999</v>
      </c>
      <c r="P3897" s="7">
        <v>5.1390000000000002</v>
      </c>
      <c r="Q3897" s="7">
        <v>6.2220000000000004</v>
      </c>
      <c r="R3897" s="7">
        <v>6.6420000000000003</v>
      </c>
      <c r="S3897" s="7">
        <f t="shared" si="60"/>
        <v>4.6445000000000007</v>
      </c>
    </row>
    <row r="3898" spans="1:19">
      <c r="A3898" s="5" t="str">
        <f>B3898&amp;"-"&amp;COUNTIF($B$2:B3898,B3898)</f>
        <v>RIO GRANDE DO SUL-45</v>
      </c>
      <c r="B3898" s="5" t="s">
        <v>2552</v>
      </c>
      <c r="C3898" s="5" t="s">
        <v>5708</v>
      </c>
      <c r="D3898" s="6">
        <v>-541087</v>
      </c>
      <c r="E3898" s="6">
        <v>-276697</v>
      </c>
      <c r="F3898" s="7">
        <v>4.6849999999999996</v>
      </c>
      <c r="G3898" s="7">
        <v>6.532</v>
      </c>
      <c r="H3898" s="7">
        <v>5.9980000000000002</v>
      </c>
      <c r="I3898" s="7">
        <v>5.1630000000000003</v>
      </c>
      <c r="J3898" s="7">
        <v>4.0960000000000001</v>
      </c>
      <c r="K3898" s="7">
        <v>3.125</v>
      </c>
      <c r="L3898" s="7">
        <v>2.5569999999999999</v>
      </c>
      <c r="M3898" s="7">
        <v>2.8639999999999999</v>
      </c>
      <c r="N3898" s="7">
        <v>3.7</v>
      </c>
      <c r="O3898" s="7">
        <v>4</v>
      </c>
      <c r="P3898" s="7">
        <v>5.2270000000000003</v>
      </c>
      <c r="Q3898" s="7">
        <v>6.2679999999999998</v>
      </c>
      <c r="R3898" s="7">
        <v>6.6920000000000002</v>
      </c>
      <c r="S3898" s="7">
        <f t="shared" si="60"/>
        <v>4.6851666666666665</v>
      </c>
    </row>
    <row r="3899" spans="1:19">
      <c r="A3899" s="5" t="str">
        <f>B3899&amp;"-"&amp;COUNTIF($B$2:B3899,B3899)</f>
        <v>RIO GRANDE DO SUL-46</v>
      </c>
      <c r="B3899" s="5" t="s">
        <v>2552</v>
      </c>
      <c r="C3899" s="5" t="s">
        <v>2585</v>
      </c>
      <c r="D3899" s="6">
        <v>-538113</v>
      </c>
      <c r="E3899" s="6">
        <v>-285795</v>
      </c>
      <c r="F3899" s="7">
        <v>4.633</v>
      </c>
      <c r="G3899" s="7">
        <v>6.4560000000000004</v>
      </c>
      <c r="H3899" s="7">
        <v>6.0460000000000003</v>
      </c>
      <c r="I3899" s="7">
        <v>5.125</v>
      </c>
      <c r="J3899" s="7">
        <v>4.03</v>
      </c>
      <c r="K3899" s="7">
        <v>3.0539999999999998</v>
      </c>
      <c r="L3899" s="7">
        <v>2.492</v>
      </c>
      <c r="M3899" s="7">
        <v>2.7879999999999998</v>
      </c>
      <c r="N3899" s="7">
        <v>3.5640000000000001</v>
      </c>
      <c r="O3899" s="7">
        <v>3.9529999999999998</v>
      </c>
      <c r="P3899" s="7">
        <v>5.0709999999999997</v>
      </c>
      <c r="Q3899" s="7">
        <v>6.3</v>
      </c>
      <c r="R3899" s="7">
        <v>6.7190000000000003</v>
      </c>
      <c r="S3899" s="7">
        <f t="shared" si="60"/>
        <v>4.6331666666666669</v>
      </c>
    </row>
    <row r="3900" spans="1:19">
      <c r="A3900" s="5" t="str">
        <f>B3900&amp;"-"&amp;COUNTIF($B$2:B3900,B3900)</f>
        <v>RIO GRANDE DO SUL-47</v>
      </c>
      <c r="B3900" s="5" t="s">
        <v>2552</v>
      </c>
      <c r="C3900" s="5" t="s">
        <v>2586</v>
      </c>
      <c r="D3900" s="6">
        <v>-533866</v>
      </c>
      <c r="E3900" s="6">
        <v>-288187</v>
      </c>
      <c r="F3900" s="7">
        <v>4.5709999999999997</v>
      </c>
      <c r="G3900" s="7">
        <v>6.3440000000000003</v>
      </c>
      <c r="H3900" s="7">
        <v>5.9630000000000001</v>
      </c>
      <c r="I3900" s="7">
        <v>5.0759999999999996</v>
      </c>
      <c r="J3900" s="7">
        <v>3.9460000000000002</v>
      </c>
      <c r="K3900" s="7">
        <v>3.0110000000000001</v>
      </c>
      <c r="L3900" s="7">
        <v>2.4380000000000002</v>
      </c>
      <c r="M3900" s="7">
        <v>2.7679999999999998</v>
      </c>
      <c r="N3900" s="7">
        <v>3.524</v>
      </c>
      <c r="O3900" s="7">
        <v>3.8889999999999998</v>
      </c>
      <c r="P3900" s="7">
        <v>5</v>
      </c>
      <c r="Q3900" s="7">
        <v>6.2329999999999997</v>
      </c>
      <c r="R3900" s="7">
        <v>6.6639999999999997</v>
      </c>
      <c r="S3900" s="7">
        <f t="shared" si="60"/>
        <v>4.5713333333333335</v>
      </c>
    </row>
    <row r="3901" spans="1:19">
      <c r="A3901" s="5" t="str">
        <f>B3901&amp;"-"&amp;COUNTIF($B$2:B3901,B3901)</f>
        <v>RIO GRANDE DO SUL-48</v>
      </c>
      <c r="B3901" s="5" t="s">
        <v>2552</v>
      </c>
      <c r="C3901" s="5" t="s">
        <v>2587</v>
      </c>
      <c r="D3901" s="6">
        <v>-516702</v>
      </c>
      <c r="E3901" s="6">
        <v>-293567</v>
      </c>
      <c r="F3901" s="7">
        <v>4.3490000000000002</v>
      </c>
      <c r="G3901" s="7">
        <v>6.2050000000000001</v>
      </c>
      <c r="H3901" s="7">
        <v>5.6669999999999998</v>
      </c>
      <c r="I3901" s="7">
        <v>4.7629999999999999</v>
      </c>
      <c r="J3901" s="7">
        <v>3.7810000000000001</v>
      </c>
      <c r="K3901" s="7">
        <v>2.8119999999999998</v>
      </c>
      <c r="L3901" s="7">
        <v>2.3460000000000001</v>
      </c>
      <c r="M3901" s="7">
        <v>2.6</v>
      </c>
      <c r="N3901" s="7">
        <v>3.3039999999999998</v>
      </c>
      <c r="O3901" s="7">
        <v>3.56</v>
      </c>
      <c r="P3901" s="7">
        <v>4.641</v>
      </c>
      <c r="Q3901" s="7">
        <v>6.0860000000000003</v>
      </c>
      <c r="R3901" s="7">
        <v>6.423</v>
      </c>
      <c r="S3901" s="7">
        <f t="shared" si="60"/>
        <v>4.3489999999999993</v>
      </c>
    </row>
    <row r="3902" spans="1:19">
      <c r="A3902" s="5" t="str">
        <f>B3902&amp;"-"&amp;COUNTIF($B$2:B3902,B3902)</f>
        <v>RIO GRANDE DO SUL-49</v>
      </c>
      <c r="B3902" s="5" t="s">
        <v>2552</v>
      </c>
      <c r="C3902" s="5" t="s">
        <v>1811</v>
      </c>
      <c r="D3902" s="6">
        <v>-504299</v>
      </c>
      <c r="E3902" s="6">
        <v>-286702</v>
      </c>
      <c r="F3902" s="7">
        <v>4.4320000000000004</v>
      </c>
      <c r="G3902" s="7">
        <v>6.03</v>
      </c>
      <c r="H3902" s="7">
        <v>5.617</v>
      </c>
      <c r="I3902" s="7">
        <v>4.78</v>
      </c>
      <c r="J3902" s="7">
        <v>3.895</v>
      </c>
      <c r="K3902" s="7">
        <v>2.9220000000000002</v>
      </c>
      <c r="L3902" s="7">
        <v>2.4750000000000001</v>
      </c>
      <c r="M3902" s="7">
        <v>2.8050000000000002</v>
      </c>
      <c r="N3902" s="7">
        <v>3.5470000000000002</v>
      </c>
      <c r="O3902" s="7">
        <v>3.79</v>
      </c>
      <c r="P3902" s="7">
        <v>4.8849999999999998</v>
      </c>
      <c r="Q3902" s="7">
        <v>6.08</v>
      </c>
      <c r="R3902" s="7">
        <v>6.3540000000000001</v>
      </c>
      <c r="S3902" s="7">
        <f t="shared" si="60"/>
        <v>4.4316666666666658</v>
      </c>
    </row>
    <row r="3903" spans="1:19">
      <c r="A3903" s="5" t="str">
        <f>B3903&amp;"-"&amp;COUNTIF($B$2:B3903,B3903)</f>
        <v>RIO GRANDE DO SUL-50</v>
      </c>
      <c r="B3903" s="5" t="s">
        <v>2552</v>
      </c>
      <c r="C3903" s="5" t="s">
        <v>2588</v>
      </c>
      <c r="D3903" s="6">
        <v>-513552</v>
      </c>
      <c r="E3903" s="6">
        <v>-294861</v>
      </c>
      <c r="F3903" s="7">
        <v>4.3120000000000003</v>
      </c>
      <c r="G3903" s="7">
        <v>6.0940000000000003</v>
      </c>
      <c r="H3903" s="7">
        <v>5.6420000000000003</v>
      </c>
      <c r="I3903" s="7">
        <v>4.7430000000000003</v>
      </c>
      <c r="J3903" s="7">
        <v>3.774</v>
      </c>
      <c r="K3903" s="7">
        <v>2.8119999999999998</v>
      </c>
      <c r="L3903" s="7">
        <v>2.3370000000000002</v>
      </c>
      <c r="M3903" s="7">
        <v>2.5539999999999998</v>
      </c>
      <c r="N3903" s="7">
        <v>3.238</v>
      </c>
      <c r="O3903" s="7">
        <v>3.524</v>
      </c>
      <c r="P3903" s="7">
        <v>4.5640000000000001</v>
      </c>
      <c r="Q3903" s="7">
        <v>6.0439999999999996</v>
      </c>
      <c r="R3903" s="7">
        <v>6.4169999999999998</v>
      </c>
      <c r="S3903" s="7">
        <f t="shared" si="60"/>
        <v>4.311916666666666</v>
      </c>
    </row>
    <row r="3904" spans="1:19">
      <c r="A3904" s="5" t="str">
        <f>B3904&amp;"-"&amp;COUNTIF($B$2:B3904,B3904)</f>
        <v>RIO GRANDE DO SUL-51</v>
      </c>
      <c r="B3904" s="5" t="s">
        <v>2552</v>
      </c>
      <c r="C3904" s="5" t="s">
        <v>2589</v>
      </c>
      <c r="D3904" s="6">
        <v>-538721</v>
      </c>
      <c r="E3904" s="6">
        <v>-275403</v>
      </c>
      <c r="F3904" s="7">
        <v>4.6619999999999999</v>
      </c>
      <c r="G3904" s="7">
        <v>6.4320000000000004</v>
      </c>
      <c r="H3904" s="7">
        <v>5.9290000000000003</v>
      </c>
      <c r="I3904" s="7">
        <v>5.1509999999999998</v>
      </c>
      <c r="J3904" s="7">
        <v>4.0490000000000004</v>
      </c>
      <c r="K3904" s="7">
        <v>3.1110000000000002</v>
      </c>
      <c r="L3904" s="7">
        <v>2.56</v>
      </c>
      <c r="M3904" s="7">
        <v>2.9119999999999999</v>
      </c>
      <c r="N3904" s="7">
        <v>3.7080000000000002</v>
      </c>
      <c r="O3904" s="7">
        <v>4.0090000000000003</v>
      </c>
      <c r="P3904" s="7">
        <v>5.2130000000000001</v>
      </c>
      <c r="Q3904" s="7">
        <v>6.242</v>
      </c>
      <c r="R3904" s="7">
        <v>6.6319999999999997</v>
      </c>
      <c r="S3904" s="7">
        <f t="shared" si="60"/>
        <v>4.6623333333333328</v>
      </c>
    </row>
    <row r="3905" spans="1:19">
      <c r="A3905" s="5" t="str">
        <f>B3905&amp;"-"&amp;COUNTIF($B$2:B3905,B3905)</f>
        <v>RIO GRANDE DO SUL-52</v>
      </c>
      <c r="B3905" s="5" t="s">
        <v>2552</v>
      </c>
      <c r="C3905" s="5" t="s">
        <v>2590</v>
      </c>
      <c r="D3905" s="6">
        <v>-519375</v>
      </c>
      <c r="E3905" s="6">
        <v>-295972</v>
      </c>
      <c r="F3905" s="7">
        <v>4.3869999999999996</v>
      </c>
      <c r="G3905" s="7">
        <v>6.2450000000000001</v>
      </c>
      <c r="H3905" s="7">
        <v>5.8170000000000002</v>
      </c>
      <c r="I3905" s="7">
        <v>4.8449999999999998</v>
      </c>
      <c r="J3905" s="7">
        <v>3.7970000000000002</v>
      </c>
      <c r="K3905" s="7">
        <v>2.8010000000000002</v>
      </c>
      <c r="L3905" s="7">
        <v>2.3250000000000002</v>
      </c>
      <c r="M3905" s="7">
        <v>2.548</v>
      </c>
      <c r="N3905" s="7">
        <v>3.2749999999999999</v>
      </c>
      <c r="O3905" s="7">
        <v>3.6150000000000002</v>
      </c>
      <c r="P3905" s="7">
        <v>4.6689999999999996</v>
      </c>
      <c r="Q3905" s="7">
        <v>6.1559999999999997</v>
      </c>
      <c r="R3905" s="7">
        <v>6.5579999999999998</v>
      </c>
      <c r="S3905" s="7">
        <f t="shared" si="60"/>
        <v>4.3875833333333327</v>
      </c>
    </row>
    <row r="3906" spans="1:19">
      <c r="A3906" s="5" t="str">
        <f>B3906&amp;"-"&amp;COUNTIF($B$2:B3906,B3906)</f>
        <v>RIO GRANDE DO SUL-53</v>
      </c>
      <c r="B3906" s="5" t="s">
        <v>2552</v>
      </c>
      <c r="C3906" s="5" t="s">
        <v>4157</v>
      </c>
      <c r="D3906" s="6">
        <v>-524289</v>
      </c>
      <c r="E3906" s="6">
        <v>-293051</v>
      </c>
      <c r="F3906" s="7">
        <v>4.4000000000000004</v>
      </c>
      <c r="G3906" s="7">
        <v>6.117</v>
      </c>
      <c r="H3906" s="7">
        <v>5.6920000000000002</v>
      </c>
      <c r="I3906" s="7">
        <v>4.843</v>
      </c>
      <c r="J3906" s="7">
        <v>3.8439999999999999</v>
      </c>
      <c r="K3906" s="7">
        <v>2.8540000000000001</v>
      </c>
      <c r="L3906" s="7">
        <v>2.3980000000000001</v>
      </c>
      <c r="M3906" s="7">
        <v>2.6509999999999998</v>
      </c>
      <c r="N3906" s="7">
        <v>3.3969999999999998</v>
      </c>
      <c r="O3906" s="7">
        <v>3.6440000000000001</v>
      </c>
      <c r="P3906" s="7">
        <v>4.75</v>
      </c>
      <c r="Q3906" s="7">
        <v>6.1159999999999997</v>
      </c>
      <c r="R3906" s="7">
        <v>6.4880000000000004</v>
      </c>
      <c r="S3906" s="7">
        <f t="shared" si="60"/>
        <v>4.3994999999999997</v>
      </c>
    </row>
    <row r="3907" spans="1:19">
      <c r="A3907" s="5" t="str">
        <f>B3907&amp;"-"&amp;COUNTIF($B$2:B3907,B3907)</f>
        <v>RIO GRANDE DO SUL-54</v>
      </c>
      <c r="B3907" s="5" t="s">
        <v>2552</v>
      </c>
      <c r="C3907" s="5" t="s">
        <v>2591</v>
      </c>
      <c r="D3907" s="6">
        <v>-54904</v>
      </c>
      <c r="E3907" s="6">
        <v>-287296</v>
      </c>
      <c r="F3907" s="7">
        <v>4.7130000000000001</v>
      </c>
      <c r="G3907" s="7">
        <v>6.5979999999999999</v>
      </c>
      <c r="H3907" s="7">
        <v>6.117</v>
      </c>
      <c r="I3907" s="7">
        <v>5.2539999999999996</v>
      </c>
      <c r="J3907" s="7">
        <v>4.0259999999999998</v>
      </c>
      <c r="K3907" s="7">
        <v>3.0680000000000001</v>
      </c>
      <c r="L3907" s="7">
        <v>2.5150000000000001</v>
      </c>
      <c r="M3907" s="7">
        <v>2.843</v>
      </c>
      <c r="N3907" s="7">
        <v>3.5990000000000002</v>
      </c>
      <c r="O3907" s="7">
        <v>4.0579999999999998</v>
      </c>
      <c r="P3907" s="7">
        <v>5.1959999999999997</v>
      </c>
      <c r="Q3907" s="7">
        <v>6.4189999999999996</v>
      </c>
      <c r="R3907" s="7">
        <v>6.8650000000000002</v>
      </c>
      <c r="S3907" s="7">
        <f t="shared" ref="S3907:S3970" si="61">(G3907+H3907+I3907+J3907+K3907+L3907+M3907+N3907+O3907+P3907+Q3907+R3907)/12</f>
        <v>4.7131666666666669</v>
      </c>
    </row>
    <row r="3908" spans="1:19">
      <c r="A3908" s="5" t="str">
        <f>B3908&amp;"-"&amp;COUNTIF($B$2:B3908,B3908)</f>
        <v>RIO GRANDE DO SUL-55</v>
      </c>
      <c r="B3908" s="5" t="s">
        <v>2552</v>
      </c>
      <c r="C3908" s="5" t="s">
        <v>2592</v>
      </c>
      <c r="D3908" s="6">
        <v>-537724</v>
      </c>
      <c r="E3908" s="6">
        <v>-283664</v>
      </c>
      <c r="F3908" s="7">
        <v>4.62</v>
      </c>
      <c r="G3908" s="7">
        <v>6.4509999999999996</v>
      </c>
      <c r="H3908" s="7">
        <v>6.0110000000000001</v>
      </c>
      <c r="I3908" s="7">
        <v>5.1449999999999996</v>
      </c>
      <c r="J3908" s="7">
        <v>3.992</v>
      </c>
      <c r="K3908" s="7">
        <v>3.052</v>
      </c>
      <c r="L3908" s="7">
        <v>2.5</v>
      </c>
      <c r="M3908" s="7">
        <v>2.7959999999999998</v>
      </c>
      <c r="N3908" s="7">
        <v>3.5760000000000001</v>
      </c>
      <c r="O3908" s="7">
        <v>3.9470000000000001</v>
      </c>
      <c r="P3908" s="7">
        <v>5.0739999999999998</v>
      </c>
      <c r="Q3908" s="7">
        <v>6.2329999999999997</v>
      </c>
      <c r="R3908" s="7">
        <v>6.665</v>
      </c>
      <c r="S3908" s="7">
        <f t="shared" si="61"/>
        <v>4.6201666666666661</v>
      </c>
    </row>
    <row r="3909" spans="1:19">
      <c r="A3909" s="5" t="str">
        <f>B3909&amp;"-"&amp;COUNTIF($B$2:B3909,B3909)</f>
        <v>RIO GRANDE DO SUL-56</v>
      </c>
      <c r="B3909" s="5" t="s">
        <v>2552</v>
      </c>
      <c r="C3909" s="5" t="s">
        <v>2593</v>
      </c>
      <c r="D3909" s="6">
        <v>-53741</v>
      </c>
      <c r="E3909" s="6">
        <v>-276178</v>
      </c>
      <c r="F3909" s="7">
        <v>4.6689999999999996</v>
      </c>
      <c r="G3909" s="7">
        <v>6.4749999999999996</v>
      </c>
      <c r="H3909" s="7">
        <v>5.9420000000000002</v>
      </c>
      <c r="I3909" s="7">
        <v>5.1509999999999998</v>
      </c>
      <c r="J3909" s="7">
        <v>4.0549999999999997</v>
      </c>
      <c r="K3909" s="7">
        <v>3.13</v>
      </c>
      <c r="L3909" s="7">
        <v>2.581</v>
      </c>
      <c r="M3909" s="7">
        <v>2.9350000000000001</v>
      </c>
      <c r="N3909" s="7">
        <v>3.6930000000000001</v>
      </c>
      <c r="O3909" s="7">
        <v>4.0090000000000003</v>
      </c>
      <c r="P3909" s="7">
        <v>5.1829999999999998</v>
      </c>
      <c r="Q3909" s="7">
        <v>6.2439999999999998</v>
      </c>
      <c r="R3909" s="7">
        <v>6.6319999999999997</v>
      </c>
      <c r="S3909" s="7">
        <f t="shared" si="61"/>
        <v>4.6691666666666665</v>
      </c>
    </row>
    <row r="3910" spans="1:19">
      <c r="A3910" s="5" t="str">
        <f>B3910&amp;"-"&amp;COUNTIF($B$2:B3910,B3910)</f>
        <v>RIO GRANDE DO SUL-57</v>
      </c>
      <c r="B3910" s="5" t="s">
        <v>2552</v>
      </c>
      <c r="C3910" s="5" t="s">
        <v>2594</v>
      </c>
      <c r="D3910" s="6">
        <v>-51595</v>
      </c>
      <c r="E3910" s="6">
        <v>-295506</v>
      </c>
      <c r="F3910" s="7">
        <v>4.3390000000000004</v>
      </c>
      <c r="G3910" s="7">
        <v>6.1829999999999998</v>
      </c>
      <c r="H3910" s="7">
        <v>5.7430000000000003</v>
      </c>
      <c r="I3910" s="7">
        <v>4.8209999999999997</v>
      </c>
      <c r="J3910" s="7">
        <v>3.786</v>
      </c>
      <c r="K3910" s="7">
        <v>2.7930000000000001</v>
      </c>
      <c r="L3910" s="7">
        <v>2.3260000000000001</v>
      </c>
      <c r="M3910" s="7">
        <v>2.532</v>
      </c>
      <c r="N3910" s="7">
        <v>3.214</v>
      </c>
      <c r="O3910" s="7">
        <v>3.5329999999999999</v>
      </c>
      <c r="P3910" s="7">
        <v>4.5640000000000001</v>
      </c>
      <c r="Q3910" s="7">
        <v>6.0919999999999996</v>
      </c>
      <c r="R3910" s="7">
        <v>6.4809999999999999</v>
      </c>
      <c r="S3910" s="7">
        <f t="shared" si="61"/>
        <v>4.3389999999999995</v>
      </c>
    </row>
    <row r="3911" spans="1:19">
      <c r="A3911" s="5" t="str">
        <f>B3911&amp;"-"&amp;COUNTIF($B$2:B3911,B3911)</f>
        <v>RIO GRANDE DO SUL-58</v>
      </c>
      <c r="B3911" s="5" t="s">
        <v>2552</v>
      </c>
      <c r="C3911" s="5" t="s">
        <v>5709</v>
      </c>
      <c r="D3911" s="6">
        <v>-519605</v>
      </c>
      <c r="E3911" s="6">
        <v>-301184</v>
      </c>
      <c r="F3911" s="7">
        <v>4.4370000000000003</v>
      </c>
      <c r="G3911" s="7">
        <v>6.4180000000000001</v>
      </c>
      <c r="H3911" s="7">
        <v>5.859</v>
      </c>
      <c r="I3911" s="7">
        <v>4.8650000000000002</v>
      </c>
      <c r="J3911" s="7">
        <v>3.794</v>
      </c>
      <c r="K3911" s="7">
        <v>2.7669999999999999</v>
      </c>
      <c r="L3911" s="7">
        <v>2.3180000000000001</v>
      </c>
      <c r="M3911" s="7">
        <v>2.5289999999999999</v>
      </c>
      <c r="N3911" s="7">
        <v>3.2109999999999999</v>
      </c>
      <c r="O3911" s="7">
        <v>3.6579999999999999</v>
      </c>
      <c r="P3911" s="7">
        <v>4.8490000000000002</v>
      </c>
      <c r="Q3911" s="7">
        <v>6.2539999999999996</v>
      </c>
      <c r="R3911" s="7">
        <v>6.7210000000000001</v>
      </c>
      <c r="S3911" s="7">
        <f t="shared" si="61"/>
        <v>4.436916666666666</v>
      </c>
    </row>
    <row r="3912" spans="1:19">
      <c r="A3912" s="5" t="str">
        <f>B3912&amp;"-"&amp;COUNTIF($B$2:B3912,B3912)</f>
        <v>RIO GRANDE DO SUL-59</v>
      </c>
      <c r="B3912" s="5" t="s">
        <v>2552</v>
      </c>
      <c r="C3912" s="5" t="s">
        <v>5206</v>
      </c>
      <c r="D3912" s="6">
        <v>-547522</v>
      </c>
      <c r="E3912" s="6">
        <v>-27952</v>
      </c>
      <c r="F3912" s="7">
        <v>4.68</v>
      </c>
      <c r="G3912" s="7">
        <v>6.5090000000000003</v>
      </c>
      <c r="H3912" s="7">
        <v>6.0339999999999998</v>
      </c>
      <c r="I3912" s="7">
        <v>5.1790000000000003</v>
      </c>
      <c r="J3912" s="7">
        <v>4.0750000000000002</v>
      </c>
      <c r="K3912" s="7">
        <v>3.113</v>
      </c>
      <c r="L3912" s="7">
        <v>2.54</v>
      </c>
      <c r="M3912" s="7">
        <v>2.859</v>
      </c>
      <c r="N3912" s="7">
        <v>3.6240000000000001</v>
      </c>
      <c r="O3912" s="7">
        <v>4.0359999999999996</v>
      </c>
      <c r="P3912" s="7">
        <v>5.1550000000000002</v>
      </c>
      <c r="Q3912" s="7">
        <v>6.3140000000000001</v>
      </c>
      <c r="R3912" s="7">
        <v>6.7240000000000002</v>
      </c>
      <c r="S3912" s="7">
        <f t="shared" si="61"/>
        <v>4.6801666666666675</v>
      </c>
    </row>
    <row r="3913" spans="1:19">
      <c r="A3913" s="5" t="str">
        <f>B3913&amp;"-"&amp;COUNTIF($B$2:B3913,B3913)</f>
        <v>RIO GRANDE DO SUL-60</v>
      </c>
      <c r="B3913" s="5" t="s">
        <v>2552</v>
      </c>
      <c r="C3913" s="5" t="s">
        <v>4757</v>
      </c>
      <c r="D3913" s="6">
        <v>-534832</v>
      </c>
      <c r="E3913" s="6">
        <v>-305148</v>
      </c>
      <c r="F3913" s="7">
        <v>4.5209999999999999</v>
      </c>
      <c r="G3913" s="7">
        <v>6.4539999999999997</v>
      </c>
      <c r="H3913" s="7">
        <v>5.9</v>
      </c>
      <c r="I3913" s="7">
        <v>5.0060000000000002</v>
      </c>
      <c r="J3913" s="7">
        <v>3.8610000000000002</v>
      </c>
      <c r="K3913" s="7">
        <v>2.794</v>
      </c>
      <c r="L3913" s="7">
        <v>2.3260000000000001</v>
      </c>
      <c r="M3913" s="7">
        <v>2.569</v>
      </c>
      <c r="N3913" s="7">
        <v>3.2890000000000001</v>
      </c>
      <c r="O3913" s="7">
        <v>3.81</v>
      </c>
      <c r="P3913" s="7">
        <v>5.0419999999999998</v>
      </c>
      <c r="Q3913" s="7">
        <v>6.3239999999999998</v>
      </c>
      <c r="R3913" s="7">
        <v>6.883</v>
      </c>
      <c r="S3913" s="7">
        <f t="shared" si="61"/>
        <v>4.5215000000000005</v>
      </c>
    </row>
    <row r="3914" spans="1:19">
      <c r="A3914" s="5" t="str">
        <f>B3914&amp;"-"&amp;COUNTIF($B$2:B3914,B3914)</f>
        <v>RIO GRANDE DO SUL-61</v>
      </c>
      <c r="B3914" s="5" t="s">
        <v>2552</v>
      </c>
      <c r="C3914" s="5" t="s">
        <v>2595</v>
      </c>
      <c r="D3914" s="6">
        <v>-548249</v>
      </c>
      <c r="E3914" s="6">
        <v>-298839</v>
      </c>
      <c r="F3914" s="7">
        <v>4.633</v>
      </c>
      <c r="G3914" s="7">
        <v>6.6539999999999999</v>
      </c>
      <c r="H3914" s="7">
        <v>6.0720000000000001</v>
      </c>
      <c r="I3914" s="7">
        <v>5.1550000000000002</v>
      </c>
      <c r="J3914" s="7">
        <v>3.95</v>
      </c>
      <c r="K3914" s="7">
        <v>2.9</v>
      </c>
      <c r="L3914" s="7">
        <v>2.395</v>
      </c>
      <c r="M3914" s="7">
        <v>2.6419999999999999</v>
      </c>
      <c r="N3914" s="7">
        <v>3.371</v>
      </c>
      <c r="O3914" s="7">
        <v>3.9340000000000002</v>
      </c>
      <c r="P3914" s="7">
        <v>5.1529999999999996</v>
      </c>
      <c r="Q3914" s="7">
        <v>6.3730000000000002</v>
      </c>
      <c r="R3914" s="7">
        <v>6.9980000000000002</v>
      </c>
      <c r="S3914" s="7">
        <f t="shared" si="61"/>
        <v>4.6330833333333326</v>
      </c>
    </row>
    <row r="3915" spans="1:19">
      <c r="A3915" s="5" t="str">
        <f>B3915&amp;"-"&amp;COUNTIF($B$2:B3915,B3915)</f>
        <v>RIO GRANDE DO SUL-62</v>
      </c>
      <c r="B3915" s="5" t="s">
        <v>2552</v>
      </c>
      <c r="C3915" s="5" t="s">
        <v>2596</v>
      </c>
      <c r="D3915" s="6">
        <v>-528939</v>
      </c>
      <c r="E3915" s="6">
        <v>-30039</v>
      </c>
      <c r="F3915" s="7">
        <v>4.4740000000000002</v>
      </c>
      <c r="G3915" s="7">
        <v>6.4960000000000004</v>
      </c>
      <c r="H3915" s="7">
        <v>5.9359999999999999</v>
      </c>
      <c r="I3915" s="7">
        <v>4.992</v>
      </c>
      <c r="J3915" s="7">
        <v>3.819</v>
      </c>
      <c r="K3915" s="7">
        <v>2.786</v>
      </c>
      <c r="L3915" s="7">
        <v>2.302</v>
      </c>
      <c r="M3915" s="7">
        <v>2.5</v>
      </c>
      <c r="N3915" s="7">
        <v>3.2530000000000001</v>
      </c>
      <c r="O3915" s="7">
        <v>3.7160000000000002</v>
      </c>
      <c r="P3915" s="7">
        <v>4.8760000000000003</v>
      </c>
      <c r="Q3915" s="7">
        <v>6.24</v>
      </c>
      <c r="R3915" s="7">
        <v>6.7750000000000004</v>
      </c>
      <c r="S3915" s="7">
        <f t="shared" si="61"/>
        <v>4.4742500000000005</v>
      </c>
    </row>
    <row r="3916" spans="1:19">
      <c r="A3916" s="5" t="str">
        <f>B3916&amp;"-"&amp;COUNTIF($B$2:B3916,B3916)</f>
        <v>RIO GRANDE DO SUL-63</v>
      </c>
      <c r="B3916" s="5" t="s">
        <v>2552</v>
      </c>
      <c r="C3916" s="5" t="s">
        <v>2160</v>
      </c>
      <c r="D3916" s="6">
        <v>-511021</v>
      </c>
      <c r="E3916" s="6">
        <v>-299477</v>
      </c>
      <c r="F3916" s="7">
        <v>4.3879999999999999</v>
      </c>
      <c r="G3916" s="7">
        <v>6.34</v>
      </c>
      <c r="H3916" s="7">
        <v>5.7830000000000004</v>
      </c>
      <c r="I3916" s="7">
        <v>4.8150000000000004</v>
      </c>
      <c r="J3916" s="7">
        <v>3.7890000000000001</v>
      </c>
      <c r="K3916" s="7">
        <v>2.7810000000000001</v>
      </c>
      <c r="L3916" s="7">
        <v>2.3149999999999999</v>
      </c>
      <c r="M3916" s="7">
        <v>2.5150000000000001</v>
      </c>
      <c r="N3916" s="7">
        <v>3.1949999999999998</v>
      </c>
      <c r="O3916" s="7">
        <v>3.577</v>
      </c>
      <c r="P3916" s="7">
        <v>4.7300000000000004</v>
      </c>
      <c r="Q3916" s="7">
        <v>6.1849999999999996</v>
      </c>
      <c r="R3916" s="7">
        <v>6.6269999999999998</v>
      </c>
      <c r="S3916" s="7">
        <f t="shared" si="61"/>
        <v>4.387666666666667</v>
      </c>
    </row>
    <row r="3917" spans="1:19">
      <c r="A3917" s="5" t="str">
        <f>B3917&amp;"-"&amp;COUNTIF($B$2:B3917,B3917)</f>
        <v>RIO GRANDE DO SUL-64</v>
      </c>
      <c r="B3917" s="5" t="s">
        <v>2552</v>
      </c>
      <c r="C3917" s="5" t="s">
        <v>2597</v>
      </c>
      <c r="D3917" s="6">
        <v>-516601</v>
      </c>
      <c r="E3917" s="6">
        <v>-277675</v>
      </c>
      <c r="F3917" s="7">
        <v>4.593</v>
      </c>
      <c r="G3917" s="7">
        <v>6.298</v>
      </c>
      <c r="H3917" s="7">
        <v>5.7789999999999999</v>
      </c>
      <c r="I3917" s="7">
        <v>4.9820000000000002</v>
      </c>
      <c r="J3917" s="7">
        <v>4.0599999999999996</v>
      </c>
      <c r="K3917" s="7">
        <v>3.04</v>
      </c>
      <c r="L3917" s="7">
        <v>2.609</v>
      </c>
      <c r="M3917" s="7">
        <v>2.92</v>
      </c>
      <c r="N3917" s="7">
        <v>3.7130000000000001</v>
      </c>
      <c r="O3917" s="7">
        <v>3.923</v>
      </c>
      <c r="P3917" s="7">
        <v>5.0380000000000003</v>
      </c>
      <c r="Q3917" s="7">
        <v>6.2279999999999998</v>
      </c>
      <c r="R3917" s="7">
        <v>6.5279999999999996</v>
      </c>
      <c r="S3917" s="7">
        <f t="shared" si="61"/>
        <v>4.5931666666666677</v>
      </c>
    </row>
    <row r="3918" spans="1:19">
      <c r="A3918" s="5" t="str">
        <f>B3918&amp;"-"&amp;COUNTIF($B$2:B3918,B3918)</f>
        <v>RIO GRANDE DO SUL-65</v>
      </c>
      <c r="B3918" s="5" t="s">
        <v>2552</v>
      </c>
      <c r="C3918" s="5" t="s">
        <v>4700</v>
      </c>
      <c r="D3918" s="6">
        <v>-534261</v>
      </c>
      <c r="E3918" s="6">
        <v>-272796</v>
      </c>
      <c r="F3918" s="7">
        <v>4.6539999999999999</v>
      </c>
      <c r="G3918" s="7">
        <v>6.4560000000000004</v>
      </c>
      <c r="H3918" s="7">
        <v>5.867</v>
      </c>
      <c r="I3918" s="7">
        <v>5.1689999999999996</v>
      </c>
      <c r="J3918" s="7">
        <v>4.0590000000000002</v>
      </c>
      <c r="K3918" s="7">
        <v>3.113</v>
      </c>
      <c r="L3918" s="7">
        <v>2.577</v>
      </c>
      <c r="M3918" s="7">
        <v>2.9060000000000001</v>
      </c>
      <c r="N3918" s="7">
        <v>3.7349999999999999</v>
      </c>
      <c r="O3918" s="7">
        <v>3.9969999999999999</v>
      </c>
      <c r="P3918" s="7">
        <v>5.1849999999999996</v>
      </c>
      <c r="Q3918" s="7">
        <v>6.1989999999999998</v>
      </c>
      <c r="R3918" s="7">
        <v>6.5839999999999996</v>
      </c>
      <c r="S3918" s="7">
        <f t="shared" si="61"/>
        <v>4.6539166666666665</v>
      </c>
    </row>
    <row r="3919" spans="1:19">
      <c r="A3919" s="5" t="str">
        <f>B3919&amp;"-"&amp;COUNTIF($B$2:B3919,B3919)</f>
        <v>RIO GRANDE DO SUL-66</v>
      </c>
      <c r="B3919" s="5" t="s">
        <v>2552</v>
      </c>
      <c r="C3919" s="5" t="s">
        <v>4472</v>
      </c>
      <c r="D3919" s="6">
        <v>-546379</v>
      </c>
      <c r="E3919" s="6">
        <v>-28288</v>
      </c>
      <c r="F3919" s="7">
        <v>4.6890000000000001</v>
      </c>
      <c r="G3919" s="7">
        <v>6.5590000000000002</v>
      </c>
      <c r="H3919" s="7">
        <v>6.1260000000000003</v>
      </c>
      <c r="I3919" s="7">
        <v>5.2210000000000001</v>
      </c>
      <c r="J3919" s="7">
        <v>4.07</v>
      </c>
      <c r="K3919" s="7">
        <v>3.0819999999999999</v>
      </c>
      <c r="L3919" s="7">
        <v>2.5209999999999999</v>
      </c>
      <c r="M3919" s="7">
        <v>2.8039999999999998</v>
      </c>
      <c r="N3919" s="7">
        <v>3.589</v>
      </c>
      <c r="O3919" s="7">
        <v>4.0369999999999999</v>
      </c>
      <c r="P3919" s="7">
        <v>5.1529999999999996</v>
      </c>
      <c r="Q3919" s="7">
        <v>6.3520000000000003</v>
      </c>
      <c r="R3919" s="7">
        <v>6.7590000000000003</v>
      </c>
      <c r="S3919" s="7">
        <f t="shared" si="61"/>
        <v>4.6894166666666663</v>
      </c>
    </row>
    <row r="3920" spans="1:19">
      <c r="A3920" s="5" t="str">
        <f>B3920&amp;"-"&amp;COUNTIF($B$2:B3920,B3920)</f>
        <v>RIO GRANDE DO SUL-67</v>
      </c>
      <c r="B3920" s="5" t="s">
        <v>2552</v>
      </c>
      <c r="C3920" s="5" t="s">
        <v>5398</v>
      </c>
      <c r="D3920" s="6">
        <v>-518048</v>
      </c>
      <c r="E3920" s="6">
        <v>-308494</v>
      </c>
      <c r="F3920" s="7">
        <v>4.2770000000000001</v>
      </c>
      <c r="G3920" s="7">
        <v>6.2409999999999997</v>
      </c>
      <c r="H3920" s="7">
        <v>5.5330000000000004</v>
      </c>
      <c r="I3920" s="7">
        <v>4.6920000000000002</v>
      </c>
      <c r="J3920" s="7">
        <v>3.6869999999999998</v>
      </c>
      <c r="K3920" s="7">
        <v>2.7149999999999999</v>
      </c>
      <c r="L3920" s="7">
        <v>2.254</v>
      </c>
      <c r="M3920" s="7">
        <v>2.468</v>
      </c>
      <c r="N3920" s="7">
        <v>3.0950000000000002</v>
      </c>
      <c r="O3920" s="7">
        <v>3.5190000000000001</v>
      </c>
      <c r="P3920" s="7">
        <v>4.6399999999999997</v>
      </c>
      <c r="Q3920" s="7">
        <v>6.0119999999999996</v>
      </c>
      <c r="R3920" s="7">
        <v>6.468</v>
      </c>
      <c r="S3920" s="7">
        <f t="shared" si="61"/>
        <v>4.2770000000000001</v>
      </c>
    </row>
    <row r="3921" spans="1:19">
      <c r="A3921" s="5" t="str">
        <f>B3921&amp;"-"&amp;COUNTIF($B$2:B3921,B3921)</f>
        <v>RIO GRANDE DO SUL-68</v>
      </c>
      <c r="B3921" s="5" t="s">
        <v>2552</v>
      </c>
      <c r="C3921" s="5" t="s">
        <v>2598</v>
      </c>
      <c r="D3921" s="6">
        <v>-522007</v>
      </c>
      <c r="E3921" s="6">
        <v>-285885</v>
      </c>
      <c r="F3921" s="7">
        <v>4.5259999999999998</v>
      </c>
      <c r="G3921" s="7">
        <v>6.2320000000000002</v>
      </c>
      <c r="H3921" s="7">
        <v>5.84</v>
      </c>
      <c r="I3921" s="7">
        <v>4.9429999999999996</v>
      </c>
      <c r="J3921" s="7">
        <v>3.952</v>
      </c>
      <c r="K3921" s="7">
        <v>2.9649999999999999</v>
      </c>
      <c r="L3921" s="7">
        <v>2.464</v>
      </c>
      <c r="M3921" s="7">
        <v>2.7650000000000001</v>
      </c>
      <c r="N3921" s="7">
        <v>3.5379999999999998</v>
      </c>
      <c r="O3921" s="7">
        <v>3.82</v>
      </c>
      <c r="P3921" s="7">
        <v>4.9779999999999998</v>
      </c>
      <c r="Q3921" s="7">
        <v>6.1970000000000001</v>
      </c>
      <c r="R3921" s="7">
        <v>6.6150000000000002</v>
      </c>
      <c r="S3921" s="7">
        <f t="shared" si="61"/>
        <v>4.5257500000000004</v>
      </c>
    </row>
    <row r="3922" spans="1:19">
      <c r="A3922" s="5" t="str">
        <f>B3922&amp;"-"&amp;COUNTIF($B$2:B3922,B3922)</f>
        <v>RIO GRANDE DO SUL-69</v>
      </c>
      <c r="B3922" s="5" t="s">
        <v>2552</v>
      </c>
      <c r="C3922" s="5" t="s">
        <v>5710</v>
      </c>
      <c r="D3922" s="6">
        <v>-501469</v>
      </c>
      <c r="E3922" s="6">
        <v>-290479</v>
      </c>
      <c r="F3922" s="7">
        <v>4.3739999999999997</v>
      </c>
      <c r="G3922" s="7">
        <v>5.94</v>
      </c>
      <c r="H3922" s="7">
        <v>5.4560000000000004</v>
      </c>
      <c r="I3922" s="7">
        <v>4.68</v>
      </c>
      <c r="J3922" s="7">
        <v>3.87</v>
      </c>
      <c r="K3922" s="7">
        <v>2.8980000000000001</v>
      </c>
      <c r="L3922" s="7">
        <v>2.4990000000000001</v>
      </c>
      <c r="M3922" s="7">
        <v>2.81</v>
      </c>
      <c r="N3922" s="7">
        <v>3.5379999999999998</v>
      </c>
      <c r="O3922" s="7">
        <v>3.6850000000000001</v>
      </c>
      <c r="P3922" s="7">
        <v>4.7910000000000004</v>
      </c>
      <c r="Q3922" s="7">
        <v>6.032</v>
      </c>
      <c r="R3922" s="7">
        <v>6.2830000000000004</v>
      </c>
      <c r="S3922" s="7">
        <f t="shared" si="61"/>
        <v>4.3734999999999999</v>
      </c>
    </row>
    <row r="3923" spans="1:19">
      <c r="A3923" s="5" t="str">
        <f>B3923&amp;"-"&amp;COUNTIF($B$2:B3923,B3923)</f>
        <v>RIO GRANDE DO SUL-70</v>
      </c>
      <c r="B3923" s="5" t="s">
        <v>2552</v>
      </c>
      <c r="C3923" s="5" t="s">
        <v>2599</v>
      </c>
      <c r="D3923" s="6">
        <v>-510946</v>
      </c>
      <c r="E3923" s="6">
        <v>-287931</v>
      </c>
      <c r="F3923" s="7">
        <v>4.4180000000000001</v>
      </c>
      <c r="G3923" s="7">
        <v>6.0250000000000004</v>
      </c>
      <c r="H3923" s="7">
        <v>5.6509999999999998</v>
      </c>
      <c r="I3923" s="7">
        <v>4.8410000000000002</v>
      </c>
      <c r="J3923" s="7">
        <v>3.83</v>
      </c>
      <c r="K3923" s="7">
        <v>2.891</v>
      </c>
      <c r="L3923" s="7">
        <v>2.4369999999999998</v>
      </c>
      <c r="M3923" s="7">
        <v>2.754</v>
      </c>
      <c r="N3923" s="7">
        <v>3.4849999999999999</v>
      </c>
      <c r="O3923" s="7">
        <v>3.7349999999999999</v>
      </c>
      <c r="P3923" s="7">
        <v>4.8360000000000003</v>
      </c>
      <c r="Q3923" s="7">
        <v>6.1230000000000002</v>
      </c>
      <c r="R3923" s="7">
        <v>6.4089999999999998</v>
      </c>
      <c r="S3923" s="7">
        <f t="shared" si="61"/>
        <v>4.4180833333333327</v>
      </c>
    </row>
    <row r="3924" spans="1:19">
      <c r="A3924" s="5" t="str">
        <f>B3924&amp;"-"&amp;COUNTIF($B$2:B3924,B3924)</f>
        <v>RIO GRANDE DO SUL-71</v>
      </c>
      <c r="B3924" s="5" t="s">
        <v>2552</v>
      </c>
      <c r="C3924" s="5" t="s">
        <v>5442</v>
      </c>
      <c r="D3924" s="6">
        <v>-548421</v>
      </c>
      <c r="E3924" s="6">
        <v>-279893</v>
      </c>
      <c r="F3924" s="7">
        <v>4.6859999999999999</v>
      </c>
      <c r="G3924" s="7">
        <v>6.5570000000000004</v>
      </c>
      <c r="H3924" s="7">
        <v>6.0449999999999999</v>
      </c>
      <c r="I3924" s="7">
        <v>5.1840000000000002</v>
      </c>
      <c r="J3924" s="7">
        <v>4.0709999999999997</v>
      </c>
      <c r="K3924" s="7">
        <v>3.097</v>
      </c>
      <c r="L3924" s="7">
        <v>2.5350000000000001</v>
      </c>
      <c r="M3924" s="7">
        <v>2.8580000000000001</v>
      </c>
      <c r="N3924" s="7">
        <v>3.629</v>
      </c>
      <c r="O3924" s="7">
        <v>4.0389999999999997</v>
      </c>
      <c r="P3924" s="7">
        <v>5.149</v>
      </c>
      <c r="Q3924" s="7">
        <v>6.3289999999999997</v>
      </c>
      <c r="R3924" s="7">
        <v>6.7439999999999998</v>
      </c>
      <c r="S3924" s="7">
        <f t="shared" si="61"/>
        <v>4.6864166666666671</v>
      </c>
    </row>
    <row r="3925" spans="1:19">
      <c r="A3925" s="5" t="str">
        <f>B3925&amp;"-"&amp;COUNTIF($B$2:B3925,B3925)</f>
        <v>RIO GRANDE DO SUL-72</v>
      </c>
      <c r="B3925" s="5" t="s">
        <v>2552</v>
      </c>
      <c r="C3925" s="5" t="s">
        <v>2600</v>
      </c>
      <c r="D3925" s="6">
        <v>-526253</v>
      </c>
      <c r="E3925" s="6">
        <v>-277179</v>
      </c>
      <c r="F3925" s="7">
        <v>4.6349999999999998</v>
      </c>
      <c r="G3925" s="7">
        <v>6.3680000000000003</v>
      </c>
      <c r="H3925" s="7">
        <v>5.9390000000000001</v>
      </c>
      <c r="I3925" s="7">
        <v>5.0389999999999997</v>
      </c>
      <c r="J3925" s="7">
        <v>4.0869999999999997</v>
      </c>
      <c r="K3925" s="7">
        <v>3.0880000000000001</v>
      </c>
      <c r="L3925" s="7">
        <v>2.5960000000000001</v>
      </c>
      <c r="M3925" s="7">
        <v>2.9119999999999999</v>
      </c>
      <c r="N3925" s="7">
        <v>3.73</v>
      </c>
      <c r="O3925" s="7">
        <v>3.9609999999999999</v>
      </c>
      <c r="P3925" s="7">
        <v>5.1189999999999998</v>
      </c>
      <c r="Q3925" s="7">
        <v>6.17</v>
      </c>
      <c r="R3925" s="7">
        <v>6.61</v>
      </c>
      <c r="S3925" s="7">
        <f t="shared" si="61"/>
        <v>4.6349166666666664</v>
      </c>
    </row>
    <row r="3926" spans="1:19">
      <c r="A3926" s="5" t="str">
        <f>B3926&amp;"-"&amp;COUNTIF($B$2:B3926,B3926)</f>
        <v>RIO GRANDE DO SUL-73</v>
      </c>
      <c r="B3926" s="5" t="s">
        <v>2552</v>
      </c>
      <c r="C3926" s="5" t="s">
        <v>2601</v>
      </c>
      <c r="D3926" s="6">
        <v>-510611</v>
      </c>
      <c r="E3926" s="6">
        <v>-296752</v>
      </c>
      <c r="F3926" s="7">
        <v>4.343</v>
      </c>
      <c r="G3926" s="7">
        <v>6.2409999999999997</v>
      </c>
      <c r="H3926" s="7">
        <v>5.7069999999999999</v>
      </c>
      <c r="I3926" s="7">
        <v>4.7539999999999996</v>
      </c>
      <c r="J3926" s="7">
        <v>3.7789999999999999</v>
      </c>
      <c r="K3926" s="7">
        <v>2.8220000000000001</v>
      </c>
      <c r="L3926" s="7">
        <v>2.3250000000000002</v>
      </c>
      <c r="M3926" s="7">
        <v>2.5190000000000001</v>
      </c>
      <c r="N3926" s="7">
        <v>3.1880000000000002</v>
      </c>
      <c r="O3926" s="7">
        <v>3.556</v>
      </c>
      <c r="P3926" s="7">
        <v>4.6219999999999999</v>
      </c>
      <c r="Q3926" s="7">
        <v>6.07</v>
      </c>
      <c r="R3926" s="7">
        <v>6.5279999999999996</v>
      </c>
      <c r="S3926" s="7">
        <f t="shared" si="61"/>
        <v>4.3425833333333328</v>
      </c>
    </row>
    <row r="3927" spans="1:19">
      <c r="A3927" s="5" t="str">
        <f>B3927&amp;"-"&amp;COUNTIF($B$2:B3927,B3927)</f>
        <v>RIO GRANDE DO SUL-74</v>
      </c>
      <c r="B3927" s="5" t="s">
        <v>2552</v>
      </c>
      <c r="C3927" s="5" t="s">
        <v>2602</v>
      </c>
      <c r="D3927" s="6">
        <v>-538057</v>
      </c>
      <c r="E3927" s="6">
        <v>-276797</v>
      </c>
      <c r="F3927" s="7">
        <v>4.66</v>
      </c>
      <c r="G3927" s="7">
        <v>6.4580000000000002</v>
      </c>
      <c r="H3927" s="7">
        <v>5.9930000000000003</v>
      </c>
      <c r="I3927" s="7">
        <v>5.1040000000000001</v>
      </c>
      <c r="J3927" s="7">
        <v>4.0640000000000001</v>
      </c>
      <c r="K3927" s="7">
        <v>3.1230000000000002</v>
      </c>
      <c r="L3927" s="7">
        <v>2.5859999999999999</v>
      </c>
      <c r="M3927" s="7">
        <v>2.915</v>
      </c>
      <c r="N3927" s="7">
        <v>3.706</v>
      </c>
      <c r="O3927" s="7">
        <v>3.99</v>
      </c>
      <c r="P3927" s="7">
        <v>5.1689999999999996</v>
      </c>
      <c r="Q3927" s="7">
        <v>6.2039999999999997</v>
      </c>
      <c r="R3927" s="7">
        <v>6.61</v>
      </c>
      <c r="S3927" s="7">
        <f t="shared" si="61"/>
        <v>4.6601666666666661</v>
      </c>
    </row>
    <row r="3928" spans="1:19">
      <c r="A3928" s="5" t="str">
        <f>B3928&amp;"-"&amp;COUNTIF($B$2:B3928,B3928)</f>
        <v>RIO GRANDE DO SUL-75</v>
      </c>
      <c r="B3928" s="5" t="s">
        <v>2552</v>
      </c>
      <c r="C3928" s="5" t="s">
        <v>2603</v>
      </c>
      <c r="D3928" s="6">
        <v>-530013</v>
      </c>
      <c r="E3928" s="6">
        <v>-288876</v>
      </c>
      <c r="F3928" s="7">
        <v>4.5759999999999996</v>
      </c>
      <c r="G3928" s="7">
        <v>6.3730000000000002</v>
      </c>
      <c r="H3928" s="7">
        <v>5.9320000000000004</v>
      </c>
      <c r="I3928" s="7">
        <v>5.0839999999999996</v>
      </c>
      <c r="J3928" s="7">
        <v>3.9609999999999999</v>
      </c>
      <c r="K3928" s="7">
        <v>2.98</v>
      </c>
      <c r="L3928" s="7">
        <v>2.4239999999999999</v>
      </c>
      <c r="M3928" s="7">
        <v>2.7309999999999999</v>
      </c>
      <c r="N3928" s="7">
        <v>3.516</v>
      </c>
      <c r="O3928" s="7">
        <v>3.8639999999999999</v>
      </c>
      <c r="P3928" s="7">
        <v>5.01</v>
      </c>
      <c r="Q3928" s="7">
        <v>6.306</v>
      </c>
      <c r="R3928" s="7">
        <v>6.7370000000000001</v>
      </c>
      <c r="S3928" s="7">
        <f t="shared" si="61"/>
        <v>4.5764999999999993</v>
      </c>
    </row>
    <row r="3929" spans="1:19">
      <c r="A3929" s="5" t="str">
        <f>B3929&amp;"-"&amp;COUNTIF($B$2:B3929,B3929)</f>
        <v>RIO GRANDE DO SUL-76</v>
      </c>
      <c r="B3929" s="5" t="s">
        <v>2552</v>
      </c>
      <c r="C3929" s="5" t="s">
        <v>5711</v>
      </c>
      <c r="D3929" s="5" t="s">
        <v>2604</v>
      </c>
      <c r="E3929" s="6">
        <v>-296689</v>
      </c>
      <c r="F3929" s="7">
        <v>4.3899999999999997</v>
      </c>
      <c r="G3929" s="7">
        <v>6.2430000000000003</v>
      </c>
      <c r="H3929" s="7">
        <v>5.8209999999999997</v>
      </c>
      <c r="I3929" s="7">
        <v>4.9009999999999998</v>
      </c>
      <c r="J3929" s="7">
        <v>3.7879999999999998</v>
      </c>
      <c r="K3929" s="7">
        <v>2.8010000000000002</v>
      </c>
      <c r="L3929" s="7">
        <v>2.3199999999999998</v>
      </c>
      <c r="M3929" s="7">
        <v>2.5510000000000002</v>
      </c>
      <c r="N3929" s="7">
        <v>3.2410000000000001</v>
      </c>
      <c r="O3929" s="7">
        <v>3.6110000000000002</v>
      </c>
      <c r="P3929" s="7">
        <v>4.7389999999999999</v>
      </c>
      <c r="Q3929" s="7">
        <v>6.0869999999999997</v>
      </c>
      <c r="R3929" s="7">
        <v>6.577</v>
      </c>
      <c r="S3929" s="7">
        <f t="shared" si="61"/>
        <v>4.3899999999999997</v>
      </c>
    </row>
    <row r="3930" spans="1:19">
      <c r="A3930" s="5" t="str">
        <f>B3930&amp;"-"&amp;COUNTIF($B$2:B3930,B3930)</f>
        <v>RIO GRANDE DO SUL-77</v>
      </c>
      <c r="B3930" s="5" t="s">
        <v>2552</v>
      </c>
      <c r="C3930" s="5" t="s">
        <v>2605</v>
      </c>
      <c r="D3930" s="6">
        <v>-536729</v>
      </c>
      <c r="E3930" s="6">
        <v>-315579</v>
      </c>
      <c r="F3930" s="7">
        <v>4.468</v>
      </c>
      <c r="G3930" s="7">
        <v>6.4240000000000004</v>
      </c>
      <c r="H3930" s="7">
        <v>5.8070000000000004</v>
      </c>
      <c r="I3930" s="7">
        <v>4.9340000000000002</v>
      </c>
      <c r="J3930" s="7">
        <v>3.72</v>
      </c>
      <c r="K3930" s="7">
        <v>2.669</v>
      </c>
      <c r="L3930" s="7">
        <v>2.2759999999999998</v>
      </c>
      <c r="M3930" s="7">
        <v>2.5009999999999999</v>
      </c>
      <c r="N3930" s="7">
        <v>3.1459999999999999</v>
      </c>
      <c r="O3930" s="7">
        <v>3.7450000000000001</v>
      </c>
      <c r="P3930" s="7">
        <v>5.0679999999999996</v>
      </c>
      <c r="Q3930" s="7">
        <v>6.399</v>
      </c>
      <c r="R3930" s="7">
        <v>6.9329999999999998</v>
      </c>
      <c r="S3930" s="7">
        <f t="shared" si="61"/>
        <v>4.4684999999999997</v>
      </c>
    </row>
    <row r="3931" spans="1:19">
      <c r="A3931" s="5" t="str">
        <f>B3931&amp;"-"&amp;COUNTIF($B$2:B3931,B3931)</f>
        <v>RIO GRANDE DO SUL-78</v>
      </c>
      <c r="B3931" s="5" t="s">
        <v>2552</v>
      </c>
      <c r="C3931" s="5" t="s">
        <v>2606</v>
      </c>
      <c r="D3931" s="6">
        <v>-508124</v>
      </c>
      <c r="E3931" s="6">
        <v>-293565</v>
      </c>
      <c r="F3931" s="7">
        <v>4.29</v>
      </c>
      <c r="G3931" s="7">
        <v>5.9729999999999999</v>
      </c>
      <c r="H3931" s="7">
        <v>5.5529999999999999</v>
      </c>
      <c r="I3931" s="7">
        <v>4.6070000000000002</v>
      </c>
      <c r="J3931" s="7">
        <v>3.7559999999999998</v>
      </c>
      <c r="K3931" s="7">
        <v>2.798</v>
      </c>
      <c r="L3931" s="7">
        <v>2.38</v>
      </c>
      <c r="M3931" s="7">
        <v>2.609</v>
      </c>
      <c r="N3931" s="7">
        <v>3.3180000000000001</v>
      </c>
      <c r="O3931" s="7">
        <v>3.54</v>
      </c>
      <c r="P3931" s="7">
        <v>4.6150000000000002</v>
      </c>
      <c r="Q3931" s="7">
        <v>5.9770000000000003</v>
      </c>
      <c r="R3931" s="7">
        <v>6.3579999999999997</v>
      </c>
      <c r="S3931" s="7">
        <f t="shared" si="61"/>
        <v>4.2903333333333338</v>
      </c>
    </row>
    <row r="3932" spans="1:19">
      <c r="A3932" s="5" t="str">
        <f>B3932&amp;"-"&amp;COUNTIF($B$2:B3932,B3932)</f>
        <v>RIO GRANDE DO SUL-79</v>
      </c>
      <c r="B3932" s="5" t="s">
        <v>2552</v>
      </c>
      <c r="C3932" s="5" t="s">
        <v>4758</v>
      </c>
      <c r="D3932" s="6">
        <v>-526787</v>
      </c>
      <c r="E3932" s="6">
        <v>-313965</v>
      </c>
      <c r="F3932" s="7">
        <v>4.3170000000000002</v>
      </c>
      <c r="G3932" s="7">
        <v>6.1740000000000004</v>
      </c>
      <c r="H3932" s="7">
        <v>5.6109999999999998</v>
      </c>
      <c r="I3932" s="7">
        <v>4.7270000000000003</v>
      </c>
      <c r="J3932" s="7">
        <v>3.6579999999999999</v>
      </c>
      <c r="K3932" s="7">
        <v>2.6760000000000002</v>
      </c>
      <c r="L3932" s="7">
        <v>2.2570000000000001</v>
      </c>
      <c r="M3932" s="7">
        <v>2.4750000000000001</v>
      </c>
      <c r="N3932" s="7">
        <v>3.089</v>
      </c>
      <c r="O3932" s="7">
        <v>3.5979999999999999</v>
      </c>
      <c r="P3932" s="7">
        <v>4.819</v>
      </c>
      <c r="Q3932" s="7">
        <v>6.0750000000000002</v>
      </c>
      <c r="R3932" s="7">
        <v>6.6509999999999998</v>
      </c>
      <c r="S3932" s="7">
        <f t="shared" si="61"/>
        <v>4.3175000000000017</v>
      </c>
    </row>
    <row r="3933" spans="1:19">
      <c r="A3933" s="5" t="str">
        <f>B3933&amp;"-"&amp;COUNTIF($B$2:B3933,B3933)</f>
        <v>RIO GRANDE DO SUL-80</v>
      </c>
      <c r="B3933" s="5" t="s">
        <v>2552</v>
      </c>
      <c r="C3933" s="5" t="s">
        <v>2607</v>
      </c>
      <c r="D3933" s="6">
        <v>-511861</v>
      </c>
      <c r="E3933" s="6">
        <v>-299132</v>
      </c>
      <c r="F3933" s="7">
        <v>4.3879999999999999</v>
      </c>
      <c r="G3933" s="7">
        <v>6.34</v>
      </c>
      <c r="H3933" s="7">
        <v>5.7830000000000004</v>
      </c>
      <c r="I3933" s="7">
        <v>4.8150000000000004</v>
      </c>
      <c r="J3933" s="7">
        <v>3.7890000000000001</v>
      </c>
      <c r="K3933" s="7">
        <v>2.7810000000000001</v>
      </c>
      <c r="L3933" s="7">
        <v>2.3149999999999999</v>
      </c>
      <c r="M3933" s="7">
        <v>2.5150000000000001</v>
      </c>
      <c r="N3933" s="7">
        <v>3.1949999999999998</v>
      </c>
      <c r="O3933" s="7">
        <v>3.577</v>
      </c>
      <c r="P3933" s="7">
        <v>4.7300000000000004</v>
      </c>
      <c r="Q3933" s="7">
        <v>6.1849999999999996</v>
      </c>
      <c r="R3933" s="7">
        <v>6.6269999999999998</v>
      </c>
      <c r="S3933" s="7">
        <f t="shared" si="61"/>
        <v>4.387666666666667</v>
      </c>
    </row>
    <row r="3934" spans="1:19">
      <c r="A3934" s="5" t="str">
        <f>B3934&amp;"-"&amp;COUNTIF($B$2:B3934,B3934)</f>
        <v>RIO GRANDE DO SUL-81</v>
      </c>
      <c r="B3934" s="5" t="s">
        <v>2552</v>
      </c>
      <c r="C3934" s="5" t="s">
        <v>2608</v>
      </c>
      <c r="D3934" s="6">
        <v>-522396</v>
      </c>
      <c r="E3934" s="6">
        <v>-293277</v>
      </c>
      <c r="F3934" s="7">
        <v>4.37</v>
      </c>
      <c r="G3934" s="7">
        <v>6.1159999999999997</v>
      </c>
      <c r="H3934" s="7">
        <v>5.6989999999999998</v>
      </c>
      <c r="I3934" s="7">
        <v>4.8079999999999998</v>
      </c>
      <c r="J3934" s="7">
        <v>3.7959999999999998</v>
      </c>
      <c r="K3934" s="7">
        <v>2.823</v>
      </c>
      <c r="L3934" s="7">
        <v>2.3690000000000002</v>
      </c>
      <c r="M3934" s="7">
        <v>2.6320000000000001</v>
      </c>
      <c r="N3934" s="7">
        <v>3.363</v>
      </c>
      <c r="O3934" s="7">
        <v>3.63</v>
      </c>
      <c r="P3934" s="7">
        <v>4.67</v>
      </c>
      <c r="Q3934" s="7">
        <v>6.0620000000000003</v>
      </c>
      <c r="R3934" s="7">
        <v>6.4640000000000004</v>
      </c>
      <c r="S3934" s="7">
        <f t="shared" si="61"/>
        <v>4.3693333333333326</v>
      </c>
    </row>
    <row r="3935" spans="1:19">
      <c r="A3935" s="5" t="str">
        <f>B3935&amp;"-"&amp;COUNTIF($B$2:B3935,B3935)</f>
        <v>RIO GRANDE DO SUL-82</v>
      </c>
      <c r="B3935" s="5" t="s">
        <v>2552</v>
      </c>
      <c r="C3935" s="5" t="s">
        <v>4158</v>
      </c>
      <c r="D3935" s="6">
        <v>-513965</v>
      </c>
      <c r="E3935" s="6">
        <v>-281259</v>
      </c>
      <c r="F3935" s="7">
        <v>4.5279999999999996</v>
      </c>
      <c r="G3935" s="7">
        <v>6.1970000000000001</v>
      </c>
      <c r="H3935" s="7">
        <v>5.7969999999999997</v>
      </c>
      <c r="I3935" s="7">
        <v>4.923</v>
      </c>
      <c r="J3935" s="7">
        <v>3.9460000000000002</v>
      </c>
      <c r="K3935" s="7">
        <v>2.988</v>
      </c>
      <c r="L3935" s="7">
        <v>2.5840000000000001</v>
      </c>
      <c r="M3935" s="7">
        <v>2.8719999999999999</v>
      </c>
      <c r="N3935" s="7">
        <v>3.6469999999999998</v>
      </c>
      <c r="O3935" s="7">
        <v>3.8860000000000001</v>
      </c>
      <c r="P3935" s="7">
        <v>4.9329999999999998</v>
      </c>
      <c r="Q3935" s="7">
        <v>6.141</v>
      </c>
      <c r="R3935" s="7">
        <v>6.4279999999999999</v>
      </c>
      <c r="S3935" s="7">
        <f t="shared" si="61"/>
        <v>4.5285000000000002</v>
      </c>
    </row>
    <row r="3936" spans="1:19">
      <c r="A3936" s="5" t="str">
        <f>B3936&amp;"-"&amp;COUNTIF($B$2:B3936,B3936)</f>
        <v>RIO GRANDE DO SUL-83</v>
      </c>
      <c r="B3936" s="5" t="s">
        <v>2552</v>
      </c>
      <c r="C3936" s="5" t="s">
        <v>4159</v>
      </c>
      <c r="D3936" s="6">
        <v>-500287</v>
      </c>
      <c r="E3936" s="6">
        <v>-297647</v>
      </c>
      <c r="F3936" s="7">
        <v>4.3559999999999999</v>
      </c>
      <c r="G3936" s="7">
        <v>6.2569999999999997</v>
      </c>
      <c r="H3936" s="7">
        <v>5.5940000000000003</v>
      </c>
      <c r="I3936" s="7">
        <v>4.7309999999999999</v>
      </c>
      <c r="J3936" s="7">
        <v>3.8860000000000001</v>
      </c>
      <c r="K3936" s="7">
        <v>2.9089999999999998</v>
      </c>
      <c r="L3936" s="7">
        <v>2.4169999999999998</v>
      </c>
      <c r="M3936" s="7">
        <v>2.6160000000000001</v>
      </c>
      <c r="N3936" s="7">
        <v>3.2330000000000001</v>
      </c>
      <c r="O3936" s="7">
        <v>3.573</v>
      </c>
      <c r="P3936" s="7">
        <v>4.6079999999999997</v>
      </c>
      <c r="Q3936" s="7">
        <v>6.0190000000000001</v>
      </c>
      <c r="R3936" s="7">
        <v>6.4249999999999998</v>
      </c>
      <c r="S3936" s="7">
        <f t="shared" si="61"/>
        <v>4.3556666666666652</v>
      </c>
    </row>
    <row r="3937" spans="1:19">
      <c r="A3937" s="5" t="str">
        <f>B3937&amp;"-"&amp;COUNTIF($B$2:B3937,B3937)</f>
        <v>RIO GRANDE DO SUL-84</v>
      </c>
      <c r="B3937" s="5" t="s">
        <v>2552</v>
      </c>
      <c r="C3937" s="5" t="s">
        <v>5207</v>
      </c>
      <c r="D3937" s="6">
        <v>-545563</v>
      </c>
      <c r="E3937" s="6">
        <v>-289317</v>
      </c>
      <c r="F3937" s="7">
        <v>4.6779999999999999</v>
      </c>
      <c r="G3937" s="7">
        <v>6.5220000000000002</v>
      </c>
      <c r="H3937" s="7">
        <v>6.0819999999999999</v>
      </c>
      <c r="I3937" s="7">
        <v>5.1829999999999998</v>
      </c>
      <c r="J3937" s="7">
        <v>4.0019999999999998</v>
      </c>
      <c r="K3937" s="7">
        <v>3.0430000000000001</v>
      </c>
      <c r="L3937" s="7">
        <v>2.488</v>
      </c>
      <c r="M3937" s="7">
        <v>2.8220000000000001</v>
      </c>
      <c r="N3937" s="7">
        <v>3.5670000000000002</v>
      </c>
      <c r="O3937" s="7">
        <v>4.0220000000000002</v>
      </c>
      <c r="P3937" s="7">
        <v>5.1550000000000002</v>
      </c>
      <c r="Q3937" s="7">
        <v>6.3929999999999998</v>
      </c>
      <c r="R3937" s="7">
        <v>6.859</v>
      </c>
      <c r="S3937" s="7">
        <f t="shared" si="61"/>
        <v>4.6781666666666668</v>
      </c>
    </row>
    <row r="3938" spans="1:19">
      <c r="A3938" s="5" t="str">
        <f>B3938&amp;"-"&amp;COUNTIF($B$2:B3938,B3938)</f>
        <v>RIO GRANDE DO SUL-85</v>
      </c>
      <c r="B3938" s="5" t="s">
        <v>2552</v>
      </c>
      <c r="C3938" s="5" t="s">
        <v>4160</v>
      </c>
      <c r="D3938" s="6">
        <v>-524893</v>
      </c>
      <c r="E3938" s="6">
        <v>-317569</v>
      </c>
      <c r="F3938" s="7">
        <v>4.2880000000000003</v>
      </c>
      <c r="G3938" s="7">
        <v>6.2210000000000001</v>
      </c>
      <c r="H3938" s="7">
        <v>5.5730000000000004</v>
      </c>
      <c r="I3938" s="7">
        <v>4.7460000000000004</v>
      </c>
      <c r="J3938" s="7">
        <v>3.6030000000000002</v>
      </c>
      <c r="K3938" s="7">
        <v>2.64</v>
      </c>
      <c r="L3938" s="7">
        <v>2.2349999999999999</v>
      </c>
      <c r="M3938" s="7">
        <v>2.4049999999999998</v>
      </c>
      <c r="N3938" s="7">
        <v>2.9910000000000001</v>
      </c>
      <c r="O3938" s="7">
        <v>3.5329999999999999</v>
      </c>
      <c r="P3938" s="7">
        <v>4.7699999999999996</v>
      </c>
      <c r="Q3938" s="7">
        <v>6.11</v>
      </c>
      <c r="R3938" s="7">
        <v>6.6260000000000003</v>
      </c>
      <c r="S3938" s="7">
        <f t="shared" si="61"/>
        <v>4.28775</v>
      </c>
    </row>
    <row r="3939" spans="1:19">
      <c r="A3939" s="5" t="str">
        <f>B3939&amp;"-"&amp;COUNTIF($B$2:B3939,B3939)</f>
        <v>RIO GRANDE DO SUL-86</v>
      </c>
      <c r="B3939" s="5" t="s">
        <v>2552</v>
      </c>
      <c r="C3939" s="5" t="s">
        <v>2609</v>
      </c>
      <c r="D3939" s="6">
        <v>-513181</v>
      </c>
      <c r="E3939" s="6">
        <v>-29692</v>
      </c>
      <c r="F3939" s="7">
        <v>4.3780000000000001</v>
      </c>
      <c r="G3939" s="7">
        <v>6.25</v>
      </c>
      <c r="H3939" s="7">
        <v>5.7839999999999998</v>
      </c>
      <c r="I3939" s="7">
        <v>4.875</v>
      </c>
      <c r="J3939" s="7">
        <v>3.7909999999999999</v>
      </c>
      <c r="K3939" s="7">
        <v>2.8159999999999998</v>
      </c>
      <c r="L3939" s="7">
        <v>2.331</v>
      </c>
      <c r="M3939" s="7">
        <v>2.5270000000000001</v>
      </c>
      <c r="N3939" s="7">
        <v>3.2050000000000001</v>
      </c>
      <c r="O3939" s="7">
        <v>3.548</v>
      </c>
      <c r="P3939" s="7">
        <v>4.6589999999999998</v>
      </c>
      <c r="Q3939" s="7">
        <v>6.149</v>
      </c>
      <c r="R3939" s="7">
        <v>6.6029999999999998</v>
      </c>
      <c r="S3939" s="7">
        <f t="shared" si="61"/>
        <v>4.378166666666667</v>
      </c>
    </row>
    <row r="3940" spans="1:19">
      <c r="A3940" s="5" t="str">
        <f>B3940&amp;"-"&amp;COUNTIF($B$2:B3940,B3940)</f>
        <v>RIO GRANDE DO SUL-87</v>
      </c>
      <c r="B3940" s="5" t="s">
        <v>2552</v>
      </c>
      <c r="C3940" s="5" t="s">
        <v>4161</v>
      </c>
      <c r="D3940" s="6">
        <v>-519857</v>
      </c>
      <c r="E3940" s="6">
        <v>-292679</v>
      </c>
      <c r="F3940" s="7">
        <v>4.343</v>
      </c>
      <c r="G3940" s="7">
        <v>6.0720000000000001</v>
      </c>
      <c r="H3940" s="7">
        <v>5.6879999999999997</v>
      </c>
      <c r="I3940" s="7">
        <v>4.7699999999999996</v>
      </c>
      <c r="J3940" s="7">
        <v>3.782</v>
      </c>
      <c r="K3940" s="7">
        <v>2.8170000000000002</v>
      </c>
      <c r="L3940" s="7">
        <v>2.3370000000000002</v>
      </c>
      <c r="M3940" s="7">
        <v>2.593</v>
      </c>
      <c r="N3940" s="7">
        <v>3.3340000000000001</v>
      </c>
      <c r="O3940" s="7">
        <v>3.6030000000000002</v>
      </c>
      <c r="P3940" s="7">
        <v>4.6500000000000004</v>
      </c>
      <c r="Q3940" s="7">
        <v>6.05</v>
      </c>
      <c r="R3940" s="7">
        <v>6.4260000000000002</v>
      </c>
      <c r="S3940" s="7">
        <f t="shared" si="61"/>
        <v>4.3434999999999997</v>
      </c>
    </row>
    <row r="3941" spans="1:19">
      <c r="A3941" s="5" t="str">
        <f>B3941&amp;"-"&amp;COUNTIF($B$2:B3941,B3941)</f>
        <v>RIO GRANDE DO SUL-88</v>
      </c>
      <c r="B3941" s="5" t="s">
        <v>2552</v>
      </c>
      <c r="C3941" s="5" t="s">
        <v>2610</v>
      </c>
      <c r="D3941" s="6">
        <v>-505149</v>
      </c>
      <c r="E3941" s="6">
        <v>-30145</v>
      </c>
      <c r="F3941" s="7">
        <v>4.4379999999999997</v>
      </c>
      <c r="G3941" s="7">
        <v>6.5129999999999999</v>
      </c>
      <c r="H3941" s="7">
        <v>5.8819999999999997</v>
      </c>
      <c r="I3941" s="7">
        <v>4.843</v>
      </c>
      <c r="J3941" s="7">
        <v>3.8719999999999999</v>
      </c>
      <c r="K3941" s="7">
        <v>2.8029999999999999</v>
      </c>
      <c r="L3941" s="7">
        <v>2.3580000000000001</v>
      </c>
      <c r="M3941" s="7">
        <v>2.5470000000000002</v>
      </c>
      <c r="N3941" s="7">
        <v>3.2010000000000001</v>
      </c>
      <c r="O3941" s="7">
        <v>3.56</v>
      </c>
      <c r="P3941" s="7">
        <v>4.7960000000000003</v>
      </c>
      <c r="Q3941" s="7">
        <v>6.2</v>
      </c>
      <c r="R3941" s="7">
        <v>6.681</v>
      </c>
      <c r="S3941" s="7">
        <f t="shared" si="61"/>
        <v>4.4379999999999997</v>
      </c>
    </row>
    <row r="3942" spans="1:19">
      <c r="A3942" s="5" t="str">
        <f>B3942&amp;"-"&amp;COUNTIF($B$2:B3942,B3942)</f>
        <v>RIO GRANDE DO SUL-89</v>
      </c>
      <c r="B3942" s="5" t="s">
        <v>2552</v>
      </c>
      <c r="C3942" s="5" t="s">
        <v>5712</v>
      </c>
      <c r="D3942" s="6">
        <v>-50435</v>
      </c>
      <c r="E3942" s="6">
        <v>-297899</v>
      </c>
      <c r="F3942" s="7">
        <v>4.391</v>
      </c>
      <c r="G3942" s="7">
        <v>6.3689999999999998</v>
      </c>
      <c r="H3942" s="7">
        <v>5.7690000000000001</v>
      </c>
      <c r="I3942" s="7">
        <v>4.7830000000000004</v>
      </c>
      <c r="J3942" s="7">
        <v>3.827</v>
      </c>
      <c r="K3942" s="7">
        <v>2.8069999999999999</v>
      </c>
      <c r="L3942" s="7">
        <v>2.34</v>
      </c>
      <c r="M3942" s="7">
        <v>2.5609999999999999</v>
      </c>
      <c r="N3942" s="7">
        <v>3.1970000000000001</v>
      </c>
      <c r="O3942" s="7">
        <v>3.5510000000000002</v>
      </c>
      <c r="P3942" s="7">
        <v>4.7060000000000004</v>
      </c>
      <c r="Q3942" s="7">
        <v>6.1710000000000003</v>
      </c>
      <c r="R3942" s="7">
        <v>6.6040000000000001</v>
      </c>
      <c r="S3942" s="7">
        <f t="shared" si="61"/>
        <v>4.390416666666666</v>
      </c>
    </row>
    <row r="3943" spans="1:19">
      <c r="A3943" s="5" t="str">
        <f>B3943&amp;"-"&amp;COUNTIF($B$2:B3943,B3943)</f>
        <v>RIO GRANDE DO SUL-90</v>
      </c>
      <c r="B3943" s="5" t="s">
        <v>2552</v>
      </c>
      <c r="C3943" s="5" t="s">
        <v>2611</v>
      </c>
      <c r="D3943" s="6">
        <v>-527937</v>
      </c>
      <c r="E3943" s="6">
        <v>-282963</v>
      </c>
      <c r="F3943" s="7">
        <v>4.5650000000000004</v>
      </c>
      <c r="G3943" s="7">
        <v>6.2229999999999999</v>
      </c>
      <c r="H3943" s="7">
        <v>5.88</v>
      </c>
      <c r="I3943" s="7">
        <v>5.0069999999999997</v>
      </c>
      <c r="J3943" s="7">
        <v>4.032</v>
      </c>
      <c r="K3943" s="7">
        <v>3.0369999999999999</v>
      </c>
      <c r="L3943" s="7">
        <v>2.512</v>
      </c>
      <c r="M3943" s="7">
        <v>2.8119999999999998</v>
      </c>
      <c r="N3943" s="7">
        <v>3.585</v>
      </c>
      <c r="O3943" s="7">
        <v>3.863</v>
      </c>
      <c r="P3943" s="7">
        <v>5.0369999999999999</v>
      </c>
      <c r="Q3943" s="7">
        <v>6.23</v>
      </c>
      <c r="R3943" s="7">
        <v>6.5659999999999998</v>
      </c>
      <c r="S3943" s="7">
        <f t="shared" si="61"/>
        <v>4.5653333333333341</v>
      </c>
    </row>
    <row r="3944" spans="1:19">
      <c r="A3944" s="5" t="str">
        <f>B3944&amp;"-"&amp;COUNTIF($B$2:B3944,B3944)</f>
        <v>RIO GRANDE DO SUL-91</v>
      </c>
      <c r="B3944" s="5" t="s">
        <v>2552</v>
      </c>
      <c r="C3944" s="5" t="s">
        <v>2612</v>
      </c>
      <c r="D3944" s="6">
        <v>-515033</v>
      </c>
      <c r="E3944" s="6">
        <v>-292974</v>
      </c>
      <c r="F3944" s="7">
        <v>4.3860000000000001</v>
      </c>
      <c r="G3944" s="7">
        <v>6.1680000000000001</v>
      </c>
      <c r="H3944" s="7">
        <v>5.6879999999999997</v>
      </c>
      <c r="I3944" s="7">
        <v>4.7430000000000003</v>
      </c>
      <c r="J3944" s="7">
        <v>3.8239999999999998</v>
      </c>
      <c r="K3944" s="7">
        <v>2.82</v>
      </c>
      <c r="L3944" s="7">
        <v>2.3860000000000001</v>
      </c>
      <c r="M3944" s="7">
        <v>2.6480000000000001</v>
      </c>
      <c r="N3944" s="7">
        <v>3.3759999999999999</v>
      </c>
      <c r="O3944" s="7">
        <v>3.617</v>
      </c>
      <c r="P3944" s="7">
        <v>4.7300000000000004</v>
      </c>
      <c r="Q3944" s="7">
        <v>6.1239999999999997</v>
      </c>
      <c r="R3944" s="7">
        <v>6.5060000000000002</v>
      </c>
      <c r="S3944" s="7">
        <f t="shared" si="61"/>
        <v>4.3858333333333333</v>
      </c>
    </row>
    <row r="3945" spans="1:19">
      <c r="A3945" s="5" t="str">
        <f>B3945&amp;"-"&amp;COUNTIF($B$2:B3945,B3945)</f>
        <v>RIO GRANDE DO SUL-92</v>
      </c>
      <c r="B3945" s="5" t="s">
        <v>2552</v>
      </c>
      <c r="C3945" s="5" t="s">
        <v>2613</v>
      </c>
      <c r="D3945" s="6">
        <v>-519126</v>
      </c>
      <c r="E3945" s="6">
        <v>-277172</v>
      </c>
      <c r="F3945" s="7">
        <v>4.5880000000000001</v>
      </c>
      <c r="G3945" s="7">
        <v>6.226</v>
      </c>
      <c r="H3945" s="7">
        <v>5.7969999999999997</v>
      </c>
      <c r="I3945" s="7">
        <v>5.04</v>
      </c>
      <c r="J3945" s="7">
        <v>4.0469999999999997</v>
      </c>
      <c r="K3945" s="7">
        <v>3.056</v>
      </c>
      <c r="L3945" s="7">
        <v>2.5379999999999998</v>
      </c>
      <c r="M3945" s="7">
        <v>2.8879999999999999</v>
      </c>
      <c r="N3945" s="7">
        <v>3.6869999999999998</v>
      </c>
      <c r="O3945" s="7">
        <v>3.9449999999999998</v>
      </c>
      <c r="P3945" s="7">
        <v>5.0670000000000002</v>
      </c>
      <c r="Q3945" s="7">
        <v>6.2309999999999999</v>
      </c>
      <c r="R3945" s="7">
        <v>6.5339999999999998</v>
      </c>
      <c r="S3945" s="7">
        <f t="shared" si="61"/>
        <v>4.5880000000000001</v>
      </c>
    </row>
    <row r="3946" spans="1:19">
      <c r="A3946" s="5" t="str">
        <f>B3946&amp;"-"&amp;COUNTIF($B$2:B3946,B3946)</f>
        <v>RIO GRANDE DO SUL-93</v>
      </c>
      <c r="B3946" s="5" t="s">
        <v>2552</v>
      </c>
      <c r="C3946" s="5" t="s">
        <v>2614</v>
      </c>
      <c r="D3946" s="6">
        <v>-519819</v>
      </c>
      <c r="E3946" s="6">
        <v>-28561</v>
      </c>
      <c r="F3946" s="7">
        <v>4.4619999999999997</v>
      </c>
      <c r="G3946" s="7">
        <v>6.1070000000000002</v>
      </c>
      <c r="H3946" s="7">
        <v>5.77</v>
      </c>
      <c r="I3946" s="7">
        <v>4.8659999999999997</v>
      </c>
      <c r="J3946" s="7">
        <v>3.9140000000000001</v>
      </c>
      <c r="K3946" s="7">
        <v>2.9140000000000001</v>
      </c>
      <c r="L3946" s="7">
        <v>2.4769999999999999</v>
      </c>
      <c r="M3946" s="7">
        <v>2.782</v>
      </c>
      <c r="N3946" s="7">
        <v>3.4980000000000002</v>
      </c>
      <c r="O3946" s="7">
        <v>3.7589999999999999</v>
      </c>
      <c r="P3946" s="7">
        <v>4.8689999999999998</v>
      </c>
      <c r="Q3946" s="7">
        <v>6.0830000000000002</v>
      </c>
      <c r="R3946" s="7">
        <v>6.5119999999999996</v>
      </c>
      <c r="S3946" s="7">
        <f t="shared" si="61"/>
        <v>4.4625833333333338</v>
      </c>
    </row>
    <row r="3947" spans="1:19">
      <c r="A3947" s="5" t="str">
        <f>B3947&amp;"-"&amp;COUNTIF($B$2:B3947,B3947)</f>
        <v>RIO GRANDE DO SUL-94</v>
      </c>
      <c r="B3947" s="5" t="s">
        <v>2552</v>
      </c>
      <c r="C3947" s="5" t="s">
        <v>2615</v>
      </c>
      <c r="D3947" s="6">
        <v>-516866</v>
      </c>
      <c r="E3947" s="6">
        <v>-282586</v>
      </c>
      <c r="F3947" s="7">
        <v>4.4989999999999997</v>
      </c>
      <c r="G3947" s="7">
        <v>6.077</v>
      </c>
      <c r="H3947" s="7">
        <v>5.7050000000000001</v>
      </c>
      <c r="I3947" s="7">
        <v>4.8970000000000002</v>
      </c>
      <c r="J3947" s="7">
        <v>4.0010000000000003</v>
      </c>
      <c r="K3947" s="7">
        <v>2.98</v>
      </c>
      <c r="L3947" s="7">
        <v>2.5310000000000001</v>
      </c>
      <c r="M3947" s="7">
        <v>2.8420000000000001</v>
      </c>
      <c r="N3947" s="7">
        <v>3.5859999999999999</v>
      </c>
      <c r="O3947" s="7">
        <v>3.8220000000000001</v>
      </c>
      <c r="P3947" s="7">
        <v>4.9160000000000004</v>
      </c>
      <c r="Q3947" s="7">
        <v>6.1449999999999996</v>
      </c>
      <c r="R3947" s="7">
        <v>6.4779999999999998</v>
      </c>
      <c r="S3947" s="7">
        <f t="shared" si="61"/>
        <v>4.4983333333333331</v>
      </c>
    </row>
    <row r="3948" spans="1:19">
      <c r="A3948" s="5" t="str">
        <f>B3948&amp;"-"&amp;COUNTIF($B$2:B3948,B3948)</f>
        <v>RIO GRANDE DO SUL-95</v>
      </c>
      <c r="B3948" s="5" t="s">
        <v>2552</v>
      </c>
      <c r="C3948" s="5" t="s">
        <v>2616</v>
      </c>
      <c r="D3948" s="6">
        <v>-540137</v>
      </c>
      <c r="E3948" s="6">
        <v>-282558</v>
      </c>
      <c r="F3948" s="7">
        <v>4.6369999999999996</v>
      </c>
      <c r="G3948" s="7">
        <v>6.4969999999999999</v>
      </c>
      <c r="H3948" s="7">
        <v>6.0410000000000004</v>
      </c>
      <c r="I3948" s="7">
        <v>5.1479999999999997</v>
      </c>
      <c r="J3948" s="7">
        <v>4.0090000000000003</v>
      </c>
      <c r="K3948" s="7">
        <v>3.0489999999999999</v>
      </c>
      <c r="L3948" s="7">
        <v>2.5179999999999998</v>
      </c>
      <c r="M3948" s="7">
        <v>2.802</v>
      </c>
      <c r="N3948" s="7">
        <v>3.5739999999999998</v>
      </c>
      <c r="O3948" s="7">
        <v>3.9809999999999999</v>
      </c>
      <c r="P3948" s="7">
        <v>5.1100000000000003</v>
      </c>
      <c r="Q3948" s="7">
        <v>6.2629999999999999</v>
      </c>
      <c r="R3948" s="7">
        <v>6.6550000000000002</v>
      </c>
      <c r="S3948" s="7">
        <f t="shared" si="61"/>
        <v>4.6372499999999999</v>
      </c>
    </row>
    <row r="3949" spans="1:19">
      <c r="A3949" s="5" t="str">
        <f>B3949&amp;"-"&amp;COUNTIF($B$2:B3949,B3949)</f>
        <v>RIO GRANDE DO SUL-96</v>
      </c>
      <c r="B3949" s="5" t="s">
        <v>2552</v>
      </c>
      <c r="C3949" s="5" t="s">
        <v>2617</v>
      </c>
      <c r="D3949" s="6">
        <v>-511796</v>
      </c>
      <c r="E3949" s="6">
        <v>-291634</v>
      </c>
      <c r="F3949" s="7">
        <v>4.3609999999999998</v>
      </c>
      <c r="G3949" s="7">
        <v>6.101</v>
      </c>
      <c r="H3949" s="7">
        <v>5.6429999999999998</v>
      </c>
      <c r="I3949" s="7">
        <v>4.6609999999999996</v>
      </c>
      <c r="J3949" s="7">
        <v>3.8029999999999999</v>
      </c>
      <c r="K3949" s="7">
        <v>2.8090000000000002</v>
      </c>
      <c r="L3949" s="7">
        <v>2.3839999999999999</v>
      </c>
      <c r="M3949" s="7">
        <v>2.6869999999999998</v>
      </c>
      <c r="N3949" s="7">
        <v>3.3889999999999998</v>
      </c>
      <c r="O3949" s="7">
        <v>3.6349999999999998</v>
      </c>
      <c r="P3949" s="7">
        <v>4.7270000000000003</v>
      </c>
      <c r="Q3949" s="7">
        <v>6.0750000000000002</v>
      </c>
      <c r="R3949" s="7">
        <v>6.415</v>
      </c>
      <c r="S3949" s="7">
        <f t="shared" si="61"/>
        <v>4.3607500000000003</v>
      </c>
    </row>
    <row r="3950" spans="1:19">
      <c r="A3950" s="5" t="str">
        <f>B3950&amp;"-"&amp;COUNTIF($B$2:B3950,B3950)</f>
        <v>RIO GRANDE DO SUL-97</v>
      </c>
      <c r="B3950" s="5" t="s">
        <v>2552</v>
      </c>
      <c r="C3950" s="5" t="s">
        <v>5713</v>
      </c>
      <c r="D3950" s="6">
        <v>-519989</v>
      </c>
      <c r="E3950" s="6">
        <v>-27762</v>
      </c>
      <c r="F3950" s="7">
        <v>4.569</v>
      </c>
      <c r="G3950" s="7">
        <v>6.1950000000000003</v>
      </c>
      <c r="H3950" s="7">
        <v>5.7489999999999997</v>
      </c>
      <c r="I3950" s="7">
        <v>4.9939999999999998</v>
      </c>
      <c r="J3950" s="7">
        <v>4.069</v>
      </c>
      <c r="K3950" s="7">
        <v>3.0489999999999999</v>
      </c>
      <c r="L3950" s="7">
        <v>2.536</v>
      </c>
      <c r="M3950" s="7">
        <v>2.8849999999999998</v>
      </c>
      <c r="N3950" s="7">
        <v>3.67</v>
      </c>
      <c r="O3950" s="7">
        <v>3.9209999999999998</v>
      </c>
      <c r="P3950" s="7">
        <v>5.0469999999999997</v>
      </c>
      <c r="Q3950" s="7">
        <v>6.2009999999999996</v>
      </c>
      <c r="R3950" s="7">
        <v>6.51</v>
      </c>
      <c r="S3950" s="7">
        <f t="shared" si="61"/>
        <v>4.5688333333333331</v>
      </c>
    </row>
    <row r="3951" spans="1:19">
      <c r="A3951" s="5" t="str">
        <f>B3951&amp;"-"&amp;COUNTIF($B$2:B3951,B3951)</f>
        <v>RIO GRANDE DO SUL-98</v>
      </c>
      <c r="B3951" s="5" t="s">
        <v>2552</v>
      </c>
      <c r="C3951" s="5" t="s">
        <v>2618</v>
      </c>
      <c r="D3951" s="6">
        <v>-528009</v>
      </c>
      <c r="E3951" s="6">
        <v>-318424</v>
      </c>
      <c r="F3951" s="7">
        <v>4.32</v>
      </c>
      <c r="G3951" s="7">
        <v>6.2679999999999998</v>
      </c>
      <c r="H3951" s="7">
        <v>5.6260000000000003</v>
      </c>
      <c r="I3951" s="7">
        <v>4.7510000000000003</v>
      </c>
      <c r="J3951" s="7">
        <v>3.6309999999999998</v>
      </c>
      <c r="K3951" s="7">
        <v>2.6219999999999999</v>
      </c>
      <c r="L3951" s="7">
        <v>2.2200000000000002</v>
      </c>
      <c r="M3951" s="7">
        <v>2.415</v>
      </c>
      <c r="N3951" s="7">
        <v>3.008</v>
      </c>
      <c r="O3951" s="7">
        <v>3.556</v>
      </c>
      <c r="P3951" s="7">
        <v>4.8639999999999999</v>
      </c>
      <c r="Q3951" s="7">
        <v>6.1840000000000002</v>
      </c>
      <c r="R3951" s="7">
        <v>6.6950000000000003</v>
      </c>
      <c r="S3951" s="7">
        <f t="shared" si="61"/>
        <v>4.3199999999999994</v>
      </c>
    </row>
    <row r="3952" spans="1:19">
      <c r="A3952" s="5" t="str">
        <f>B3952&amp;"-"&amp;COUNTIF($B$2:B3952,B3952)</f>
        <v>RIO GRANDE DO SUL-99</v>
      </c>
      <c r="B3952" s="5" t="s">
        <v>2552</v>
      </c>
      <c r="C3952" s="5" t="s">
        <v>2619</v>
      </c>
      <c r="D3952" s="6">
        <v>-529411</v>
      </c>
      <c r="E3952" s="6">
        <v>-296575</v>
      </c>
      <c r="F3952" s="7">
        <v>4.391</v>
      </c>
      <c r="G3952" s="7">
        <v>6.1879999999999997</v>
      </c>
      <c r="H3952" s="7">
        <v>5.7809999999999997</v>
      </c>
      <c r="I3952" s="7">
        <v>4.9009999999999998</v>
      </c>
      <c r="J3952" s="7">
        <v>3.8140000000000001</v>
      </c>
      <c r="K3952" s="7">
        <v>2.7850000000000001</v>
      </c>
      <c r="L3952" s="7">
        <v>2.327</v>
      </c>
      <c r="M3952" s="7">
        <v>2.5470000000000002</v>
      </c>
      <c r="N3952" s="7">
        <v>3.266</v>
      </c>
      <c r="O3952" s="7">
        <v>3.629</v>
      </c>
      <c r="P3952" s="7">
        <v>4.7649999999999997</v>
      </c>
      <c r="Q3952" s="7">
        <v>6.0970000000000004</v>
      </c>
      <c r="R3952" s="7">
        <v>6.5970000000000004</v>
      </c>
      <c r="S3952" s="7">
        <f t="shared" si="61"/>
        <v>4.3914166666666672</v>
      </c>
    </row>
    <row r="3953" spans="1:19">
      <c r="A3953" s="5" t="str">
        <f>B3953&amp;"-"&amp;COUNTIF($B$2:B3953,B3953)</f>
        <v>RIO GRANDE DO SUL-100</v>
      </c>
      <c r="B3953" s="5" t="s">
        <v>2552</v>
      </c>
      <c r="C3953" s="5" t="s">
        <v>2620</v>
      </c>
      <c r="D3953" s="6">
        <v>-531677</v>
      </c>
      <c r="E3953" s="6">
        <v>-276111</v>
      </c>
      <c r="F3953" s="7">
        <v>4.6539999999999999</v>
      </c>
      <c r="G3953" s="7">
        <v>6.3150000000000004</v>
      </c>
      <c r="H3953" s="7">
        <v>5.9180000000000001</v>
      </c>
      <c r="I3953" s="7">
        <v>5.1109999999999998</v>
      </c>
      <c r="J3953" s="7">
        <v>4.125</v>
      </c>
      <c r="K3953" s="7">
        <v>3.1059999999999999</v>
      </c>
      <c r="L3953" s="7">
        <v>2.544</v>
      </c>
      <c r="M3953" s="7">
        <v>2.895</v>
      </c>
      <c r="N3953" s="7">
        <v>3.7050000000000001</v>
      </c>
      <c r="O3953" s="7">
        <v>3.9809999999999999</v>
      </c>
      <c r="P3953" s="7">
        <v>5.1769999999999996</v>
      </c>
      <c r="Q3953" s="7">
        <v>6.3049999999999997</v>
      </c>
      <c r="R3953" s="7">
        <v>6.6639999999999997</v>
      </c>
      <c r="S3953" s="7">
        <f t="shared" si="61"/>
        <v>4.6538333333333339</v>
      </c>
    </row>
    <row r="3954" spans="1:19">
      <c r="A3954" s="5" t="str">
        <f>B3954&amp;"-"&amp;COUNTIF($B$2:B3954,B3954)</f>
        <v>RIO GRANDE DO SUL-101</v>
      </c>
      <c r="B3954" s="5" t="s">
        <v>2552</v>
      </c>
      <c r="C3954" s="5" t="s">
        <v>2621</v>
      </c>
      <c r="D3954" s="6">
        <v>-517487</v>
      </c>
      <c r="E3954" s="6">
        <v>-305953</v>
      </c>
      <c r="F3954" s="7">
        <v>4.2569999999999997</v>
      </c>
      <c r="G3954" s="7">
        <v>6.1440000000000001</v>
      </c>
      <c r="H3954" s="7">
        <v>5.4630000000000001</v>
      </c>
      <c r="I3954" s="7">
        <v>4.6639999999999997</v>
      </c>
      <c r="J3954" s="7">
        <v>3.7069999999999999</v>
      </c>
      <c r="K3954" s="7">
        <v>2.7149999999999999</v>
      </c>
      <c r="L3954" s="7">
        <v>2.2909999999999999</v>
      </c>
      <c r="M3954" s="7">
        <v>2.4780000000000002</v>
      </c>
      <c r="N3954" s="7">
        <v>3.11</v>
      </c>
      <c r="O3954" s="7">
        <v>3.508</v>
      </c>
      <c r="P3954" s="7">
        <v>4.5990000000000002</v>
      </c>
      <c r="Q3954" s="7">
        <v>6.0030000000000001</v>
      </c>
      <c r="R3954" s="7">
        <v>6.4</v>
      </c>
      <c r="S3954" s="7">
        <f t="shared" si="61"/>
        <v>4.2568333333333337</v>
      </c>
    </row>
    <row r="3955" spans="1:19">
      <c r="A3955" s="5" t="str">
        <f>B3955&amp;"-"&amp;COUNTIF($B$2:B3955,B3955)</f>
        <v>RIO GRANDE DO SUL-102</v>
      </c>
      <c r="B3955" s="5" t="s">
        <v>2552</v>
      </c>
      <c r="C3955" s="5" t="s">
        <v>2622</v>
      </c>
      <c r="D3955" s="6">
        <v>-547433</v>
      </c>
      <c r="E3955" s="6">
        <v>-281467</v>
      </c>
      <c r="F3955" s="7">
        <v>4.6849999999999996</v>
      </c>
      <c r="G3955" s="7">
        <v>6.5350000000000001</v>
      </c>
      <c r="H3955" s="7">
        <v>6.07</v>
      </c>
      <c r="I3955" s="7">
        <v>5.1909999999999998</v>
      </c>
      <c r="J3955" s="7">
        <v>4.085</v>
      </c>
      <c r="K3955" s="7">
        <v>3.1019999999999999</v>
      </c>
      <c r="L3955" s="7">
        <v>2.5350000000000001</v>
      </c>
      <c r="M3955" s="7">
        <v>2.8479999999999999</v>
      </c>
      <c r="N3955" s="7">
        <v>3.6110000000000002</v>
      </c>
      <c r="O3955" s="7">
        <v>4.0330000000000004</v>
      </c>
      <c r="P3955" s="7">
        <v>5.1390000000000002</v>
      </c>
      <c r="Q3955" s="7">
        <v>6.351</v>
      </c>
      <c r="R3955" s="7">
        <v>6.7270000000000003</v>
      </c>
      <c r="S3955" s="7">
        <f t="shared" si="61"/>
        <v>4.6855833333333337</v>
      </c>
    </row>
    <row r="3956" spans="1:19">
      <c r="A3956" s="5" t="str">
        <f>B3956&amp;"-"&amp;COUNTIF($B$2:B3956,B3956)</f>
        <v>RIO GRANDE DO SUL-103</v>
      </c>
      <c r="B3956" s="5" t="s">
        <v>2552</v>
      </c>
      <c r="C3956" s="5" t="s">
        <v>2623</v>
      </c>
      <c r="D3956" s="6">
        <v>-53067</v>
      </c>
      <c r="E3956" s="6">
        <v>-280563</v>
      </c>
      <c r="F3956" s="7">
        <v>4.609</v>
      </c>
      <c r="G3956" s="7">
        <v>6.3150000000000004</v>
      </c>
      <c r="H3956" s="7">
        <v>5.9139999999999997</v>
      </c>
      <c r="I3956" s="7">
        <v>5.0439999999999996</v>
      </c>
      <c r="J3956" s="7">
        <v>4.05</v>
      </c>
      <c r="K3956" s="7">
        <v>3.0649999999999999</v>
      </c>
      <c r="L3956" s="7">
        <v>2.5339999999999998</v>
      </c>
      <c r="M3956" s="7">
        <v>2.8620000000000001</v>
      </c>
      <c r="N3956" s="7">
        <v>3.6509999999999998</v>
      </c>
      <c r="O3956" s="7">
        <v>3.915</v>
      </c>
      <c r="P3956" s="7">
        <v>5.1050000000000004</v>
      </c>
      <c r="Q3956" s="7">
        <v>6.2519999999999998</v>
      </c>
      <c r="R3956" s="7">
        <v>6.6</v>
      </c>
      <c r="S3956" s="7">
        <f t="shared" si="61"/>
        <v>4.6089166666666666</v>
      </c>
    </row>
    <row r="3957" spans="1:19">
      <c r="A3957" s="5" t="str">
        <f>B3957&amp;"-"&amp;COUNTIF($B$2:B3957,B3957)</f>
        <v>RIO GRANDE DO SUL-104</v>
      </c>
      <c r="B3957" s="5" t="s">
        <v>2552</v>
      </c>
      <c r="C3957" s="5" t="s">
        <v>2624</v>
      </c>
      <c r="D3957" s="6">
        <v>-516293</v>
      </c>
      <c r="E3957" s="6">
        <v>-29963</v>
      </c>
      <c r="F3957" s="7">
        <v>4.423</v>
      </c>
      <c r="G3957" s="7">
        <v>6.4359999999999999</v>
      </c>
      <c r="H3957" s="7">
        <v>5.867</v>
      </c>
      <c r="I3957" s="7">
        <v>4.8540000000000001</v>
      </c>
      <c r="J3957" s="7">
        <v>3.7930000000000001</v>
      </c>
      <c r="K3957" s="7">
        <v>2.77</v>
      </c>
      <c r="L3957" s="7">
        <v>2.2949999999999999</v>
      </c>
      <c r="M3957" s="7">
        <v>2.516</v>
      </c>
      <c r="N3957" s="7">
        <v>3.2189999999999999</v>
      </c>
      <c r="O3957" s="7">
        <v>3.6110000000000002</v>
      </c>
      <c r="P3957" s="7">
        <v>4.8250000000000002</v>
      </c>
      <c r="Q3957" s="7">
        <v>6.2089999999999996</v>
      </c>
      <c r="R3957" s="7">
        <v>6.6790000000000003</v>
      </c>
      <c r="S3957" s="7">
        <f t="shared" si="61"/>
        <v>4.4228333333333332</v>
      </c>
    </row>
    <row r="3958" spans="1:19">
      <c r="A3958" s="5" t="str">
        <f>B3958&amp;"-"&amp;COUNTIF($B$2:B3958,B3958)</f>
        <v>RIO GRANDE DO SUL-105</v>
      </c>
      <c r="B3958" s="5" t="s">
        <v>2552</v>
      </c>
      <c r="C3958" s="5" t="s">
        <v>2625</v>
      </c>
      <c r="D3958" s="6">
        <v>-520155</v>
      </c>
      <c r="E3958" s="6">
        <v>-279497</v>
      </c>
      <c r="F3958" s="7">
        <v>4.5590000000000002</v>
      </c>
      <c r="G3958" s="7">
        <v>6.2220000000000004</v>
      </c>
      <c r="H3958" s="7">
        <v>5.7649999999999997</v>
      </c>
      <c r="I3958" s="7">
        <v>4.9809999999999999</v>
      </c>
      <c r="J3958" s="7">
        <v>4.0490000000000004</v>
      </c>
      <c r="K3958" s="7">
        <v>3.0419999999999998</v>
      </c>
      <c r="L3958" s="7">
        <v>2.5270000000000001</v>
      </c>
      <c r="M3958" s="7">
        <v>2.8660000000000001</v>
      </c>
      <c r="N3958" s="7">
        <v>3.6520000000000001</v>
      </c>
      <c r="O3958" s="7">
        <v>3.903</v>
      </c>
      <c r="P3958" s="7">
        <v>5.0149999999999997</v>
      </c>
      <c r="Q3958" s="7">
        <v>6.1749999999999998</v>
      </c>
      <c r="R3958" s="7">
        <v>6.5049999999999999</v>
      </c>
      <c r="S3958" s="7">
        <f t="shared" si="61"/>
        <v>4.5584999999999996</v>
      </c>
    </row>
    <row r="3959" spans="1:19">
      <c r="A3959" s="5" t="str">
        <f>B3959&amp;"-"&amp;COUNTIF($B$2:B3959,B3959)</f>
        <v>RIO GRANDE DO SUL-106</v>
      </c>
      <c r="B3959" s="5" t="s">
        <v>2552</v>
      </c>
      <c r="C3959" s="5" t="s">
        <v>2626</v>
      </c>
      <c r="D3959" s="6">
        <v>-539423</v>
      </c>
      <c r="E3959" s="6">
        <v>-279235</v>
      </c>
      <c r="F3959" s="7">
        <v>4.6609999999999996</v>
      </c>
      <c r="G3959" s="7">
        <v>6.4589999999999996</v>
      </c>
      <c r="H3959" s="7">
        <v>6.0129999999999999</v>
      </c>
      <c r="I3959" s="7">
        <v>5.1130000000000004</v>
      </c>
      <c r="J3959" s="7">
        <v>4.0709999999999997</v>
      </c>
      <c r="K3959" s="7">
        <v>3.1019999999999999</v>
      </c>
      <c r="L3959" s="7">
        <v>2.5720000000000001</v>
      </c>
      <c r="M3959" s="7">
        <v>2.8820000000000001</v>
      </c>
      <c r="N3959" s="7">
        <v>3.6819999999999999</v>
      </c>
      <c r="O3959" s="7">
        <v>3.9889999999999999</v>
      </c>
      <c r="P3959" s="7">
        <v>5.1449999999999996</v>
      </c>
      <c r="Q3959" s="7">
        <v>6.2149999999999999</v>
      </c>
      <c r="R3959" s="7">
        <v>6.6920000000000002</v>
      </c>
      <c r="S3959" s="7">
        <f t="shared" si="61"/>
        <v>4.6612499999999999</v>
      </c>
    </row>
    <row r="3960" spans="1:19">
      <c r="A3960" s="5" t="str">
        <f>B3960&amp;"-"&amp;COUNTIF($B$2:B3960,B3960)</f>
        <v>RIO GRANDE DO SUL-107</v>
      </c>
      <c r="B3960" s="5" t="s">
        <v>2552</v>
      </c>
      <c r="C3960" s="5" t="s">
        <v>2627</v>
      </c>
      <c r="D3960" s="6">
        <v>-534599</v>
      </c>
      <c r="E3960" s="6">
        <v>-336871</v>
      </c>
      <c r="F3960" s="7">
        <v>4.4459999999999997</v>
      </c>
      <c r="G3960" s="7">
        <v>6.61</v>
      </c>
      <c r="H3960" s="7">
        <v>5.7350000000000003</v>
      </c>
      <c r="I3960" s="7">
        <v>4.9859999999999998</v>
      </c>
      <c r="J3960" s="7">
        <v>3.5880000000000001</v>
      </c>
      <c r="K3960" s="7">
        <v>2.5499999999999998</v>
      </c>
      <c r="L3960" s="7">
        <v>2.1669999999999998</v>
      </c>
      <c r="M3960" s="7">
        <v>2.2799999999999998</v>
      </c>
      <c r="N3960" s="7">
        <v>2.9260000000000002</v>
      </c>
      <c r="O3960" s="7">
        <v>3.81</v>
      </c>
      <c r="P3960" s="7">
        <v>5.1989999999999998</v>
      </c>
      <c r="Q3960" s="7">
        <v>6.47</v>
      </c>
      <c r="R3960" s="7">
        <v>7.0359999999999996</v>
      </c>
      <c r="S3960" s="7">
        <f t="shared" si="61"/>
        <v>4.4464166666666669</v>
      </c>
    </row>
    <row r="3961" spans="1:19">
      <c r="A3961" s="5" t="str">
        <f>B3961&amp;"-"&amp;COUNTIF($B$2:B3961,B3961)</f>
        <v>RIO GRANDE DO SUL-108</v>
      </c>
      <c r="B3961" s="5" t="s">
        <v>2552</v>
      </c>
      <c r="C3961" s="5" t="s">
        <v>2628</v>
      </c>
      <c r="D3961" s="6">
        <v>-519741</v>
      </c>
      <c r="E3961" s="6">
        <v>-307509</v>
      </c>
      <c r="F3961" s="7">
        <v>4.2990000000000004</v>
      </c>
      <c r="G3961" s="7">
        <v>6.2530000000000001</v>
      </c>
      <c r="H3961" s="7">
        <v>5.6029999999999998</v>
      </c>
      <c r="I3961" s="7">
        <v>4.7009999999999996</v>
      </c>
      <c r="J3961" s="7">
        <v>3.7080000000000002</v>
      </c>
      <c r="K3961" s="7">
        <v>2.7029999999999998</v>
      </c>
      <c r="L3961" s="7">
        <v>2.266</v>
      </c>
      <c r="M3961" s="7">
        <v>2.4820000000000002</v>
      </c>
      <c r="N3961" s="7">
        <v>3.117</v>
      </c>
      <c r="O3961" s="7">
        <v>3.5390000000000001</v>
      </c>
      <c r="P3961" s="7">
        <v>4.657</v>
      </c>
      <c r="Q3961" s="7">
        <v>6.0389999999999997</v>
      </c>
      <c r="R3961" s="7">
        <v>6.5209999999999999</v>
      </c>
      <c r="S3961" s="7">
        <f t="shared" si="61"/>
        <v>4.2990833333333329</v>
      </c>
    </row>
    <row r="3962" spans="1:19">
      <c r="A3962" s="5" t="str">
        <f>B3962&amp;"-"&amp;COUNTIF($B$2:B3962,B3962)</f>
        <v>RIO GRANDE DO SUL-109</v>
      </c>
      <c r="B3962" s="5" t="s">
        <v>2552</v>
      </c>
      <c r="C3962" s="5" t="s">
        <v>2629</v>
      </c>
      <c r="D3962" s="6">
        <v>-502151</v>
      </c>
      <c r="E3962" s="6">
        <v>-301702</v>
      </c>
      <c r="F3962" s="7">
        <v>4.4039999999999999</v>
      </c>
      <c r="G3962" s="7">
        <v>6.4409999999999998</v>
      </c>
      <c r="H3962" s="7">
        <v>5.7880000000000003</v>
      </c>
      <c r="I3962" s="7">
        <v>4.7910000000000004</v>
      </c>
      <c r="J3962" s="7">
        <v>3.8610000000000002</v>
      </c>
      <c r="K3962" s="7">
        <v>2.798</v>
      </c>
      <c r="L3962" s="7">
        <v>2.35</v>
      </c>
      <c r="M3962" s="7">
        <v>2.5190000000000001</v>
      </c>
      <c r="N3962" s="7">
        <v>3.1419999999999999</v>
      </c>
      <c r="O3962" s="7">
        <v>3.5670000000000002</v>
      </c>
      <c r="P3962" s="7">
        <v>4.7439999999999998</v>
      </c>
      <c r="Q3962" s="7">
        <v>6.1719999999999997</v>
      </c>
      <c r="R3962" s="7">
        <v>6.6719999999999997</v>
      </c>
      <c r="S3962" s="7">
        <f t="shared" si="61"/>
        <v>4.4037499999999996</v>
      </c>
    </row>
    <row r="3963" spans="1:19">
      <c r="A3963" s="5" t="str">
        <f>B3963&amp;"-"&amp;COUNTIF($B$2:B3963,B3963)</f>
        <v>RIO GRANDE DO SUL-110</v>
      </c>
      <c r="B3963" s="5" t="s">
        <v>2552</v>
      </c>
      <c r="C3963" s="5" t="s">
        <v>2630</v>
      </c>
      <c r="D3963" s="6">
        <v>-518746</v>
      </c>
      <c r="E3963" s="6">
        <v>-283424</v>
      </c>
      <c r="F3963" s="7">
        <v>4.51</v>
      </c>
      <c r="G3963" s="7">
        <v>6.1769999999999996</v>
      </c>
      <c r="H3963" s="7">
        <v>5.6749999999999998</v>
      </c>
      <c r="I3963" s="7">
        <v>4.899</v>
      </c>
      <c r="J3963" s="7">
        <v>3.9910000000000001</v>
      </c>
      <c r="K3963" s="7">
        <v>3.004</v>
      </c>
      <c r="L3963" s="7">
        <v>2.52</v>
      </c>
      <c r="M3963" s="7">
        <v>2.8359999999999999</v>
      </c>
      <c r="N3963" s="7">
        <v>3.593</v>
      </c>
      <c r="O3963" s="7">
        <v>3.8149999999999999</v>
      </c>
      <c r="P3963" s="7">
        <v>4.95</v>
      </c>
      <c r="Q3963" s="7">
        <v>6.181</v>
      </c>
      <c r="R3963" s="7">
        <v>6.48</v>
      </c>
      <c r="S3963" s="7">
        <f t="shared" si="61"/>
        <v>4.5100833333333332</v>
      </c>
    </row>
    <row r="3964" spans="1:19">
      <c r="A3964" s="5" t="str">
        <f>B3964&amp;"-"&amp;COUNTIF($B$2:B3964,B3964)</f>
        <v>RIO GRANDE DO SUL-111</v>
      </c>
      <c r="B3964" s="5" t="s">
        <v>2552</v>
      </c>
      <c r="C3964" s="5" t="s">
        <v>915</v>
      </c>
      <c r="D3964" s="6">
        <v>-518539</v>
      </c>
      <c r="E3964" s="6">
        <v>-293956</v>
      </c>
      <c r="F3964" s="7">
        <v>4.37</v>
      </c>
      <c r="G3964" s="7">
        <v>6.21</v>
      </c>
      <c r="H3964" s="7">
        <v>5.7720000000000002</v>
      </c>
      <c r="I3964" s="7">
        <v>4.8579999999999997</v>
      </c>
      <c r="J3964" s="7">
        <v>3.77</v>
      </c>
      <c r="K3964" s="7">
        <v>2.8250000000000002</v>
      </c>
      <c r="L3964" s="7">
        <v>2.33</v>
      </c>
      <c r="M3964" s="7">
        <v>2.5670000000000002</v>
      </c>
      <c r="N3964" s="7">
        <v>3.294</v>
      </c>
      <c r="O3964" s="7">
        <v>3.5779999999999998</v>
      </c>
      <c r="P3964" s="7">
        <v>4.665</v>
      </c>
      <c r="Q3964" s="7">
        <v>6.1</v>
      </c>
      <c r="R3964" s="7">
        <v>6.468</v>
      </c>
      <c r="S3964" s="7">
        <f t="shared" si="61"/>
        <v>4.3697499999999998</v>
      </c>
    </row>
    <row r="3965" spans="1:19">
      <c r="A3965" s="5" t="str">
        <f>B3965&amp;"-"&amp;COUNTIF($B$2:B3965,B3965)</f>
        <v>RIO GRANDE DO SUL-112</v>
      </c>
      <c r="B3965" s="5" t="s">
        <v>2552</v>
      </c>
      <c r="C3965" s="5" t="s">
        <v>1961</v>
      </c>
      <c r="D3965" s="6">
        <v>-529933</v>
      </c>
      <c r="E3965" s="6">
        <v>-285263</v>
      </c>
      <c r="F3965" s="7">
        <v>4.5780000000000003</v>
      </c>
      <c r="G3965" s="7">
        <v>6.3380000000000001</v>
      </c>
      <c r="H3965" s="7">
        <v>5.8879999999999999</v>
      </c>
      <c r="I3965" s="7">
        <v>5.0129999999999999</v>
      </c>
      <c r="J3965" s="7">
        <v>4</v>
      </c>
      <c r="K3965" s="7">
        <v>3.0369999999999999</v>
      </c>
      <c r="L3965" s="7">
        <v>2.5019999999999998</v>
      </c>
      <c r="M3965" s="7">
        <v>2.8109999999999999</v>
      </c>
      <c r="N3965" s="7">
        <v>3.57</v>
      </c>
      <c r="O3965" s="7">
        <v>3.8719999999999999</v>
      </c>
      <c r="P3965" s="7">
        <v>5.0369999999999999</v>
      </c>
      <c r="Q3965" s="7">
        <v>6.242</v>
      </c>
      <c r="R3965" s="7">
        <v>6.6210000000000004</v>
      </c>
      <c r="S3965" s="7">
        <f t="shared" si="61"/>
        <v>4.5775833333333322</v>
      </c>
    </row>
    <row r="3966" spans="1:19">
      <c r="A3966" s="5" t="str">
        <f>B3966&amp;"-"&amp;COUNTIF($B$2:B3966,B3966)</f>
        <v>RIO GRANDE DO SUL-113</v>
      </c>
      <c r="B3966" s="5" t="s">
        <v>2552</v>
      </c>
      <c r="C3966" s="5" t="s">
        <v>2631</v>
      </c>
      <c r="D3966" s="6">
        <v>-53491</v>
      </c>
      <c r="E3966" s="6">
        <v>-28208</v>
      </c>
      <c r="F3966" s="7">
        <v>4.5949999999999998</v>
      </c>
      <c r="G3966" s="7">
        <v>6.3230000000000004</v>
      </c>
      <c r="H3966" s="7">
        <v>5.923</v>
      </c>
      <c r="I3966" s="7">
        <v>5.0869999999999997</v>
      </c>
      <c r="J3966" s="7">
        <v>4.0149999999999997</v>
      </c>
      <c r="K3966" s="7">
        <v>3.0590000000000002</v>
      </c>
      <c r="L3966" s="7">
        <v>2.5379999999999998</v>
      </c>
      <c r="M3966" s="7">
        <v>2.83</v>
      </c>
      <c r="N3966" s="7">
        <v>3.5840000000000001</v>
      </c>
      <c r="O3966" s="7">
        <v>3.9209999999999998</v>
      </c>
      <c r="P3966" s="7">
        <v>5.0979999999999999</v>
      </c>
      <c r="Q3966" s="7">
        <v>6.1710000000000003</v>
      </c>
      <c r="R3966" s="7">
        <v>6.5910000000000002</v>
      </c>
      <c r="S3966" s="7">
        <f t="shared" si="61"/>
        <v>4.5949999999999998</v>
      </c>
    </row>
    <row r="3967" spans="1:19">
      <c r="A3967" s="5" t="str">
        <f>B3967&amp;"-"&amp;COUNTIF($B$2:B3967,B3967)</f>
        <v>RIO GRANDE DO SUL-114</v>
      </c>
      <c r="B3967" s="5" t="s">
        <v>2552</v>
      </c>
      <c r="C3967" s="5" t="s">
        <v>2632</v>
      </c>
      <c r="D3967" s="6">
        <v>-529943</v>
      </c>
      <c r="E3967" s="6">
        <v>-277324</v>
      </c>
      <c r="F3967" s="7">
        <v>4.6390000000000002</v>
      </c>
      <c r="G3967" s="7">
        <v>6.2770000000000001</v>
      </c>
      <c r="H3967" s="7">
        <v>5.8970000000000002</v>
      </c>
      <c r="I3967" s="7">
        <v>5.0819999999999999</v>
      </c>
      <c r="J3967" s="7">
        <v>4.109</v>
      </c>
      <c r="K3967" s="7">
        <v>3.11</v>
      </c>
      <c r="L3967" s="7">
        <v>2.5910000000000002</v>
      </c>
      <c r="M3967" s="7">
        <v>2.93</v>
      </c>
      <c r="N3967" s="7">
        <v>3.6949999999999998</v>
      </c>
      <c r="O3967" s="7">
        <v>3.9580000000000002</v>
      </c>
      <c r="P3967" s="7">
        <v>5.1470000000000002</v>
      </c>
      <c r="Q3967" s="7">
        <v>6.2249999999999996</v>
      </c>
      <c r="R3967" s="7">
        <v>6.6470000000000002</v>
      </c>
      <c r="S3967" s="7">
        <f t="shared" si="61"/>
        <v>4.6390000000000002</v>
      </c>
    </row>
    <row r="3968" spans="1:19">
      <c r="A3968" s="5" t="str">
        <f>B3968&amp;"-"&amp;COUNTIF($B$2:B3968,B3968)</f>
        <v>RIO GRANDE DO SUL-115</v>
      </c>
      <c r="B3968" s="5" t="s">
        <v>2552</v>
      </c>
      <c r="C3968" s="5" t="s">
        <v>2633</v>
      </c>
      <c r="D3968" s="6">
        <v>-520951</v>
      </c>
      <c r="E3968" s="6">
        <v>-291811</v>
      </c>
      <c r="F3968" s="7">
        <v>4.359</v>
      </c>
      <c r="G3968" s="7">
        <v>6.1230000000000002</v>
      </c>
      <c r="H3968" s="7">
        <v>5.7060000000000004</v>
      </c>
      <c r="I3968" s="7">
        <v>4.782</v>
      </c>
      <c r="J3968" s="7">
        <v>3.7949999999999999</v>
      </c>
      <c r="K3968" s="7">
        <v>2.8260000000000001</v>
      </c>
      <c r="L3968" s="7">
        <v>2.3519999999999999</v>
      </c>
      <c r="M3968" s="7">
        <v>2.6219999999999999</v>
      </c>
      <c r="N3968" s="7">
        <v>3.3580000000000001</v>
      </c>
      <c r="O3968" s="7">
        <v>3.6269999999999998</v>
      </c>
      <c r="P3968" s="7">
        <v>4.6539999999999999</v>
      </c>
      <c r="Q3968" s="7">
        <v>6.0449999999999999</v>
      </c>
      <c r="R3968" s="7">
        <v>6.4139999999999997</v>
      </c>
      <c r="S3968" s="7">
        <f t="shared" si="61"/>
        <v>4.3586666666666671</v>
      </c>
    </row>
    <row r="3969" spans="1:19">
      <c r="A3969" s="5" t="str">
        <f>B3969&amp;"-"&amp;COUNTIF($B$2:B3969,B3969)</f>
        <v>RIO GRANDE DO SUL-116</v>
      </c>
      <c r="B3969" s="5" t="s">
        <v>2552</v>
      </c>
      <c r="C3969" s="5" t="s">
        <v>2634</v>
      </c>
      <c r="D3969" s="6">
        <v>-527847</v>
      </c>
      <c r="E3969" s="6">
        <v>-281199</v>
      </c>
      <c r="F3969" s="7">
        <v>4.5880000000000001</v>
      </c>
      <c r="G3969" s="7">
        <v>6.3460000000000001</v>
      </c>
      <c r="H3969" s="7">
        <v>5.84</v>
      </c>
      <c r="I3969" s="7">
        <v>5.01</v>
      </c>
      <c r="J3969" s="7">
        <v>4.0439999999999996</v>
      </c>
      <c r="K3969" s="7">
        <v>3.0539999999999998</v>
      </c>
      <c r="L3969" s="7">
        <v>2.5419999999999998</v>
      </c>
      <c r="M3969" s="7">
        <v>2.851</v>
      </c>
      <c r="N3969" s="7">
        <v>3.625</v>
      </c>
      <c r="O3969" s="7">
        <v>3.875</v>
      </c>
      <c r="P3969" s="7">
        <v>5.0709999999999997</v>
      </c>
      <c r="Q3969" s="7">
        <v>6.2069999999999999</v>
      </c>
      <c r="R3969" s="7">
        <v>6.5880000000000001</v>
      </c>
      <c r="S3969" s="7">
        <f t="shared" si="61"/>
        <v>4.5877499999999998</v>
      </c>
    </row>
    <row r="3970" spans="1:19">
      <c r="A3970" s="5" t="str">
        <f>B3970&amp;"-"&amp;COUNTIF($B$2:B3970,B3970)</f>
        <v>RIO GRANDE DO SUL-117</v>
      </c>
      <c r="B3970" s="5" t="s">
        <v>2552</v>
      </c>
      <c r="C3970" s="5" t="s">
        <v>2635</v>
      </c>
      <c r="D3970" s="6">
        <v>-540659</v>
      </c>
      <c r="E3970" s="6">
        <v>-28383</v>
      </c>
      <c r="F3970" s="7">
        <v>4.6470000000000002</v>
      </c>
      <c r="G3970" s="7">
        <v>6.508</v>
      </c>
      <c r="H3970" s="7">
        <v>6.0419999999999998</v>
      </c>
      <c r="I3970" s="7">
        <v>5.1920000000000002</v>
      </c>
      <c r="J3970" s="7">
        <v>4.0149999999999997</v>
      </c>
      <c r="K3970" s="7">
        <v>3.0529999999999999</v>
      </c>
      <c r="L3970" s="7">
        <v>2.5089999999999999</v>
      </c>
      <c r="M3970" s="7">
        <v>2.798</v>
      </c>
      <c r="N3970" s="7">
        <v>3.5750000000000002</v>
      </c>
      <c r="O3970" s="7">
        <v>3.9780000000000002</v>
      </c>
      <c r="P3970" s="7">
        <v>5.1120000000000001</v>
      </c>
      <c r="Q3970" s="7">
        <v>6.2850000000000001</v>
      </c>
      <c r="R3970" s="7">
        <v>6.702</v>
      </c>
      <c r="S3970" s="7">
        <f t="shared" si="61"/>
        <v>4.6474166666666674</v>
      </c>
    </row>
    <row r="3971" spans="1:19">
      <c r="A3971" s="5" t="str">
        <f>B3971&amp;"-"&amp;COUNTIF($B$2:B3971,B3971)</f>
        <v>RIO GRANDE DO SUL-118</v>
      </c>
      <c r="B3971" s="5" t="s">
        <v>2552</v>
      </c>
      <c r="C3971" s="5" t="s">
        <v>2636</v>
      </c>
      <c r="D3971" s="6">
        <v>-537046</v>
      </c>
      <c r="E3971" s="6">
        <v>-277222</v>
      </c>
      <c r="F3971" s="7">
        <v>4.6619999999999999</v>
      </c>
      <c r="G3971" s="7">
        <v>6.4610000000000003</v>
      </c>
      <c r="H3971" s="7">
        <v>5.9740000000000002</v>
      </c>
      <c r="I3971" s="7">
        <v>5.1050000000000004</v>
      </c>
      <c r="J3971" s="7">
        <v>4.0640000000000001</v>
      </c>
      <c r="K3971" s="7">
        <v>3.1259999999999999</v>
      </c>
      <c r="L3971" s="7">
        <v>2.5819999999999999</v>
      </c>
      <c r="M3971" s="7">
        <v>2.911</v>
      </c>
      <c r="N3971" s="7">
        <v>3.6989999999999998</v>
      </c>
      <c r="O3971" s="7">
        <v>3.9950000000000001</v>
      </c>
      <c r="P3971" s="7">
        <v>5.1710000000000003</v>
      </c>
      <c r="Q3971" s="7">
        <v>6.2249999999999996</v>
      </c>
      <c r="R3971" s="7">
        <v>6.633</v>
      </c>
      <c r="S3971" s="7">
        <f t="shared" ref="S3971:S4034" si="62">(G3971+H3971+I3971+J3971+K3971+L3971+M3971+N3971+O3971+P3971+Q3971+R3971)/12</f>
        <v>4.6621666666666668</v>
      </c>
    </row>
    <row r="3972" spans="1:19">
      <c r="A3972" s="5" t="str">
        <f>B3972&amp;"-"&amp;COUNTIF($B$2:B3972,B3972)</f>
        <v>RIO GRANDE DO SUL-119</v>
      </c>
      <c r="B3972" s="5" t="s">
        <v>2552</v>
      </c>
      <c r="C3972" s="5" t="s">
        <v>2637</v>
      </c>
      <c r="D3972" s="6">
        <v>-516852</v>
      </c>
      <c r="E3972" s="5" t="s">
        <v>2638</v>
      </c>
      <c r="F3972" s="7">
        <v>4.3920000000000003</v>
      </c>
      <c r="G3972" s="7">
        <v>6.1749999999999998</v>
      </c>
      <c r="H3972" s="7">
        <v>5.7149999999999999</v>
      </c>
      <c r="I3972" s="7">
        <v>4.8090000000000002</v>
      </c>
      <c r="J3972" s="7">
        <v>3.8119999999999998</v>
      </c>
      <c r="K3972" s="7">
        <v>2.8130000000000002</v>
      </c>
      <c r="L3972" s="7">
        <v>2.3580000000000001</v>
      </c>
      <c r="M3972" s="7">
        <v>2.6539999999999999</v>
      </c>
      <c r="N3972" s="7">
        <v>3.3690000000000002</v>
      </c>
      <c r="O3972" s="7">
        <v>3.6179999999999999</v>
      </c>
      <c r="P3972" s="7">
        <v>4.7309999999999999</v>
      </c>
      <c r="Q3972" s="7">
        <v>6.1429999999999998</v>
      </c>
      <c r="R3972" s="7">
        <v>6.5090000000000003</v>
      </c>
      <c r="S3972" s="7">
        <f t="shared" si="62"/>
        <v>4.3921666666666672</v>
      </c>
    </row>
    <row r="3973" spans="1:19">
      <c r="A3973" s="5" t="str">
        <f>B3973&amp;"-"&amp;COUNTIF($B$2:B3973,B3973)</f>
        <v>RIO GRANDE DO SUL-120</v>
      </c>
      <c r="B3973" s="5" t="s">
        <v>2552</v>
      </c>
      <c r="C3973" s="5" t="s">
        <v>5399</v>
      </c>
      <c r="D3973" s="6">
        <v>-516975</v>
      </c>
      <c r="E3973" s="6">
        <v>-289896</v>
      </c>
      <c r="F3973" s="7">
        <v>4.4210000000000003</v>
      </c>
      <c r="G3973" s="7">
        <v>6.1970000000000001</v>
      </c>
      <c r="H3973" s="7">
        <v>5.7519999999999998</v>
      </c>
      <c r="I3973" s="7">
        <v>4.8680000000000003</v>
      </c>
      <c r="J3973" s="7">
        <v>3.8479999999999999</v>
      </c>
      <c r="K3973" s="7">
        <v>2.8570000000000002</v>
      </c>
      <c r="L3973" s="7">
        <v>2.3780000000000001</v>
      </c>
      <c r="M3973" s="7">
        <v>2.698</v>
      </c>
      <c r="N3973" s="7">
        <v>3.419</v>
      </c>
      <c r="O3973" s="7">
        <v>3.6779999999999999</v>
      </c>
      <c r="P3973" s="7">
        <v>4.7539999999999996</v>
      </c>
      <c r="Q3973" s="7">
        <v>6.1070000000000002</v>
      </c>
      <c r="R3973" s="7">
        <v>6.5019999999999998</v>
      </c>
      <c r="S3973" s="7">
        <f t="shared" si="62"/>
        <v>4.4214999999999991</v>
      </c>
    </row>
    <row r="3974" spans="1:19">
      <c r="A3974" s="5" t="str">
        <f>B3974&amp;"-"&amp;COUNTIF($B$2:B3974,B3974)</f>
        <v>RIO GRANDE DO SUL-121</v>
      </c>
      <c r="B3974" s="5" t="s">
        <v>2552</v>
      </c>
      <c r="C3974" s="5" t="s">
        <v>2639</v>
      </c>
      <c r="D3974" s="6">
        <v>-523028</v>
      </c>
      <c r="E3974" s="6">
        <v>-281284</v>
      </c>
      <c r="F3974" s="7">
        <v>4.5640000000000001</v>
      </c>
      <c r="G3974" s="7">
        <v>6.2430000000000003</v>
      </c>
      <c r="H3974" s="7">
        <v>5.8289999999999997</v>
      </c>
      <c r="I3974" s="7">
        <v>4.9960000000000004</v>
      </c>
      <c r="J3974" s="7">
        <v>4.0380000000000003</v>
      </c>
      <c r="K3974" s="7">
        <v>3.0339999999999998</v>
      </c>
      <c r="L3974" s="7">
        <v>2.5150000000000001</v>
      </c>
      <c r="M3974" s="7">
        <v>2.8820000000000001</v>
      </c>
      <c r="N3974" s="7">
        <v>3.637</v>
      </c>
      <c r="O3974" s="7">
        <v>3.8730000000000002</v>
      </c>
      <c r="P3974" s="7">
        <v>5.0289999999999999</v>
      </c>
      <c r="Q3974" s="7">
        <v>6.1989999999999998</v>
      </c>
      <c r="R3974" s="7">
        <v>6.4939999999999998</v>
      </c>
      <c r="S3974" s="7">
        <f t="shared" si="62"/>
        <v>4.5640833333333326</v>
      </c>
    </row>
    <row r="3975" spans="1:19">
      <c r="A3975" s="5" t="str">
        <f>B3975&amp;"-"&amp;COUNTIF($B$2:B3975,B3975)</f>
        <v>RIO GRANDE DO SUL-122</v>
      </c>
      <c r="B3975" s="5" t="s">
        <v>2552</v>
      </c>
      <c r="C3975" s="5" t="s">
        <v>2640</v>
      </c>
      <c r="D3975" s="6">
        <v>-540998</v>
      </c>
      <c r="E3975" s="6">
        <v>-275004</v>
      </c>
      <c r="F3975" s="7">
        <v>4.6619999999999999</v>
      </c>
      <c r="G3975" s="7">
        <v>6.4459999999999997</v>
      </c>
      <c r="H3975" s="7">
        <v>5.9649999999999999</v>
      </c>
      <c r="I3975" s="7">
        <v>5.13</v>
      </c>
      <c r="J3975" s="7">
        <v>4.0389999999999997</v>
      </c>
      <c r="K3975" s="7">
        <v>3.1139999999999999</v>
      </c>
      <c r="L3975" s="7">
        <v>2.5459999999999998</v>
      </c>
      <c r="M3975" s="7">
        <v>2.887</v>
      </c>
      <c r="N3975" s="7">
        <v>3.6909999999999998</v>
      </c>
      <c r="O3975" s="7">
        <v>4.0010000000000003</v>
      </c>
      <c r="P3975" s="7">
        <v>5.2409999999999997</v>
      </c>
      <c r="Q3975" s="7">
        <v>6.234</v>
      </c>
      <c r="R3975" s="7">
        <v>6.6520000000000001</v>
      </c>
      <c r="S3975" s="7">
        <f t="shared" si="62"/>
        <v>4.6621666666666668</v>
      </c>
    </row>
    <row r="3976" spans="1:19">
      <c r="A3976" s="5" t="str">
        <f>B3976&amp;"-"&amp;COUNTIF($B$2:B3976,B3976)</f>
        <v>RIO GRANDE DO SUL-123</v>
      </c>
      <c r="B3976" s="5" t="s">
        <v>2552</v>
      </c>
      <c r="C3976" s="5" t="s">
        <v>2641</v>
      </c>
      <c r="D3976" s="6">
        <v>-520462</v>
      </c>
      <c r="E3976" s="6">
        <v>-310041</v>
      </c>
      <c r="F3976" s="7">
        <v>4.3250000000000002</v>
      </c>
      <c r="G3976" s="7">
        <v>6.2850000000000001</v>
      </c>
      <c r="H3976" s="7">
        <v>5.6639999999999997</v>
      </c>
      <c r="I3976" s="7">
        <v>4.7619999999999996</v>
      </c>
      <c r="J3976" s="7">
        <v>3.7050000000000001</v>
      </c>
      <c r="K3976" s="7">
        <v>2.7069999999999999</v>
      </c>
      <c r="L3976" s="7">
        <v>2.2650000000000001</v>
      </c>
      <c r="M3976" s="7">
        <v>2.4470000000000001</v>
      </c>
      <c r="N3976" s="7">
        <v>3.085</v>
      </c>
      <c r="O3976" s="7">
        <v>3.5630000000000002</v>
      </c>
      <c r="P3976" s="7">
        <v>4.7210000000000001</v>
      </c>
      <c r="Q3976" s="7">
        <v>6.08</v>
      </c>
      <c r="R3976" s="7">
        <v>6.6150000000000002</v>
      </c>
      <c r="S3976" s="7">
        <f t="shared" si="62"/>
        <v>4.3249166666666659</v>
      </c>
    </row>
    <row r="3977" spans="1:19">
      <c r="A3977" s="5" t="str">
        <f>B3977&amp;"-"&amp;COUNTIF($B$2:B3977,B3977)</f>
        <v>RIO GRANDE DO SUL-124</v>
      </c>
      <c r="B3977" s="5" t="s">
        <v>2552</v>
      </c>
      <c r="C3977" s="5" t="s">
        <v>2642</v>
      </c>
      <c r="D3977" s="6">
        <v>-532427</v>
      </c>
      <c r="E3977" s="6">
        <v>-274525</v>
      </c>
      <c r="F3977" s="7">
        <v>4.6529999999999996</v>
      </c>
      <c r="G3977" s="7">
        <v>6.3289999999999997</v>
      </c>
      <c r="H3977" s="7">
        <v>5.9080000000000004</v>
      </c>
      <c r="I3977" s="7">
        <v>5.1349999999999998</v>
      </c>
      <c r="J3977" s="7">
        <v>4.1040000000000001</v>
      </c>
      <c r="K3977" s="7">
        <v>3.1150000000000002</v>
      </c>
      <c r="L3977" s="7">
        <v>2.5409999999999999</v>
      </c>
      <c r="M3977" s="7">
        <v>2.907</v>
      </c>
      <c r="N3977" s="7">
        <v>3.72</v>
      </c>
      <c r="O3977" s="7">
        <v>3.984</v>
      </c>
      <c r="P3977" s="7">
        <v>5.1790000000000003</v>
      </c>
      <c r="Q3977" s="7">
        <v>6.2789999999999999</v>
      </c>
      <c r="R3977" s="7">
        <v>6.6379999999999999</v>
      </c>
      <c r="S3977" s="7">
        <f t="shared" si="62"/>
        <v>4.6532500000000008</v>
      </c>
    </row>
    <row r="3978" spans="1:19">
      <c r="A3978" s="5" t="str">
        <f>B3978&amp;"-"&amp;COUNTIF($B$2:B3978,B3978)</f>
        <v>RIO GRANDE DO SUL-125</v>
      </c>
      <c r="B3978" s="5" t="s">
        <v>2552</v>
      </c>
      <c r="C3978" s="5" t="s">
        <v>2643</v>
      </c>
      <c r="D3978" s="6">
        <v>-536053</v>
      </c>
      <c r="E3978" s="6">
        <v>-286455</v>
      </c>
      <c r="F3978" s="7">
        <v>4.601</v>
      </c>
      <c r="G3978" s="7">
        <v>6.3840000000000003</v>
      </c>
      <c r="H3978" s="7">
        <v>6.0229999999999997</v>
      </c>
      <c r="I3978" s="7">
        <v>5.1029999999999998</v>
      </c>
      <c r="J3978" s="7">
        <v>3.9910000000000001</v>
      </c>
      <c r="K3978" s="7">
        <v>3.036</v>
      </c>
      <c r="L3978" s="7">
        <v>2.4809999999999999</v>
      </c>
      <c r="M3978" s="7">
        <v>2.794</v>
      </c>
      <c r="N3978" s="7">
        <v>3.556</v>
      </c>
      <c r="O3978" s="7">
        <v>3.919</v>
      </c>
      <c r="P3978" s="7">
        <v>5.03</v>
      </c>
      <c r="Q3978" s="7">
        <v>6.2240000000000002</v>
      </c>
      <c r="R3978" s="7">
        <v>6.6689999999999996</v>
      </c>
      <c r="S3978" s="7">
        <f t="shared" si="62"/>
        <v>4.6008333333333331</v>
      </c>
    </row>
    <row r="3979" spans="1:19">
      <c r="A3979" s="5" t="str">
        <f>B3979&amp;"-"&amp;COUNTIF($B$2:B3979,B3979)</f>
        <v>RIO GRANDE DO SUL-126</v>
      </c>
      <c r="B3979" s="5" t="s">
        <v>2552</v>
      </c>
      <c r="C3979" s="5" t="s">
        <v>2644</v>
      </c>
      <c r="D3979" s="6">
        <v>-526526</v>
      </c>
      <c r="E3979" s="6">
        <v>-276676</v>
      </c>
      <c r="F3979" s="7">
        <v>4.6349999999999998</v>
      </c>
      <c r="G3979" s="7">
        <v>6.3680000000000003</v>
      </c>
      <c r="H3979" s="7">
        <v>5.9390000000000001</v>
      </c>
      <c r="I3979" s="7">
        <v>5.0389999999999997</v>
      </c>
      <c r="J3979" s="7">
        <v>4.0869999999999997</v>
      </c>
      <c r="K3979" s="7">
        <v>3.0880000000000001</v>
      </c>
      <c r="L3979" s="7">
        <v>2.5960000000000001</v>
      </c>
      <c r="M3979" s="7">
        <v>2.9119999999999999</v>
      </c>
      <c r="N3979" s="7">
        <v>3.73</v>
      </c>
      <c r="O3979" s="7">
        <v>3.9609999999999999</v>
      </c>
      <c r="P3979" s="7">
        <v>5.1189999999999998</v>
      </c>
      <c r="Q3979" s="7">
        <v>6.17</v>
      </c>
      <c r="R3979" s="7">
        <v>6.61</v>
      </c>
      <c r="S3979" s="7">
        <f t="shared" si="62"/>
        <v>4.6349166666666664</v>
      </c>
    </row>
    <row r="3980" spans="1:19">
      <c r="A3980" s="5" t="str">
        <f>B3980&amp;"-"&amp;COUNTIF($B$2:B3980,B3980)</f>
        <v>RIO GRANDE DO SUL-127</v>
      </c>
      <c r="B3980" s="5" t="s">
        <v>2552</v>
      </c>
      <c r="C3980" s="5" t="s">
        <v>80</v>
      </c>
      <c r="D3980" s="6">
        <v>-519849</v>
      </c>
      <c r="E3980" s="6">
        <v>-29513</v>
      </c>
      <c r="F3980" s="7">
        <v>4.3620000000000001</v>
      </c>
      <c r="G3980" s="7">
        <v>6.1390000000000002</v>
      </c>
      <c r="H3980" s="7">
        <v>5.7560000000000002</v>
      </c>
      <c r="I3980" s="7">
        <v>4.8159999999999998</v>
      </c>
      <c r="J3980" s="7">
        <v>3.794</v>
      </c>
      <c r="K3980" s="7">
        <v>2.8109999999999999</v>
      </c>
      <c r="L3980" s="7">
        <v>2.33</v>
      </c>
      <c r="M3980" s="7">
        <v>2.5680000000000001</v>
      </c>
      <c r="N3980" s="7">
        <v>3.28</v>
      </c>
      <c r="O3980" s="7">
        <v>3.589</v>
      </c>
      <c r="P3980" s="7">
        <v>4.6399999999999997</v>
      </c>
      <c r="Q3980" s="7">
        <v>6.1239999999999997</v>
      </c>
      <c r="R3980" s="7">
        <v>6.4989999999999997</v>
      </c>
      <c r="S3980" s="7">
        <f t="shared" si="62"/>
        <v>4.3621666666666679</v>
      </c>
    </row>
    <row r="3981" spans="1:19">
      <c r="A3981" s="5" t="str">
        <f>B3981&amp;"-"&amp;COUNTIF($B$2:B3981,B3981)</f>
        <v>RIO GRANDE DO SUL-128</v>
      </c>
      <c r="B3981" s="5" t="s">
        <v>2552</v>
      </c>
      <c r="C3981" s="5" t="s">
        <v>2645</v>
      </c>
      <c r="D3981" s="6">
        <v>-518487</v>
      </c>
      <c r="E3981" s="6">
        <v>-283854</v>
      </c>
      <c r="F3981" s="7">
        <v>4.4800000000000004</v>
      </c>
      <c r="G3981" s="7">
        <v>6.125</v>
      </c>
      <c r="H3981" s="7">
        <v>5.6639999999999997</v>
      </c>
      <c r="I3981" s="7">
        <v>4.8890000000000002</v>
      </c>
      <c r="J3981" s="7">
        <v>3.9649999999999999</v>
      </c>
      <c r="K3981" s="7">
        <v>2.9590000000000001</v>
      </c>
      <c r="L3981" s="7">
        <v>2.4980000000000002</v>
      </c>
      <c r="M3981" s="7">
        <v>2.8210000000000002</v>
      </c>
      <c r="N3981" s="7">
        <v>3.5569999999999999</v>
      </c>
      <c r="O3981" s="7">
        <v>3.798</v>
      </c>
      <c r="P3981" s="7">
        <v>4.9130000000000003</v>
      </c>
      <c r="Q3981" s="7">
        <v>6.12</v>
      </c>
      <c r="R3981" s="7">
        <v>6.4459999999999997</v>
      </c>
      <c r="S3981" s="7">
        <f t="shared" si="62"/>
        <v>4.4795833333333333</v>
      </c>
    </row>
    <row r="3982" spans="1:19">
      <c r="A3982" s="5" t="str">
        <f>B3982&amp;"-"&amp;COUNTIF($B$2:B3982,B3982)</f>
        <v>RIO GRANDE DO SUL-129</v>
      </c>
      <c r="B3982" s="5" t="s">
        <v>2552</v>
      </c>
      <c r="C3982" s="5" t="s">
        <v>2646</v>
      </c>
      <c r="D3982" s="6">
        <v>-53865</v>
      </c>
      <c r="E3982" s="6">
        <v>-272646</v>
      </c>
      <c r="F3982" s="7">
        <v>4.6260000000000003</v>
      </c>
      <c r="G3982" s="7">
        <v>6.3730000000000002</v>
      </c>
      <c r="H3982" s="7">
        <v>5.8940000000000001</v>
      </c>
      <c r="I3982" s="7">
        <v>5.1390000000000002</v>
      </c>
      <c r="J3982" s="7">
        <v>4.0199999999999996</v>
      </c>
      <c r="K3982" s="7">
        <v>3.1059999999999999</v>
      </c>
      <c r="L3982" s="7">
        <v>2.532</v>
      </c>
      <c r="M3982" s="7">
        <v>2.8610000000000002</v>
      </c>
      <c r="N3982" s="7">
        <v>3.7210000000000001</v>
      </c>
      <c r="O3982" s="7">
        <v>3.9940000000000002</v>
      </c>
      <c r="P3982" s="7">
        <v>5.1680000000000001</v>
      </c>
      <c r="Q3982" s="7">
        <v>6.141</v>
      </c>
      <c r="R3982" s="7">
        <v>6.5640000000000001</v>
      </c>
      <c r="S3982" s="7">
        <f t="shared" si="62"/>
        <v>4.6260833333333329</v>
      </c>
    </row>
    <row r="3983" spans="1:19">
      <c r="A3983" s="5" t="str">
        <f>B3983&amp;"-"&amp;COUNTIF($B$2:B3983,B3983)</f>
        <v>RIO GRANDE DO SUL-130</v>
      </c>
      <c r="B3983" s="5" t="s">
        <v>2552</v>
      </c>
      <c r="C3983" s="5" t="s">
        <v>2647</v>
      </c>
      <c r="D3983" s="6">
        <v>-550482</v>
      </c>
      <c r="E3983" s="6">
        <v>-282252</v>
      </c>
      <c r="F3983" s="7">
        <v>4.7050000000000001</v>
      </c>
      <c r="G3983" s="7">
        <v>6.5469999999999997</v>
      </c>
      <c r="H3983" s="7">
        <v>6.0730000000000004</v>
      </c>
      <c r="I3983" s="7">
        <v>5.274</v>
      </c>
      <c r="J3983" s="7">
        <v>4.0579999999999998</v>
      </c>
      <c r="K3983" s="7">
        <v>3.0950000000000002</v>
      </c>
      <c r="L3983" s="7">
        <v>2.5310000000000001</v>
      </c>
      <c r="M3983" s="7">
        <v>2.843</v>
      </c>
      <c r="N3983" s="7">
        <v>3.6</v>
      </c>
      <c r="O3983" s="7">
        <v>4.069</v>
      </c>
      <c r="P3983" s="7">
        <v>5.1719999999999997</v>
      </c>
      <c r="Q3983" s="7">
        <v>6.4050000000000002</v>
      </c>
      <c r="R3983" s="7">
        <v>6.7960000000000003</v>
      </c>
      <c r="S3983" s="7">
        <f t="shared" si="62"/>
        <v>4.7052500000000004</v>
      </c>
    </row>
    <row r="3984" spans="1:19">
      <c r="A3984" s="5" t="str">
        <f>B3984&amp;"-"&amp;COUNTIF($B$2:B3984,B3984)</f>
        <v>RIO GRANDE DO SUL-131</v>
      </c>
      <c r="B3984" s="5" t="s">
        <v>2552</v>
      </c>
      <c r="C3984" s="5" t="s">
        <v>2648</v>
      </c>
      <c r="D3984" s="6">
        <v>-542127</v>
      </c>
      <c r="E3984" s="6">
        <v>-297059</v>
      </c>
      <c r="F3984" s="7">
        <v>4.5810000000000004</v>
      </c>
      <c r="G3984" s="7">
        <v>6.5750000000000002</v>
      </c>
      <c r="H3984" s="7">
        <v>6.0679999999999996</v>
      </c>
      <c r="I3984" s="7">
        <v>5.0709999999999997</v>
      </c>
      <c r="J3984" s="7">
        <v>3.919</v>
      </c>
      <c r="K3984" s="7">
        <v>2.8580000000000001</v>
      </c>
      <c r="L3984" s="7">
        <v>2.3740000000000001</v>
      </c>
      <c r="M3984" s="7">
        <v>2.6139999999999999</v>
      </c>
      <c r="N3984" s="7">
        <v>3.3730000000000002</v>
      </c>
      <c r="O3984" s="7">
        <v>3.8650000000000002</v>
      </c>
      <c r="P3984" s="7">
        <v>4.9980000000000002</v>
      </c>
      <c r="Q3984" s="7">
        <v>6.32</v>
      </c>
      <c r="R3984" s="7">
        <v>6.9359999999999999</v>
      </c>
      <c r="S3984" s="7">
        <f t="shared" si="62"/>
        <v>4.5809166666666661</v>
      </c>
    </row>
    <row r="3985" spans="1:19">
      <c r="A3985" s="5" t="str">
        <f>B3985&amp;"-"&amp;COUNTIF($B$2:B3985,B3985)</f>
        <v>RIO GRANDE DO SUL-132</v>
      </c>
      <c r="B3985" s="5" t="s">
        <v>2552</v>
      </c>
      <c r="C3985" s="5" t="s">
        <v>4162</v>
      </c>
      <c r="D3985" s="6">
        <v>-510902</v>
      </c>
      <c r="E3985" s="6">
        <v>-29584</v>
      </c>
      <c r="F3985" s="7">
        <v>4.3230000000000004</v>
      </c>
      <c r="G3985" s="7">
        <v>6.2</v>
      </c>
      <c r="H3985" s="7">
        <v>5.6879999999999997</v>
      </c>
      <c r="I3985" s="7">
        <v>4.72</v>
      </c>
      <c r="J3985" s="7">
        <v>3.7530000000000001</v>
      </c>
      <c r="K3985" s="7">
        <v>2.8079999999999998</v>
      </c>
      <c r="L3985" s="7">
        <v>2.3359999999999999</v>
      </c>
      <c r="M3985" s="7">
        <v>2.5350000000000001</v>
      </c>
      <c r="N3985" s="7">
        <v>3.214</v>
      </c>
      <c r="O3985" s="7">
        <v>3.508</v>
      </c>
      <c r="P3985" s="7">
        <v>4.601</v>
      </c>
      <c r="Q3985" s="7">
        <v>6.0350000000000001</v>
      </c>
      <c r="R3985" s="7">
        <v>6.4859999999999998</v>
      </c>
      <c r="S3985" s="7">
        <f t="shared" si="62"/>
        <v>4.3236666666666661</v>
      </c>
    </row>
    <row r="3986" spans="1:19">
      <c r="A3986" s="5" t="str">
        <f>B3986&amp;"-"&amp;COUNTIF($B$2:B3986,B3986)</f>
        <v>RIO GRANDE DO SUL-133</v>
      </c>
      <c r="B3986" s="5" t="s">
        <v>2552</v>
      </c>
      <c r="C3986" s="5" t="s">
        <v>5443</v>
      </c>
      <c r="D3986" s="6">
        <v>-535309</v>
      </c>
      <c r="E3986" s="6">
        <v>-276626</v>
      </c>
      <c r="F3986" s="7">
        <v>4.6529999999999996</v>
      </c>
      <c r="G3986" s="7">
        <v>6.4480000000000004</v>
      </c>
      <c r="H3986" s="7">
        <v>5.9219999999999997</v>
      </c>
      <c r="I3986" s="7">
        <v>5.0679999999999996</v>
      </c>
      <c r="J3986" s="7">
        <v>4.08</v>
      </c>
      <c r="K3986" s="7">
        <v>3.117</v>
      </c>
      <c r="L3986" s="7">
        <v>2.5790000000000002</v>
      </c>
      <c r="M3986" s="7">
        <v>2.927</v>
      </c>
      <c r="N3986" s="7">
        <v>3.706</v>
      </c>
      <c r="O3986" s="7">
        <v>3.9889999999999999</v>
      </c>
      <c r="P3986" s="7">
        <v>5.17</v>
      </c>
      <c r="Q3986" s="7">
        <v>6.1929999999999996</v>
      </c>
      <c r="R3986" s="7">
        <v>6.6420000000000003</v>
      </c>
      <c r="S3986" s="7">
        <f t="shared" si="62"/>
        <v>4.6534166666666668</v>
      </c>
    </row>
    <row r="3987" spans="1:19">
      <c r="A3987" s="5" t="str">
        <f>B3987&amp;"-"&amp;COUNTIF($B$2:B3987,B3987)</f>
        <v>RIO GRANDE DO SUL-134</v>
      </c>
      <c r="B3987" s="5" t="s">
        <v>2552</v>
      </c>
      <c r="C3987" s="5" t="s">
        <v>2649</v>
      </c>
      <c r="D3987" s="5" t="s">
        <v>2650</v>
      </c>
      <c r="E3987" s="6">
        <v>-289835</v>
      </c>
      <c r="F3987" s="7">
        <v>4.4130000000000003</v>
      </c>
      <c r="G3987" s="7">
        <v>6.1779999999999999</v>
      </c>
      <c r="H3987" s="7">
        <v>5.7729999999999997</v>
      </c>
      <c r="I3987" s="7">
        <v>4.8570000000000002</v>
      </c>
      <c r="J3987" s="7">
        <v>3.8439999999999999</v>
      </c>
      <c r="K3987" s="7">
        <v>2.8540000000000001</v>
      </c>
      <c r="L3987" s="7">
        <v>2.3690000000000002</v>
      </c>
      <c r="M3987" s="7">
        <v>2.6859999999999999</v>
      </c>
      <c r="N3987" s="7">
        <v>3.3980000000000001</v>
      </c>
      <c r="O3987" s="7">
        <v>3.6869999999999998</v>
      </c>
      <c r="P3987" s="7">
        <v>4.7389999999999999</v>
      </c>
      <c r="Q3987" s="7">
        <v>6.1040000000000001</v>
      </c>
      <c r="R3987" s="7">
        <v>6.47</v>
      </c>
      <c r="S3987" s="7">
        <f t="shared" si="62"/>
        <v>4.4132499999999997</v>
      </c>
    </row>
    <row r="3988" spans="1:19">
      <c r="A3988" s="5" t="str">
        <f>B3988&amp;"-"&amp;COUNTIF($B$2:B3988,B3988)</f>
        <v>RIO GRANDE DO SUL-135</v>
      </c>
      <c r="B3988" s="5" t="s">
        <v>2552</v>
      </c>
      <c r="C3988" s="5" t="s">
        <v>2651</v>
      </c>
      <c r="D3988" s="6">
        <v>-521031</v>
      </c>
      <c r="E3988" s="6">
        <v>-307008</v>
      </c>
      <c r="F3988" s="7">
        <v>4.3220000000000001</v>
      </c>
      <c r="G3988" s="7">
        <v>6.2130000000000001</v>
      </c>
      <c r="H3988" s="7">
        <v>5.633</v>
      </c>
      <c r="I3988" s="7">
        <v>4.7469999999999999</v>
      </c>
      <c r="J3988" s="7">
        <v>3.7290000000000001</v>
      </c>
      <c r="K3988" s="7">
        <v>2.7189999999999999</v>
      </c>
      <c r="L3988" s="7">
        <v>2.2770000000000001</v>
      </c>
      <c r="M3988" s="7">
        <v>2.508</v>
      </c>
      <c r="N3988" s="7">
        <v>3.129</v>
      </c>
      <c r="O3988" s="7">
        <v>3.5590000000000002</v>
      </c>
      <c r="P3988" s="7">
        <v>4.7009999999999996</v>
      </c>
      <c r="Q3988" s="7">
        <v>6.0659999999999998</v>
      </c>
      <c r="R3988" s="7">
        <v>6.5839999999999996</v>
      </c>
      <c r="S3988" s="7">
        <f t="shared" si="62"/>
        <v>4.3220833333333344</v>
      </c>
    </row>
    <row r="3989" spans="1:19">
      <c r="A3989" s="5" t="str">
        <f>B3989&amp;"-"&amp;COUNTIF($B$2:B3989,B3989)</f>
        <v>RIO GRANDE DO SUL-136</v>
      </c>
      <c r="B3989" s="5" t="s">
        <v>2552</v>
      </c>
      <c r="C3989" s="5" t="s">
        <v>2652</v>
      </c>
      <c r="D3989" s="6">
        <v>-546702</v>
      </c>
      <c r="E3989" s="6">
        <v>-309793</v>
      </c>
      <c r="F3989" s="7">
        <v>4.6079999999999997</v>
      </c>
      <c r="G3989" s="7">
        <v>6.6980000000000004</v>
      </c>
      <c r="H3989" s="7">
        <v>6.0030000000000001</v>
      </c>
      <c r="I3989" s="7">
        <v>5.1079999999999997</v>
      </c>
      <c r="J3989" s="7">
        <v>3.8820000000000001</v>
      </c>
      <c r="K3989" s="7">
        <v>2.7909999999999999</v>
      </c>
      <c r="L3989" s="7">
        <v>2.3519999999999999</v>
      </c>
      <c r="M3989" s="7">
        <v>2.5830000000000002</v>
      </c>
      <c r="N3989" s="7">
        <v>3.2909999999999999</v>
      </c>
      <c r="O3989" s="7">
        <v>3.871</v>
      </c>
      <c r="P3989" s="7">
        <v>5.2530000000000001</v>
      </c>
      <c r="Q3989" s="7">
        <v>6.4580000000000002</v>
      </c>
      <c r="R3989" s="7">
        <v>7.0140000000000002</v>
      </c>
      <c r="S3989" s="7">
        <f t="shared" si="62"/>
        <v>4.6086666666666671</v>
      </c>
    </row>
    <row r="3990" spans="1:19">
      <c r="A3990" s="5" t="str">
        <f>B3990&amp;"-"&amp;COUNTIF($B$2:B3990,B3990)</f>
        <v>RIO GRANDE DO SUL-137</v>
      </c>
      <c r="B3990" s="5" t="s">
        <v>2552</v>
      </c>
      <c r="C3990" s="5" t="s">
        <v>5012</v>
      </c>
      <c r="D3990" s="6">
        <v>-498497</v>
      </c>
      <c r="E3990" s="6">
        <v>-293695</v>
      </c>
      <c r="F3990" s="7">
        <v>4.1429999999999998</v>
      </c>
      <c r="G3990" s="7">
        <v>5.6559999999999997</v>
      </c>
      <c r="H3990" s="7">
        <v>5.2839999999999998</v>
      </c>
      <c r="I3990" s="7">
        <v>4.4560000000000004</v>
      </c>
      <c r="J3990" s="7">
        <v>3.7989999999999999</v>
      </c>
      <c r="K3990" s="7">
        <v>2.9249999999999998</v>
      </c>
      <c r="L3990" s="7">
        <v>2.4300000000000002</v>
      </c>
      <c r="M3990" s="7">
        <v>2.6459999999999999</v>
      </c>
      <c r="N3990" s="7">
        <v>3.3109999999999999</v>
      </c>
      <c r="O3990" s="7">
        <v>3.4750000000000001</v>
      </c>
      <c r="P3990" s="7">
        <v>4.21</v>
      </c>
      <c r="Q3990" s="7">
        <v>5.6040000000000001</v>
      </c>
      <c r="R3990" s="7">
        <v>5.9180000000000001</v>
      </c>
      <c r="S3990" s="7">
        <f t="shared" si="62"/>
        <v>4.1428333333333329</v>
      </c>
    </row>
    <row r="3991" spans="1:19">
      <c r="A3991" s="5" t="str">
        <f>B3991&amp;"-"&amp;COUNTIF($B$2:B3991,B3991)</f>
        <v>RIO GRANDE DO SUL-138</v>
      </c>
      <c r="B3991" s="5" t="s">
        <v>2552</v>
      </c>
      <c r="C3991" s="5" t="s">
        <v>2653</v>
      </c>
      <c r="D3991" s="6">
        <v>-533569</v>
      </c>
      <c r="E3991" s="6">
        <v>-29622</v>
      </c>
      <c r="F3991" s="7">
        <v>4.4770000000000003</v>
      </c>
      <c r="G3991" s="7">
        <v>6.35</v>
      </c>
      <c r="H3991" s="7">
        <v>5.891</v>
      </c>
      <c r="I3991" s="7">
        <v>4.99</v>
      </c>
      <c r="J3991" s="7">
        <v>3.85</v>
      </c>
      <c r="K3991" s="7">
        <v>2.8250000000000002</v>
      </c>
      <c r="L3991" s="7">
        <v>2.3460000000000001</v>
      </c>
      <c r="M3991" s="7">
        <v>2.585</v>
      </c>
      <c r="N3991" s="7">
        <v>3.3380000000000001</v>
      </c>
      <c r="O3991" s="7">
        <v>3.7010000000000001</v>
      </c>
      <c r="P3991" s="7">
        <v>4.8860000000000001</v>
      </c>
      <c r="Q3991" s="7">
        <v>6.23</v>
      </c>
      <c r="R3991" s="7">
        <v>6.7329999999999997</v>
      </c>
      <c r="S3991" s="7">
        <f t="shared" si="62"/>
        <v>4.4770833333333337</v>
      </c>
    </row>
    <row r="3992" spans="1:19">
      <c r="A3992" s="5" t="str">
        <f>B3992&amp;"-"&amp;COUNTIF($B$2:B3992,B3992)</f>
        <v>RIO GRANDE DO SUL-139</v>
      </c>
      <c r="B3992" s="5" t="s">
        <v>2552</v>
      </c>
      <c r="C3992" s="5" t="s">
        <v>2654</v>
      </c>
      <c r="D3992" s="6">
        <v>-543582</v>
      </c>
      <c r="E3992" s="6">
        <v>-275108</v>
      </c>
      <c r="F3992" s="7">
        <v>4.6479999999999997</v>
      </c>
      <c r="G3992" s="7">
        <v>6.4480000000000004</v>
      </c>
      <c r="H3992" s="7">
        <v>5.9939999999999998</v>
      </c>
      <c r="I3992" s="7">
        <v>5.1760000000000002</v>
      </c>
      <c r="J3992" s="7">
        <v>4.0129999999999999</v>
      </c>
      <c r="K3992" s="7">
        <v>3.0880000000000001</v>
      </c>
      <c r="L3992" s="7">
        <v>2.5249999999999999</v>
      </c>
      <c r="M3992" s="7">
        <v>2.8340000000000001</v>
      </c>
      <c r="N3992" s="7">
        <v>3.6850000000000001</v>
      </c>
      <c r="O3992" s="7">
        <v>4.0010000000000003</v>
      </c>
      <c r="P3992" s="7">
        <v>5.1970000000000001</v>
      </c>
      <c r="Q3992" s="7">
        <v>6.21</v>
      </c>
      <c r="R3992" s="7">
        <v>6.609</v>
      </c>
      <c r="S3992" s="7">
        <f t="shared" si="62"/>
        <v>4.6483333333333334</v>
      </c>
    </row>
    <row r="3993" spans="1:19">
      <c r="A3993" s="5" t="str">
        <f>B3993&amp;"-"&amp;COUNTIF($B$2:B3993,B3993)</f>
        <v>RIO GRANDE DO SUL-140</v>
      </c>
      <c r="B3993" s="5" t="s">
        <v>2552</v>
      </c>
      <c r="C3993" s="5" t="s">
        <v>2655</v>
      </c>
      <c r="D3993" s="6">
        <v>-519919</v>
      </c>
      <c r="E3993" s="6">
        <v>-29086</v>
      </c>
      <c r="F3993" s="7">
        <v>4.3620000000000001</v>
      </c>
      <c r="G3993" s="7">
        <v>6.1040000000000001</v>
      </c>
      <c r="H3993" s="7">
        <v>5.7060000000000004</v>
      </c>
      <c r="I3993" s="7">
        <v>4.7720000000000002</v>
      </c>
      <c r="J3993" s="7">
        <v>3.7949999999999999</v>
      </c>
      <c r="K3993" s="7">
        <v>2.819</v>
      </c>
      <c r="L3993" s="7">
        <v>2.339</v>
      </c>
      <c r="M3993" s="7">
        <v>2.6320000000000001</v>
      </c>
      <c r="N3993" s="7">
        <v>3.3769999999999998</v>
      </c>
      <c r="O3993" s="7">
        <v>3.653</v>
      </c>
      <c r="P3993" s="7">
        <v>4.6849999999999996</v>
      </c>
      <c r="Q3993" s="7">
        <v>6.0609999999999999</v>
      </c>
      <c r="R3993" s="7">
        <v>6.4039999999999999</v>
      </c>
      <c r="S3993" s="7">
        <f t="shared" si="62"/>
        <v>4.3622500000000004</v>
      </c>
    </row>
    <row r="3994" spans="1:19">
      <c r="A3994" s="5" t="str">
        <f>B3994&amp;"-"&amp;COUNTIF($B$2:B3994,B3994)</f>
        <v>RIO GRANDE DO SUL-141</v>
      </c>
      <c r="B3994" s="5" t="s">
        <v>2552</v>
      </c>
      <c r="C3994" s="5" t="s">
        <v>2656</v>
      </c>
      <c r="D3994" s="6">
        <v>-513109</v>
      </c>
      <c r="E3994" s="6">
        <v>-299979</v>
      </c>
      <c r="F3994" s="7">
        <v>4.45</v>
      </c>
      <c r="G3994" s="7">
        <v>6.5179999999999998</v>
      </c>
      <c r="H3994" s="7">
        <v>5.9020000000000001</v>
      </c>
      <c r="I3994" s="7">
        <v>4.8769999999999998</v>
      </c>
      <c r="J3994" s="7">
        <v>3.8130000000000002</v>
      </c>
      <c r="K3994" s="7">
        <v>2.7730000000000001</v>
      </c>
      <c r="L3994" s="7">
        <v>2.3119999999999998</v>
      </c>
      <c r="M3994" s="7">
        <v>2.524</v>
      </c>
      <c r="N3994" s="7">
        <v>3.2120000000000002</v>
      </c>
      <c r="O3994" s="7">
        <v>3.609</v>
      </c>
      <c r="P3994" s="7">
        <v>4.8440000000000003</v>
      </c>
      <c r="Q3994" s="7">
        <v>6.2610000000000001</v>
      </c>
      <c r="R3994" s="7">
        <v>6.7539999999999996</v>
      </c>
      <c r="S3994" s="7">
        <f t="shared" si="62"/>
        <v>4.4499166666666667</v>
      </c>
    </row>
    <row r="3995" spans="1:19">
      <c r="A3995" s="5" t="str">
        <f>B3995&amp;"-"&amp;COUNTIF($B$2:B3995,B3995)</f>
        <v>RIO GRANDE DO SUL-142</v>
      </c>
      <c r="B3995" s="5" t="s">
        <v>2552</v>
      </c>
      <c r="C3995" s="5" t="s">
        <v>2657</v>
      </c>
      <c r="D3995" s="6">
        <v>-518707</v>
      </c>
      <c r="E3995" s="6">
        <v>-292356</v>
      </c>
      <c r="F3995" s="7">
        <v>4.3899999999999997</v>
      </c>
      <c r="G3995" s="7">
        <v>6.2110000000000003</v>
      </c>
      <c r="H3995" s="7">
        <v>5.7530000000000001</v>
      </c>
      <c r="I3995" s="7">
        <v>4.8280000000000003</v>
      </c>
      <c r="J3995" s="7">
        <v>3.8050000000000002</v>
      </c>
      <c r="K3995" s="7">
        <v>2.8239999999999998</v>
      </c>
      <c r="L3995" s="7">
        <v>2.3530000000000002</v>
      </c>
      <c r="M3995" s="7">
        <v>2.6059999999999999</v>
      </c>
      <c r="N3995" s="7">
        <v>3.3420000000000001</v>
      </c>
      <c r="O3995" s="7">
        <v>3.6360000000000001</v>
      </c>
      <c r="P3995" s="7">
        <v>4.7220000000000004</v>
      </c>
      <c r="Q3995" s="7">
        <v>6.0890000000000004</v>
      </c>
      <c r="R3995" s="7">
        <v>6.5110000000000001</v>
      </c>
      <c r="S3995" s="7">
        <f t="shared" si="62"/>
        <v>4.3900000000000006</v>
      </c>
    </row>
    <row r="3996" spans="1:19">
      <c r="A3996" s="5" t="str">
        <f>B3996&amp;"-"&amp;COUNTIF($B$2:B3996,B3996)</f>
        <v>RIO GRANDE DO SUL-143</v>
      </c>
      <c r="B3996" s="5" t="s">
        <v>2552</v>
      </c>
      <c r="C3996" s="5" t="s">
        <v>2658</v>
      </c>
      <c r="D3996" s="6">
        <v>-525208</v>
      </c>
      <c r="E3996" s="6">
        <v>-305435</v>
      </c>
      <c r="F3996" s="7">
        <v>4.4569999999999999</v>
      </c>
      <c r="G3996" s="7">
        <v>6.431</v>
      </c>
      <c r="H3996" s="7">
        <v>5.8109999999999999</v>
      </c>
      <c r="I3996" s="7">
        <v>4.8879999999999999</v>
      </c>
      <c r="J3996" s="7">
        <v>3.8170000000000002</v>
      </c>
      <c r="K3996" s="7">
        <v>2.78</v>
      </c>
      <c r="L3996" s="7">
        <v>2.335</v>
      </c>
      <c r="M3996" s="7">
        <v>2.5619999999999998</v>
      </c>
      <c r="N3996" s="7">
        <v>3.2320000000000002</v>
      </c>
      <c r="O3996" s="7">
        <v>3.7229999999999999</v>
      </c>
      <c r="P3996" s="7">
        <v>4.9379999999999997</v>
      </c>
      <c r="Q3996" s="7">
        <v>6.2210000000000001</v>
      </c>
      <c r="R3996" s="7">
        <v>6.7480000000000002</v>
      </c>
      <c r="S3996" s="7">
        <f t="shared" si="62"/>
        <v>4.4571666666666676</v>
      </c>
    </row>
    <row r="3997" spans="1:19">
      <c r="A3997" s="5" t="str">
        <f>B3997&amp;"-"&amp;COUNTIF($B$2:B3997,B3997)</f>
        <v>RIO GRANDE DO SUL-144</v>
      </c>
      <c r="B3997" s="5" t="s">
        <v>2552</v>
      </c>
      <c r="C3997" s="5" t="s">
        <v>2659</v>
      </c>
      <c r="D3997" s="6">
        <v>-52915</v>
      </c>
      <c r="E3997" s="6">
        <v>-277065</v>
      </c>
      <c r="F3997" s="7">
        <v>4.6390000000000002</v>
      </c>
      <c r="G3997" s="7">
        <v>6.2770000000000001</v>
      </c>
      <c r="H3997" s="7">
        <v>5.8970000000000002</v>
      </c>
      <c r="I3997" s="7">
        <v>5.0819999999999999</v>
      </c>
      <c r="J3997" s="7">
        <v>4.109</v>
      </c>
      <c r="K3997" s="7">
        <v>3.11</v>
      </c>
      <c r="L3997" s="7">
        <v>2.5910000000000002</v>
      </c>
      <c r="M3997" s="7">
        <v>2.93</v>
      </c>
      <c r="N3997" s="7">
        <v>3.6949999999999998</v>
      </c>
      <c r="O3997" s="7">
        <v>3.9580000000000002</v>
      </c>
      <c r="P3997" s="7">
        <v>5.1470000000000002</v>
      </c>
      <c r="Q3997" s="7">
        <v>6.2249999999999996</v>
      </c>
      <c r="R3997" s="7">
        <v>6.6470000000000002</v>
      </c>
      <c r="S3997" s="7">
        <f t="shared" si="62"/>
        <v>4.6390000000000002</v>
      </c>
    </row>
    <row r="3998" spans="1:19">
      <c r="A3998" s="5" t="str">
        <f>B3998&amp;"-"&amp;COUNTIF($B$2:B3998,B3998)</f>
        <v>RIO GRANDE DO SUL-145</v>
      </c>
      <c r="B3998" s="5" t="s">
        <v>2552</v>
      </c>
      <c r="C3998" s="5" t="s">
        <v>2660</v>
      </c>
      <c r="D3998" s="6">
        <v>-527352</v>
      </c>
      <c r="E3998" s="6">
        <v>-275303</v>
      </c>
      <c r="F3998" s="7">
        <v>4.6079999999999997</v>
      </c>
      <c r="G3998" s="7">
        <v>6.2469999999999999</v>
      </c>
      <c r="H3998" s="7">
        <v>5.819</v>
      </c>
      <c r="I3998" s="7">
        <v>5.0419999999999998</v>
      </c>
      <c r="J3998" s="7">
        <v>4.0750000000000002</v>
      </c>
      <c r="K3998" s="7">
        <v>3.1030000000000002</v>
      </c>
      <c r="L3998" s="7">
        <v>2.6110000000000002</v>
      </c>
      <c r="M3998" s="7">
        <v>2.9209999999999998</v>
      </c>
      <c r="N3998" s="7">
        <v>3.7360000000000002</v>
      </c>
      <c r="O3998" s="7">
        <v>3.9870000000000001</v>
      </c>
      <c r="P3998" s="7">
        <v>5.1029999999999998</v>
      </c>
      <c r="Q3998" s="7">
        <v>6.13</v>
      </c>
      <c r="R3998" s="7">
        <v>6.52</v>
      </c>
      <c r="S3998" s="7">
        <f t="shared" si="62"/>
        <v>4.6078333333333328</v>
      </c>
    </row>
    <row r="3999" spans="1:19">
      <c r="A3999" s="5" t="str">
        <f>B3999&amp;"-"&amp;COUNTIF($B$2:B3999,B3999)</f>
        <v>RIO GRANDE DO SUL-146</v>
      </c>
      <c r="B3999" s="5" t="s">
        <v>2552</v>
      </c>
      <c r="C3999" s="5" t="s">
        <v>2661</v>
      </c>
      <c r="D3999" s="6">
        <v>-542679</v>
      </c>
      <c r="E3999" s="5" t="s">
        <v>2662</v>
      </c>
      <c r="F3999" s="7">
        <v>4.657</v>
      </c>
      <c r="G3999" s="7">
        <v>6.5039999999999996</v>
      </c>
      <c r="H3999" s="7">
        <v>6.0549999999999997</v>
      </c>
      <c r="I3999" s="7">
        <v>5.1820000000000004</v>
      </c>
      <c r="J3999" s="7">
        <v>4.0359999999999996</v>
      </c>
      <c r="K3999" s="7">
        <v>3.0659999999999998</v>
      </c>
      <c r="L3999" s="7">
        <v>2.516</v>
      </c>
      <c r="M3999" s="7">
        <v>2.8029999999999999</v>
      </c>
      <c r="N3999" s="7">
        <v>3.5590000000000002</v>
      </c>
      <c r="O3999" s="7">
        <v>3.9910000000000001</v>
      </c>
      <c r="P3999" s="7">
        <v>5.1379999999999999</v>
      </c>
      <c r="Q3999" s="7">
        <v>6.3010000000000002</v>
      </c>
      <c r="R3999" s="7">
        <v>6.7350000000000003</v>
      </c>
      <c r="S3999" s="7">
        <f t="shared" si="62"/>
        <v>4.6571666666666669</v>
      </c>
    </row>
    <row r="4000" spans="1:19">
      <c r="A4000" s="5" t="str">
        <f>B4000&amp;"-"&amp;COUNTIF($B$2:B4000,B4000)</f>
        <v>RIO GRANDE DO SUL-147</v>
      </c>
      <c r="B4000" s="5" t="s">
        <v>2552</v>
      </c>
      <c r="C4000" s="5" t="s">
        <v>2663</v>
      </c>
      <c r="D4000" s="6">
        <v>-523009</v>
      </c>
      <c r="E4000" s="6">
        <v>-278549</v>
      </c>
      <c r="F4000" s="7">
        <v>4.5789999999999997</v>
      </c>
      <c r="G4000" s="7">
        <v>6.2850000000000001</v>
      </c>
      <c r="H4000" s="7">
        <v>5.8159999999999998</v>
      </c>
      <c r="I4000" s="7">
        <v>4.9470000000000001</v>
      </c>
      <c r="J4000" s="7">
        <v>4.0380000000000003</v>
      </c>
      <c r="K4000" s="7">
        <v>3.0579999999999998</v>
      </c>
      <c r="L4000" s="7">
        <v>2.5819999999999999</v>
      </c>
      <c r="M4000" s="7">
        <v>2.907</v>
      </c>
      <c r="N4000" s="7">
        <v>3.6779999999999999</v>
      </c>
      <c r="O4000" s="7">
        <v>3.9220000000000002</v>
      </c>
      <c r="P4000" s="7">
        <v>5.0389999999999997</v>
      </c>
      <c r="Q4000" s="7">
        <v>6.1529999999999996</v>
      </c>
      <c r="R4000" s="7">
        <v>6.5279999999999996</v>
      </c>
      <c r="S4000" s="7">
        <f t="shared" si="62"/>
        <v>4.579416666666666</v>
      </c>
    </row>
    <row r="4001" spans="1:19">
      <c r="A4001" s="5" t="str">
        <f>B4001&amp;"-"&amp;COUNTIF($B$2:B4001,B4001)</f>
        <v>RIO GRANDE DO SUL-148</v>
      </c>
      <c r="B4001" s="5" t="s">
        <v>2552</v>
      </c>
      <c r="C4001" s="5" t="s">
        <v>2664</v>
      </c>
      <c r="D4001" s="6">
        <v>-522701</v>
      </c>
      <c r="E4001" s="6">
        <v>-276369</v>
      </c>
      <c r="F4001" s="7">
        <v>4.59</v>
      </c>
      <c r="G4001" s="7">
        <v>6.226</v>
      </c>
      <c r="H4001" s="7">
        <v>5.7939999999999996</v>
      </c>
      <c r="I4001" s="7">
        <v>4.9960000000000004</v>
      </c>
      <c r="J4001" s="7">
        <v>4.0529999999999999</v>
      </c>
      <c r="K4001" s="7">
        <v>3.07</v>
      </c>
      <c r="L4001" s="7">
        <v>2.59</v>
      </c>
      <c r="M4001" s="7">
        <v>2.9380000000000002</v>
      </c>
      <c r="N4001" s="7">
        <v>3.714</v>
      </c>
      <c r="O4001" s="7">
        <v>3.9590000000000001</v>
      </c>
      <c r="P4001" s="7">
        <v>5.048</v>
      </c>
      <c r="Q4001" s="7">
        <v>6.1980000000000004</v>
      </c>
      <c r="R4001" s="7">
        <v>6.5010000000000003</v>
      </c>
      <c r="S4001" s="7">
        <f t="shared" si="62"/>
        <v>4.5905833333333339</v>
      </c>
    </row>
    <row r="4002" spans="1:19">
      <c r="A4002" s="5" t="str">
        <f>B4002&amp;"-"&amp;COUNTIF($B$2:B4002,B4002)</f>
        <v>RIO GRANDE DO SUL-149</v>
      </c>
      <c r="B4002" s="5" t="s">
        <v>2552</v>
      </c>
      <c r="C4002" s="5" t="s">
        <v>2665</v>
      </c>
      <c r="D4002" s="6">
        <v>-525841</v>
      </c>
      <c r="E4002" s="6">
        <v>-284983</v>
      </c>
      <c r="F4002" s="7">
        <v>4.55</v>
      </c>
      <c r="G4002" s="7">
        <v>6.2869999999999999</v>
      </c>
      <c r="H4002" s="7">
        <v>5.8559999999999999</v>
      </c>
      <c r="I4002" s="7">
        <v>4.9850000000000003</v>
      </c>
      <c r="J4002" s="7">
        <v>3.98</v>
      </c>
      <c r="K4002" s="7">
        <v>3.0139999999999998</v>
      </c>
      <c r="L4002" s="7">
        <v>2.4689999999999999</v>
      </c>
      <c r="M4002" s="7">
        <v>2.79</v>
      </c>
      <c r="N4002" s="7">
        <v>3.5529999999999999</v>
      </c>
      <c r="O4002" s="7">
        <v>3.831</v>
      </c>
      <c r="P4002" s="7">
        <v>5.0010000000000003</v>
      </c>
      <c r="Q4002" s="7">
        <v>6.2240000000000002</v>
      </c>
      <c r="R4002" s="7">
        <v>6.61</v>
      </c>
      <c r="S4002" s="7">
        <f t="shared" si="62"/>
        <v>4.55</v>
      </c>
    </row>
    <row r="4003" spans="1:19">
      <c r="A4003" s="5" t="str">
        <f>B4003&amp;"-"&amp;COUNTIF($B$2:B4003,B4003)</f>
        <v>RIO GRANDE DO SUL-150</v>
      </c>
      <c r="B4003" s="5" t="s">
        <v>2552</v>
      </c>
      <c r="C4003" s="5" t="s">
        <v>2666</v>
      </c>
      <c r="D4003" s="6">
        <v>-525745</v>
      </c>
      <c r="E4003" s="6">
        <v>-273931</v>
      </c>
      <c r="F4003" s="7">
        <v>4.6139999999999999</v>
      </c>
      <c r="G4003" s="7">
        <v>6.2169999999999996</v>
      </c>
      <c r="H4003" s="7">
        <v>5.7590000000000003</v>
      </c>
      <c r="I4003" s="7">
        <v>5.1070000000000002</v>
      </c>
      <c r="J4003" s="7">
        <v>4.0819999999999999</v>
      </c>
      <c r="K4003" s="7">
        <v>3.0910000000000002</v>
      </c>
      <c r="L4003" s="7">
        <v>2.5939999999999999</v>
      </c>
      <c r="M4003" s="7">
        <v>2.8969999999999998</v>
      </c>
      <c r="N4003" s="7">
        <v>3.754</v>
      </c>
      <c r="O4003" s="7">
        <v>4.0039999999999996</v>
      </c>
      <c r="P4003" s="7">
        <v>5.1310000000000002</v>
      </c>
      <c r="Q4003" s="7">
        <v>6.1769999999999996</v>
      </c>
      <c r="R4003" s="7">
        <v>6.5549999999999997</v>
      </c>
      <c r="S4003" s="7">
        <f t="shared" si="62"/>
        <v>4.6139999999999999</v>
      </c>
    </row>
    <row r="4004" spans="1:19">
      <c r="A4004" s="5" t="str">
        <f>B4004&amp;"-"&amp;COUNTIF($B$2:B4004,B4004)</f>
        <v>RIO GRANDE DO SUL-151</v>
      </c>
      <c r="B4004" s="5" t="s">
        <v>2552</v>
      </c>
      <c r="C4004" s="5" t="s">
        <v>2667</v>
      </c>
      <c r="D4004" s="6">
        <v>-53501</v>
      </c>
      <c r="E4004" s="6">
        <v>-275448</v>
      </c>
      <c r="F4004" s="7">
        <v>4.6509999999999998</v>
      </c>
      <c r="G4004" s="7">
        <v>6.3979999999999997</v>
      </c>
      <c r="H4004" s="7">
        <v>5.8579999999999997</v>
      </c>
      <c r="I4004" s="7">
        <v>5.1340000000000003</v>
      </c>
      <c r="J4004" s="7">
        <v>4.0869999999999997</v>
      </c>
      <c r="K4004" s="7">
        <v>3.1059999999999999</v>
      </c>
      <c r="L4004" s="7">
        <v>2.56</v>
      </c>
      <c r="M4004" s="7">
        <v>2.9009999999999998</v>
      </c>
      <c r="N4004" s="7">
        <v>3.702</v>
      </c>
      <c r="O4004" s="7">
        <v>3.996</v>
      </c>
      <c r="P4004" s="7">
        <v>5.19</v>
      </c>
      <c r="Q4004" s="7">
        <v>6.2560000000000002</v>
      </c>
      <c r="R4004" s="7">
        <v>6.6210000000000004</v>
      </c>
      <c r="S4004" s="7">
        <f t="shared" si="62"/>
        <v>4.6507499999999995</v>
      </c>
    </row>
    <row r="4005" spans="1:19">
      <c r="A4005" s="5" t="str">
        <f>B4005&amp;"-"&amp;COUNTIF($B$2:B4005,B4005)</f>
        <v>RIO GRANDE DO SUL-152</v>
      </c>
      <c r="B4005" s="5" t="s">
        <v>2552</v>
      </c>
      <c r="C4005" s="5" t="s">
        <v>2668</v>
      </c>
      <c r="D4005" s="6">
        <v>-511937</v>
      </c>
      <c r="E4005" s="6">
        <v>-280522</v>
      </c>
      <c r="F4005" s="7">
        <v>4.5049999999999999</v>
      </c>
      <c r="G4005" s="7">
        <v>6.1779999999999999</v>
      </c>
      <c r="H4005" s="7">
        <v>5.7030000000000003</v>
      </c>
      <c r="I4005" s="7">
        <v>4.8860000000000001</v>
      </c>
      <c r="J4005" s="7">
        <v>3.9409999999999998</v>
      </c>
      <c r="K4005" s="7">
        <v>2.98</v>
      </c>
      <c r="L4005" s="7">
        <v>2.5630000000000002</v>
      </c>
      <c r="M4005" s="7">
        <v>2.879</v>
      </c>
      <c r="N4005" s="7">
        <v>3.6459999999999999</v>
      </c>
      <c r="O4005" s="7">
        <v>3.8730000000000002</v>
      </c>
      <c r="P4005" s="7">
        <v>4.9139999999999997</v>
      </c>
      <c r="Q4005" s="7">
        <v>6.1280000000000001</v>
      </c>
      <c r="R4005" s="7">
        <v>6.375</v>
      </c>
      <c r="S4005" s="7">
        <f t="shared" si="62"/>
        <v>4.5054999999999996</v>
      </c>
    </row>
    <row r="4006" spans="1:19">
      <c r="A4006" s="5" t="str">
        <f>B4006&amp;"-"&amp;COUNTIF($B$2:B4006,B4006)</f>
        <v>RIO GRANDE DO SUL-153</v>
      </c>
      <c r="B4006" s="5" t="s">
        <v>2552</v>
      </c>
      <c r="C4006" s="5" t="s">
        <v>4759</v>
      </c>
      <c r="D4006" s="6">
        <v>-539895</v>
      </c>
      <c r="E4006" s="6">
        <v>-273607</v>
      </c>
      <c r="F4006" s="7">
        <v>4.6500000000000004</v>
      </c>
      <c r="G4006" s="7">
        <v>6.4039999999999999</v>
      </c>
      <c r="H4006" s="7">
        <v>5.9020000000000001</v>
      </c>
      <c r="I4006" s="7">
        <v>5.125</v>
      </c>
      <c r="J4006" s="7">
        <v>4.048</v>
      </c>
      <c r="K4006" s="7">
        <v>3.1240000000000001</v>
      </c>
      <c r="L4006" s="7">
        <v>2.5659999999999998</v>
      </c>
      <c r="M4006" s="7">
        <v>2.8849999999999998</v>
      </c>
      <c r="N4006" s="7">
        <v>3.6960000000000002</v>
      </c>
      <c r="O4006" s="7">
        <v>4.0129999999999999</v>
      </c>
      <c r="P4006" s="7">
        <v>5.218</v>
      </c>
      <c r="Q4006" s="7">
        <v>6.21</v>
      </c>
      <c r="R4006" s="7">
        <v>6.6120000000000001</v>
      </c>
      <c r="S4006" s="7">
        <f t="shared" si="62"/>
        <v>4.6502499999999998</v>
      </c>
    </row>
    <row r="4007" spans="1:19">
      <c r="A4007" s="5" t="str">
        <f>B4007&amp;"-"&amp;COUNTIF($B$2:B4007,B4007)</f>
        <v>RIO GRANDE DO SUL-154</v>
      </c>
      <c r="B4007" s="5" t="s">
        <v>2552</v>
      </c>
      <c r="C4007" s="5" t="s">
        <v>2669</v>
      </c>
      <c r="D4007" s="6">
        <v>-528465</v>
      </c>
      <c r="E4007" s="6">
        <v>-287291</v>
      </c>
      <c r="F4007" s="7">
        <v>4.5759999999999996</v>
      </c>
      <c r="G4007" s="7">
        <v>6.3360000000000003</v>
      </c>
      <c r="H4007" s="7">
        <v>5.9420000000000002</v>
      </c>
      <c r="I4007" s="7">
        <v>5.0309999999999997</v>
      </c>
      <c r="J4007" s="7">
        <v>3.9809999999999999</v>
      </c>
      <c r="K4007" s="7">
        <v>3.0070000000000001</v>
      </c>
      <c r="L4007" s="7">
        <v>2.464</v>
      </c>
      <c r="M4007" s="7">
        <v>2.758</v>
      </c>
      <c r="N4007" s="7">
        <v>3.5489999999999999</v>
      </c>
      <c r="O4007" s="7">
        <v>3.8519999999999999</v>
      </c>
      <c r="P4007" s="7">
        <v>5.0389999999999997</v>
      </c>
      <c r="Q4007" s="7">
        <v>6.2729999999999997</v>
      </c>
      <c r="R4007" s="7">
        <v>6.6790000000000003</v>
      </c>
      <c r="S4007" s="7">
        <f t="shared" si="62"/>
        <v>4.5759166666666671</v>
      </c>
    </row>
    <row r="4008" spans="1:19">
      <c r="A4008" s="5" t="str">
        <f>B4008&amp;"-"&amp;COUNTIF($B$2:B4008,B4008)</f>
        <v>RIO GRANDE DO SUL-155</v>
      </c>
      <c r="B4008" s="5" t="s">
        <v>2552</v>
      </c>
      <c r="C4008" s="5" t="s">
        <v>5013</v>
      </c>
      <c r="D4008" s="6">
        <v>-511848</v>
      </c>
      <c r="E4008" s="6">
        <v>-29654</v>
      </c>
      <c r="F4008" s="7">
        <v>4.3540000000000001</v>
      </c>
      <c r="G4008" s="7">
        <v>6.2430000000000003</v>
      </c>
      <c r="H4008" s="7">
        <v>5.7460000000000004</v>
      </c>
      <c r="I4008" s="7">
        <v>4.782</v>
      </c>
      <c r="J4008" s="7">
        <v>3.7789999999999999</v>
      </c>
      <c r="K4008" s="7">
        <v>2.827</v>
      </c>
      <c r="L4008" s="7">
        <v>2.3199999999999998</v>
      </c>
      <c r="M4008" s="7">
        <v>2.5259999999999998</v>
      </c>
      <c r="N4008" s="7">
        <v>3.2010000000000001</v>
      </c>
      <c r="O4008" s="7">
        <v>3.5569999999999999</v>
      </c>
      <c r="P4008" s="7">
        <v>4.6289999999999996</v>
      </c>
      <c r="Q4008" s="7">
        <v>6.0789999999999997</v>
      </c>
      <c r="R4008" s="7">
        <v>6.5670000000000002</v>
      </c>
      <c r="S4008" s="7">
        <f t="shared" si="62"/>
        <v>4.3546666666666667</v>
      </c>
    </row>
    <row r="4009" spans="1:19">
      <c r="A4009" s="5" t="str">
        <f>B4009&amp;"-"&amp;COUNTIF($B$2:B4009,B4009)</f>
        <v>RIO GRANDE DO SUL-156</v>
      </c>
      <c r="B4009" s="5" t="s">
        <v>2552</v>
      </c>
      <c r="C4009" s="5" t="s">
        <v>4760</v>
      </c>
      <c r="D4009" s="6">
        <v>-52264</v>
      </c>
      <c r="E4009" s="6">
        <v>-279139</v>
      </c>
      <c r="F4009" s="7">
        <v>4.5679999999999996</v>
      </c>
      <c r="G4009" s="7">
        <v>6.2590000000000003</v>
      </c>
      <c r="H4009" s="7">
        <v>5.7969999999999997</v>
      </c>
      <c r="I4009" s="7">
        <v>4.9409999999999998</v>
      </c>
      <c r="J4009" s="7">
        <v>4.0220000000000002</v>
      </c>
      <c r="K4009" s="7">
        <v>3.0430000000000001</v>
      </c>
      <c r="L4009" s="7">
        <v>2.56</v>
      </c>
      <c r="M4009" s="7">
        <v>2.9009999999999998</v>
      </c>
      <c r="N4009" s="7">
        <v>3.673</v>
      </c>
      <c r="O4009" s="7">
        <v>3.9180000000000001</v>
      </c>
      <c r="P4009" s="7">
        <v>5.0410000000000004</v>
      </c>
      <c r="Q4009" s="7">
        <v>6.1580000000000004</v>
      </c>
      <c r="R4009" s="7">
        <v>6.5010000000000003</v>
      </c>
      <c r="S4009" s="7">
        <f t="shared" si="62"/>
        <v>4.5678333333333336</v>
      </c>
    </row>
    <row r="4010" spans="1:19">
      <c r="A4010" s="5" t="str">
        <f>B4010&amp;"-"&amp;COUNTIF($B$2:B4010,B4010)</f>
        <v>RIO GRANDE DO SUL-157</v>
      </c>
      <c r="B4010" s="5" t="s">
        <v>2552</v>
      </c>
      <c r="C4010" s="5" t="s">
        <v>2670</v>
      </c>
      <c r="D4010" s="6">
        <v>-511845</v>
      </c>
      <c r="E4010" s="6">
        <v>-298524</v>
      </c>
      <c r="F4010" s="7">
        <v>4.3879999999999999</v>
      </c>
      <c r="G4010" s="7">
        <v>6.34</v>
      </c>
      <c r="H4010" s="7">
        <v>5.7830000000000004</v>
      </c>
      <c r="I4010" s="7">
        <v>4.8150000000000004</v>
      </c>
      <c r="J4010" s="7">
        <v>3.7890000000000001</v>
      </c>
      <c r="K4010" s="7">
        <v>2.7810000000000001</v>
      </c>
      <c r="L4010" s="7">
        <v>2.3149999999999999</v>
      </c>
      <c r="M4010" s="7">
        <v>2.5150000000000001</v>
      </c>
      <c r="N4010" s="7">
        <v>3.1949999999999998</v>
      </c>
      <c r="O4010" s="7">
        <v>3.577</v>
      </c>
      <c r="P4010" s="7">
        <v>4.7300000000000004</v>
      </c>
      <c r="Q4010" s="7">
        <v>6.1849999999999996</v>
      </c>
      <c r="R4010" s="7">
        <v>6.6269999999999998</v>
      </c>
      <c r="S4010" s="7">
        <f t="shared" si="62"/>
        <v>4.387666666666667</v>
      </c>
    </row>
    <row r="4011" spans="1:19">
      <c r="A4011" s="5" t="str">
        <f>B4011&amp;"-"&amp;COUNTIF($B$2:B4011,B4011)</f>
        <v>RIO GRANDE DO SUL-158</v>
      </c>
      <c r="B4011" s="5" t="s">
        <v>2552</v>
      </c>
      <c r="C4011" s="5" t="s">
        <v>2671</v>
      </c>
      <c r="D4011" s="6">
        <v>-519531</v>
      </c>
      <c r="E4011" s="6">
        <v>-294888</v>
      </c>
      <c r="F4011" s="7">
        <v>4.3620000000000001</v>
      </c>
      <c r="G4011" s="7">
        <v>6.1390000000000002</v>
      </c>
      <c r="H4011" s="7">
        <v>5.7560000000000002</v>
      </c>
      <c r="I4011" s="7">
        <v>4.8159999999999998</v>
      </c>
      <c r="J4011" s="7">
        <v>3.794</v>
      </c>
      <c r="K4011" s="7">
        <v>2.8109999999999999</v>
      </c>
      <c r="L4011" s="7">
        <v>2.33</v>
      </c>
      <c r="M4011" s="7">
        <v>2.5680000000000001</v>
      </c>
      <c r="N4011" s="7">
        <v>3.28</v>
      </c>
      <c r="O4011" s="7">
        <v>3.589</v>
      </c>
      <c r="P4011" s="7">
        <v>4.6399999999999997</v>
      </c>
      <c r="Q4011" s="7">
        <v>6.1239999999999997</v>
      </c>
      <c r="R4011" s="7">
        <v>6.4989999999999997</v>
      </c>
      <c r="S4011" s="7">
        <f t="shared" si="62"/>
        <v>4.3621666666666679</v>
      </c>
    </row>
    <row r="4012" spans="1:19">
      <c r="A4012" s="5" t="str">
        <f>B4012&amp;"-"&amp;COUNTIF($B$2:B4012,B4012)</f>
        <v>RIO GRANDE DO SUL-159</v>
      </c>
      <c r="B4012" s="5" t="s">
        <v>2552</v>
      </c>
      <c r="C4012" s="5" t="s">
        <v>2672</v>
      </c>
      <c r="D4012" s="6">
        <v>-531589</v>
      </c>
      <c r="E4012" s="6">
        <v>-29177</v>
      </c>
      <c r="F4012" s="7">
        <v>4.548</v>
      </c>
      <c r="G4012" s="7">
        <v>6.3689999999999998</v>
      </c>
      <c r="H4012" s="7">
        <v>5.9539999999999997</v>
      </c>
      <c r="I4012" s="7">
        <v>5.0469999999999997</v>
      </c>
      <c r="J4012" s="7">
        <v>3.9039999999999999</v>
      </c>
      <c r="K4012" s="7">
        <v>2.9329999999999998</v>
      </c>
      <c r="L4012" s="7">
        <v>2.42</v>
      </c>
      <c r="M4012" s="7">
        <v>2.6930000000000001</v>
      </c>
      <c r="N4012" s="7">
        <v>3.4849999999999999</v>
      </c>
      <c r="O4012" s="7">
        <v>3.8079999999999998</v>
      </c>
      <c r="P4012" s="7">
        <v>4.9669999999999996</v>
      </c>
      <c r="Q4012" s="7">
        <v>6.27</v>
      </c>
      <c r="R4012" s="7">
        <v>6.7279999999999998</v>
      </c>
      <c r="S4012" s="7">
        <f t="shared" si="62"/>
        <v>4.5481666666666678</v>
      </c>
    </row>
    <row r="4013" spans="1:19">
      <c r="A4013" s="5" t="str">
        <f>B4013&amp;"-"&amp;COUNTIF($B$2:B4013,B4013)</f>
        <v>RIO GRANDE DO SUL-160</v>
      </c>
      <c r="B4013" s="5" t="s">
        <v>2552</v>
      </c>
      <c r="C4013" s="5" t="s">
        <v>5315</v>
      </c>
      <c r="D4013" s="6">
        <v>-541511</v>
      </c>
      <c r="E4013" s="6">
        <v>-285319</v>
      </c>
      <c r="F4013" s="7">
        <v>4.6580000000000004</v>
      </c>
      <c r="G4013" s="7">
        <v>6.4989999999999997</v>
      </c>
      <c r="H4013" s="7">
        <v>6.0730000000000004</v>
      </c>
      <c r="I4013" s="7">
        <v>5.19</v>
      </c>
      <c r="J4013" s="7">
        <v>4.0330000000000004</v>
      </c>
      <c r="K4013" s="7">
        <v>3.06</v>
      </c>
      <c r="L4013" s="7">
        <v>2.5179999999999998</v>
      </c>
      <c r="M4013" s="7">
        <v>2.806</v>
      </c>
      <c r="N4013" s="7">
        <v>3.5710000000000002</v>
      </c>
      <c r="O4013" s="7">
        <v>3.9990000000000001</v>
      </c>
      <c r="P4013" s="7">
        <v>5.117</v>
      </c>
      <c r="Q4013" s="7">
        <v>6.2990000000000004</v>
      </c>
      <c r="R4013" s="7">
        <v>6.7380000000000004</v>
      </c>
      <c r="S4013" s="7">
        <f t="shared" si="62"/>
        <v>4.6585833333333335</v>
      </c>
    </row>
    <row r="4014" spans="1:19">
      <c r="A4014" s="5" t="str">
        <f>B4014&amp;"-"&amp;COUNTIF($B$2:B4014,B4014)</f>
        <v>RIO GRANDE DO SUL-161</v>
      </c>
      <c r="B4014" s="5" t="s">
        <v>2552</v>
      </c>
      <c r="C4014" s="5" t="s">
        <v>2673</v>
      </c>
      <c r="D4014" s="6">
        <v>-517019</v>
      </c>
      <c r="E4014" s="6">
        <v>-288799</v>
      </c>
      <c r="F4014" s="7">
        <v>4.4320000000000004</v>
      </c>
      <c r="G4014" s="7">
        <v>6.2249999999999996</v>
      </c>
      <c r="H4014" s="7">
        <v>5.7460000000000004</v>
      </c>
      <c r="I4014" s="7">
        <v>4.8499999999999996</v>
      </c>
      <c r="J4014" s="7">
        <v>3.8809999999999998</v>
      </c>
      <c r="K4014" s="7">
        <v>2.8730000000000002</v>
      </c>
      <c r="L4014" s="7">
        <v>2.38</v>
      </c>
      <c r="M4014" s="7">
        <v>2.7109999999999999</v>
      </c>
      <c r="N4014" s="7">
        <v>3.4319999999999999</v>
      </c>
      <c r="O4014" s="7">
        <v>3.706</v>
      </c>
      <c r="P4014" s="7">
        <v>4.7699999999999996</v>
      </c>
      <c r="Q4014" s="7">
        <v>6.1139999999999999</v>
      </c>
      <c r="R4014" s="7">
        <v>6.4980000000000002</v>
      </c>
      <c r="S4014" s="7">
        <f t="shared" si="62"/>
        <v>4.4321666666666664</v>
      </c>
    </row>
    <row r="4015" spans="1:19">
      <c r="A4015" s="5" t="str">
        <f>B4015&amp;"-"&amp;COUNTIF($B$2:B4015,B4015)</f>
        <v>RIO GRANDE DO SUL-162</v>
      </c>
      <c r="B4015" s="5" t="s">
        <v>2552</v>
      </c>
      <c r="C4015" s="5" t="s">
        <v>2674</v>
      </c>
      <c r="D4015" s="6">
        <v>-513423</v>
      </c>
      <c r="E4015" s="6">
        <v>-292232</v>
      </c>
      <c r="F4015" s="7">
        <v>4.4009999999999998</v>
      </c>
      <c r="G4015" s="7">
        <v>6.1970000000000001</v>
      </c>
      <c r="H4015" s="7">
        <v>5.6980000000000004</v>
      </c>
      <c r="I4015" s="7">
        <v>4.7439999999999998</v>
      </c>
      <c r="J4015" s="7">
        <v>3.8330000000000002</v>
      </c>
      <c r="K4015" s="7">
        <v>2.8220000000000001</v>
      </c>
      <c r="L4015" s="7">
        <v>2.3929999999999998</v>
      </c>
      <c r="M4015" s="7">
        <v>2.6680000000000001</v>
      </c>
      <c r="N4015" s="7">
        <v>3.4020000000000001</v>
      </c>
      <c r="O4015" s="7">
        <v>3.66</v>
      </c>
      <c r="P4015" s="7">
        <v>4.7530000000000001</v>
      </c>
      <c r="Q4015" s="7">
        <v>6.16</v>
      </c>
      <c r="R4015" s="7">
        <v>6.4870000000000001</v>
      </c>
      <c r="S4015" s="7">
        <f t="shared" si="62"/>
        <v>4.401416666666667</v>
      </c>
    </row>
    <row r="4016" spans="1:19">
      <c r="A4016" s="5" t="str">
        <f>B4016&amp;"-"&amp;COUNTIF($B$2:B4016,B4016)</f>
        <v>RIO GRANDE DO SUL-163</v>
      </c>
      <c r="B4016" s="5" t="s">
        <v>2552</v>
      </c>
      <c r="C4016" s="5" t="s">
        <v>2675</v>
      </c>
      <c r="D4016" s="6">
        <v>-534449</v>
      </c>
      <c r="E4016" s="6">
        <v>-29575</v>
      </c>
      <c r="F4016" s="7">
        <v>4.4829999999999997</v>
      </c>
      <c r="G4016" s="7">
        <v>6.3259999999999996</v>
      </c>
      <c r="H4016" s="7">
        <v>5.9089999999999998</v>
      </c>
      <c r="I4016" s="7">
        <v>4.9870000000000001</v>
      </c>
      <c r="J4016" s="7">
        <v>3.8559999999999999</v>
      </c>
      <c r="K4016" s="7">
        <v>2.831</v>
      </c>
      <c r="L4016" s="7">
        <v>2.351</v>
      </c>
      <c r="M4016" s="7">
        <v>2.593</v>
      </c>
      <c r="N4016" s="7">
        <v>3.3439999999999999</v>
      </c>
      <c r="O4016" s="7">
        <v>3.7229999999999999</v>
      </c>
      <c r="P4016" s="7">
        <v>4.8949999999999996</v>
      </c>
      <c r="Q4016" s="7">
        <v>6.2469999999999999</v>
      </c>
      <c r="R4016" s="7">
        <v>6.7389999999999999</v>
      </c>
      <c r="S4016" s="7">
        <f t="shared" si="62"/>
        <v>4.4834166666666659</v>
      </c>
    </row>
    <row r="4017" spans="1:19">
      <c r="A4017" s="5" t="str">
        <f>B4017&amp;"-"&amp;COUNTIF($B$2:B4017,B4017)</f>
        <v>RIO GRANDE DO SUL-164</v>
      </c>
      <c r="B4017" s="5" t="s">
        <v>2552</v>
      </c>
      <c r="C4017" s="5" t="s">
        <v>2676</v>
      </c>
      <c r="D4017" s="6">
        <v>-526794</v>
      </c>
      <c r="E4017" s="6">
        <v>-274242</v>
      </c>
      <c r="F4017" s="7">
        <v>4.6289999999999996</v>
      </c>
      <c r="G4017" s="7">
        <v>6.2729999999999997</v>
      </c>
      <c r="H4017" s="7">
        <v>5.8</v>
      </c>
      <c r="I4017" s="7">
        <v>5.0910000000000002</v>
      </c>
      <c r="J4017" s="7">
        <v>4.0890000000000004</v>
      </c>
      <c r="K4017" s="7">
        <v>3.113</v>
      </c>
      <c r="L4017" s="7">
        <v>2.633</v>
      </c>
      <c r="M4017" s="7">
        <v>2.915</v>
      </c>
      <c r="N4017" s="7">
        <v>3.77</v>
      </c>
      <c r="O4017" s="7">
        <v>4.0119999999999996</v>
      </c>
      <c r="P4017" s="7">
        <v>5.1449999999999996</v>
      </c>
      <c r="Q4017" s="7">
        <v>6.16</v>
      </c>
      <c r="R4017" s="7">
        <v>6.5490000000000004</v>
      </c>
      <c r="S4017" s="7">
        <f t="shared" si="62"/>
        <v>4.6291666666666655</v>
      </c>
    </row>
    <row r="4018" spans="1:19">
      <c r="A4018" s="5" t="str">
        <f>B4018&amp;"-"&amp;COUNTIF($B$2:B4018,B4018)</f>
        <v>RIO GRANDE DO SUL-165</v>
      </c>
      <c r="B4018" s="5" t="s">
        <v>2552</v>
      </c>
      <c r="C4018" s="5" t="s">
        <v>2677</v>
      </c>
      <c r="D4018" s="6">
        <v>-518222</v>
      </c>
      <c r="E4018" s="6">
        <v>-29589</v>
      </c>
      <c r="F4018" s="7">
        <v>4.3970000000000002</v>
      </c>
      <c r="G4018" s="7">
        <v>6.3079999999999998</v>
      </c>
      <c r="H4018" s="7">
        <v>5.7930000000000001</v>
      </c>
      <c r="I4018" s="7">
        <v>4.8819999999999997</v>
      </c>
      <c r="J4018" s="7">
        <v>3.7879999999999998</v>
      </c>
      <c r="K4018" s="7">
        <v>2.8029999999999999</v>
      </c>
      <c r="L4018" s="7">
        <v>2.3279999999999998</v>
      </c>
      <c r="M4018" s="7">
        <v>2.5379999999999998</v>
      </c>
      <c r="N4018" s="7">
        <v>3.2709999999999999</v>
      </c>
      <c r="O4018" s="7">
        <v>3.6070000000000002</v>
      </c>
      <c r="P4018" s="7">
        <v>4.6680000000000001</v>
      </c>
      <c r="Q4018" s="7">
        <v>6.1829999999999998</v>
      </c>
      <c r="R4018" s="7">
        <v>6.5960000000000001</v>
      </c>
      <c r="S4018" s="7">
        <f t="shared" si="62"/>
        <v>4.3970833333333337</v>
      </c>
    </row>
    <row r="4019" spans="1:19">
      <c r="A4019" s="5" t="str">
        <f>B4019&amp;"-"&amp;COUNTIF($B$2:B4019,B4019)</f>
        <v>RIO GRANDE DO SUL-166</v>
      </c>
      <c r="B4019" s="5" t="s">
        <v>2552</v>
      </c>
      <c r="C4019" s="5" t="s">
        <v>2678</v>
      </c>
      <c r="D4019" s="6">
        <v>-513036</v>
      </c>
      <c r="E4019" s="6">
        <v>-294532</v>
      </c>
      <c r="F4019" s="7">
        <v>4.3120000000000003</v>
      </c>
      <c r="G4019" s="7">
        <v>6.0940000000000003</v>
      </c>
      <c r="H4019" s="7">
        <v>5.6420000000000003</v>
      </c>
      <c r="I4019" s="7">
        <v>4.7430000000000003</v>
      </c>
      <c r="J4019" s="7">
        <v>3.774</v>
      </c>
      <c r="K4019" s="7">
        <v>2.8119999999999998</v>
      </c>
      <c r="L4019" s="7">
        <v>2.3370000000000002</v>
      </c>
      <c r="M4019" s="7">
        <v>2.5539999999999998</v>
      </c>
      <c r="N4019" s="7">
        <v>3.238</v>
      </c>
      <c r="O4019" s="7">
        <v>3.524</v>
      </c>
      <c r="P4019" s="7">
        <v>4.5640000000000001</v>
      </c>
      <c r="Q4019" s="7">
        <v>6.0439999999999996</v>
      </c>
      <c r="R4019" s="7">
        <v>6.4169999999999998</v>
      </c>
      <c r="S4019" s="7">
        <f t="shared" si="62"/>
        <v>4.311916666666666</v>
      </c>
    </row>
    <row r="4020" spans="1:19">
      <c r="A4020" s="5" t="str">
        <f>B4020&amp;"-"&amp;COUNTIF($B$2:B4020,B4020)</f>
        <v>RIO GRANDE DO SUL-167</v>
      </c>
      <c r="B4020" s="5" t="s">
        <v>2552</v>
      </c>
      <c r="C4020" s="5" t="s">
        <v>2679</v>
      </c>
      <c r="D4020" s="6">
        <v>-511879</v>
      </c>
      <c r="E4020" s="6">
        <v>-290266</v>
      </c>
      <c r="F4020" s="7">
        <v>4.4290000000000003</v>
      </c>
      <c r="G4020" s="7">
        <v>6.1639999999999997</v>
      </c>
      <c r="H4020" s="7">
        <v>5.72</v>
      </c>
      <c r="I4020" s="7">
        <v>4.7919999999999998</v>
      </c>
      <c r="J4020" s="7">
        <v>3.8559999999999999</v>
      </c>
      <c r="K4020" s="7">
        <v>2.8639999999999999</v>
      </c>
      <c r="L4020" s="7">
        <v>2.4039999999999999</v>
      </c>
      <c r="M4020" s="7">
        <v>2.72</v>
      </c>
      <c r="N4020" s="7">
        <v>3.44</v>
      </c>
      <c r="O4020" s="7">
        <v>3.7040000000000002</v>
      </c>
      <c r="P4020" s="7">
        <v>4.8289999999999997</v>
      </c>
      <c r="Q4020" s="7">
        <v>6.1849999999999996</v>
      </c>
      <c r="R4020" s="7">
        <v>6.4720000000000004</v>
      </c>
      <c r="S4020" s="7">
        <f t="shared" si="62"/>
        <v>4.4291666666666671</v>
      </c>
    </row>
    <row r="4021" spans="1:19">
      <c r="A4021" s="5" t="str">
        <f>B4021&amp;"-"&amp;COUNTIF($B$2:B4021,B4021)</f>
        <v>RIO GRANDE DO SUL-168</v>
      </c>
      <c r="B4021" s="5" t="s">
        <v>2552</v>
      </c>
      <c r="C4021" s="5" t="s">
        <v>2680</v>
      </c>
      <c r="D4021" s="6">
        <v>-520842</v>
      </c>
      <c r="E4021" s="6">
        <v>-278619</v>
      </c>
      <c r="F4021" s="7">
        <v>4.5590000000000002</v>
      </c>
      <c r="G4021" s="7">
        <v>6.2220000000000004</v>
      </c>
      <c r="H4021" s="7">
        <v>5.7649999999999997</v>
      </c>
      <c r="I4021" s="7">
        <v>4.9809999999999999</v>
      </c>
      <c r="J4021" s="7">
        <v>4.0490000000000004</v>
      </c>
      <c r="K4021" s="7">
        <v>3.0419999999999998</v>
      </c>
      <c r="L4021" s="7">
        <v>2.5270000000000001</v>
      </c>
      <c r="M4021" s="7">
        <v>2.8660000000000001</v>
      </c>
      <c r="N4021" s="7">
        <v>3.6520000000000001</v>
      </c>
      <c r="O4021" s="7">
        <v>3.903</v>
      </c>
      <c r="P4021" s="7">
        <v>5.0149999999999997</v>
      </c>
      <c r="Q4021" s="7">
        <v>6.1749999999999998</v>
      </c>
      <c r="R4021" s="7">
        <v>6.5049999999999999</v>
      </c>
      <c r="S4021" s="7">
        <f t="shared" si="62"/>
        <v>4.5584999999999996</v>
      </c>
    </row>
    <row r="4022" spans="1:19">
      <c r="A4022" s="5" t="str">
        <f>B4022&amp;"-"&amp;COUNTIF($B$2:B4022,B4022)</f>
        <v>RIO GRANDE DO SUL-169</v>
      </c>
      <c r="B4022" s="5" t="s">
        <v>2552</v>
      </c>
      <c r="C4022" s="5" t="s">
        <v>2681</v>
      </c>
      <c r="D4022" s="6">
        <v>-523449</v>
      </c>
      <c r="E4022" s="6">
        <v>-289821</v>
      </c>
      <c r="F4022" s="7">
        <v>4.4349999999999996</v>
      </c>
      <c r="G4022" s="7">
        <v>6.109</v>
      </c>
      <c r="H4022" s="7">
        <v>5.7320000000000002</v>
      </c>
      <c r="I4022" s="7">
        <v>4.8540000000000001</v>
      </c>
      <c r="J4022" s="7">
        <v>3.8650000000000002</v>
      </c>
      <c r="K4022" s="7">
        <v>2.891</v>
      </c>
      <c r="L4022" s="7">
        <v>2.4249999999999998</v>
      </c>
      <c r="M4022" s="7">
        <v>2.72</v>
      </c>
      <c r="N4022" s="7">
        <v>3.46</v>
      </c>
      <c r="O4022" s="7">
        <v>3.7240000000000002</v>
      </c>
      <c r="P4022" s="7">
        <v>4.8220000000000001</v>
      </c>
      <c r="Q4022" s="7">
        <v>6.1360000000000001</v>
      </c>
      <c r="R4022" s="7">
        <v>6.4809999999999999</v>
      </c>
      <c r="S4022" s="7">
        <f t="shared" si="62"/>
        <v>4.4349166666666671</v>
      </c>
    </row>
    <row r="4023" spans="1:19">
      <c r="A4023" s="5" t="str">
        <f>B4023&amp;"-"&amp;COUNTIF($B$2:B4023,B4023)</f>
        <v>RIO GRANDE DO SUL-170</v>
      </c>
      <c r="B4023" s="5" t="s">
        <v>2552</v>
      </c>
      <c r="C4023" s="5" t="s">
        <v>2682</v>
      </c>
      <c r="D4023" s="6">
        <v>-535029</v>
      </c>
      <c r="E4023" s="6">
        <v>-300014</v>
      </c>
      <c r="F4023" s="7">
        <v>4.548</v>
      </c>
      <c r="G4023" s="7">
        <v>6.5430000000000001</v>
      </c>
      <c r="H4023" s="7">
        <v>6.0369999999999999</v>
      </c>
      <c r="I4023" s="7">
        <v>5.0679999999999996</v>
      </c>
      <c r="J4023" s="7">
        <v>3.887</v>
      </c>
      <c r="K4023" s="7">
        <v>2.8180000000000001</v>
      </c>
      <c r="L4023" s="7">
        <v>2.3380000000000001</v>
      </c>
      <c r="M4023" s="7">
        <v>2.5390000000000001</v>
      </c>
      <c r="N4023" s="7">
        <v>3.3119999999999998</v>
      </c>
      <c r="O4023" s="7">
        <v>3.8109999999999999</v>
      </c>
      <c r="P4023" s="7">
        <v>4.9829999999999997</v>
      </c>
      <c r="Q4023" s="7">
        <v>6.3209999999999997</v>
      </c>
      <c r="R4023" s="7">
        <v>6.9189999999999996</v>
      </c>
      <c r="S4023" s="7">
        <f t="shared" si="62"/>
        <v>4.5479999999999992</v>
      </c>
    </row>
    <row r="4024" spans="1:19">
      <c r="A4024" s="5" t="str">
        <f>B4024&amp;"-"&amp;COUNTIF($B$2:B4024,B4024)</f>
        <v>RIO GRANDE DO SUL-171</v>
      </c>
      <c r="B4024" s="5" t="s">
        <v>2552</v>
      </c>
      <c r="C4024" s="5" t="s">
        <v>2683</v>
      </c>
      <c r="D4024" s="6">
        <v>-520985</v>
      </c>
      <c r="E4024" s="6">
        <v>-293832</v>
      </c>
      <c r="F4024" s="7">
        <v>4.3460000000000001</v>
      </c>
      <c r="G4024" s="7">
        <v>6.0629999999999997</v>
      </c>
      <c r="H4024" s="7">
        <v>5.7060000000000004</v>
      </c>
      <c r="I4024" s="7">
        <v>4.8010000000000002</v>
      </c>
      <c r="J4024" s="7">
        <v>3.782</v>
      </c>
      <c r="K4024" s="7">
        <v>2.819</v>
      </c>
      <c r="L4024" s="7">
        <v>2.35</v>
      </c>
      <c r="M4024" s="7">
        <v>2.5760000000000001</v>
      </c>
      <c r="N4024" s="7">
        <v>3.3039999999999998</v>
      </c>
      <c r="O4024" s="7">
        <v>3.5880000000000001</v>
      </c>
      <c r="P4024" s="7">
        <v>4.6529999999999996</v>
      </c>
      <c r="Q4024" s="7">
        <v>6.0529999999999999</v>
      </c>
      <c r="R4024" s="7">
        <v>6.4550000000000001</v>
      </c>
      <c r="S4024" s="7">
        <f t="shared" si="62"/>
        <v>4.3458333333333323</v>
      </c>
    </row>
    <row r="4025" spans="1:19">
      <c r="A4025" s="5" t="str">
        <f>B4025&amp;"-"&amp;COUNTIF($B$2:B4025,B4025)</f>
        <v>RIO GRANDE DO SUL-172</v>
      </c>
      <c r="B4025" s="5" t="s">
        <v>2552</v>
      </c>
      <c r="C4025" s="5" t="s">
        <v>2684</v>
      </c>
      <c r="D4025" s="6">
        <v>-532254</v>
      </c>
      <c r="E4025" s="6">
        <v>-287991</v>
      </c>
      <c r="F4025" s="7">
        <v>4.569</v>
      </c>
      <c r="G4025" s="7">
        <v>6.4</v>
      </c>
      <c r="H4025" s="7">
        <v>5.9210000000000003</v>
      </c>
      <c r="I4025" s="7">
        <v>5.0590000000000002</v>
      </c>
      <c r="J4025" s="7">
        <v>3.9710000000000001</v>
      </c>
      <c r="K4025" s="7">
        <v>2.996</v>
      </c>
      <c r="L4025" s="7">
        <v>2.4119999999999999</v>
      </c>
      <c r="M4025" s="7">
        <v>2.7440000000000002</v>
      </c>
      <c r="N4025" s="7">
        <v>3.528</v>
      </c>
      <c r="O4025" s="7">
        <v>3.8929999999999998</v>
      </c>
      <c r="P4025" s="7">
        <v>4.9930000000000003</v>
      </c>
      <c r="Q4025" s="7">
        <v>6.2469999999999999</v>
      </c>
      <c r="R4025" s="7">
        <v>6.6639999999999997</v>
      </c>
      <c r="S4025" s="7">
        <f t="shared" si="62"/>
        <v>4.569</v>
      </c>
    </row>
    <row r="4026" spans="1:19">
      <c r="A4026" s="5" t="str">
        <f>B4026&amp;"-"&amp;COUNTIF($B$2:B4026,B4026)</f>
        <v>RIO GRANDE DO SUL-173</v>
      </c>
      <c r="B4026" s="5" t="s">
        <v>2552</v>
      </c>
      <c r="C4026" s="5" t="s">
        <v>2685</v>
      </c>
      <c r="D4026" s="6">
        <v>-533963</v>
      </c>
      <c r="E4026" s="6">
        <v>-273591</v>
      </c>
      <c r="F4026" s="7">
        <v>4.6390000000000002</v>
      </c>
      <c r="G4026" s="7">
        <v>6.3540000000000001</v>
      </c>
      <c r="H4026" s="7">
        <v>5.8559999999999999</v>
      </c>
      <c r="I4026" s="7">
        <v>5.1150000000000002</v>
      </c>
      <c r="J4026" s="7">
        <v>4.0679999999999996</v>
      </c>
      <c r="K4026" s="7">
        <v>3.1040000000000001</v>
      </c>
      <c r="L4026" s="7">
        <v>2.5470000000000002</v>
      </c>
      <c r="M4026" s="7">
        <v>2.891</v>
      </c>
      <c r="N4026" s="7">
        <v>3.74</v>
      </c>
      <c r="O4026" s="7">
        <v>3.9870000000000001</v>
      </c>
      <c r="P4026" s="7">
        <v>5.1760000000000002</v>
      </c>
      <c r="Q4026" s="7">
        <v>6.2309999999999999</v>
      </c>
      <c r="R4026" s="7">
        <v>6.6020000000000003</v>
      </c>
      <c r="S4026" s="7">
        <f t="shared" si="62"/>
        <v>4.6392500000000005</v>
      </c>
    </row>
    <row r="4027" spans="1:19">
      <c r="A4027" s="5" t="str">
        <f>B4027&amp;"-"&amp;COUNTIF($B$2:B4027,B4027)</f>
        <v>RIO GRANDE DO SUL-174</v>
      </c>
      <c r="B4027" s="5" t="s">
        <v>2552</v>
      </c>
      <c r="C4027" s="5" t="s">
        <v>2686</v>
      </c>
      <c r="D4027" s="6">
        <v>-515356</v>
      </c>
      <c r="E4027" s="6">
        <v>-292595</v>
      </c>
      <c r="F4027" s="7">
        <v>4.3860000000000001</v>
      </c>
      <c r="G4027" s="7">
        <v>6.1680000000000001</v>
      </c>
      <c r="H4027" s="7">
        <v>5.6879999999999997</v>
      </c>
      <c r="I4027" s="7">
        <v>4.7430000000000003</v>
      </c>
      <c r="J4027" s="7">
        <v>3.8239999999999998</v>
      </c>
      <c r="K4027" s="7">
        <v>2.82</v>
      </c>
      <c r="L4027" s="7">
        <v>2.3860000000000001</v>
      </c>
      <c r="M4027" s="7">
        <v>2.6480000000000001</v>
      </c>
      <c r="N4027" s="7">
        <v>3.3759999999999999</v>
      </c>
      <c r="O4027" s="7">
        <v>3.617</v>
      </c>
      <c r="P4027" s="7">
        <v>4.7300000000000004</v>
      </c>
      <c r="Q4027" s="7">
        <v>6.1239999999999997</v>
      </c>
      <c r="R4027" s="7">
        <v>6.5060000000000002</v>
      </c>
      <c r="S4027" s="7">
        <f t="shared" si="62"/>
        <v>4.3858333333333333</v>
      </c>
    </row>
    <row r="4028" spans="1:19">
      <c r="A4028" s="5" t="str">
        <f>B4028&amp;"-"&amp;COUNTIF($B$2:B4028,B4028)</f>
        <v>RIO GRANDE DO SUL-175</v>
      </c>
      <c r="B4028" s="5" t="s">
        <v>2552</v>
      </c>
      <c r="C4028" s="5" t="s">
        <v>2687</v>
      </c>
      <c r="D4028" s="6">
        <v>-556388</v>
      </c>
      <c r="E4028" s="6">
        <v>-281949</v>
      </c>
      <c r="F4028" s="7">
        <v>4.7380000000000004</v>
      </c>
      <c r="G4028" s="7">
        <v>6.7</v>
      </c>
      <c r="H4028" s="7">
        <v>6.1349999999999998</v>
      </c>
      <c r="I4028" s="7">
        <v>5.2709999999999999</v>
      </c>
      <c r="J4028" s="7">
        <v>4.032</v>
      </c>
      <c r="K4028" s="7">
        <v>3.0960000000000001</v>
      </c>
      <c r="L4028" s="7">
        <v>2.532</v>
      </c>
      <c r="M4028" s="7">
        <v>2.8410000000000002</v>
      </c>
      <c r="N4028" s="7">
        <v>3.6080000000000001</v>
      </c>
      <c r="O4028" s="7">
        <v>4.133</v>
      </c>
      <c r="P4028" s="7">
        <v>5.2229999999999999</v>
      </c>
      <c r="Q4028" s="7">
        <v>6.4180000000000001</v>
      </c>
      <c r="R4028" s="7">
        <v>6.8650000000000002</v>
      </c>
      <c r="S4028" s="7">
        <f t="shared" si="62"/>
        <v>4.7378333333333336</v>
      </c>
    </row>
    <row r="4029" spans="1:19">
      <c r="A4029" s="5" t="str">
        <f>B4029&amp;"-"&amp;COUNTIF($B$2:B4029,B4029)</f>
        <v>RIO GRANDE DO SUL-176</v>
      </c>
      <c r="B4029" s="5" t="s">
        <v>2552</v>
      </c>
      <c r="C4029" s="5" t="s">
        <v>2688</v>
      </c>
      <c r="D4029" s="6">
        <v>-52092</v>
      </c>
      <c r="E4029" s="6">
        <v>-275861</v>
      </c>
      <c r="F4029" s="7">
        <v>4.5910000000000002</v>
      </c>
      <c r="G4029" s="7">
        <v>6.2629999999999999</v>
      </c>
      <c r="H4029" s="7">
        <v>5.77</v>
      </c>
      <c r="I4029" s="7">
        <v>5.0060000000000002</v>
      </c>
      <c r="J4029" s="7">
        <v>4.0449999999999999</v>
      </c>
      <c r="K4029" s="7">
        <v>3.0659999999999998</v>
      </c>
      <c r="L4029" s="7">
        <v>2.5739999999999998</v>
      </c>
      <c r="M4029" s="7">
        <v>2.911</v>
      </c>
      <c r="N4029" s="7">
        <v>3.7149999999999999</v>
      </c>
      <c r="O4029" s="7">
        <v>3.9689999999999999</v>
      </c>
      <c r="P4029" s="7">
        <v>5.05</v>
      </c>
      <c r="Q4029" s="7">
        <v>6.2169999999999996</v>
      </c>
      <c r="R4029" s="7">
        <v>6.5060000000000002</v>
      </c>
      <c r="S4029" s="7">
        <f t="shared" si="62"/>
        <v>4.5910000000000002</v>
      </c>
    </row>
    <row r="4030" spans="1:19">
      <c r="A4030" s="5" t="str">
        <f>B4030&amp;"-"&amp;COUNTIF($B$2:B4030,B4030)</f>
        <v>RIO GRANDE DO SUL-177</v>
      </c>
      <c r="B4030" s="5" t="s">
        <v>2552</v>
      </c>
      <c r="C4030" s="5" t="s">
        <v>5014</v>
      </c>
      <c r="D4030" s="6">
        <v>-517616</v>
      </c>
      <c r="E4030" s="6">
        <v>-299037</v>
      </c>
      <c r="F4030" s="7">
        <v>4.41</v>
      </c>
      <c r="G4030" s="7">
        <v>6.3929999999999998</v>
      </c>
      <c r="H4030" s="7">
        <v>5.8419999999999996</v>
      </c>
      <c r="I4030" s="7">
        <v>4.8659999999999997</v>
      </c>
      <c r="J4030" s="7">
        <v>3.7919999999999998</v>
      </c>
      <c r="K4030" s="7">
        <v>2.7650000000000001</v>
      </c>
      <c r="L4030" s="7">
        <v>2.2930000000000001</v>
      </c>
      <c r="M4030" s="7">
        <v>2.5019999999999998</v>
      </c>
      <c r="N4030" s="7">
        <v>3.234</v>
      </c>
      <c r="O4030" s="7">
        <v>3.5830000000000002</v>
      </c>
      <c r="P4030" s="7">
        <v>4.774</v>
      </c>
      <c r="Q4030" s="7">
        <v>6.2039999999999997</v>
      </c>
      <c r="R4030" s="7">
        <v>6.6660000000000004</v>
      </c>
      <c r="S4030" s="7">
        <f t="shared" si="62"/>
        <v>4.4095000000000004</v>
      </c>
    </row>
    <row r="4031" spans="1:19">
      <c r="A4031" s="5" t="str">
        <f>B4031&amp;"-"&amp;COUNTIF($B$2:B4031,B4031)</f>
        <v>RIO GRANDE DO SUL-178</v>
      </c>
      <c r="B4031" s="5" t="s">
        <v>2552</v>
      </c>
      <c r="C4031" s="5" t="s">
        <v>2689</v>
      </c>
      <c r="D4031" s="6">
        <v>-520341</v>
      </c>
      <c r="E4031" s="6">
        <v>-284321</v>
      </c>
      <c r="F4031" s="7">
        <v>4.5039999999999996</v>
      </c>
      <c r="G4031" s="7">
        <v>6.1360000000000001</v>
      </c>
      <c r="H4031" s="7">
        <v>5.7480000000000002</v>
      </c>
      <c r="I4031" s="7">
        <v>4.9260000000000002</v>
      </c>
      <c r="J4031" s="7">
        <v>3.976</v>
      </c>
      <c r="K4031" s="7">
        <v>2.9710000000000001</v>
      </c>
      <c r="L4031" s="7">
        <v>2.5139999999999998</v>
      </c>
      <c r="M4031" s="7">
        <v>2.8090000000000002</v>
      </c>
      <c r="N4031" s="7">
        <v>3.5550000000000002</v>
      </c>
      <c r="O4031" s="7">
        <v>3.806</v>
      </c>
      <c r="P4031" s="7">
        <v>4.9539999999999997</v>
      </c>
      <c r="Q4031" s="7">
        <v>6.1520000000000001</v>
      </c>
      <c r="R4031" s="7">
        <v>6.4989999999999997</v>
      </c>
      <c r="S4031" s="7">
        <f t="shared" si="62"/>
        <v>4.5038333333333336</v>
      </c>
    </row>
    <row r="4032" spans="1:19">
      <c r="A4032" s="5" t="str">
        <f>B4032&amp;"-"&amp;COUNTIF($B$2:B4032,B4032)</f>
        <v>RIO GRANDE DO SUL-179</v>
      </c>
      <c r="B4032" s="5" t="s">
        <v>2552</v>
      </c>
      <c r="C4032" s="5" t="s">
        <v>4874</v>
      </c>
      <c r="D4032" s="6">
        <v>-522298</v>
      </c>
      <c r="E4032" s="6">
        <v>-278916</v>
      </c>
      <c r="F4032" s="7">
        <v>4.5679999999999996</v>
      </c>
      <c r="G4032" s="7">
        <v>6.2590000000000003</v>
      </c>
      <c r="H4032" s="7">
        <v>5.7969999999999997</v>
      </c>
      <c r="I4032" s="7">
        <v>4.9409999999999998</v>
      </c>
      <c r="J4032" s="7">
        <v>4.0220000000000002</v>
      </c>
      <c r="K4032" s="7">
        <v>3.0430000000000001</v>
      </c>
      <c r="L4032" s="7">
        <v>2.56</v>
      </c>
      <c r="M4032" s="7">
        <v>2.9009999999999998</v>
      </c>
      <c r="N4032" s="7">
        <v>3.673</v>
      </c>
      <c r="O4032" s="7">
        <v>3.9180000000000001</v>
      </c>
      <c r="P4032" s="7">
        <v>5.0410000000000004</v>
      </c>
      <c r="Q4032" s="7">
        <v>6.1580000000000004</v>
      </c>
      <c r="R4032" s="7">
        <v>6.5010000000000003</v>
      </c>
      <c r="S4032" s="7">
        <f t="shared" si="62"/>
        <v>4.5678333333333336</v>
      </c>
    </row>
    <row r="4033" spans="1:19">
      <c r="A4033" s="5" t="str">
        <f>B4033&amp;"-"&amp;COUNTIF($B$2:B4033,B4033)</f>
        <v>RIO GRANDE DO SUL-180</v>
      </c>
      <c r="B4033" s="5" t="s">
        <v>2552</v>
      </c>
      <c r="C4033" s="5" t="s">
        <v>5714</v>
      </c>
      <c r="D4033" s="6">
        <v>-543521</v>
      </c>
      <c r="E4033" s="6">
        <v>-280301</v>
      </c>
      <c r="F4033" s="7">
        <v>4.6859999999999999</v>
      </c>
      <c r="G4033" s="7">
        <v>6.5250000000000004</v>
      </c>
      <c r="H4033" s="7">
        <v>6.0759999999999996</v>
      </c>
      <c r="I4033" s="7">
        <v>5.1550000000000002</v>
      </c>
      <c r="J4033" s="7">
        <v>4.0759999999999996</v>
      </c>
      <c r="K4033" s="7">
        <v>3.1110000000000002</v>
      </c>
      <c r="L4033" s="7">
        <v>2.5640000000000001</v>
      </c>
      <c r="M4033" s="7">
        <v>2.8660000000000001</v>
      </c>
      <c r="N4033" s="7">
        <v>3.6589999999999998</v>
      </c>
      <c r="O4033" s="7">
        <v>4.03</v>
      </c>
      <c r="P4033" s="7">
        <v>5.1710000000000003</v>
      </c>
      <c r="Q4033" s="7">
        <v>6.2969999999999997</v>
      </c>
      <c r="R4033" s="7">
        <v>6.7050000000000001</v>
      </c>
      <c r="S4033" s="7">
        <f t="shared" si="62"/>
        <v>4.6862500000000002</v>
      </c>
    </row>
    <row r="4034" spans="1:19">
      <c r="A4034" s="5" t="str">
        <f>B4034&amp;"-"&amp;COUNTIF($B$2:B4034,B4034)</f>
        <v>RIO GRANDE DO SUL-181</v>
      </c>
      <c r="B4034" s="5" t="s">
        <v>2552</v>
      </c>
      <c r="C4034" s="5" t="s">
        <v>2690</v>
      </c>
      <c r="D4034" s="6">
        <v>-507738</v>
      </c>
      <c r="E4034" s="6">
        <v>-298803</v>
      </c>
      <c r="F4034" s="7">
        <v>4.4219999999999997</v>
      </c>
      <c r="G4034" s="7">
        <v>6.3949999999999996</v>
      </c>
      <c r="H4034" s="7">
        <v>5.8280000000000003</v>
      </c>
      <c r="I4034" s="7">
        <v>4.8230000000000004</v>
      </c>
      <c r="J4034" s="7">
        <v>3.8370000000000002</v>
      </c>
      <c r="K4034" s="7">
        <v>2.8220000000000001</v>
      </c>
      <c r="L4034" s="7">
        <v>2.35</v>
      </c>
      <c r="M4034" s="7">
        <v>2.5539999999999998</v>
      </c>
      <c r="N4034" s="7">
        <v>3.1960000000000002</v>
      </c>
      <c r="O4034" s="7">
        <v>3.6030000000000002</v>
      </c>
      <c r="P4034" s="7">
        <v>4.7539999999999996</v>
      </c>
      <c r="Q4034" s="7">
        <v>6.2439999999999998</v>
      </c>
      <c r="R4034" s="7">
        <v>6.6580000000000004</v>
      </c>
      <c r="S4034" s="7">
        <f t="shared" si="62"/>
        <v>4.4219999999999997</v>
      </c>
    </row>
    <row r="4035" spans="1:19">
      <c r="A4035" s="5" t="str">
        <f>B4035&amp;"-"&amp;COUNTIF($B$2:B4035,B4035)</f>
        <v>RIO GRANDE DO SUL-182</v>
      </c>
      <c r="B4035" s="5" t="s">
        <v>2552</v>
      </c>
      <c r="C4035" s="5" t="s">
        <v>2691</v>
      </c>
      <c r="D4035" s="6">
        <v>-508766</v>
      </c>
      <c r="E4035" s="6">
        <v>-293738</v>
      </c>
      <c r="F4035" s="7">
        <v>4.29</v>
      </c>
      <c r="G4035" s="7">
        <v>5.9729999999999999</v>
      </c>
      <c r="H4035" s="7">
        <v>5.5529999999999999</v>
      </c>
      <c r="I4035" s="7">
        <v>4.6070000000000002</v>
      </c>
      <c r="J4035" s="7">
        <v>3.7559999999999998</v>
      </c>
      <c r="K4035" s="7">
        <v>2.798</v>
      </c>
      <c r="L4035" s="7">
        <v>2.38</v>
      </c>
      <c r="M4035" s="7">
        <v>2.609</v>
      </c>
      <c r="N4035" s="7">
        <v>3.3180000000000001</v>
      </c>
      <c r="O4035" s="7">
        <v>3.54</v>
      </c>
      <c r="P4035" s="7">
        <v>4.6150000000000002</v>
      </c>
      <c r="Q4035" s="7">
        <v>5.9770000000000003</v>
      </c>
      <c r="R4035" s="7">
        <v>6.3579999999999997</v>
      </c>
      <c r="S4035" s="7">
        <f t="shared" ref="S4035:S4098" si="63">(G4035+H4035+I4035+J4035+K4035+L4035+M4035+N4035+O4035+P4035+Q4035+R4035)/12</f>
        <v>4.2903333333333338</v>
      </c>
    </row>
    <row r="4036" spans="1:19">
      <c r="A4036" s="5" t="str">
        <f>B4036&amp;"-"&amp;COUNTIF($B$2:B4036,B4036)</f>
        <v>RIO GRANDE DO SUL-183</v>
      </c>
      <c r="B4036" s="5" t="s">
        <v>2552</v>
      </c>
      <c r="C4036" s="5" t="s">
        <v>2692</v>
      </c>
      <c r="D4036" s="6">
        <v>-529153</v>
      </c>
      <c r="E4036" s="6">
        <v>-274434</v>
      </c>
      <c r="F4036" s="7">
        <v>4.6349999999999998</v>
      </c>
      <c r="G4036" s="7">
        <v>6.2489999999999997</v>
      </c>
      <c r="H4036" s="7">
        <v>5.8230000000000004</v>
      </c>
      <c r="I4036" s="7">
        <v>5.12</v>
      </c>
      <c r="J4036" s="7">
        <v>4.1340000000000003</v>
      </c>
      <c r="K4036" s="7">
        <v>3.11</v>
      </c>
      <c r="L4036" s="7">
        <v>2.6259999999999999</v>
      </c>
      <c r="M4036" s="7">
        <v>2.9169999999999998</v>
      </c>
      <c r="N4036" s="7">
        <v>3.7389999999999999</v>
      </c>
      <c r="O4036" s="7">
        <v>4.0030000000000001</v>
      </c>
      <c r="P4036" s="7">
        <v>5.1470000000000002</v>
      </c>
      <c r="Q4036" s="7">
        <v>6.181</v>
      </c>
      <c r="R4036" s="7">
        <v>6.5720000000000001</v>
      </c>
      <c r="S4036" s="7">
        <f t="shared" si="63"/>
        <v>4.6350833333333332</v>
      </c>
    </row>
    <row r="4037" spans="1:19">
      <c r="A4037" s="5" t="str">
        <f>B4037&amp;"-"&amp;COUNTIF($B$2:B4037,B4037)</f>
        <v>RIO GRANDE DO SUL-184</v>
      </c>
      <c r="B4037" s="5" t="s">
        <v>2552</v>
      </c>
      <c r="C4037" s="5" t="s">
        <v>2693</v>
      </c>
      <c r="D4037" s="5" t="s">
        <v>2694</v>
      </c>
      <c r="E4037" s="6">
        <v>-29271</v>
      </c>
      <c r="F4037" s="7">
        <v>4.4169999999999998</v>
      </c>
      <c r="G4037" s="7">
        <v>6.165</v>
      </c>
      <c r="H4037" s="7">
        <v>5.7039999999999997</v>
      </c>
      <c r="I4037" s="7">
        <v>4.8719999999999999</v>
      </c>
      <c r="J4037" s="7">
        <v>3.859</v>
      </c>
      <c r="K4037" s="7">
        <v>2.847</v>
      </c>
      <c r="L4037" s="7">
        <v>2.3969999999999998</v>
      </c>
      <c r="M4037" s="7">
        <v>2.6680000000000001</v>
      </c>
      <c r="N4037" s="7">
        <v>3.411</v>
      </c>
      <c r="O4037" s="7">
        <v>3.64</v>
      </c>
      <c r="P4037" s="7">
        <v>4.7939999999999996</v>
      </c>
      <c r="Q4037" s="7">
        <v>6.1260000000000003</v>
      </c>
      <c r="R4037" s="7">
        <v>6.5229999999999997</v>
      </c>
      <c r="S4037" s="7">
        <f t="shared" si="63"/>
        <v>4.4171666666666667</v>
      </c>
    </row>
    <row r="4038" spans="1:19">
      <c r="A4038" s="5" t="str">
        <f>B4038&amp;"-"&amp;COUNTIF($B$2:B4038,B4038)</f>
        <v>RIO GRANDE DO SUL-185</v>
      </c>
      <c r="B4038" s="5" t="s">
        <v>2552</v>
      </c>
      <c r="C4038" s="5" t="s">
        <v>2695</v>
      </c>
      <c r="D4038" s="6">
        <v>-510167</v>
      </c>
      <c r="E4038" s="6">
        <v>-299362</v>
      </c>
      <c r="F4038" s="7">
        <v>4.3840000000000003</v>
      </c>
      <c r="G4038" s="7">
        <v>6.3410000000000002</v>
      </c>
      <c r="H4038" s="7">
        <v>5.7640000000000002</v>
      </c>
      <c r="I4038" s="7">
        <v>4.7990000000000004</v>
      </c>
      <c r="J4038" s="7">
        <v>3.7909999999999999</v>
      </c>
      <c r="K4038" s="7">
        <v>2.7879999999999998</v>
      </c>
      <c r="L4038" s="7">
        <v>2.319</v>
      </c>
      <c r="M4038" s="7">
        <v>2.5089999999999999</v>
      </c>
      <c r="N4038" s="7">
        <v>3.1970000000000001</v>
      </c>
      <c r="O4038" s="7">
        <v>3.5720000000000001</v>
      </c>
      <c r="P4038" s="7">
        <v>4.7130000000000001</v>
      </c>
      <c r="Q4038" s="7">
        <v>6.1929999999999996</v>
      </c>
      <c r="R4038" s="7">
        <v>6.6239999999999997</v>
      </c>
      <c r="S4038" s="7">
        <f t="shared" si="63"/>
        <v>4.3841666666666663</v>
      </c>
    </row>
    <row r="4039" spans="1:19">
      <c r="A4039" s="5" t="str">
        <f>B4039&amp;"-"&amp;COUNTIF($B$2:B4039,B4039)</f>
        <v>RIO GRANDE DO SUL-186</v>
      </c>
      <c r="B4039" s="5" t="s">
        <v>2552</v>
      </c>
      <c r="C4039" s="5" t="s">
        <v>2696</v>
      </c>
      <c r="D4039" s="6">
        <v>-513238</v>
      </c>
      <c r="E4039" s="6">
        <v>-301091</v>
      </c>
      <c r="F4039" s="7">
        <v>4.4569999999999999</v>
      </c>
      <c r="G4039" s="7">
        <v>6.5220000000000002</v>
      </c>
      <c r="H4039" s="7">
        <v>5.8689999999999998</v>
      </c>
      <c r="I4039" s="7">
        <v>4.8819999999999997</v>
      </c>
      <c r="J4039" s="7">
        <v>3.8319999999999999</v>
      </c>
      <c r="K4039" s="7">
        <v>2.7890000000000001</v>
      </c>
      <c r="L4039" s="7">
        <v>2.3199999999999998</v>
      </c>
      <c r="M4039" s="7">
        <v>2.5379999999999998</v>
      </c>
      <c r="N4039" s="7">
        <v>3.2160000000000002</v>
      </c>
      <c r="O4039" s="7">
        <v>3.629</v>
      </c>
      <c r="P4039" s="7">
        <v>4.8659999999999997</v>
      </c>
      <c r="Q4039" s="7">
        <v>6.266</v>
      </c>
      <c r="R4039" s="7">
        <v>6.7549999999999999</v>
      </c>
      <c r="S4039" s="7">
        <f t="shared" si="63"/>
        <v>4.4569999999999999</v>
      </c>
    </row>
    <row r="4040" spans="1:19">
      <c r="A4040" s="5" t="str">
        <f>B4040&amp;"-"&amp;COUNTIF($B$2:B4040,B4040)</f>
        <v>RIO GRANDE DO SUL-187</v>
      </c>
      <c r="B4040" s="5" t="s">
        <v>2552</v>
      </c>
      <c r="C4040" s="5" t="s">
        <v>2697</v>
      </c>
      <c r="D4040" s="6">
        <v>-516953</v>
      </c>
      <c r="E4040" s="6">
        <v>-285426</v>
      </c>
      <c r="F4040" s="7">
        <v>4.46</v>
      </c>
      <c r="G4040" s="7">
        <v>6.0679999999999996</v>
      </c>
      <c r="H4040" s="7">
        <v>5.6719999999999997</v>
      </c>
      <c r="I4040" s="7">
        <v>4.8410000000000002</v>
      </c>
      <c r="J4040" s="7">
        <v>3.9470000000000001</v>
      </c>
      <c r="K4040" s="7">
        <v>2.94</v>
      </c>
      <c r="L4040" s="7">
        <v>2.5139999999999998</v>
      </c>
      <c r="M4040" s="7">
        <v>2.806</v>
      </c>
      <c r="N4040" s="7">
        <v>3.516</v>
      </c>
      <c r="O4040" s="7">
        <v>3.7669999999999999</v>
      </c>
      <c r="P4040" s="7">
        <v>4.8879999999999999</v>
      </c>
      <c r="Q4040" s="7">
        <v>6.1269999999999998</v>
      </c>
      <c r="R4040" s="7">
        <v>6.4269999999999996</v>
      </c>
      <c r="S4040" s="7">
        <f t="shared" si="63"/>
        <v>4.4594166666666668</v>
      </c>
    </row>
    <row r="4041" spans="1:19">
      <c r="A4041" s="5" t="str">
        <f>B4041&amp;"-"&amp;COUNTIF($B$2:B4041,B4041)</f>
        <v>RIO GRANDE DO SUL-188</v>
      </c>
      <c r="B4041" s="5" t="s">
        <v>2552</v>
      </c>
      <c r="C4041" s="5" t="s">
        <v>4473</v>
      </c>
      <c r="D4041" s="5" t="s">
        <v>2698</v>
      </c>
      <c r="E4041" s="6">
        <v>-288404</v>
      </c>
      <c r="F4041" s="7">
        <v>4.4249999999999998</v>
      </c>
      <c r="G4041" s="7">
        <v>6.0880000000000001</v>
      </c>
      <c r="H4041" s="7">
        <v>5.7510000000000003</v>
      </c>
      <c r="I4041" s="7">
        <v>4.8239999999999998</v>
      </c>
      <c r="J4041" s="7">
        <v>3.8460000000000001</v>
      </c>
      <c r="K4041" s="7">
        <v>2.8759999999999999</v>
      </c>
      <c r="L4041" s="7">
        <v>2.423</v>
      </c>
      <c r="M4041" s="7">
        <v>2.7149999999999999</v>
      </c>
      <c r="N4041" s="7">
        <v>3.4430000000000001</v>
      </c>
      <c r="O4041" s="7">
        <v>3.7309999999999999</v>
      </c>
      <c r="P4041" s="7">
        <v>4.7839999999999998</v>
      </c>
      <c r="Q4041" s="7">
        <v>6.1159999999999997</v>
      </c>
      <c r="R4041" s="7">
        <v>6.5019999999999998</v>
      </c>
      <c r="S4041" s="7">
        <f t="shared" si="63"/>
        <v>4.4249166666666673</v>
      </c>
    </row>
    <row r="4042" spans="1:19">
      <c r="A4042" s="5" t="str">
        <f>B4042&amp;"-"&amp;COUNTIF($B$2:B4042,B4042)</f>
        <v>RIO GRANDE DO SUL-189</v>
      </c>
      <c r="B4042" s="5" t="s">
        <v>2552</v>
      </c>
      <c r="C4042" s="5" t="s">
        <v>5444</v>
      </c>
      <c r="D4042" s="6">
        <v>-545579</v>
      </c>
      <c r="E4042" s="6">
        <v>-28141</v>
      </c>
      <c r="F4042" s="7">
        <v>4.68</v>
      </c>
      <c r="G4042" s="7">
        <v>6.5339999999999998</v>
      </c>
      <c r="H4042" s="7">
        <v>6.0960000000000001</v>
      </c>
      <c r="I4042" s="7">
        <v>5.1589999999999998</v>
      </c>
      <c r="J4042" s="7">
        <v>4.0599999999999996</v>
      </c>
      <c r="K4042" s="7">
        <v>3.0960000000000001</v>
      </c>
      <c r="L4042" s="7">
        <v>2.5390000000000001</v>
      </c>
      <c r="M4042" s="7">
        <v>2.8439999999999999</v>
      </c>
      <c r="N4042" s="7">
        <v>3.6320000000000001</v>
      </c>
      <c r="O4042" s="7">
        <v>4.0289999999999999</v>
      </c>
      <c r="P4042" s="7">
        <v>5.141</v>
      </c>
      <c r="Q4042" s="7">
        <v>6.306</v>
      </c>
      <c r="R4042" s="7">
        <v>6.718</v>
      </c>
      <c r="S4042" s="7">
        <f t="shared" si="63"/>
        <v>4.6795</v>
      </c>
    </row>
    <row r="4043" spans="1:19">
      <c r="A4043" s="5" t="str">
        <f>B4043&amp;"-"&amp;COUNTIF($B$2:B4043,B4043)</f>
        <v>RIO GRANDE DO SUL-190</v>
      </c>
      <c r="B4043" s="5" t="s">
        <v>2552</v>
      </c>
      <c r="C4043" s="5" t="s">
        <v>2699</v>
      </c>
      <c r="D4043" s="6">
        <v>-514202</v>
      </c>
      <c r="E4043" s="6">
        <v>-295512</v>
      </c>
      <c r="F4043" s="7">
        <v>4.33</v>
      </c>
      <c r="G4043" s="7">
        <v>6.1520000000000001</v>
      </c>
      <c r="H4043" s="7">
        <v>5.718</v>
      </c>
      <c r="I4043" s="7">
        <v>4.8090000000000002</v>
      </c>
      <c r="J4043" s="7">
        <v>3.77</v>
      </c>
      <c r="K4043" s="7">
        <v>2.8</v>
      </c>
      <c r="L4043" s="7">
        <v>2.331</v>
      </c>
      <c r="M4043" s="7">
        <v>2.5270000000000001</v>
      </c>
      <c r="N4043" s="7">
        <v>3.2149999999999999</v>
      </c>
      <c r="O4043" s="7">
        <v>3.5390000000000001</v>
      </c>
      <c r="P4043" s="7">
        <v>4.5510000000000002</v>
      </c>
      <c r="Q4043" s="7">
        <v>6.0860000000000003</v>
      </c>
      <c r="R4043" s="7">
        <v>6.4589999999999996</v>
      </c>
      <c r="S4043" s="7">
        <f t="shared" si="63"/>
        <v>4.3297500000000007</v>
      </c>
    </row>
    <row r="4044" spans="1:19">
      <c r="A4044" s="5" t="str">
        <f>B4044&amp;"-"&amp;COUNTIF($B$2:B4044,B4044)</f>
        <v>RIO GRANDE DO SUL-191</v>
      </c>
      <c r="B4044" s="5" t="s">
        <v>2552</v>
      </c>
      <c r="C4044" s="5" t="s">
        <v>2700</v>
      </c>
      <c r="D4044" s="6">
        <v>-533948</v>
      </c>
      <c r="E4044" s="6">
        <v>-320245</v>
      </c>
      <c r="F4044" s="7">
        <v>4.3769999999999998</v>
      </c>
      <c r="G4044" s="7">
        <v>6.3010000000000002</v>
      </c>
      <c r="H4044" s="7">
        <v>5.6479999999999997</v>
      </c>
      <c r="I4044" s="7">
        <v>4.8259999999999996</v>
      </c>
      <c r="J4044" s="7">
        <v>3.6829999999999998</v>
      </c>
      <c r="K4044" s="7">
        <v>2.6309999999999998</v>
      </c>
      <c r="L4044" s="7">
        <v>2.2429999999999999</v>
      </c>
      <c r="M4044" s="7">
        <v>2.4489999999999998</v>
      </c>
      <c r="N4044" s="7">
        <v>3.032</v>
      </c>
      <c r="O4044" s="7">
        <v>3.641</v>
      </c>
      <c r="P4044" s="7">
        <v>4.9779999999999998</v>
      </c>
      <c r="Q4044" s="7">
        <v>6.2889999999999997</v>
      </c>
      <c r="R4044" s="7">
        <v>6.8070000000000004</v>
      </c>
      <c r="S4044" s="7">
        <f t="shared" si="63"/>
        <v>4.3773333333333335</v>
      </c>
    </row>
    <row r="4045" spans="1:19">
      <c r="A4045" s="5" t="str">
        <f>B4045&amp;"-"&amp;COUNTIF($B$2:B4045,B4045)</f>
        <v>RIO GRANDE DO SUL-192</v>
      </c>
      <c r="B4045" s="5" t="s">
        <v>2552</v>
      </c>
      <c r="C4045" s="5" t="s">
        <v>2701</v>
      </c>
      <c r="D4045" s="6">
        <v>-526505</v>
      </c>
      <c r="E4045" s="6">
        <v>-294543</v>
      </c>
      <c r="F4045" s="7">
        <v>4.3659999999999997</v>
      </c>
      <c r="G4045" s="7">
        <v>6.1070000000000002</v>
      </c>
      <c r="H4045" s="7">
        <v>5.69</v>
      </c>
      <c r="I4045" s="7">
        <v>4.8010000000000002</v>
      </c>
      <c r="J4045" s="7">
        <v>3.778</v>
      </c>
      <c r="K4045" s="7">
        <v>2.8090000000000002</v>
      </c>
      <c r="L4045" s="7">
        <v>2.359</v>
      </c>
      <c r="M4045" s="7">
        <v>2.6070000000000002</v>
      </c>
      <c r="N4045" s="7">
        <v>3.3340000000000001</v>
      </c>
      <c r="O4045" s="7">
        <v>3.605</v>
      </c>
      <c r="P4045" s="7">
        <v>4.7320000000000002</v>
      </c>
      <c r="Q4045" s="7">
        <v>6.0709999999999997</v>
      </c>
      <c r="R4045" s="7">
        <v>6.4950000000000001</v>
      </c>
      <c r="S4045" s="7">
        <f t="shared" si="63"/>
        <v>4.3656666666666659</v>
      </c>
    </row>
    <row r="4046" spans="1:19">
      <c r="A4046" s="5" t="str">
        <f>B4046&amp;"-"&amp;COUNTIF($B$2:B4046,B4046)</f>
        <v>RIO GRANDE DO SUL-193</v>
      </c>
      <c r="B4046" s="5" t="s">
        <v>2552</v>
      </c>
      <c r="C4046" s="5" t="s">
        <v>2702</v>
      </c>
      <c r="D4046" s="6">
        <v>-543058</v>
      </c>
      <c r="E4046" s="6">
        <v>-276287</v>
      </c>
      <c r="F4046" s="7">
        <v>4.6639999999999997</v>
      </c>
      <c r="G4046" s="7">
        <v>6.4610000000000003</v>
      </c>
      <c r="H4046" s="7">
        <v>6.0259999999999998</v>
      </c>
      <c r="I4046" s="7">
        <v>5.1660000000000004</v>
      </c>
      <c r="J4046" s="7">
        <v>4.0460000000000003</v>
      </c>
      <c r="K4046" s="7">
        <v>3.0960000000000001</v>
      </c>
      <c r="L4046" s="7">
        <v>2.5459999999999998</v>
      </c>
      <c r="M4046" s="7">
        <v>2.8530000000000002</v>
      </c>
      <c r="N4046" s="7">
        <v>3.6819999999999999</v>
      </c>
      <c r="O4046" s="7">
        <v>4.0229999999999997</v>
      </c>
      <c r="P4046" s="7">
        <v>5.2009999999999996</v>
      </c>
      <c r="Q4046" s="7">
        <v>6.2249999999999996</v>
      </c>
      <c r="R4046" s="7">
        <v>6.6390000000000002</v>
      </c>
      <c r="S4046" s="7">
        <f t="shared" si="63"/>
        <v>4.6636666666666668</v>
      </c>
    </row>
    <row r="4047" spans="1:19">
      <c r="A4047" s="5" t="str">
        <f>B4047&amp;"-"&amp;COUNTIF($B$2:B4047,B4047)</f>
        <v>RIO GRANDE DO SUL-194</v>
      </c>
      <c r="B4047" s="5" t="s">
        <v>2552</v>
      </c>
      <c r="C4047" s="5" t="s">
        <v>2703</v>
      </c>
      <c r="D4047" s="6">
        <v>-538672</v>
      </c>
      <c r="E4047" s="6">
        <v>-314072</v>
      </c>
      <c r="F4047" s="7">
        <v>4.5060000000000002</v>
      </c>
      <c r="G4047" s="7">
        <v>6.4619999999999997</v>
      </c>
      <c r="H4047" s="7">
        <v>5.8869999999999996</v>
      </c>
      <c r="I4047" s="7">
        <v>5.0229999999999997</v>
      </c>
      <c r="J4047" s="7">
        <v>3.7719999999999998</v>
      </c>
      <c r="K4047" s="7">
        <v>2.7040000000000002</v>
      </c>
      <c r="L4047" s="7">
        <v>2.2930000000000001</v>
      </c>
      <c r="M4047" s="7">
        <v>2.5369999999999999</v>
      </c>
      <c r="N4047" s="7">
        <v>3.1779999999999999</v>
      </c>
      <c r="O4047" s="7">
        <v>3.7850000000000001</v>
      </c>
      <c r="P4047" s="7">
        <v>5.0979999999999999</v>
      </c>
      <c r="Q4047" s="7">
        <v>6.4130000000000003</v>
      </c>
      <c r="R4047" s="7">
        <v>6.9219999999999997</v>
      </c>
      <c r="S4047" s="7">
        <f t="shared" si="63"/>
        <v>4.5061666666666662</v>
      </c>
    </row>
    <row r="4048" spans="1:19">
      <c r="A4048" s="5" t="str">
        <f>B4048&amp;"-"&amp;COUNTIF($B$2:B4048,B4048)</f>
        <v>RIO GRANDE DO SUL-195</v>
      </c>
      <c r="B4048" s="5" t="s">
        <v>2552</v>
      </c>
      <c r="C4048" s="5" t="s">
        <v>257</v>
      </c>
      <c r="D4048" s="5" t="s">
        <v>2704</v>
      </c>
      <c r="E4048" s="6">
        <v>-275695</v>
      </c>
      <c r="F4048" s="7">
        <v>4.665</v>
      </c>
      <c r="G4048" s="7">
        <v>6.4219999999999997</v>
      </c>
      <c r="H4048" s="7">
        <v>5.9470000000000001</v>
      </c>
      <c r="I4048" s="7">
        <v>5.1559999999999997</v>
      </c>
      <c r="J4048" s="7">
        <v>4.0670000000000002</v>
      </c>
      <c r="K4048" s="7">
        <v>3.1219999999999999</v>
      </c>
      <c r="L4048" s="7">
        <v>2.58</v>
      </c>
      <c r="M4048" s="7">
        <v>2.923</v>
      </c>
      <c r="N4048" s="7">
        <v>3.694</v>
      </c>
      <c r="O4048" s="7">
        <v>3.9929999999999999</v>
      </c>
      <c r="P4048" s="7">
        <v>5.2080000000000002</v>
      </c>
      <c r="Q4048" s="7">
        <v>6.2190000000000003</v>
      </c>
      <c r="R4048" s="7">
        <v>6.65</v>
      </c>
      <c r="S4048" s="7">
        <f t="shared" si="63"/>
        <v>4.6650833333333335</v>
      </c>
    </row>
    <row r="4049" spans="1:19">
      <c r="A4049" s="5" t="str">
        <f>B4049&amp;"-"&amp;COUNTIF($B$2:B4049,B4049)</f>
        <v>RIO GRANDE DO SUL-196</v>
      </c>
      <c r="B4049" s="5" t="s">
        <v>2552</v>
      </c>
      <c r="C4049" s="5" t="s">
        <v>2705</v>
      </c>
      <c r="D4049" s="5" t="s">
        <v>2706</v>
      </c>
      <c r="E4049" s="6">
        <v>-294208</v>
      </c>
      <c r="F4049" s="7">
        <v>4.5119999999999996</v>
      </c>
      <c r="G4049" s="7">
        <v>6.2519999999999998</v>
      </c>
      <c r="H4049" s="7">
        <v>5.9130000000000003</v>
      </c>
      <c r="I4049" s="7">
        <v>5.0410000000000004</v>
      </c>
      <c r="J4049" s="7">
        <v>3.9</v>
      </c>
      <c r="K4049" s="7">
        <v>2.8769999999999998</v>
      </c>
      <c r="L4049" s="7">
        <v>2.387</v>
      </c>
      <c r="M4049" s="7">
        <v>2.6579999999999999</v>
      </c>
      <c r="N4049" s="7">
        <v>3.4020000000000001</v>
      </c>
      <c r="O4049" s="7">
        <v>3.746</v>
      </c>
      <c r="P4049" s="7">
        <v>4.9580000000000002</v>
      </c>
      <c r="Q4049" s="7">
        <v>6.2729999999999997</v>
      </c>
      <c r="R4049" s="7">
        <v>6.7329999999999997</v>
      </c>
      <c r="S4049" s="7">
        <f t="shared" si="63"/>
        <v>4.5116666666666658</v>
      </c>
    </row>
    <row r="4050" spans="1:19">
      <c r="A4050" s="5" t="str">
        <f>B4050&amp;"-"&amp;COUNTIF($B$2:B4050,B4050)</f>
        <v>RIO GRANDE DO SUL-197</v>
      </c>
      <c r="B4050" s="5" t="s">
        <v>2552</v>
      </c>
      <c r="C4050" s="5" t="s">
        <v>5715</v>
      </c>
      <c r="D4050" s="6">
        <v>-518603</v>
      </c>
      <c r="E4050" s="6">
        <v>-28057</v>
      </c>
      <c r="F4050" s="7">
        <v>4.55</v>
      </c>
      <c r="G4050" s="7">
        <v>6.2290000000000001</v>
      </c>
      <c r="H4050" s="7">
        <v>5.7380000000000004</v>
      </c>
      <c r="I4050" s="7">
        <v>4.9749999999999996</v>
      </c>
      <c r="J4050" s="7">
        <v>4.0220000000000002</v>
      </c>
      <c r="K4050" s="7">
        <v>3.0030000000000001</v>
      </c>
      <c r="L4050" s="7">
        <v>2.5179999999999998</v>
      </c>
      <c r="M4050" s="7">
        <v>2.8639999999999999</v>
      </c>
      <c r="N4050" s="7">
        <v>3.6429999999999998</v>
      </c>
      <c r="O4050" s="7">
        <v>3.863</v>
      </c>
      <c r="P4050" s="7">
        <v>4.9960000000000004</v>
      </c>
      <c r="Q4050" s="7">
        <v>6.2110000000000003</v>
      </c>
      <c r="R4050" s="7">
        <v>6.5430000000000001</v>
      </c>
      <c r="S4050" s="7">
        <f t="shared" si="63"/>
        <v>4.5504166666666661</v>
      </c>
    </row>
    <row r="4051" spans="1:19">
      <c r="A4051" s="5" t="str">
        <f>B4051&amp;"-"&amp;COUNTIF($B$2:B4051,B4051)</f>
        <v>RIO GRANDE DO SUL-198</v>
      </c>
      <c r="B4051" s="5" t="s">
        <v>2552</v>
      </c>
      <c r="C4051" s="5" t="s">
        <v>2707</v>
      </c>
      <c r="D4051" s="6">
        <v>-516381</v>
      </c>
      <c r="E4051" s="6">
        <v>-283746</v>
      </c>
      <c r="F4051" s="7">
        <v>4.4809999999999999</v>
      </c>
      <c r="G4051" s="7">
        <v>6.0860000000000003</v>
      </c>
      <c r="H4051" s="7">
        <v>5.702</v>
      </c>
      <c r="I4051" s="7">
        <v>4.859</v>
      </c>
      <c r="J4051" s="7">
        <v>3.9660000000000002</v>
      </c>
      <c r="K4051" s="7">
        <v>2.9660000000000002</v>
      </c>
      <c r="L4051" s="7">
        <v>2.5339999999999998</v>
      </c>
      <c r="M4051" s="7">
        <v>2.8279999999999998</v>
      </c>
      <c r="N4051" s="7">
        <v>3.5550000000000002</v>
      </c>
      <c r="O4051" s="7">
        <v>3.7930000000000001</v>
      </c>
      <c r="P4051" s="7">
        <v>4.8940000000000001</v>
      </c>
      <c r="Q4051" s="7">
        <v>6.1369999999999996</v>
      </c>
      <c r="R4051" s="7">
        <v>6.4470000000000001</v>
      </c>
      <c r="S4051" s="7">
        <f t="shared" si="63"/>
        <v>4.4805833333333336</v>
      </c>
    </row>
    <row r="4052" spans="1:19">
      <c r="A4052" s="5" t="str">
        <f>B4052&amp;"-"&amp;COUNTIF($B$2:B4052,B4052)</f>
        <v>RIO GRANDE DO SUL-199</v>
      </c>
      <c r="B4052" s="5" t="s">
        <v>2552</v>
      </c>
      <c r="C4052" s="5" t="s">
        <v>5400</v>
      </c>
      <c r="D4052" s="6">
        <v>-525109</v>
      </c>
      <c r="E4052" s="6">
        <v>-28624</v>
      </c>
      <c r="F4052" s="7">
        <v>4.5590000000000002</v>
      </c>
      <c r="G4052" s="7">
        <v>6.2850000000000001</v>
      </c>
      <c r="H4052" s="7">
        <v>5.8710000000000004</v>
      </c>
      <c r="I4052" s="7">
        <v>5.0110000000000001</v>
      </c>
      <c r="J4052" s="7">
        <v>3.99</v>
      </c>
      <c r="K4052" s="7">
        <v>3.0070000000000001</v>
      </c>
      <c r="L4052" s="7">
        <v>2.4670000000000001</v>
      </c>
      <c r="M4052" s="7">
        <v>2.7719999999999998</v>
      </c>
      <c r="N4052" s="7">
        <v>3.5550000000000002</v>
      </c>
      <c r="O4052" s="7">
        <v>3.8279999999999998</v>
      </c>
      <c r="P4052" s="7">
        <v>5.024</v>
      </c>
      <c r="Q4052" s="7">
        <v>6.2610000000000001</v>
      </c>
      <c r="R4052" s="7">
        <v>6.6369999999999996</v>
      </c>
      <c r="S4052" s="7">
        <f t="shared" si="63"/>
        <v>4.5590000000000011</v>
      </c>
    </row>
    <row r="4053" spans="1:19">
      <c r="A4053" s="5" t="str">
        <f>B4053&amp;"-"&amp;COUNTIF($B$2:B4053,B4053)</f>
        <v>RIO GRANDE DO SUL-200</v>
      </c>
      <c r="B4053" s="5" t="s">
        <v>2552</v>
      </c>
      <c r="C4053" s="5" t="s">
        <v>5716</v>
      </c>
      <c r="D4053" s="6">
        <v>-530966</v>
      </c>
      <c r="E4053" s="6">
        <v>-286306</v>
      </c>
      <c r="F4053" s="7">
        <v>4.5780000000000003</v>
      </c>
      <c r="G4053" s="7">
        <v>6.367</v>
      </c>
      <c r="H4053" s="7">
        <v>5.9450000000000003</v>
      </c>
      <c r="I4053" s="7">
        <v>5.0599999999999996</v>
      </c>
      <c r="J4053" s="7">
        <v>3.9630000000000001</v>
      </c>
      <c r="K4053" s="7">
        <v>3.0209999999999999</v>
      </c>
      <c r="L4053" s="7">
        <v>2.4790000000000001</v>
      </c>
      <c r="M4053" s="7">
        <v>2.758</v>
      </c>
      <c r="N4053" s="7">
        <v>3.5539999999999998</v>
      </c>
      <c r="O4053" s="7">
        <v>3.8769999999999998</v>
      </c>
      <c r="P4053" s="7">
        <v>5.0250000000000004</v>
      </c>
      <c r="Q4053" s="7">
        <v>6.2590000000000003</v>
      </c>
      <c r="R4053" s="7">
        <v>6.6239999999999997</v>
      </c>
      <c r="S4053" s="7">
        <f t="shared" si="63"/>
        <v>4.5776666666666666</v>
      </c>
    </row>
    <row r="4054" spans="1:19">
      <c r="A4054" s="5" t="str">
        <f>B4054&amp;"-"&amp;COUNTIF($B$2:B4054,B4054)</f>
        <v>RIO GRANDE DO SUL-201</v>
      </c>
      <c r="B4054" s="5" t="s">
        <v>2552</v>
      </c>
      <c r="C4054" s="5" t="s">
        <v>2708</v>
      </c>
      <c r="D4054" s="6">
        <v>-507923</v>
      </c>
      <c r="E4054" s="6">
        <v>-295698</v>
      </c>
      <c r="F4054" s="7">
        <v>4.3230000000000004</v>
      </c>
      <c r="G4054" s="7">
        <v>6.1440000000000001</v>
      </c>
      <c r="H4054" s="7">
        <v>5.6180000000000003</v>
      </c>
      <c r="I4054" s="7">
        <v>4.7</v>
      </c>
      <c r="J4054" s="7">
        <v>3.7850000000000001</v>
      </c>
      <c r="K4054" s="7">
        <v>2.8130000000000002</v>
      </c>
      <c r="L4054" s="7">
        <v>2.3570000000000002</v>
      </c>
      <c r="M4054" s="7">
        <v>2.5569999999999999</v>
      </c>
      <c r="N4054" s="7">
        <v>3.2519999999999998</v>
      </c>
      <c r="O4054" s="7">
        <v>3.5529999999999999</v>
      </c>
      <c r="P4054" s="7">
        <v>4.6029999999999998</v>
      </c>
      <c r="Q4054" s="7">
        <v>6.07</v>
      </c>
      <c r="R4054" s="7">
        <v>6.4279999999999999</v>
      </c>
      <c r="S4054" s="7">
        <f t="shared" si="63"/>
        <v>4.3233333333333333</v>
      </c>
    </row>
    <row r="4055" spans="1:19">
      <c r="A4055" s="5" t="str">
        <f>B4055&amp;"-"&amp;COUNTIF($B$2:B4055,B4055)</f>
        <v>RIO GRANDE DO SUL-202</v>
      </c>
      <c r="B4055" s="5" t="s">
        <v>2552</v>
      </c>
      <c r="C4055" s="5" t="s">
        <v>2709</v>
      </c>
      <c r="D4055" s="6">
        <v>-539204</v>
      </c>
      <c r="E4055" s="6">
        <v>-283885</v>
      </c>
      <c r="F4055" s="7">
        <v>4.6369999999999996</v>
      </c>
      <c r="G4055" s="7">
        <v>6.48</v>
      </c>
      <c r="H4055" s="7">
        <v>6.0220000000000002</v>
      </c>
      <c r="I4055" s="7">
        <v>5.1779999999999999</v>
      </c>
      <c r="J4055" s="7">
        <v>4.0119999999999996</v>
      </c>
      <c r="K4055" s="7">
        <v>3.0459999999999998</v>
      </c>
      <c r="L4055" s="7">
        <v>2.5</v>
      </c>
      <c r="M4055" s="7">
        <v>2.7959999999999998</v>
      </c>
      <c r="N4055" s="7">
        <v>3.573</v>
      </c>
      <c r="O4055" s="7">
        <v>3.9580000000000002</v>
      </c>
      <c r="P4055" s="7">
        <v>5.0999999999999996</v>
      </c>
      <c r="Q4055" s="7">
        <v>6.2930000000000001</v>
      </c>
      <c r="R4055" s="7">
        <v>6.6909999999999998</v>
      </c>
      <c r="S4055" s="7">
        <f t="shared" si="63"/>
        <v>4.6374166666666667</v>
      </c>
    </row>
    <row r="4056" spans="1:19">
      <c r="A4056" s="5" t="str">
        <f>B4056&amp;"-"&amp;COUNTIF($B$2:B4056,B4056)</f>
        <v>RIO GRANDE DO SUL-203</v>
      </c>
      <c r="B4056" s="5" t="s">
        <v>2552</v>
      </c>
      <c r="C4056" s="5" t="s">
        <v>5208</v>
      </c>
      <c r="D4056" s="6">
        <v>-521263</v>
      </c>
      <c r="E4056" s="6">
        <v>-289287</v>
      </c>
      <c r="F4056" s="7">
        <v>4.4130000000000003</v>
      </c>
      <c r="G4056" s="7">
        <v>6.0869999999999997</v>
      </c>
      <c r="H4056" s="7">
        <v>5.6890000000000001</v>
      </c>
      <c r="I4056" s="7">
        <v>4.7859999999999996</v>
      </c>
      <c r="J4056" s="7">
        <v>3.855</v>
      </c>
      <c r="K4056" s="7">
        <v>2.8740000000000001</v>
      </c>
      <c r="L4056" s="7">
        <v>2.4119999999999999</v>
      </c>
      <c r="M4056" s="7">
        <v>2.7189999999999999</v>
      </c>
      <c r="N4056" s="7">
        <v>3.4740000000000002</v>
      </c>
      <c r="O4056" s="7">
        <v>3.72</v>
      </c>
      <c r="P4056" s="7">
        <v>4.7759999999999998</v>
      </c>
      <c r="Q4056" s="7">
        <v>6.0979999999999999</v>
      </c>
      <c r="R4056" s="7">
        <v>6.46</v>
      </c>
      <c r="S4056" s="7">
        <f t="shared" si="63"/>
        <v>4.4124999999999996</v>
      </c>
    </row>
    <row r="4057" spans="1:19">
      <c r="A4057" s="5" t="str">
        <f>B4057&amp;"-"&amp;COUNTIF($B$2:B4057,B4057)</f>
        <v>RIO GRANDE DO SUL-204</v>
      </c>
      <c r="B4057" s="5" t="s">
        <v>2552</v>
      </c>
      <c r="C4057" s="5" t="s">
        <v>4474</v>
      </c>
      <c r="D4057" s="6">
        <v>-501285</v>
      </c>
      <c r="E4057" s="6">
        <v>-299758</v>
      </c>
      <c r="F4057" s="7">
        <v>4.3890000000000002</v>
      </c>
      <c r="G4057" s="7">
        <v>6.36</v>
      </c>
      <c r="H4057" s="7">
        <v>5.7279999999999998</v>
      </c>
      <c r="I4057" s="7">
        <v>4.7569999999999997</v>
      </c>
      <c r="J4057" s="7">
        <v>3.851</v>
      </c>
      <c r="K4057" s="7">
        <v>2.8610000000000002</v>
      </c>
      <c r="L4057" s="7">
        <v>2.371</v>
      </c>
      <c r="M4057" s="7">
        <v>2.54</v>
      </c>
      <c r="N4057" s="7">
        <v>3.202</v>
      </c>
      <c r="O4057" s="7">
        <v>3.5920000000000001</v>
      </c>
      <c r="P4057" s="7">
        <v>4.694</v>
      </c>
      <c r="Q4057" s="7">
        <v>6.1289999999999996</v>
      </c>
      <c r="R4057" s="7">
        <v>6.5780000000000003</v>
      </c>
      <c r="S4057" s="7">
        <f t="shared" si="63"/>
        <v>4.3885833333333331</v>
      </c>
    </row>
    <row r="4058" spans="1:19">
      <c r="A4058" s="5" t="str">
        <f>B4058&amp;"-"&amp;COUNTIF($B$2:B4058,B4058)</f>
        <v>RIO GRANDE DO SUL-205</v>
      </c>
      <c r="B4058" s="5" t="s">
        <v>2552</v>
      </c>
      <c r="C4058" s="5" t="s">
        <v>2710</v>
      </c>
      <c r="D4058" s="6">
        <v>-517752</v>
      </c>
      <c r="E4058" s="6">
        <v>-293513</v>
      </c>
      <c r="F4058" s="7">
        <v>4.3579999999999997</v>
      </c>
      <c r="G4058" s="7">
        <v>6.2119999999999997</v>
      </c>
      <c r="H4058" s="7">
        <v>5.7140000000000004</v>
      </c>
      <c r="I4058" s="7">
        <v>4.8079999999999998</v>
      </c>
      <c r="J4058" s="7">
        <v>3.7749999999999999</v>
      </c>
      <c r="K4058" s="7">
        <v>2.8069999999999999</v>
      </c>
      <c r="L4058" s="7">
        <v>2.3340000000000001</v>
      </c>
      <c r="M4058" s="7">
        <v>2.589</v>
      </c>
      <c r="N4058" s="7">
        <v>3.298</v>
      </c>
      <c r="O4058" s="7">
        <v>3.5670000000000002</v>
      </c>
      <c r="P4058" s="7">
        <v>4.6429999999999998</v>
      </c>
      <c r="Q4058" s="7">
        <v>6.1029999999999998</v>
      </c>
      <c r="R4058" s="7">
        <v>6.45</v>
      </c>
      <c r="S4058" s="7">
        <f t="shared" si="63"/>
        <v>4.3583333333333334</v>
      </c>
    </row>
    <row r="4059" spans="1:19">
      <c r="A4059" s="5" t="str">
        <f>B4059&amp;"-"&amp;COUNTIF($B$2:B4059,B4059)</f>
        <v>RIO GRANDE DO SUL-206</v>
      </c>
      <c r="B4059" s="5" t="s">
        <v>2552</v>
      </c>
      <c r="C4059" s="5" t="s">
        <v>5284</v>
      </c>
      <c r="D4059" s="6">
        <v>-541891</v>
      </c>
      <c r="E4059" s="6">
        <v>-278359</v>
      </c>
      <c r="F4059" s="7">
        <v>4.6840000000000002</v>
      </c>
      <c r="G4059" s="7">
        <v>6.5220000000000002</v>
      </c>
      <c r="H4059" s="7">
        <v>6.0419999999999998</v>
      </c>
      <c r="I4059" s="7">
        <v>5.1470000000000002</v>
      </c>
      <c r="J4059" s="7">
        <v>4.0869999999999997</v>
      </c>
      <c r="K4059" s="7">
        <v>3.11</v>
      </c>
      <c r="L4059" s="7">
        <v>2.5670000000000002</v>
      </c>
      <c r="M4059" s="7">
        <v>2.871</v>
      </c>
      <c r="N4059" s="7">
        <v>3.6680000000000001</v>
      </c>
      <c r="O4059" s="7">
        <v>4.0030000000000001</v>
      </c>
      <c r="P4059" s="7">
        <v>5.21</v>
      </c>
      <c r="Q4059" s="7">
        <v>6.2809999999999997</v>
      </c>
      <c r="R4059" s="7">
        <v>6.6970000000000001</v>
      </c>
      <c r="S4059" s="7">
        <f t="shared" si="63"/>
        <v>4.6837499999999999</v>
      </c>
    </row>
    <row r="4060" spans="1:19">
      <c r="A4060" s="5" t="str">
        <f>B4060&amp;"-"&amp;COUNTIF($B$2:B4060,B4060)</f>
        <v>RIO GRANDE DO SUL-207</v>
      </c>
      <c r="B4060" s="5" t="s">
        <v>2552</v>
      </c>
      <c r="C4060" s="5" t="s">
        <v>5717</v>
      </c>
      <c r="D4060" s="6">
        <v>-540154</v>
      </c>
      <c r="E4060" s="6">
        <v>-278757</v>
      </c>
      <c r="F4060" s="7">
        <v>4.6769999999999996</v>
      </c>
      <c r="G4060" s="7">
        <v>6.4880000000000004</v>
      </c>
      <c r="H4060" s="7">
        <v>6.02</v>
      </c>
      <c r="I4060" s="7">
        <v>5.1660000000000004</v>
      </c>
      <c r="J4060" s="7">
        <v>4.0869999999999997</v>
      </c>
      <c r="K4060" s="7">
        <v>3.1</v>
      </c>
      <c r="L4060" s="7">
        <v>2.5630000000000002</v>
      </c>
      <c r="M4060" s="7">
        <v>2.8660000000000001</v>
      </c>
      <c r="N4060" s="7">
        <v>3.677</v>
      </c>
      <c r="O4060" s="7">
        <v>4.0039999999999996</v>
      </c>
      <c r="P4060" s="7">
        <v>5.1740000000000004</v>
      </c>
      <c r="Q4060" s="7">
        <v>6.26</v>
      </c>
      <c r="R4060" s="7">
        <v>6.7149999999999999</v>
      </c>
      <c r="S4060" s="7">
        <f t="shared" si="63"/>
        <v>4.6766666666666659</v>
      </c>
    </row>
    <row r="4061" spans="1:19">
      <c r="A4061" s="5" t="str">
        <f>B4061&amp;"-"&amp;COUNTIF($B$2:B4061,B4061)</f>
        <v>RIO GRANDE DO SUL-208</v>
      </c>
      <c r="B4061" s="5" t="s">
        <v>2552</v>
      </c>
      <c r="C4061" s="5" t="s">
        <v>5316</v>
      </c>
      <c r="D4061" s="6">
        <v>-512864</v>
      </c>
      <c r="E4061" s="6">
        <v>-288176</v>
      </c>
      <c r="F4061" s="7">
        <v>4.4420000000000002</v>
      </c>
      <c r="G4061" s="7">
        <v>6.0629999999999997</v>
      </c>
      <c r="H4061" s="7">
        <v>5.6970000000000001</v>
      </c>
      <c r="I4061" s="7">
        <v>4.8419999999999996</v>
      </c>
      <c r="J4061" s="7">
        <v>3.8719999999999999</v>
      </c>
      <c r="K4061" s="7">
        <v>2.8879999999999999</v>
      </c>
      <c r="L4061" s="7">
        <v>2.4569999999999999</v>
      </c>
      <c r="M4061" s="7">
        <v>2.76</v>
      </c>
      <c r="N4061" s="7">
        <v>3.4969999999999999</v>
      </c>
      <c r="O4061" s="7">
        <v>3.7360000000000002</v>
      </c>
      <c r="P4061" s="7">
        <v>4.84</v>
      </c>
      <c r="Q4061" s="7">
        <v>6.1779999999999999</v>
      </c>
      <c r="R4061" s="7">
        <v>6.468</v>
      </c>
      <c r="S4061" s="7">
        <f t="shared" si="63"/>
        <v>4.4415000000000004</v>
      </c>
    </row>
    <row r="4062" spans="1:19">
      <c r="A4062" s="5" t="str">
        <f>B4062&amp;"-"&amp;COUNTIF($B$2:B4062,B4062)</f>
        <v>RIO GRANDE DO SUL-209</v>
      </c>
      <c r="B4062" s="5" t="s">
        <v>2552</v>
      </c>
      <c r="C4062" s="5" t="s">
        <v>2711</v>
      </c>
      <c r="D4062" s="6">
        <v>-524276</v>
      </c>
      <c r="E4062" s="6">
        <v>-279408</v>
      </c>
      <c r="F4062" s="7">
        <v>4.5869999999999997</v>
      </c>
      <c r="G4062" s="7">
        <v>6.2759999999999998</v>
      </c>
      <c r="H4062" s="7">
        <v>5.84</v>
      </c>
      <c r="I4062" s="7">
        <v>4.9669999999999996</v>
      </c>
      <c r="J4062" s="7">
        <v>4.0599999999999996</v>
      </c>
      <c r="K4062" s="7">
        <v>3.0760000000000001</v>
      </c>
      <c r="L4062" s="7">
        <v>2.58</v>
      </c>
      <c r="M4062" s="7">
        <v>2.9169999999999998</v>
      </c>
      <c r="N4062" s="7">
        <v>3.6869999999999998</v>
      </c>
      <c r="O4062" s="7">
        <v>3.91</v>
      </c>
      <c r="P4062" s="7">
        <v>5.0519999999999996</v>
      </c>
      <c r="Q4062" s="7">
        <v>6.1349999999999998</v>
      </c>
      <c r="R4062" s="7">
        <v>6.5410000000000004</v>
      </c>
      <c r="S4062" s="7">
        <f t="shared" si="63"/>
        <v>4.5867499999999994</v>
      </c>
    </row>
    <row r="4063" spans="1:19">
      <c r="A4063" s="5" t="str">
        <f>B4063&amp;"-"&amp;COUNTIF($B$2:B4063,B4063)</f>
        <v>RIO GRANDE DO SUL-210</v>
      </c>
      <c r="B4063" s="5" t="s">
        <v>2552</v>
      </c>
      <c r="C4063" s="5" t="s">
        <v>2712</v>
      </c>
      <c r="D4063" s="6">
        <v>-532548</v>
      </c>
      <c r="E4063" s="6">
        <v>-271955</v>
      </c>
      <c r="F4063" s="7">
        <v>4.6449999999999996</v>
      </c>
      <c r="G4063" s="7">
        <v>6.3680000000000003</v>
      </c>
      <c r="H4063" s="7">
        <v>5.8810000000000002</v>
      </c>
      <c r="I4063" s="7">
        <v>5.1820000000000004</v>
      </c>
      <c r="J4063" s="7">
        <v>4.0620000000000003</v>
      </c>
      <c r="K4063" s="7">
        <v>3.0920000000000001</v>
      </c>
      <c r="L4063" s="7">
        <v>2.569</v>
      </c>
      <c r="M4063" s="7">
        <v>2.87</v>
      </c>
      <c r="N4063" s="7">
        <v>3.7269999999999999</v>
      </c>
      <c r="O4063" s="7">
        <v>4</v>
      </c>
      <c r="P4063" s="7">
        <v>5.1689999999999996</v>
      </c>
      <c r="Q4063" s="7">
        <v>6.1989999999999998</v>
      </c>
      <c r="R4063" s="7">
        <v>6.6180000000000003</v>
      </c>
      <c r="S4063" s="7">
        <f t="shared" si="63"/>
        <v>4.6447499999999993</v>
      </c>
    </row>
    <row r="4064" spans="1:19">
      <c r="A4064" s="5" t="str">
        <f>B4064&amp;"-"&amp;COUNTIF($B$2:B4064,B4064)</f>
        <v>RIO GRANDE DO SUL-211</v>
      </c>
      <c r="B4064" s="5" t="s">
        <v>2552</v>
      </c>
      <c r="C4064" s="5" t="s">
        <v>2713</v>
      </c>
      <c r="D4064" s="6">
        <v>-537649</v>
      </c>
      <c r="E4064" s="5" t="s">
        <v>2714</v>
      </c>
      <c r="F4064" s="7">
        <v>4.5030000000000001</v>
      </c>
      <c r="G4064" s="7">
        <v>6.3840000000000003</v>
      </c>
      <c r="H4064" s="7">
        <v>5.923</v>
      </c>
      <c r="I4064" s="7">
        <v>4.96</v>
      </c>
      <c r="J4064" s="7">
        <v>3.89</v>
      </c>
      <c r="K4064" s="7">
        <v>2.8570000000000002</v>
      </c>
      <c r="L4064" s="7">
        <v>2.3759999999999999</v>
      </c>
      <c r="M4064" s="7">
        <v>2.621</v>
      </c>
      <c r="N4064" s="7">
        <v>3.3620000000000001</v>
      </c>
      <c r="O4064" s="7">
        <v>3.7879999999999998</v>
      </c>
      <c r="P4064" s="7">
        <v>4.92</v>
      </c>
      <c r="Q4064" s="7">
        <v>6.22</v>
      </c>
      <c r="R4064" s="7">
        <v>6.7329999999999997</v>
      </c>
      <c r="S4064" s="7">
        <f t="shared" si="63"/>
        <v>4.5028333333333324</v>
      </c>
    </row>
    <row r="4065" spans="1:19">
      <c r="A4065" s="5" t="str">
        <f>B4065&amp;"-"&amp;COUNTIF($B$2:B4065,B4065)</f>
        <v>RIO GRANDE DO SUL-212</v>
      </c>
      <c r="B4065" s="5" t="s">
        <v>2552</v>
      </c>
      <c r="C4065" s="5" t="s">
        <v>2715</v>
      </c>
      <c r="D4065" s="6">
        <v>-552451</v>
      </c>
      <c r="E4065" s="6">
        <v>-287917</v>
      </c>
      <c r="F4065" s="7">
        <v>4.7279999999999998</v>
      </c>
      <c r="G4065" s="7">
        <v>6.6390000000000002</v>
      </c>
      <c r="H4065" s="7">
        <v>6.1269999999999998</v>
      </c>
      <c r="I4065" s="7">
        <v>5.2549999999999999</v>
      </c>
      <c r="J4065" s="7">
        <v>4.0209999999999999</v>
      </c>
      <c r="K4065" s="7">
        <v>3.0710000000000002</v>
      </c>
      <c r="L4065" s="7">
        <v>2.516</v>
      </c>
      <c r="M4065" s="7">
        <v>2.81</v>
      </c>
      <c r="N4065" s="7">
        <v>3.601</v>
      </c>
      <c r="O4065" s="7">
        <v>4.0789999999999997</v>
      </c>
      <c r="P4065" s="7">
        <v>5.2560000000000002</v>
      </c>
      <c r="Q4065" s="7">
        <v>6.4640000000000004</v>
      </c>
      <c r="R4065" s="7">
        <v>6.9059999999999997</v>
      </c>
      <c r="S4065" s="7">
        <f t="shared" si="63"/>
        <v>4.7287500000000007</v>
      </c>
    </row>
    <row r="4066" spans="1:19">
      <c r="A4066" s="5" t="str">
        <f>B4066&amp;"-"&amp;COUNTIF($B$2:B4066,B4066)</f>
        <v>RIO GRANDE DO SUL-213</v>
      </c>
      <c r="B4066" s="5" t="s">
        <v>2552</v>
      </c>
      <c r="C4066" s="5" t="s">
        <v>2716</v>
      </c>
      <c r="D4066" s="6">
        <v>-521697</v>
      </c>
      <c r="E4066" s="6">
        <v>-287773</v>
      </c>
      <c r="F4066" s="7">
        <v>4.452</v>
      </c>
      <c r="G4066" s="7">
        <v>6.0730000000000004</v>
      </c>
      <c r="H4066" s="7">
        <v>5.7709999999999999</v>
      </c>
      <c r="I4066" s="7">
        <v>4.8639999999999999</v>
      </c>
      <c r="J4066" s="7">
        <v>3.899</v>
      </c>
      <c r="K4066" s="7">
        <v>2.8929999999999998</v>
      </c>
      <c r="L4066" s="7">
        <v>2.431</v>
      </c>
      <c r="M4066" s="7">
        <v>2.74</v>
      </c>
      <c r="N4066" s="7">
        <v>3.4950000000000001</v>
      </c>
      <c r="O4066" s="7">
        <v>3.7639999999999998</v>
      </c>
      <c r="P4066" s="7">
        <v>4.843</v>
      </c>
      <c r="Q4066" s="7">
        <v>6.1479999999999997</v>
      </c>
      <c r="R4066" s="7">
        <v>6.4989999999999997</v>
      </c>
      <c r="S4066" s="7">
        <f t="shared" si="63"/>
        <v>4.4516666666666671</v>
      </c>
    </row>
    <row r="4067" spans="1:19">
      <c r="A4067" s="5" t="str">
        <f>B4067&amp;"-"&amp;COUNTIF($B$2:B4067,B4067)</f>
        <v>RIO GRANDE DO SUL-214</v>
      </c>
      <c r="B4067" s="5" t="s">
        <v>2552</v>
      </c>
      <c r="C4067" s="5" t="s">
        <v>2717</v>
      </c>
      <c r="D4067" s="6">
        <v>-56552</v>
      </c>
      <c r="E4067" s="6">
        <v>-291315</v>
      </c>
      <c r="F4067" s="7">
        <v>4.82</v>
      </c>
      <c r="G4067" s="7">
        <v>6.9219999999999997</v>
      </c>
      <c r="H4067" s="7">
        <v>6.2649999999999997</v>
      </c>
      <c r="I4067" s="7">
        <v>5.32</v>
      </c>
      <c r="J4067" s="7">
        <v>4.1260000000000003</v>
      </c>
      <c r="K4067" s="7">
        <v>3.0310000000000001</v>
      </c>
      <c r="L4067" s="7">
        <v>2.5059999999999998</v>
      </c>
      <c r="M4067" s="7">
        <v>2.82</v>
      </c>
      <c r="N4067" s="7">
        <v>3.6070000000000002</v>
      </c>
      <c r="O4067" s="7">
        <v>4.1879999999999997</v>
      </c>
      <c r="P4067" s="7">
        <v>5.4269999999999996</v>
      </c>
      <c r="Q4067" s="7">
        <v>6.5190000000000001</v>
      </c>
      <c r="R4067" s="7">
        <v>7.1070000000000002</v>
      </c>
      <c r="S4067" s="7">
        <f t="shared" si="63"/>
        <v>4.8198333333333334</v>
      </c>
    </row>
    <row r="4068" spans="1:19">
      <c r="A4068" s="5" t="str">
        <f>B4068&amp;"-"&amp;COUNTIF($B$2:B4068,B4068)</f>
        <v>RIO GRANDE DO SUL-215</v>
      </c>
      <c r="B4068" s="5" t="s">
        <v>2552</v>
      </c>
      <c r="C4068" s="5" t="s">
        <v>2718</v>
      </c>
      <c r="D4068" s="6">
        <v>-50103</v>
      </c>
      <c r="E4068" s="6">
        <v>-294933</v>
      </c>
      <c r="F4068" s="7">
        <v>4.056</v>
      </c>
      <c r="G4068" s="7">
        <v>5.4779999999999998</v>
      </c>
      <c r="H4068" s="7">
        <v>5.0010000000000003</v>
      </c>
      <c r="I4068" s="7">
        <v>4.2889999999999997</v>
      </c>
      <c r="J4068" s="7">
        <v>3.7080000000000002</v>
      </c>
      <c r="K4068" s="7">
        <v>2.794</v>
      </c>
      <c r="L4068" s="7">
        <v>2.4079999999999999</v>
      </c>
      <c r="M4068" s="7">
        <v>2.649</v>
      </c>
      <c r="N4068" s="7">
        <v>3.327</v>
      </c>
      <c r="O4068" s="7">
        <v>3.4289999999999998</v>
      </c>
      <c r="P4068" s="7">
        <v>4.2569999999999997</v>
      </c>
      <c r="Q4068" s="7">
        <v>5.5129999999999999</v>
      </c>
      <c r="R4068" s="7">
        <v>5.8209999999999997</v>
      </c>
      <c r="S4068" s="7">
        <f t="shared" si="63"/>
        <v>4.0561666666666669</v>
      </c>
    </row>
    <row r="4069" spans="1:19">
      <c r="A4069" s="5" t="str">
        <f>B4069&amp;"-"&amp;COUNTIF($B$2:B4069,B4069)</f>
        <v>RIO GRANDE DO SUL-216</v>
      </c>
      <c r="B4069" s="5" t="s">
        <v>2552</v>
      </c>
      <c r="C4069" s="5" t="s">
        <v>2719</v>
      </c>
      <c r="D4069" s="6">
        <v>-524542</v>
      </c>
      <c r="E4069" s="6">
        <v>-273851</v>
      </c>
      <c r="F4069" s="7">
        <v>4.6150000000000002</v>
      </c>
      <c r="G4069" s="7">
        <v>6.226</v>
      </c>
      <c r="H4069" s="7">
        <v>5.7910000000000004</v>
      </c>
      <c r="I4069" s="7">
        <v>5.1050000000000004</v>
      </c>
      <c r="J4069" s="7">
        <v>4.0960000000000001</v>
      </c>
      <c r="K4069" s="7">
        <v>3.07</v>
      </c>
      <c r="L4069" s="7">
        <v>2.5369999999999999</v>
      </c>
      <c r="M4069" s="7">
        <v>2.891</v>
      </c>
      <c r="N4069" s="7">
        <v>3.7410000000000001</v>
      </c>
      <c r="O4069" s="7">
        <v>4.0030000000000001</v>
      </c>
      <c r="P4069" s="7">
        <v>5.1150000000000002</v>
      </c>
      <c r="Q4069" s="7">
        <v>6.2430000000000003</v>
      </c>
      <c r="R4069" s="7">
        <v>6.5659999999999998</v>
      </c>
      <c r="S4069" s="7">
        <f t="shared" si="63"/>
        <v>4.615333333333334</v>
      </c>
    </row>
    <row r="4070" spans="1:19">
      <c r="A4070" s="5" t="str">
        <f>B4070&amp;"-"&amp;COUNTIF($B$2:B4070,B4070)</f>
        <v>RIO GRANDE DO SUL-217</v>
      </c>
      <c r="B4070" s="5" t="s">
        <v>2552</v>
      </c>
      <c r="C4070" s="5" t="s">
        <v>5718</v>
      </c>
      <c r="D4070" s="6">
        <v>-535809</v>
      </c>
      <c r="E4070" s="5" t="s">
        <v>2720</v>
      </c>
      <c r="F4070" s="7">
        <v>4.5</v>
      </c>
      <c r="G4070" s="7">
        <v>6.2809999999999997</v>
      </c>
      <c r="H4070" s="7">
        <v>5.92</v>
      </c>
      <c r="I4070" s="7">
        <v>5.01</v>
      </c>
      <c r="J4070" s="7">
        <v>3.871</v>
      </c>
      <c r="K4070" s="7">
        <v>2.8769999999999998</v>
      </c>
      <c r="L4070" s="7">
        <v>2.3690000000000002</v>
      </c>
      <c r="M4070" s="7">
        <v>2.6240000000000001</v>
      </c>
      <c r="N4070" s="7">
        <v>3.3809999999999998</v>
      </c>
      <c r="O4070" s="7">
        <v>3.782</v>
      </c>
      <c r="P4070" s="7">
        <v>4.9059999999999997</v>
      </c>
      <c r="Q4070" s="7">
        <v>6.2539999999999996</v>
      </c>
      <c r="R4070" s="7">
        <v>6.7220000000000004</v>
      </c>
      <c r="S4070" s="7">
        <f t="shared" si="63"/>
        <v>4.4997499999999997</v>
      </c>
    </row>
    <row r="4071" spans="1:19">
      <c r="A4071" s="5" t="str">
        <f>B4071&amp;"-"&amp;COUNTIF($B$2:B4071,B4071)</f>
        <v>RIO GRANDE DO SUL-218</v>
      </c>
      <c r="B4071" s="5" t="s">
        <v>2552</v>
      </c>
      <c r="C4071" s="5" t="s">
        <v>2721</v>
      </c>
      <c r="D4071" s="6">
        <v>-511538</v>
      </c>
      <c r="E4071" s="6">
        <v>-295999</v>
      </c>
      <c r="F4071" s="7">
        <v>4.3540000000000001</v>
      </c>
      <c r="G4071" s="7">
        <v>6.22</v>
      </c>
      <c r="H4071" s="7">
        <v>5.7549999999999999</v>
      </c>
      <c r="I4071" s="7">
        <v>4.7910000000000004</v>
      </c>
      <c r="J4071" s="7">
        <v>3.7759999999999998</v>
      </c>
      <c r="K4071" s="7">
        <v>2.8159999999999998</v>
      </c>
      <c r="L4071" s="7">
        <v>2.34</v>
      </c>
      <c r="M4071" s="7">
        <v>2.5339999999999998</v>
      </c>
      <c r="N4071" s="7">
        <v>3.222</v>
      </c>
      <c r="O4071" s="7">
        <v>3.5379999999999998</v>
      </c>
      <c r="P4071" s="7">
        <v>4.6310000000000002</v>
      </c>
      <c r="Q4071" s="7">
        <v>6.0810000000000004</v>
      </c>
      <c r="R4071" s="7">
        <v>6.55</v>
      </c>
      <c r="S4071" s="7">
        <f t="shared" si="63"/>
        <v>4.3544999999999998</v>
      </c>
    </row>
    <row r="4072" spans="1:19">
      <c r="A4072" s="5" t="str">
        <f>B4072&amp;"-"&amp;COUNTIF($B$2:B4072,B4072)</f>
        <v>RIO GRANDE DO SUL-219</v>
      </c>
      <c r="B4072" s="5" t="s">
        <v>2552</v>
      </c>
      <c r="C4072" s="5" t="s">
        <v>5209</v>
      </c>
      <c r="D4072" s="6">
        <v>-541146</v>
      </c>
      <c r="E4072" s="6">
        <v>-28644</v>
      </c>
      <c r="F4072" s="7">
        <v>4.6559999999999997</v>
      </c>
      <c r="G4072" s="7">
        <v>6.5119999999999996</v>
      </c>
      <c r="H4072" s="7">
        <v>6.0380000000000003</v>
      </c>
      <c r="I4072" s="7">
        <v>5.2149999999999999</v>
      </c>
      <c r="J4072" s="7">
        <v>4.0369999999999999</v>
      </c>
      <c r="K4072" s="7">
        <v>3.0459999999999998</v>
      </c>
      <c r="L4072" s="7">
        <v>2.5070000000000001</v>
      </c>
      <c r="M4072" s="7">
        <v>2.8039999999999998</v>
      </c>
      <c r="N4072" s="7">
        <v>3.5619999999999998</v>
      </c>
      <c r="O4072" s="7">
        <v>3.9769999999999999</v>
      </c>
      <c r="P4072" s="7">
        <v>5.0970000000000004</v>
      </c>
      <c r="Q4072" s="7">
        <v>6.3339999999999996</v>
      </c>
      <c r="R4072" s="7">
        <v>6.7480000000000002</v>
      </c>
      <c r="S4072" s="7">
        <f t="shared" si="63"/>
        <v>4.656416666666666</v>
      </c>
    </row>
    <row r="4073" spans="1:19">
      <c r="A4073" s="5" t="str">
        <f>B4073&amp;"-"&amp;COUNTIF($B$2:B4073,B4073)</f>
        <v>RIO GRANDE DO SUL-220</v>
      </c>
      <c r="B4073" s="5" t="s">
        <v>2552</v>
      </c>
      <c r="C4073" s="5" t="s">
        <v>2722</v>
      </c>
      <c r="D4073" s="6">
        <v>-532766</v>
      </c>
      <c r="E4073" s="6">
        <v>-276352</v>
      </c>
      <c r="F4073" s="7">
        <v>4.6509999999999998</v>
      </c>
      <c r="G4073" s="7">
        <v>6.3049999999999997</v>
      </c>
      <c r="H4073" s="7">
        <v>5.91</v>
      </c>
      <c r="I4073" s="7">
        <v>5.0819999999999999</v>
      </c>
      <c r="J4073" s="7">
        <v>4.1139999999999999</v>
      </c>
      <c r="K4073" s="7">
        <v>3.117</v>
      </c>
      <c r="L4073" s="7">
        <v>2.548</v>
      </c>
      <c r="M4073" s="7">
        <v>2.9129999999999998</v>
      </c>
      <c r="N4073" s="7">
        <v>3.71</v>
      </c>
      <c r="O4073" s="7">
        <v>3.9889999999999999</v>
      </c>
      <c r="P4073" s="7">
        <v>5.181</v>
      </c>
      <c r="Q4073" s="7">
        <v>6.2809999999999997</v>
      </c>
      <c r="R4073" s="7">
        <v>6.6619999999999999</v>
      </c>
      <c r="S4073" s="7">
        <f t="shared" si="63"/>
        <v>4.6509999999999989</v>
      </c>
    </row>
    <row r="4074" spans="1:19">
      <c r="A4074" s="5" t="str">
        <f>B4074&amp;"-"&amp;COUNTIF($B$2:B4074,B4074)</f>
        <v>RIO GRANDE DO SUL-221</v>
      </c>
      <c r="B4074" s="5" t="s">
        <v>2552</v>
      </c>
      <c r="C4074" s="5" t="s">
        <v>2723</v>
      </c>
      <c r="D4074" s="6">
        <v>-530594</v>
      </c>
      <c r="E4074" s="6">
        <v>-290339</v>
      </c>
      <c r="F4074" s="7">
        <v>4.5759999999999996</v>
      </c>
      <c r="G4074" s="7">
        <v>6.4130000000000003</v>
      </c>
      <c r="H4074" s="7">
        <v>5.9470000000000001</v>
      </c>
      <c r="I4074" s="7">
        <v>5.0750000000000002</v>
      </c>
      <c r="J4074" s="7">
        <v>3.94</v>
      </c>
      <c r="K4074" s="7">
        <v>2.9649999999999999</v>
      </c>
      <c r="L4074" s="7">
        <v>2.4359999999999999</v>
      </c>
      <c r="M4074" s="7">
        <v>2.7189999999999999</v>
      </c>
      <c r="N4074" s="7">
        <v>3.5089999999999999</v>
      </c>
      <c r="O4074" s="7">
        <v>3.8439999999999999</v>
      </c>
      <c r="P4074" s="7">
        <v>5.0060000000000002</v>
      </c>
      <c r="Q4074" s="7">
        <v>6.3070000000000004</v>
      </c>
      <c r="R4074" s="7">
        <v>6.7530000000000001</v>
      </c>
      <c r="S4074" s="7">
        <f t="shared" si="63"/>
        <v>4.5761666666666665</v>
      </c>
    </row>
    <row r="4075" spans="1:19">
      <c r="A4075" s="5" t="str">
        <f>B4075&amp;"-"&amp;COUNTIF($B$2:B4075,B4075)</f>
        <v>RIO GRANDE DO SUL-222</v>
      </c>
      <c r="B4075" s="5" t="s">
        <v>2552</v>
      </c>
      <c r="C4075" s="5" t="s">
        <v>1399</v>
      </c>
      <c r="D4075" s="6">
        <v>-525377</v>
      </c>
      <c r="E4075" s="6">
        <v>-277296</v>
      </c>
      <c r="F4075" s="7">
        <v>4.6130000000000004</v>
      </c>
      <c r="G4075" s="7">
        <v>6.28</v>
      </c>
      <c r="H4075" s="7">
        <v>5.8540000000000001</v>
      </c>
      <c r="I4075" s="7">
        <v>5.0339999999999998</v>
      </c>
      <c r="J4075" s="7">
        <v>4.0789999999999997</v>
      </c>
      <c r="K4075" s="7">
        <v>3.081</v>
      </c>
      <c r="L4075" s="7">
        <v>2.5960000000000001</v>
      </c>
      <c r="M4075" s="7">
        <v>2.92</v>
      </c>
      <c r="N4075" s="7">
        <v>3.7280000000000002</v>
      </c>
      <c r="O4075" s="7">
        <v>3.9449999999999998</v>
      </c>
      <c r="P4075" s="7">
        <v>5.0979999999999999</v>
      </c>
      <c r="Q4075" s="7">
        <v>6.1660000000000004</v>
      </c>
      <c r="R4075" s="7">
        <v>6.5730000000000004</v>
      </c>
      <c r="S4075" s="7">
        <f t="shared" si="63"/>
        <v>4.6128333333333336</v>
      </c>
    </row>
    <row r="4076" spans="1:19">
      <c r="A4076" s="5" t="str">
        <f>B4076&amp;"-"&amp;COUNTIF($B$2:B4076,B4076)</f>
        <v>RIO GRANDE DO SUL-223</v>
      </c>
      <c r="B4076" s="5" t="s">
        <v>2552</v>
      </c>
      <c r="C4076" s="5" t="s">
        <v>4163</v>
      </c>
      <c r="D4076" s="6">
        <v>-533775</v>
      </c>
      <c r="E4076" s="6">
        <v>-325609</v>
      </c>
      <c r="F4076" s="7">
        <v>4.431</v>
      </c>
      <c r="G4076" s="7">
        <v>6.5529999999999999</v>
      </c>
      <c r="H4076" s="7">
        <v>5.8040000000000003</v>
      </c>
      <c r="I4076" s="7">
        <v>4.907</v>
      </c>
      <c r="J4076" s="7">
        <v>3.6619999999999999</v>
      </c>
      <c r="K4076" s="7">
        <v>2.633</v>
      </c>
      <c r="L4076" s="7">
        <v>2.198</v>
      </c>
      <c r="M4076" s="7">
        <v>2.3410000000000002</v>
      </c>
      <c r="N4076" s="7">
        <v>2.98</v>
      </c>
      <c r="O4076" s="7">
        <v>3.7189999999999999</v>
      </c>
      <c r="P4076" s="7">
        <v>5.0430000000000001</v>
      </c>
      <c r="Q4076" s="7">
        <v>6.399</v>
      </c>
      <c r="R4076" s="7">
        <v>6.9329999999999998</v>
      </c>
      <c r="S4076" s="7">
        <f t="shared" si="63"/>
        <v>4.431</v>
      </c>
    </row>
    <row r="4077" spans="1:19">
      <c r="A4077" s="5" t="str">
        <f>B4077&amp;"-"&amp;COUNTIF($B$2:B4077,B4077)</f>
        <v>RIO GRANDE DO SUL-224</v>
      </c>
      <c r="B4077" s="5" t="s">
        <v>2552</v>
      </c>
      <c r="C4077" s="5" t="s">
        <v>2724</v>
      </c>
      <c r="D4077" s="6">
        <v>-546899</v>
      </c>
      <c r="E4077" s="6">
        <v>-29497</v>
      </c>
      <c r="F4077" s="7">
        <v>4.6050000000000004</v>
      </c>
      <c r="G4077" s="7">
        <v>6.5709999999999997</v>
      </c>
      <c r="H4077" s="7">
        <v>5.9859999999999998</v>
      </c>
      <c r="I4077" s="7">
        <v>5.0890000000000004</v>
      </c>
      <c r="J4077" s="7">
        <v>3.944</v>
      </c>
      <c r="K4077" s="7">
        <v>2.9279999999999999</v>
      </c>
      <c r="L4077" s="7">
        <v>2.4340000000000002</v>
      </c>
      <c r="M4077" s="7">
        <v>2.6859999999999999</v>
      </c>
      <c r="N4077" s="7">
        <v>3.4279999999999999</v>
      </c>
      <c r="O4077" s="7">
        <v>3.91</v>
      </c>
      <c r="P4077" s="7">
        <v>5.0359999999999996</v>
      </c>
      <c r="Q4077" s="7">
        <v>6.3520000000000003</v>
      </c>
      <c r="R4077" s="7">
        <v>6.8929999999999998</v>
      </c>
      <c r="S4077" s="7">
        <f t="shared" si="63"/>
        <v>4.6047500000000001</v>
      </c>
    </row>
    <row r="4078" spans="1:19">
      <c r="A4078" s="5" t="str">
        <f>B4078&amp;"-"&amp;COUNTIF($B$2:B4078,B4078)</f>
        <v>RIO GRANDE DO SUL-225</v>
      </c>
      <c r="B4078" s="5" t="s">
        <v>2552</v>
      </c>
      <c r="C4078" s="5" t="s">
        <v>4875</v>
      </c>
      <c r="D4078" s="6">
        <v>-536776</v>
      </c>
      <c r="E4078" s="6">
        <v>-292303</v>
      </c>
      <c r="F4078" s="7">
        <v>4.5780000000000003</v>
      </c>
      <c r="G4078" s="7">
        <v>6.3739999999999997</v>
      </c>
      <c r="H4078" s="7">
        <v>5.9370000000000003</v>
      </c>
      <c r="I4078" s="7">
        <v>5.0620000000000003</v>
      </c>
      <c r="J4078" s="7">
        <v>3.9430000000000001</v>
      </c>
      <c r="K4078" s="7">
        <v>2.948</v>
      </c>
      <c r="L4078" s="7">
        <v>2.4289999999999998</v>
      </c>
      <c r="M4078" s="7">
        <v>2.7389999999999999</v>
      </c>
      <c r="N4078" s="7">
        <v>3.5209999999999999</v>
      </c>
      <c r="O4078" s="7">
        <v>3.9089999999999998</v>
      </c>
      <c r="P4078" s="7">
        <v>5.0119999999999996</v>
      </c>
      <c r="Q4078" s="7">
        <v>6.3</v>
      </c>
      <c r="R4078" s="7">
        <v>6.7610000000000001</v>
      </c>
      <c r="S4078" s="7">
        <f t="shared" si="63"/>
        <v>4.5779166666666669</v>
      </c>
    </row>
    <row r="4079" spans="1:19">
      <c r="A4079" s="5" t="str">
        <f>B4079&amp;"-"&amp;COUNTIF($B$2:B4079,B4079)</f>
        <v>RIO GRANDE DO SUL-226</v>
      </c>
      <c r="B4079" s="5" t="s">
        <v>2552</v>
      </c>
      <c r="C4079" s="5" t="s">
        <v>2725</v>
      </c>
      <c r="D4079" s="6">
        <v>-503641</v>
      </c>
      <c r="E4079" s="6">
        <v>-288816</v>
      </c>
      <c r="F4079" s="7">
        <v>4.4249999999999998</v>
      </c>
      <c r="G4079" s="7">
        <v>6.0490000000000004</v>
      </c>
      <c r="H4079" s="7">
        <v>5.6</v>
      </c>
      <c r="I4079" s="7">
        <v>4.7750000000000004</v>
      </c>
      <c r="J4079" s="7">
        <v>3.8959999999999999</v>
      </c>
      <c r="K4079" s="7">
        <v>2.9079999999999999</v>
      </c>
      <c r="L4079" s="7">
        <v>2.4830000000000001</v>
      </c>
      <c r="M4079" s="7">
        <v>2.7890000000000001</v>
      </c>
      <c r="N4079" s="7">
        <v>3.5369999999999999</v>
      </c>
      <c r="O4079" s="7">
        <v>3.7160000000000002</v>
      </c>
      <c r="P4079" s="7">
        <v>4.8559999999999999</v>
      </c>
      <c r="Q4079" s="7">
        <v>6.1079999999999997</v>
      </c>
      <c r="R4079" s="7">
        <v>6.3810000000000002</v>
      </c>
      <c r="S4079" s="7">
        <f t="shared" si="63"/>
        <v>4.4248333333333338</v>
      </c>
    </row>
    <row r="4080" spans="1:19">
      <c r="A4080" s="5" t="str">
        <f>B4080&amp;"-"&amp;COUNTIF($B$2:B4080,B4080)</f>
        <v>RIO GRANDE DO SUL-227</v>
      </c>
      <c r="B4080" s="5" t="s">
        <v>2552</v>
      </c>
      <c r="C4080" s="5" t="s">
        <v>2726</v>
      </c>
      <c r="D4080" s="6">
        <v>-542242</v>
      </c>
      <c r="E4080" s="6">
        <v>-292927</v>
      </c>
      <c r="F4080" s="7">
        <v>4.62</v>
      </c>
      <c r="G4080" s="7">
        <v>6.4870000000000001</v>
      </c>
      <c r="H4080" s="7">
        <v>6.0279999999999996</v>
      </c>
      <c r="I4080" s="7">
        <v>5.117</v>
      </c>
      <c r="J4080" s="7">
        <v>3.972</v>
      </c>
      <c r="K4080" s="7">
        <v>2.9740000000000002</v>
      </c>
      <c r="L4080" s="7">
        <v>2.4580000000000002</v>
      </c>
      <c r="M4080" s="7">
        <v>2.7610000000000001</v>
      </c>
      <c r="N4080" s="7">
        <v>3.5019999999999998</v>
      </c>
      <c r="O4080" s="7">
        <v>3.9470000000000001</v>
      </c>
      <c r="P4080" s="7">
        <v>5.0519999999999996</v>
      </c>
      <c r="Q4080" s="7">
        <v>6.335</v>
      </c>
      <c r="R4080" s="7">
        <v>6.8070000000000004</v>
      </c>
      <c r="S4080" s="7">
        <f t="shared" si="63"/>
        <v>4.62</v>
      </c>
    </row>
    <row r="4081" spans="1:19">
      <c r="A4081" s="5" t="str">
        <f>B4081&amp;"-"&amp;COUNTIF($B$2:B4081,B4081)</f>
        <v>RIO GRANDE DO SUL-228</v>
      </c>
      <c r="B4081" s="5" t="s">
        <v>2552</v>
      </c>
      <c r="C4081" s="5" t="s">
        <v>2727</v>
      </c>
      <c r="D4081" s="6">
        <v>-530139</v>
      </c>
      <c r="E4081" s="6">
        <v>-294893</v>
      </c>
      <c r="F4081" s="7">
        <v>4.4850000000000003</v>
      </c>
      <c r="G4081" s="7">
        <v>6.2279999999999998</v>
      </c>
      <c r="H4081" s="7">
        <v>5.8810000000000002</v>
      </c>
      <c r="I4081" s="7">
        <v>4.9589999999999996</v>
      </c>
      <c r="J4081" s="7">
        <v>3.8769999999999998</v>
      </c>
      <c r="K4081" s="7">
        <v>2.863</v>
      </c>
      <c r="L4081" s="7">
        <v>2.399</v>
      </c>
      <c r="M4081" s="7">
        <v>2.6469999999999998</v>
      </c>
      <c r="N4081" s="7">
        <v>3.3860000000000001</v>
      </c>
      <c r="O4081" s="7">
        <v>3.71</v>
      </c>
      <c r="P4081" s="7">
        <v>4.9420000000000002</v>
      </c>
      <c r="Q4081" s="7">
        <v>6.2279999999999998</v>
      </c>
      <c r="R4081" s="7">
        <v>6.6970000000000001</v>
      </c>
      <c r="S4081" s="7">
        <f t="shared" si="63"/>
        <v>4.48475</v>
      </c>
    </row>
    <row r="4082" spans="1:19">
      <c r="A4082" s="5" t="str">
        <f>B4082&amp;"-"&amp;COUNTIF($B$2:B4082,B4082)</f>
        <v>RIO GRANDE DO SUL-229</v>
      </c>
      <c r="B4082" s="5" t="s">
        <v>2552</v>
      </c>
      <c r="C4082" s="5" t="s">
        <v>5317</v>
      </c>
      <c r="D4082" s="6">
        <v>-528629</v>
      </c>
      <c r="E4082" s="6">
        <v>-285688</v>
      </c>
      <c r="F4082" s="7">
        <v>4.58</v>
      </c>
      <c r="G4082" s="7">
        <v>6.3339999999999996</v>
      </c>
      <c r="H4082" s="7">
        <v>5.9020000000000001</v>
      </c>
      <c r="I4082" s="7">
        <v>5.0209999999999999</v>
      </c>
      <c r="J4082" s="7">
        <v>3.984</v>
      </c>
      <c r="K4082" s="7">
        <v>3.032</v>
      </c>
      <c r="L4082" s="7">
        <v>2.4790000000000001</v>
      </c>
      <c r="M4082" s="7">
        <v>2.7869999999999999</v>
      </c>
      <c r="N4082" s="7">
        <v>3.5680000000000001</v>
      </c>
      <c r="O4082" s="7">
        <v>3.8639999999999999</v>
      </c>
      <c r="P4082" s="7">
        <v>5.0490000000000004</v>
      </c>
      <c r="Q4082" s="7">
        <v>6.2729999999999997</v>
      </c>
      <c r="R4082" s="7">
        <v>6.665</v>
      </c>
      <c r="S4082" s="7">
        <f t="shared" si="63"/>
        <v>4.5798333333333323</v>
      </c>
    </row>
    <row r="4083" spans="1:19">
      <c r="A4083" s="5" t="str">
        <f>B4083&amp;"-"&amp;COUNTIF($B$2:B4083,B4083)</f>
        <v>RIO GRANDE DO SUL-230</v>
      </c>
      <c r="B4083" s="5" t="s">
        <v>2552</v>
      </c>
      <c r="C4083" s="5" t="s">
        <v>2728</v>
      </c>
      <c r="D4083" s="6">
        <v>-515253</v>
      </c>
      <c r="E4083" s="6">
        <v>-282098</v>
      </c>
      <c r="F4083" s="7">
        <v>4.5090000000000003</v>
      </c>
      <c r="G4083" s="7">
        <v>6.1070000000000002</v>
      </c>
      <c r="H4083" s="7">
        <v>5.726</v>
      </c>
      <c r="I4083" s="7">
        <v>4.907</v>
      </c>
      <c r="J4083" s="7">
        <v>3.9740000000000002</v>
      </c>
      <c r="K4083" s="7">
        <v>2.9969999999999999</v>
      </c>
      <c r="L4083" s="7">
        <v>2.5179999999999998</v>
      </c>
      <c r="M4083" s="7">
        <v>2.8730000000000002</v>
      </c>
      <c r="N4083" s="7">
        <v>3.6269999999999998</v>
      </c>
      <c r="O4083" s="7">
        <v>3.8319999999999999</v>
      </c>
      <c r="P4083" s="7">
        <v>4.9249999999999998</v>
      </c>
      <c r="Q4083" s="7">
        <v>6.1680000000000001</v>
      </c>
      <c r="R4083" s="7">
        <v>6.4589999999999996</v>
      </c>
      <c r="S4083" s="7">
        <f t="shared" si="63"/>
        <v>4.5094166666666666</v>
      </c>
    </row>
    <row r="4084" spans="1:19">
      <c r="A4084" s="5" t="str">
        <f>B4084&amp;"-"&amp;COUNTIF($B$2:B4084,B4084)</f>
        <v>RIO GRANDE DO SUL-231</v>
      </c>
      <c r="B4084" s="5" t="s">
        <v>2552</v>
      </c>
      <c r="C4084" s="5" t="s">
        <v>4164</v>
      </c>
      <c r="D4084" s="6">
        <v>-52772</v>
      </c>
      <c r="E4084" s="6">
        <v>-292231</v>
      </c>
      <c r="F4084" s="7">
        <v>4.4980000000000002</v>
      </c>
      <c r="G4084" s="7">
        <v>6.2270000000000003</v>
      </c>
      <c r="H4084" s="7">
        <v>5.8730000000000002</v>
      </c>
      <c r="I4084" s="7">
        <v>4.952</v>
      </c>
      <c r="J4084" s="7">
        <v>3.919</v>
      </c>
      <c r="K4084" s="7">
        <v>2.895</v>
      </c>
      <c r="L4084" s="7">
        <v>2.4209999999999998</v>
      </c>
      <c r="M4084" s="7">
        <v>2.6960000000000002</v>
      </c>
      <c r="N4084" s="7">
        <v>3.45</v>
      </c>
      <c r="O4084" s="7">
        <v>3.7330000000000001</v>
      </c>
      <c r="P4084" s="7">
        <v>4.9119999999999999</v>
      </c>
      <c r="Q4084" s="7">
        <v>6.2560000000000002</v>
      </c>
      <c r="R4084" s="7">
        <v>6.6390000000000002</v>
      </c>
      <c r="S4084" s="7">
        <f t="shared" si="63"/>
        <v>4.4977499999999999</v>
      </c>
    </row>
    <row r="4085" spans="1:19">
      <c r="A4085" s="5" t="str">
        <f>B4085&amp;"-"&amp;COUNTIF($B$2:B4085,B4085)</f>
        <v>RIO GRANDE DO SUL-232</v>
      </c>
      <c r="B4085" s="5" t="s">
        <v>2552</v>
      </c>
      <c r="C4085" s="5" t="s">
        <v>2729</v>
      </c>
      <c r="D4085" s="6">
        <v>-519649</v>
      </c>
      <c r="E4085" s="6">
        <v>-294596</v>
      </c>
      <c r="F4085" s="7">
        <v>4.3620000000000001</v>
      </c>
      <c r="G4085" s="7">
        <v>6.1390000000000002</v>
      </c>
      <c r="H4085" s="7">
        <v>5.7560000000000002</v>
      </c>
      <c r="I4085" s="7">
        <v>4.8159999999999998</v>
      </c>
      <c r="J4085" s="7">
        <v>3.794</v>
      </c>
      <c r="K4085" s="7">
        <v>2.8109999999999999</v>
      </c>
      <c r="L4085" s="7">
        <v>2.33</v>
      </c>
      <c r="M4085" s="7">
        <v>2.5680000000000001</v>
      </c>
      <c r="N4085" s="7">
        <v>3.28</v>
      </c>
      <c r="O4085" s="7">
        <v>3.589</v>
      </c>
      <c r="P4085" s="7">
        <v>4.6399999999999997</v>
      </c>
      <c r="Q4085" s="7">
        <v>6.1239999999999997</v>
      </c>
      <c r="R4085" s="7">
        <v>6.4989999999999997</v>
      </c>
      <c r="S4085" s="7">
        <f t="shared" si="63"/>
        <v>4.3621666666666679</v>
      </c>
    </row>
    <row r="4086" spans="1:19">
      <c r="A4086" s="5" t="str">
        <f>B4086&amp;"-"&amp;COUNTIF($B$2:B4086,B4086)</f>
        <v>RIO GRANDE DO SUL-233</v>
      </c>
      <c r="B4086" s="5" t="s">
        <v>2552</v>
      </c>
      <c r="C4086" s="5" t="s">
        <v>2730</v>
      </c>
      <c r="D4086" s="6">
        <v>-531823</v>
      </c>
      <c r="E4086" s="6">
        <v>-276918</v>
      </c>
      <c r="F4086" s="7">
        <v>4.6529999999999996</v>
      </c>
      <c r="G4086" s="7">
        <v>6.3769999999999998</v>
      </c>
      <c r="H4086" s="7">
        <v>5.883</v>
      </c>
      <c r="I4086" s="7">
        <v>5.09</v>
      </c>
      <c r="J4086" s="7">
        <v>4.1120000000000001</v>
      </c>
      <c r="K4086" s="7">
        <v>3.11</v>
      </c>
      <c r="L4086" s="7">
        <v>2.5630000000000002</v>
      </c>
      <c r="M4086" s="7">
        <v>2.9140000000000001</v>
      </c>
      <c r="N4086" s="7">
        <v>3.6880000000000002</v>
      </c>
      <c r="O4086" s="7">
        <v>3.9710000000000001</v>
      </c>
      <c r="P4086" s="7">
        <v>5.1470000000000002</v>
      </c>
      <c r="Q4086" s="7">
        <v>6.2709999999999999</v>
      </c>
      <c r="R4086" s="7">
        <v>6.71</v>
      </c>
      <c r="S4086" s="7">
        <f t="shared" si="63"/>
        <v>4.6529999999999996</v>
      </c>
    </row>
    <row r="4087" spans="1:19">
      <c r="A4087" s="5" t="str">
        <f>B4087&amp;"-"&amp;COUNTIF($B$2:B4087,B4087)</f>
        <v>RIO GRANDE DO SUL-234</v>
      </c>
      <c r="B4087" s="5" t="s">
        <v>2552</v>
      </c>
      <c r="C4087" s="5" t="s">
        <v>2731</v>
      </c>
      <c r="D4087" s="6">
        <v>-538963</v>
      </c>
      <c r="E4087" s="6">
        <v>-30806</v>
      </c>
      <c r="F4087" s="7">
        <v>4.5199999999999996</v>
      </c>
      <c r="G4087" s="7">
        <v>6.452</v>
      </c>
      <c r="H4087" s="7">
        <v>5.8849999999999998</v>
      </c>
      <c r="I4087" s="7">
        <v>5.0209999999999999</v>
      </c>
      <c r="J4087" s="7">
        <v>3.8319999999999999</v>
      </c>
      <c r="K4087" s="7">
        <v>2.7629999999999999</v>
      </c>
      <c r="L4087" s="7">
        <v>2.3119999999999998</v>
      </c>
      <c r="M4087" s="7">
        <v>2.5990000000000002</v>
      </c>
      <c r="N4087" s="7">
        <v>3.2509999999999999</v>
      </c>
      <c r="O4087" s="7">
        <v>3.8359999999999999</v>
      </c>
      <c r="P4087" s="7">
        <v>5.069</v>
      </c>
      <c r="Q4087" s="7">
        <v>6.3250000000000002</v>
      </c>
      <c r="R4087" s="7">
        <v>6.9009999999999998</v>
      </c>
      <c r="S4087" s="7">
        <f t="shared" si="63"/>
        <v>4.5205000000000011</v>
      </c>
    </row>
    <row r="4088" spans="1:19">
      <c r="A4088" s="5" t="str">
        <f>B4088&amp;"-"&amp;COUNTIF($B$2:B4088,B4088)</f>
        <v>RIO GRANDE DO SUL-235</v>
      </c>
      <c r="B4088" s="5" t="s">
        <v>2552</v>
      </c>
      <c r="C4088" s="5" t="s">
        <v>2732</v>
      </c>
      <c r="D4088" s="6">
        <v>-530758</v>
      </c>
      <c r="E4088" s="6">
        <v>-276014</v>
      </c>
      <c r="F4088" s="7">
        <v>4.6550000000000002</v>
      </c>
      <c r="G4088" s="7">
        <v>6.3380000000000001</v>
      </c>
      <c r="H4088" s="7">
        <v>5.9009999999999998</v>
      </c>
      <c r="I4088" s="7">
        <v>5.1239999999999997</v>
      </c>
      <c r="J4088" s="7">
        <v>4.1459999999999999</v>
      </c>
      <c r="K4088" s="7">
        <v>3.1139999999999999</v>
      </c>
      <c r="L4088" s="7">
        <v>2.5619999999999998</v>
      </c>
      <c r="M4088" s="7">
        <v>2.8929999999999998</v>
      </c>
      <c r="N4088" s="7">
        <v>3.6970000000000001</v>
      </c>
      <c r="O4088" s="7">
        <v>3.9740000000000002</v>
      </c>
      <c r="P4088" s="7">
        <v>5.17</v>
      </c>
      <c r="Q4088" s="7">
        <v>6.2729999999999997</v>
      </c>
      <c r="R4088" s="7">
        <v>6.6669999999999998</v>
      </c>
      <c r="S4088" s="7">
        <f t="shared" si="63"/>
        <v>4.6549166666666677</v>
      </c>
    </row>
    <row r="4089" spans="1:19">
      <c r="A4089" s="5" t="str">
        <f>B4089&amp;"-"&amp;COUNTIF($B$2:B4089,B4089)</f>
        <v>RIO GRANDE DO SUL-236</v>
      </c>
      <c r="B4089" s="5" t="s">
        <v>2552</v>
      </c>
      <c r="C4089" s="5" t="s">
        <v>2733</v>
      </c>
      <c r="D4089" s="6">
        <v>-512088</v>
      </c>
      <c r="E4089" s="6">
        <v>-29595</v>
      </c>
      <c r="F4089" s="7">
        <v>4.3650000000000002</v>
      </c>
      <c r="G4089" s="7">
        <v>6.21</v>
      </c>
      <c r="H4089" s="7">
        <v>5.7619999999999996</v>
      </c>
      <c r="I4089" s="7">
        <v>4.8410000000000002</v>
      </c>
      <c r="J4089" s="7">
        <v>3.7879999999999998</v>
      </c>
      <c r="K4089" s="7">
        <v>2.8239999999999998</v>
      </c>
      <c r="L4089" s="7">
        <v>2.3460000000000001</v>
      </c>
      <c r="M4089" s="7">
        <v>2.5379999999999998</v>
      </c>
      <c r="N4089" s="7">
        <v>3.2269999999999999</v>
      </c>
      <c r="O4089" s="7">
        <v>3.548</v>
      </c>
      <c r="P4089" s="7">
        <v>4.6210000000000004</v>
      </c>
      <c r="Q4089" s="7">
        <v>6.1050000000000004</v>
      </c>
      <c r="R4089" s="7">
        <v>6.5679999999999996</v>
      </c>
      <c r="S4089" s="7">
        <f t="shared" si="63"/>
        <v>4.3648333333333333</v>
      </c>
    </row>
    <row r="4090" spans="1:19">
      <c r="A4090" s="5" t="str">
        <f>B4090&amp;"-"&amp;COUNTIF($B$2:B4090,B4090)</f>
        <v>RIO GRANDE DO SUL-237</v>
      </c>
      <c r="B4090" s="5" t="s">
        <v>2552</v>
      </c>
      <c r="C4090" s="5" t="s">
        <v>2734</v>
      </c>
      <c r="D4090" s="6">
        <v>-512007</v>
      </c>
      <c r="E4090" s="6">
        <v>-294684</v>
      </c>
      <c r="F4090" s="7">
        <v>4.3449999999999998</v>
      </c>
      <c r="G4090" s="7">
        <v>6.19</v>
      </c>
      <c r="H4090" s="7">
        <v>5.7089999999999996</v>
      </c>
      <c r="I4090" s="7">
        <v>4.782</v>
      </c>
      <c r="J4090" s="7">
        <v>3.79</v>
      </c>
      <c r="K4090" s="7">
        <v>2.806</v>
      </c>
      <c r="L4090" s="7">
        <v>2.3460000000000001</v>
      </c>
      <c r="M4090" s="7">
        <v>2.5640000000000001</v>
      </c>
      <c r="N4090" s="7">
        <v>3.2410000000000001</v>
      </c>
      <c r="O4090" s="7">
        <v>3.5430000000000001</v>
      </c>
      <c r="P4090" s="7">
        <v>4.5910000000000002</v>
      </c>
      <c r="Q4090" s="7">
        <v>6.0880000000000001</v>
      </c>
      <c r="R4090" s="7">
        <v>6.4880000000000004</v>
      </c>
      <c r="S4090" s="7">
        <f t="shared" si="63"/>
        <v>4.3448333333333338</v>
      </c>
    </row>
    <row r="4091" spans="1:19">
      <c r="A4091" s="5" t="str">
        <f>B4091&amp;"-"&amp;COUNTIF($B$2:B4091,B4091)</f>
        <v>RIO GRANDE DO SUL-238</v>
      </c>
      <c r="B4091" s="5" t="s">
        <v>2552</v>
      </c>
      <c r="C4091" s="5" t="s">
        <v>5719</v>
      </c>
      <c r="D4091" s="6">
        <v>-560679</v>
      </c>
      <c r="E4091" s="6">
        <v>-291449</v>
      </c>
      <c r="F4091" s="7">
        <v>4.7919999999999998</v>
      </c>
      <c r="G4091" s="7">
        <v>6.8719999999999999</v>
      </c>
      <c r="H4091" s="7">
        <v>6.258</v>
      </c>
      <c r="I4091" s="7">
        <v>5.3010000000000002</v>
      </c>
      <c r="J4091" s="7">
        <v>4.0609999999999999</v>
      </c>
      <c r="K4091" s="7">
        <v>3.0470000000000002</v>
      </c>
      <c r="L4091" s="7">
        <v>2.4990000000000001</v>
      </c>
      <c r="M4091" s="7">
        <v>2.802</v>
      </c>
      <c r="N4091" s="7">
        <v>3.5840000000000001</v>
      </c>
      <c r="O4091" s="7">
        <v>4.1470000000000002</v>
      </c>
      <c r="P4091" s="7">
        <v>5.3890000000000002</v>
      </c>
      <c r="Q4091" s="7">
        <v>6.4960000000000004</v>
      </c>
      <c r="R4091" s="7">
        <v>7.0439999999999996</v>
      </c>
      <c r="S4091" s="7">
        <f t="shared" si="63"/>
        <v>4.791666666666667</v>
      </c>
    </row>
    <row r="4092" spans="1:19">
      <c r="A4092" s="5" t="str">
        <f>B4092&amp;"-"&amp;COUNTIF($B$2:B4092,B4092)</f>
        <v>RIO GRANDE DO SUL-239</v>
      </c>
      <c r="B4092" s="5" t="s">
        <v>2552</v>
      </c>
      <c r="C4092" s="5" t="s">
        <v>2735</v>
      </c>
      <c r="D4092" s="6">
        <v>-516673</v>
      </c>
      <c r="E4092" s="6">
        <v>-275671</v>
      </c>
      <c r="F4092" s="7">
        <v>4.6230000000000002</v>
      </c>
      <c r="G4092" s="7">
        <v>6.33</v>
      </c>
      <c r="H4092" s="7">
        <v>5.7910000000000004</v>
      </c>
      <c r="I4092" s="7">
        <v>5.0430000000000001</v>
      </c>
      <c r="J4092" s="7">
        <v>4.1100000000000003</v>
      </c>
      <c r="K4092" s="7">
        <v>3.0779999999999998</v>
      </c>
      <c r="L4092" s="7">
        <v>2.6440000000000001</v>
      </c>
      <c r="M4092" s="7">
        <v>2.9079999999999999</v>
      </c>
      <c r="N4092" s="7">
        <v>3.7269999999999999</v>
      </c>
      <c r="O4092" s="7">
        <v>3.9609999999999999</v>
      </c>
      <c r="P4092" s="7">
        <v>5.0599999999999996</v>
      </c>
      <c r="Q4092" s="7">
        <v>6.2460000000000004</v>
      </c>
      <c r="R4092" s="7">
        <v>6.5739999999999998</v>
      </c>
      <c r="S4092" s="7">
        <f t="shared" si="63"/>
        <v>4.6226666666666665</v>
      </c>
    </row>
    <row r="4093" spans="1:19">
      <c r="A4093" s="5" t="str">
        <f>B4093&amp;"-"&amp;COUNTIF($B$2:B4093,B4093)</f>
        <v>RIO GRANDE DO SUL-240</v>
      </c>
      <c r="B4093" s="5" t="s">
        <v>2552</v>
      </c>
      <c r="C4093" s="5" t="s">
        <v>2736</v>
      </c>
      <c r="D4093" s="6">
        <v>-49935</v>
      </c>
      <c r="E4093" s="6">
        <v>-292109</v>
      </c>
      <c r="F4093" s="7">
        <v>3.9390000000000001</v>
      </c>
      <c r="G4093" s="7">
        <v>5.1749999999999998</v>
      </c>
      <c r="H4093" s="7">
        <v>4.867</v>
      </c>
      <c r="I4093" s="7">
        <v>4.1980000000000004</v>
      </c>
      <c r="J4093" s="7">
        <v>3.6709999999999998</v>
      </c>
      <c r="K4093" s="7">
        <v>2.8540000000000001</v>
      </c>
      <c r="L4093" s="7">
        <v>2.4220000000000002</v>
      </c>
      <c r="M4093" s="7">
        <v>2.6579999999999999</v>
      </c>
      <c r="N4093" s="7">
        <v>3.347</v>
      </c>
      <c r="O4093" s="7">
        <v>3.379</v>
      </c>
      <c r="P4093" s="7">
        <v>3.9950000000000001</v>
      </c>
      <c r="Q4093" s="7">
        <v>5.2380000000000004</v>
      </c>
      <c r="R4093" s="7">
        <v>5.4630000000000001</v>
      </c>
      <c r="S4093" s="7">
        <f t="shared" si="63"/>
        <v>3.9389166666666671</v>
      </c>
    </row>
    <row r="4094" spans="1:19">
      <c r="A4094" s="5" t="str">
        <f>B4094&amp;"-"&amp;COUNTIF($B$2:B4094,B4094)</f>
        <v>RIO GRANDE DO SUL-241</v>
      </c>
      <c r="B4094" s="5" t="s">
        <v>2552</v>
      </c>
      <c r="C4094" s="5" t="s">
        <v>2737</v>
      </c>
      <c r="D4094" s="6">
        <v>-554846</v>
      </c>
      <c r="E4094" s="6">
        <v>-295864</v>
      </c>
      <c r="F4094" s="7">
        <v>4.7229999999999999</v>
      </c>
      <c r="G4094" s="7">
        <v>6.8140000000000001</v>
      </c>
      <c r="H4094" s="7">
        <v>6.1280000000000001</v>
      </c>
      <c r="I4094" s="7">
        <v>5.234</v>
      </c>
      <c r="J4094" s="7">
        <v>4.0309999999999997</v>
      </c>
      <c r="K4094" s="7">
        <v>2.976</v>
      </c>
      <c r="L4094" s="7">
        <v>2.4740000000000002</v>
      </c>
      <c r="M4094" s="7">
        <v>2.7090000000000001</v>
      </c>
      <c r="N4094" s="7">
        <v>3.508</v>
      </c>
      <c r="O4094" s="7">
        <v>4.07</v>
      </c>
      <c r="P4094" s="7">
        <v>5.2670000000000003</v>
      </c>
      <c r="Q4094" s="7">
        <v>6.4290000000000003</v>
      </c>
      <c r="R4094" s="7">
        <v>7.0359999999999996</v>
      </c>
      <c r="S4094" s="7">
        <f t="shared" si="63"/>
        <v>4.7230000000000008</v>
      </c>
    </row>
    <row r="4095" spans="1:19">
      <c r="A4095" s="5" t="str">
        <f>B4095&amp;"-"&amp;COUNTIF($B$2:B4095,B4095)</f>
        <v>RIO GRANDE DO SUL-242</v>
      </c>
      <c r="B4095" s="5" t="s">
        <v>2552</v>
      </c>
      <c r="C4095" s="5" t="s">
        <v>4475</v>
      </c>
      <c r="D4095" s="6">
        <v>-502069</v>
      </c>
      <c r="E4095" s="6">
        <v>-29675</v>
      </c>
      <c r="F4095" s="7">
        <v>4.0979999999999999</v>
      </c>
      <c r="G4095" s="7">
        <v>5.74</v>
      </c>
      <c r="H4095" s="7">
        <v>5.1680000000000001</v>
      </c>
      <c r="I4095" s="7">
        <v>4.3869999999999996</v>
      </c>
      <c r="J4095" s="7">
        <v>3.702</v>
      </c>
      <c r="K4095" s="7">
        <v>2.7320000000000002</v>
      </c>
      <c r="L4095" s="7">
        <v>2.36</v>
      </c>
      <c r="M4095" s="7">
        <v>2.585</v>
      </c>
      <c r="N4095" s="7">
        <v>3.234</v>
      </c>
      <c r="O4095" s="7">
        <v>3.4169999999999998</v>
      </c>
      <c r="P4095" s="7">
        <v>4.2839999999999998</v>
      </c>
      <c r="Q4095" s="7">
        <v>5.6079999999999997</v>
      </c>
      <c r="R4095" s="7">
        <v>5.9539999999999997</v>
      </c>
      <c r="S4095" s="7">
        <f t="shared" si="63"/>
        <v>4.0975833333333336</v>
      </c>
    </row>
    <row r="4096" spans="1:19">
      <c r="A4096" s="5" t="str">
        <f>B4096&amp;"-"&amp;COUNTIF($B$2:B4096,B4096)</f>
        <v>RIO GRANDE DO SUL-243</v>
      </c>
      <c r="B4096" s="5" t="s">
        <v>2552</v>
      </c>
      <c r="C4096" s="5" t="s">
        <v>5720</v>
      </c>
      <c r="D4096" s="6">
        <v>-515557</v>
      </c>
      <c r="E4096" s="6">
        <v>-295496</v>
      </c>
      <c r="F4096" s="7">
        <v>4.3140000000000001</v>
      </c>
      <c r="G4096" s="7">
        <v>6.149</v>
      </c>
      <c r="H4096" s="7">
        <v>5.6559999999999997</v>
      </c>
      <c r="I4096" s="7">
        <v>4.7489999999999997</v>
      </c>
      <c r="J4096" s="7">
        <v>3.7759999999999998</v>
      </c>
      <c r="K4096" s="7">
        <v>2.7839999999999998</v>
      </c>
      <c r="L4096" s="7">
        <v>2.3410000000000002</v>
      </c>
      <c r="M4096" s="7">
        <v>2.5659999999999998</v>
      </c>
      <c r="N4096" s="7">
        <v>3.2309999999999999</v>
      </c>
      <c r="O4096" s="7">
        <v>3.5230000000000001</v>
      </c>
      <c r="P4096" s="7">
        <v>4.5549999999999997</v>
      </c>
      <c r="Q4096" s="7">
        <v>6.0350000000000001</v>
      </c>
      <c r="R4096" s="7">
        <v>6.4029999999999996</v>
      </c>
      <c r="S4096" s="7">
        <f t="shared" si="63"/>
        <v>4.3139999999999992</v>
      </c>
    </row>
    <row r="4097" spans="1:19">
      <c r="A4097" s="5" t="str">
        <f>B4097&amp;"-"&amp;COUNTIF($B$2:B4097,B4097)</f>
        <v>RIO GRANDE DO SUL-244</v>
      </c>
      <c r="B4097" s="5" t="s">
        <v>2552</v>
      </c>
      <c r="C4097" s="5" t="s">
        <v>2738</v>
      </c>
      <c r="D4097" s="6">
        <v>-521991</v>
      </c>
      <c r="E4097" s="6">
        <v>-284502</v>
      </c>
      <c r="F4097" s="7">
        <v>4.524</v>
      </c>
      <c r="G4097" s="7">
        <v>6.1909999999999998</v>
      </c>
      <c r="H4097" s="7">
        <v>5.7590000000000003</v>
      </c>
      <c r="I4097" s="7">
        <v>4.923</v>
      </c>
      <c r="J4097" s="7">
        <v>3.99</v>
      </c>
      <c r="K4097" s="7">
        <v>2.9950000000000001</v>
      </c>
      <c r="L4097" s="7">
        <v>2.4870000000000001</v>
      </c>
      <c r="M4097" s="7">
        <v>2.8170000000000002</v>
      </c>
      <c r="N4097" s="7">
        <v>3.5550000000000002</v>
      </c>
      <c r="O4097" s="7">
        <v>3.8220000000000001</v>
      </c>
      <c r="P4097" s="7">
        <v>4.9889999999999999</v>
      </c>
      <c r="Q4097" s="7">
        <v>6.2089999999999996</v>
      </c>
      <c r="R4097" s="7">
        <v>6.556</v>
      </c>
      <c r="S4097" s="7">
        <f t="shared" si="63"/>
        <v>4.5244166666666663</v>
      </c>
    </row>
    <row r="4098" spans="1:19">
      <c r="A4098" s="5" t="str">
        <f>B4098&amp;"-"&amp;COUNTIF($B$2:B4098,B4098)</f>
        <v>RIO GRANDE DO SUL-245</v>
      </c>
      <c r="B4098" s="5" t="s">
        <v>2552</v>
      </c>
      <c r="C4098" s="5" t="s">
        <v>2739</v>
      </c>
      <c r="D4098" s="5" t="s">
        <v>2740</v>
      </c>
      <c r="E4098" s="6">
        <v>-274681</v>
      </c>
      <c r="F4098" s="7">
        <v>4.6210000000000004</v>
      </c>
      <c r="G4098" s="7">
        <v>6.3150000000000004</v>
      </c>
      <c r="H4098" s="7">
        <v>5.8109999999999999</v>
      </c>
      <c r="I4098" s="7">
        <v>5.0869999999999997</v>
      </c>
      <c r="J4098" s="7">
        <v>4.0609999999999999</v>
      </c>
      <c r="K4098" s="7">
        <v>3.0630000000000002</v>
      </c>
      <c r="L4098" s="7">
        <v>2.5539999999999998</v>
      </c>
      <c r="M4098" s="7">
        <v>2.8860000000000001</v>
      </c>
      <c r="N4098" s="7">
        <v>3.726</v>
      </c>
      <c r="O4098" s="7">
        <v>3.9790000000000001</v>
      </c>
      <c r="P4098" s="7">
        <v>5.0890000000000004</v>
      </c>
      <c r="Q4098" s="7">
        <v>6.3</v>
      </c>
      <c r="R4098" s="7">
        <v>6.5869999999999997</v>
      </c>
      <c r="S4098" s="7">
        <f t="shared" si="63"/>
        <v>4.6215000000000002</v>
      </c>
    </row>
    <row r="4099" spans="1:19">
      <c r="A4099" s="5" t="str">
        <f>B4099&amp;"-"&amp;COUNTIF($B$2:B4099,B4099)</f>
        <v>RIO GRANDE DO SUL-246</v>
      </c>
      <c r="B4099" s="5" t="s">
        <v>2552</v>
      </c>
      <c r="C4099" s="5" t="s">
        <v>2741</v>
      </c>
      <c r="D4099" s="6">
        <v>-515829</v>
      </c>
      <c r="E4099" s="6">
        <v>-30353</v>
      </c>
      <c r="F4099" s="7">
        <v>4.3140000000000001</v>
      </c>
      <c r="G4099" s="7">
        <v>6.2450000000000001</v>
      </c>
      <c r="H4099" s="7">
        <v>5.5910000000000002</v>
      </c>
      <c r="I4099" s="7">
        <v>4.718</v>
      </c>
      <c r="J4099" s="7">
        <v>3.718</v>
      </c>
      <c r="K4099" s="7">
        <v>2.7519999999999998</v>
      </c>
      <c r="L4099" s="7">
        <v>2.3180000000000001</v>
      </c>
      <c r="M4099" s="7">
        <v>2.5129999999999999</v>
      </c>
      <c r="N4099" s="7">
        <v>3.1309999999999998</v>
      </c>
      <c r="O4099" s="7">
        <v>3.54</v>
      </c>
      <c r="P4099" s="7">
        <v>4.6840000000000002</v>
      </c>
      <c r="Q4099" s="7">
        <v>6.077</v>
      </c>
      <c r="R4099" s="7">
        <v>6.4859999999999998</v>
      </c>
      <c r="S4099" s="7">
        <f t="shared" ref="S4099:S4162" si="64">(G4099+H4099+I4099+J4099+K4099+L4099+M4099+N4099+O4099+P4099+Q4099+R4099)/12</f>
        <v>4.3144166666666663</v>
      </c>
    </row>
    <row r="4100" spans="1:19">
      <c r="A4100" s="5" t="str">
        <f>B4100&amp;"-"&amp;COUNTIF($B$2:B4100,B4100)</f>
        <v>RIO GRANDE DO SUL-247</v>
      </c>
      <c r="B4100" s="5" t="s">
        <v>2552</v>
      </c>
      <c r="C4100" s="5" t="s">
        <v>2742</v>
      </c>
      <c r="D4100" s="6">
        <v>-521471</v>
      </c>
      <c r="E4100" s="6">
        <v>-273572</v>
      </c>
      <c r="F4100" s="7">
        <v>4.6440000000000001</v>
      </c>
      <c r="G4100" s="7">
        <v>6.3769999999999998</v>
      </c>
      <c r="H4100" s="7">
        <v>5.8840000000000003</v>
      </c>
      <c r="I4100" s="7">
        <v>5.1459999999999999</v>
      </c>
      <c r="J4100" s="7">
        <v>4.0609999999999999</v>
      </c>
      <c r="K4100" s="7">
        <v>3.0609999999999999</v>
      </c>
      <c r="L4100" s="7">
        <v>2.5619999999999998</v>
      </c>
      <c r="M4100" s="7">
        <v>2.8820000000000001</v>
      </c>
      <c r="N4100" s="7">
        <v>3.7450000000000001</v>
      </c>
      <c r="O4100" s="7">
        <v>3.99</v>
      </c>
      <c r="P4100" s="7">
        <v>5.1100000000000003</v>
      </c>
      <c r="Q4100" s="7">
        <v>6.2789999999999999</v>
      </c>
      <c r="R4100" s="7">
        <v>6.6269999999999998</v>
      </c>
      <c r="S4100" s="7">
        <f t="shared" si="64"/>
        <v>4.6436666666666673</v>
      </c>
    </row>
    <row r="4101" spans="1:19">
      <c r="A4101" s="5" t="str">
        <f>B4101&amp;"-"&amp;COUNTIF($B$2:B4101,B4101)</f>
        <v>RIO GRANDE DO SUL-248</v>
      </c>
      <c r="B4101" s="5" t="s">
        <v>2552</v>
      </c>
      <c r="C4101" s="5" t="s">
        <v>2743</v>
      </c>
      <c r="D4101" s="6">
        <v>-520976</v>
      </c>
      <c r="E4101" s="6">
        <v>-293298</v>
      </c>
      <c r="F4101" s="7">
        <v>4.351</v>
      </c>
      <c r="G4101" s="7">
        <v>6.0869999999999997</v>
      </c>
      <c r="H4101" s="7">
        <v>5.7080000000000002</v>
      </c>
      <c r="I4101" s="7">
        <v>4.7850000000000001</v>
      </c>
      <c r="J4101" s="7">
        <v>3.7890000000000001</v>
      </c>
      <c r="K4101" s="7">
        <v>2.82</v>
      </c>
      <c r="L4101" s="7">
        <v>2.3540000000000001</v>
      </c>
      <c r="M4101" s="7">
        <v>2.6070000000000002</v>
      </c>
      <c r="N4101" s="7">
        <v>3.3290000000000002</v>
      </c>
      <c r="O4101" s="7">
        <v>3.5920000000000001</v>
      </c>
      <c r="P4101" s="7">
        <v>4.6580000000000004</v>
      </c>
      <c r="Q4101" s="7">
        <v>6.0460000000000003</v>
      </c>
      <c r="R4101" s="7">
        <v>6.4379999999999997</v>
      </c>
      <c r="S4101" s="7">
        <f t="shared" si="64"/>
        <v>4.3510833333333334</v>
      </c>
    </row>
    <row r="4102" spans="1:19">
      <c r="A4102" s="5" t="str">
        <f>B4102&amp;"-"&amp;COUNTIF($B$2:B4102,B4102)</f>
        <v>RIO GRANDE DO SUL-249</v>
      </c>
      <c r="B4102" s="5" t="s">
        <v>2552</v>
      </c>
      <c r="C4102" s="5" t="s">
        <v>2744</v>
      </c>
      <c r="D4102" s="6">
        <v>-544646</v>
      </c>
      <c r="E4102" s="6">
        <v>-295654</v>
      </c>
      <c r="F4102" s="7">
        <v>4.5819999999999999</v>
      </c>
      <c r="G4102" s="7">
        <v>6.5270000000000001</v>
      </c>
      <c r="H4102" s="7">
        <v>6.0250000000000004</v>
      </c>
      <c r="I4102" s="7">
        <v>5.0789999999999997</v>
      </c>
      <c r="J4102" s="7">
        <v>3.9390000000000001</v>
      </c>
      <c r="K4102" s="7">
        <v>2.8759999999999999</v>
      </c>
      <c r="L4102" s="7">
        <v>2.399</v>
      </c>
      <c r="M4102" s="7">
        <v>2.66</v>
      </c>
      <c r="N4102" s="7">
        <v>3.3959999999999999</v>
      </c>
      <c r="O4102" s="7">
        <v>3.8730000000000002</v>
      </c>
      <c r="P4102" s="7">
        <v>5.0129999999999999</v>
      </c>
      <c r="Q4102" s="7">
        <v>6.2969999999999997</v>
      </c>
      <c r="R4102" s="7">
        <v>6.9</v>
      </c>
      <c r="S4102" s="7">
        <f t="shared" si="64"/>
        <v>4.5819999999999999</v>
      </c>
    </row>
    <row r="4103" spans="1:19">
      <c r="A4103" s="5" t="str">
        <f>B4103&amp;"-"&amp;COUNTIF($B$2:B4103,B4103)</f>
        <v>RIO GRANDE DO SUL-250</v>
      </c>
      <c r="B4103" s="5" t="s">
        <v>2552</v>
      </c>
      <c r="C4103" s="5" t="s">
        <v>2745</v>
      </c>
      <c r="D4103" s="6">
        <v>-521937</v>
      </c>
      <c r="E4103" s="6">
        <v>-282805</v>
      </c>
      <c r="F4103" s="7">
        <v>4.5140000000000002</v>
      </c>
      <c r="G4103" s="7">
        <v>6.1609999999999996</v>
      </c>
      <c r="H4103" s="7">
        <v>5.7480000000000002</v>
      </c>
      <c r="I4103" s="7">
        <v>4.9039999999999999</v>
      </c>
      <c r="J4103" s="7">
        <v>3.9820000000000002</v>
      </c>
      <c r="K4103" s="7">
        <v>2.9950000000000001</v>
      </c>
      <c r="L4103" s="7">
        <v>2.5019999999999998</v>
      </c>
      <c r="M4103" s="7">
        <v>2.831</v>
      </c>
      <c r="N4103" s="7">
        <v>3.585</v>
      </c>
      <c r="O4103" s="7">
        <v>3.835</v>
      </c>
      <c r="P4103" s="7">
        <v>4.9669999999999996</v>
      </c>
      <c r="Q4103" s="7">
        <v>6.1459999999999999</v>
      </c>
      <c r="R4103" s="7">
        <v>6.5090000000000003</v>
      </c>
      <c r="S4103" s="7">
        <f t="shared" si="64"/>
        <v>4.5137499999999999</v>
      </c>
    </row>
    <row r="4104" spans="1:19">
      <c r="A4104" s="5" t="str">
        <f>B4104&amp;"-"&amp;COUNTIF($B$2:B4104,B4104)</f>
        <v>RIO GRANDE DO SUL-251</v>
      </c>
      <c r="B4104" s="5" t="s">
        <v>2552</v>
      </c>
      <c r="C4104" s="5" t="s">
        <v>4165</v>
      </c>
      <c r="D4104" s="6">
        <v>-521282</v>
      </c>
      <c r="E4104" s="6">
        <v>-29529</v>
      </c>
      <c r="F4104" s="7">
        <v>4.3049999999999997</v>
      </c>
      <c r="G4104" s="7">
        <v>5.9720000000000004</v>
      </c>
      <c r="H4104" s="7">
        <v>5.6280000000000001</v>
      </c>
      <c r="I4104" s="7">
        <v>4.742</v>
      </c>
      <c r="J4104" s="7">
        <v>3.782</v>
      </c>
      <c r="K4104" s="7">
        <v>2.8140000000000001</v>
      </c>
      <c r="L4104" s="7">
        <v>2.3420000000000001</v>
      </c>
      <c r="M4104" s="7">
        <v>2.552</v>
      </c>
      <c r="N4104" s="7">
        <v>3.286</v>
      </c>
      <c r="O4104" s="7">
        <v>3.5670000000000002</v>
      </c>
      <c r="P4104" s="7">
        <v>4.5810000000000004</v>
      </c>
      <c r="Q4104" s="7">
        <v>6.0030000000000001</v>
      </c>
      <c r="R4104" s="7">
        <v>6.391</v>
      </c>
      <c r="S4104" s="7">
        <f t="shared" si="64"/>
        <v>4.3050000000000006</v>
      </c>
    </row>
    <row r="4105" spans="1:19">
      <c r="A4105" s="5" t="str">
        <f>B4105&amp;"-"&amp;COUNTIF($B$2:B4105,B4105)</f>
        <v>RIO GRANDE DO SUL-252</v>
      </c>
      <c r="B4105" s="5" t="s">
        <v>2552</v>
      </c>
      <c r="C4105" s="5" t="s">
        <v>2746</v>
      </c>
      <c r="D4105" s="6">
        <v>-546163</v>
      </c>
      <c r="E4105" s="6">
        <v>-282562</v>
      </c>
      <c r="F4105" s="7">
        <v>4.6890000000000001</v>
      </c>
      <c r="G4105" s="7">
        <v>6.5590000000000002</v>
      </c>
      <c r="H4105" s="7">
        <v>6.1260000000000003</v>
      </c>
      <c r="I4105" s="7">
        <v>5.2210000000000001</v>
      </c>
      <c r="J4105" s="7">
        <v>4.07</v>
      </c>
      <c r="K4105" s="7">
        <v>3.0819999999999999</v>
      </c>
      <c r="L4105" s="7">
        <v>2.5209999999999999</v>
      </c>
      <c r="M4105" s="7">
        <v>2.8039999999999998</v>
      </c>
      <c r="N4105" s="7">
        <v>3.589</v>
      </c>
      <c r="O4105" s="7">
        <v>4.0369999999999999</v>
      </c>
      <c r="P4105" s="7">
        <v>5.1529999999999996</v>
      </c>
      <c r="Q4105" s="7">
        <v>6.3520000000000003</v>
      </c>
      <c r="R4105" s="7">
        <v>6.7590000000000003</v>
      </c>
      <c r="S4105" s="7">
        <f t="shared" si="64"/>
        <v>4.6894166666666663</v>
      </c>
    </row>
    <row r="4106" spans="1:19">
      <c r="A4106" s="5" t="str">
        <f>B4106&amp;"-"&amp;COUNTIF($B$2:B4106,B4106)</f>
        <v>RIO GRANDE DO SUL-253</v>
      </c>
      <c r="B4106" s="5" t="s">
        <v>2552</v>
      </c>
      <c r="C4106" s="5" t="s">
        <v>2747</v>
      </c>
      <c r="D4106" s="6">
        <v>-518025</v>
      </c>
      <c r="E4106" s="6">
        <v>-27633</v>
      </c>
      <c r="F4106" s="7">
        <v>4.625</v>
      </c>
      <c r="G4106" s="7">
        <v>6.3170000000000002</v>
      </c>
      <c r="H4106" s="7">
        <v>5.8360000000000003</v>
      </c>
      <c r="I4106" s="7">
        <v>5.0839999999999996</v>
      </c>
      <c r="J4106" s="7">
        <v>4.093</v>
      </c>
      <c r="K4106" s="7">
        <v>3.0720000000000001</v>
      </c>
      <c r="L4106" s="7">
        <v>2.5720000000000001</v>
      </c>
      <c r="M4106" s="7">
        <v>2.8929999999999998</v>
      </c>
      <c r="N4106" s="7">
        <v>3.7040000000000002</v>
      </c>
      <c r="O4106" s="7">
        <v>3.9569999999999999</v>
      </c>
      <c r="P4106" s="7">
        <v>5.0810000000000004</v>
      </c>
      <c r="Q4106" s="7">
        <v>6.2910000000000004</v>
      </c>
      <c r="R4106" s="7">
        <v>6.5970000000000004</v>
      </c>
      <c r="S4106" s="7">
        <f t="shared" si="64"/>
        <v>4.6247500000000006</v>
      </c>
    </row>
    <row r="4107" spans="1:19">
      <c r="A4107" s="5" t="str">
        <f>B4107&amp;"-"&amp;COUNTIF($B$2:B4107,B4107)</f>
        <v>RIO GRANDE DO SUL-254</v>
      </c>
      <c r="B4107" s="5" t="s">
        <v>2552</v>
      </c>
      <c r="C4107" s="5" t="s">
        <v>4166</v>
      </c>
      <c r="D4107" s="6">
        <v>-520479</v>
      </c>
      <c r="E4107" s="6">
        <v>-30127</v>
      </c>
      <c r="F4107" s="7">
        <v>4.4489999999999998</v>
      </c>
      <c r="G4107" s="7">
        <v>6.4530000000000003</v>
      </c>
      <c r="H4107" s="7">
        <v>5.8609999999999998</v>
      </c>
      <c r="I4107" s="7">
        <v>4.8979999999999997</v>
      </c>
      <c r="J4107" s="7">
        <v>3.8039999999999998</v>
      </c>
      <c r="K4107" s="7">
        <v>2.7829999999999999</v>
      </c>
      <c r="L4107" s="7">
        <v>2.3199999999999998</v>
      </c>
      <c r="M4107" s="7">
        <v>2.5270000000000001</v>
      </c>
      <c r="N4107" s="7">
        <v>3.2109999999999999</v>
      </c>
      <c r="O4107" s="7">
        <v>3.6680000000000001</v>
      </c>
      <c r="P4107" s="7">
        <v>4.8730000000000002</v>
      </c>
      <c r="Q4107" s="7">
        <v>6.2519999999999998</v>
      </c>
      <c r="R4107" s="7">
        <v>6.734</v>
      </c>
      <c r="S4107" s="7">
        <f t="shared" si="64"/>
        <v>4.448666666666667</v>
      </c>
    </row>
    <row r="4108" spans="1:19">
      <c r="A4108" s="5" t="str">
        <f>B4108&amp;"-"&amp;COUNTIF($B$2:B4108,B4108)</f>
        <v>RIO GRANDE DO SUL-255</v>
      </c>
      <c r="B4108" s="5" t="s">
        <v>2552</v>
      </c>
      <c r="C4108" s="5" t="s">
        <v>2748</v>
      </c>
      <c r="D4108" s="6">
        <v>-536895</v>
      </c>
      <c r="E4108" s="6">
        <v>-274974</v>
      </c>
      <c r="F4108" s="7">
        <v>4.6550000000000002</v>
      </c>
      <c r="G4108" s="7">
        <v>6.4450000000000003</v>
      </c>
      <c r="H4108" s="7">
        <v>5.9009999999999998</v>
      </c>
      <c r="I4108" s="7">
        <v>5.1420000000000003</v>
      </c>
      <c r="J4108" s="7">
        <v>4.0709999999999997</v>
      </c>
      <c r="K4108" s="7">
        <v>3.1190000000000002</v>
      </c>
      <c r="L4108" s="7">
        <v>2.552</v>
      </c>
      <c r="M4108" s="7">
        <v>2.9220000000000002</v>
      </c>
      <c r="N4108" s="7">
        <v>3.7040000000000002</v>
      </c>
      <c r="O4108" s="7">
        <v>4.0049999999999999</v>
      </c>
      <c r="P4108" s="7">
        <v>5.1740000000000004</v>
      </c>
      <c r="Q4108" s="7">
        <v>6.2240000000000002</v>
      </c>
      <c r="R4108" s="7">
        <v>6.5990000000000002</v>
      </c>
      <c r="S4108" s="7">
        <f t="shared" si="64"/>
        <v>4.6548333333333334</v>
      </c>
    </row>
    <row r="4109" spans="1:19">
      <c r="A4109" s="5" t="str">
        <f>B4109&amp;"-"&amp;COUNTIF($B$2:B4109,B4109)</f>
        <v>RIO GRANDE DO SUL-256</v>
      </c>
      <c r="B4109" s="5" t="s">
        <v>2552</v>
      </c>
      <c r="C4109" s="5" t="s">
        <v>2749</v>
      </c>
      <c r="D4109" s="6">
        <v>-520772</v>
      </c>
      <c r="E4109" s="6">
        <v>-286466</v>
      </c>
      <c r="F4109" s="7">
        <v>4.4820000000000002</v>
      </c>
      <c r="G4109" s="7">
        <v>6.1459999999999999</v>
      </c>
      <c r="H4109" s="7">
        <v>5.7770000000000001</v>
      </c>
      <c r="I4109" s="7">
        <v>4.8940000000000001</v>
      </c>
      <c r="J4109" s="7">
        <v>3.9390000000000001</v>
      </c>
      <c r="K4109" s="7">
        <v>2.9220000000000002</v>
      </c>
      <c r="L4109" s="7">
        <v>2.4710000000000001</v>
      </c>
      <c r="M4109" s="7">
        <v>2.7690000000000001</v>
      </c>
      <c r="N4109" s="7">
        <v>3.51</v>
      </c>
      <c r="O4109" s="7">
        <v>3.774</v>
      </c>
      <c r="P4109" s="7">
        <v>4.9039999999999999</v>
      </c>
      <c r="Q4109" s="7">
        <v>6.1139999999999999</v>
      </c>
      <c r="R4109" s="7">
        <v>6.5659999999999998</v>
      </c>
      <c r="S4109" s="7">
        <f t="shared" si="64"/>
        <v>4.4821666666666662</v>
      </c>
    </row>
    <row r="4110" spans="1:19">
      <c r="A4110" s="5" t="str">
        <f>B4110&amp;"-"&amp;COUNTIF($B$2:B4110,B4110)</f>
        <v>RIO GRANDE DO SUL-257</v>
      </c>
      <c r="B4110" s="5" t="s">
        <v>2552</v>
      </c>
      <c r="C4110" s="5" t="s">
        <v>2750</v>
      </c>
      <c r="D4110" s="6">
        <v>-507838</v>
      </c>
      <c r="E4110" s="6">
        <v>-28681</v>
      </c>
      <c r="F4110" s="7">
        <v>4.4279999999999999</v>
      </c>
      <c r="G4110" s="7">
        <v>5.9960000000000004</v>
      </c>
      <c r="H4110" s="7">
        <v>5.6269999999999998</v>
      </c>
      <c r="I4110" s="7">
        <v>4.7869999999999999</v>
      </c>
      <c r="J4110" s="7">
        <v>3.9129999999999998</v>
      </c>
      <c r="K4110" s="7">
        <v>2.9209999999999998</v>
      </c>
      <c r="L4110" s="7">
        <v>2.4689999999999999</v>
      </c>
      <c r="M4110" s="7">
        <v>2.7949999999999999</v>
      </c>
      <c r="N4110" s="7">
        <v>3.56</v>
      </c>
      <c r="O4110" s="7">
        <v>3.7629999999999999</v>
      </c>
      <c r="P4110" s="7">
        <v>4.8620000000000001</v>
      </c>
      <c r="Q4110" s="7">
        <v>6.1</v>
      </c>
      <c r="R4110" s="7">
        <v>6.3390000000000004</v>
      </c>
      <c r="S4110" s="7">
        <f t="shared" si="64"/>
        <v>4.4276666666666671</v>
      </c>
    </row>
    <row r="4111" spans="1:19">
      <c r="A4111" s="5" t="str">
        <f>B4111&amp;"-"&amp;COUNTIF($B$2:B4111,B4111)</f>
        <v>RIO GRANDE DO SUL-258</v>
      </c>
      <c r="B4111" s="5" t="s">
        <v>2552</v>
      </c>
      <c r="C4111" s="5" t="s">
        <v>2751</v>
      </c>
      <c r="D4111" s="6">
        <v>-516337</v>
      </c>
      <c r="E4111" s="6">
        <v>-291612</v>
      </c>
      <c r="F4111" s="7">
        <v>4.41</v>
      </c>
      <c r="G4111" s="7">
        <v>6.2080000000000002</v>
      </c>
      <c r="H4111" s="7">
        <v>5.7439999999999998</v>
      </c>
      <c r="I4111" s="7">
        <v>4.827</v>
      </c>
      <c r="J4111" s="7">
        <v>3.8370000000000002</v>
      </c>
      <c r="K4111" s="7">
        <v>2.8290000000000002</v>
      </c>
      <c r="L4111" s="7">
        <v>2.3610000000000002</v>
      </c>
      <c r="M4111" s="7">
        <v>2.657</v>
      </c>
      <c r="N4111" s="7">
        <v>3.3809999999999998</v>
      </c>
      <c r="O4111" s="7">
        <v>3.6440000000000001</v>
      </c>
      <c r="P4111" s="7">
        <v>4.7649999999999997</v>
      </c>
      <c r="Q4111" s="7">
        <v>6.141</v>
      </c>
      <c r="R4111" s="7">
        <v>6.5289999999999999</v>
      </c>
      <c r="S4111" s="7">
        <f t="shared" si="64"/>
        <v>4.4102500000000004</v>
      </c>
    </row>
    <row r="4112" spans="1:19">
      <c r="A4112" s="5" t="str">
        <f>B4112&amp;"-"&amp;COUNTIF($B$2:B4112,B4112)</f>
        <v>RIO GRANDE DO SUL-259</v>
      </c>
      <c r="B4112" s="5" t="s">
        <v>2552</v>
      </c>
      <c r="C4112" s="5" t="s">
        <v>2752</v>
      </c>
      <c r="D4112" s="6">
        <v>-514603</v>
      </c>
      <c r="E4112" s="6">
        <v>-296872</v>
      </c>
      <c r="F4112" s="7">
        <v>4.3659999999999997</v>
      </c>
      <c r="G4112" s="7">
        <v>6.2249999999999996</v>
      </c>
      <c r="H4112" s="7">
        <v>5.7729999999999997</v>
      </c>
      <c r="I4112" s="7">
        <v>4.8570000000000002</v>
      </c>
      <c r="J4112" s="7">
        <v>3.7879999999999998</v>
      </c>
      <c r="K4112" s="7">
        <v>2.8039999999999998</v>
      </c>
      <c r="L4112" s="7">
        <v>2.3149999999999999</v>
      </c>
      <c r="M4112" s="7">
        <v>2.5259999999999998</v>
      </c>
      <c r="N4112" s="7">
        <v>3.2050000000000001</v>
      </c>
      <c r="O4112" s="7">
        <v>3.54</v>
      </c>
      <c r="P4112" s="7">
        <v>4.6239999999999997</v>
      </c>
      <c r="Q4112" s="7">
        <v>6.14</v>
      </c>
      <c r="R4112" s="7">
        <v>6.5919999999999996</v>
      </c>
      <c r="S4112" s="7">
        <f t="shared" si="64"/>
        <v>4.3657500000000002</v>
      </c>
    </row>
    <row r="4113" spans="1:19">
      <c r="A4113" s="5" t="str">
        <f>B4113&amp;"-"&amp;COUNTIF($B$2:B4113,B4113)</f>
        <v>RIO GRANDE DO SUL-260</v>
      </c>
      <c r="B4113" s="5" t="s">
        <v>2552</v>
      </c>
      <c r="C4113" s="5" t="s">
        <v>4761</v>
      </c>
      <c r="D4113" s="6">
        <v>-526919</v>
      </c>
      <c r="E4113" s="6">
        <v>-28692</v>
      </c>
      <c r="F4113" s="7">
        <v>4.5599999999999996</v>
      </c>
      <c r="G4113" s="7">
        <v>6.282</v>
      </c>
      <c r="H4113" s="7">
        <v>5.8620000000000001</v>
      </c>
      <c r="I4113" s="7">
        <v>5.0250000000000004</v>
      </c>
      <c r="J4113" s="7">
        <v>3.97</v>
      </c>
      <c r="K4113" s="7">
        <v>3.0139999999999998</v>
      </c>
      <c r="L4113" s="7">
        <v>2.4620000000000002</v>
      </c>
      <c r="M4113" s="7">
        <v>2.766</v>
      </c>
      <c r="N4113" s="7">
        <v>3.536</v>
      </c>
      <c r="O4113" s="7">
        <v>3.847</v>
      </c>
      <c r="P4113" s="7">
        <v>5.0330000000000004</v>
      </c>
      <c r="Q4113" s="7">
        <v>6.27</v>
      </c>
      <c r="R4113" s="7">
        <v>6.6529999999999996</v>
      </c>
      <c r="S4113" s="7">
        <f t="shared" si="64"/>
        <v>4.5600000000000005</v>
      </c>
    </row>
    <row r="4114" spans="1:19">
      <c r="A4114" s="5" t="str">
        <f>B4114&amp;"-"&amp;COUNTIF($B$2:B4114,B4114)</f>
        <v>RIO GRANDE DO SUL-261</v>
      </c>
      <c r="B4114" s="5" t="s">
        <v>2552</v>
      </c>
      <c r="C4114" s="5" t="s">
        <v>2753</v>
      </c>
      <c r="D4114" s="6">
        <v>-499349</v>
      </c>
      <c r="E4114" s="6">
        <v>-29365</v>
      </c>
      <c r="F4114" s="7">
        <v>3.9470000000000001</v>
      </c>
      <c r="G4114" s="7">
        <v>5.3029999999999999</v>
      </c>
      <c r="H4114" s="7">
        <v>4.9669999999999996</v>
      </c>
      <c r="I4114" s="7">
        <v>4.2190000000000003</v>
      </c>
      <c r="J4114" s="7">
        <v>3.6659999999999999</v>
      </c>
      <c r="K4114" s="7">
        <v>2.8450000000000002</v>
      </c>
      <c r="L4114" s="7">
        <v>2.395</v>
      </c>
      <c r="M4114" s="7">
        <v>2.617</v>
      </c>
      <c r="N4114" s="7">
        <v>3.3079999999999998</v>
      </c>
      <c r="O4114" s="7">
        <v>3.367</v>
      </c>
      <c r="P4114" s="7">
        <v>3.948</v>
      </c>
      <c r="Q4114" s="7">
        <v>5.2240000000000002</v>
      </c>
      <c r="R4114" s="7">
        <v>5.5049999999999999</v>
      </c>
      <c r="S4114" s="7">
        <f t="shared" si="64"/>
        <v>3.9469999999999996</v>
      </c>
    </row>
    <row r="4115" spans="1:19">
      <c r="A4115" s="5" t="str">
        <f>B4115&amp;"-"&amp;COUNTIF($B$2:B4115,B4115)</f>
        <v>RIO GRANDE DO SUL-262</v>
      </c>
      <c r="B4115" s="5" t="s">
        <v>2552</v>
      </c>
      <c r="C4115" s="5" t="s">
        <v>2754</v>
      </c>
      <c r="D4115" s="6">
        <v>-526265</v>
      </c>
      <c r="E4115" s="6">
        <v>-315892</v>
      </c>
      <c r="F4115" s="7">
        <v>4.2869999999999999</v>
      </c>
      <c r="G4115" s="7">
        <v>6.2089999999999996</v>
      </c>
      <c r="H4115" s="7">
        <v>5.5439999999999996</v>
      </c>
      <c r="I4115" s="7">
        <v>4.7329999999999997</v>
      </c>
      <c r="J4115" s="7">
        <v>3.6179999999999999</v>
      </c>
      <c r="K4115" s="7">
        <v>2.6429999999999998</v>
      </c>
      <c r="L4115" s="7">
        <v>2.2210000000000001</v>
      </c>
      <c r="M4115" s="7">
        <v>2.4300000000000002</v>
      </c>
      <c r="N4115" s="7">
        <v>3.0369999999999999</v>
      </c>
      <c r="O4115" s="7">
        <v>3.524</v>
      </c>
      <c r="P4115" s="7">
        <v>4.7750000000000004</v>
      </c>
      <c r="Q4115" s="7">
        <v>6.085</v>
      </c>
      <c r="R4115" s="7">
        <v>6.6219999999999999</v>
      </c>
      <c r="S4115" s="7">
        <f t="shared" si="64"/>
        <v>4.2867499999999996</v>
      </c>
    </row>
    <row r="4116" spans="1:19">
      <c r="A4116" s="5" t="str">
        <f>B4116&amp;"-"&amp;COUNTIF($B$2:B4116,B4116)</f>
        <v>RIO GRANDE DO SUL-263</v>
      </c>
      <c r="B4116" s="5" t="s">
        <v>2552</v>
      </c>
      <c r="C4116" s="5" t="s">
        <v>2755</v>
      </c>
      <c r="D4116" s="6">
        <v>-510816</v>
      </c>
      <c r="E4116" s="6">
        <v>-295384</v>
      </c>
      <c r="F4116" s="7">
        <v>4.3470000000000004</v>
      </c>
      <c r="G4116" s="7">
        <v>6.2160000000000002</v>
      </c>
      <c r="H4116" s="7">
        <v>5.6929999999999996</v>
      </c>
      <c r="I4116" s="7">
        <v>4.7190000000000003</v>
      </c>
      <c r="J4116" s="7">
        <v>3.7669999999999999</v>
      </c>
      <c r="K4116" s="7">
        <v>2.8039999999999998</v>
      </c>
      <c r="L4116" s="7">
        <v>2.36</v>
      </c>
      <c r="M4116" s="7">
        <v>2.5870000000000002</v>
      </c>
      <c r="N4116" s="7">
        <v>3.2679999999999998</v>
      </c>
      <c r="O4116" s="7">
        <v>3.5590000000000002</v>
      </c>
      <c r="P4116" s="7">
        <v>4.6349999999999998</v>
      </c>
      <c r="Q4116" s="7">
        <v>6.0620000000000003</v>
      </c>
      <c r="R4116" s="7">
        <v>6.4950000000000001</v>
      </c>
      <c r="S4116" s="7">
        <f t="shared" si="64"/>
        <v>4.347083333333333</v>
      </c>
    </row>
    <row r="4117" spans="1:19">
      <c r="A4117" s="5" t="str">
        <f>B4117&amp;"-"&amp;COUNTIF($B$2:B4117,B4117)</f>
        <v>RIO GRANDE DO SUL-264</v>
      </c>
      <c r="B4117" s="5" t="s">
        <v>2552</v>
      </c>
      <c r="C4117" s="5" t="s">
        <v>2756</v>
      </c>
      <c r="D4117" s="6">
        <v>-509171</v>
      </c>
      <c r="E4117" s="6">
        <v>-311059</v>
      </c>
      <c r="F4117" s="7">
        <v>4.415</v>
      </c>
      <c r="G4117" s="7">
        <v>6.4850000000000003</v>
      </c>
      <c r="H4117" s="7">
        <v>5.8490000000000002</v>
      </c>
      <c r="I4117" s="7">
        <v>4.8559999999999999</v>
      </c>
      <c r="J4117" s="7">
        <v>3.78</v>
      </c>
      <c r="K4117" s="7">
        <v>2.7320000000000002</v>
      </c>
      <c r="L4117" s="7">
        <v>2.2570000000000001</v>
      </c>
      <c r="M4117" s="7">
        <v>2.4489999999999998</v>
      </c>
      <c r="N4117" s="7">
        <v>3.1019999999999999</v>
      </c>
      <c r="O4117" s="7">
        <v>3.5990000000000002</v>
      </c>
      <c r="P4117" s="7">
        <v>4.8339999999999996</v>
      </c>
      <c r="Q4117" s="7">
        <v>6.242</v>
      </c>
      <c r="R4117" s="7">
        <v>6.7939999999999996</v>
      </c>
      <c r="S4117" s="7">
        <f t="shared" si="64"/>
        <v>4.4149166666666657</v>
      </c>
    </row>
    <row r="4118" spans="1:19">
      <c r="A4118" s="5" t="str">
        <f>B4118&amp;"-"&amp;COUNTIF($B$2:B4118,B4118)</f>
        <v>RIO GRANDE DO SUL-265</v>
      </c>
      <c r="B4118" s="5" t="s">
        <v>2552</v>
      </c>
      <c r="C4118" s="5" t="s">
        <v>4762</v>
      </c>
      <c r="D4118" s="6">
        <v>-518747</v>
      </c>
      <c r="E4118" s="6">
        <v>-291668</v>
      </c>
      <c r="F4118" s="7">
        <v>4.3899999999999997</v>
      </c>
      <c r="G4118" s="7">
        <v>6.2110000000000003</v>
      </c>
      <c r="H4118" s="7">
        <v>5.7530000000000001</v>
      </c>
      <c r="I4118" s="7">
        <v>4.8280000000000003</v>
      </c>
      <c r="J4118" s="7">
        <v>3.8050000000000002</v>
      </c>
      <c r="K4118" s="7">
        <v>2.8239999999999998</v>
      </c>
      <c r="L4118" s="7">
        <v>2.3530000000000002</v>
      </c>
      <c r="M4118" s="7">
        <v>2.6059999999999999</v>
      </c>
      <c r="N4118" s="7">
        <v>3.3420000000000001</v>
      </c>
      <c r="O4118" s="7">
        <v>3.6360000000000001</v>
      </c>
      <c r="P4118" s="7">
        <v>4.7220000000000004</v>
      </c>
      <c r="Q4118" s="7">
        <v>6.0890000000000004</v>
      </c>
      <c r="R4118" s="7">
        <v>6.5110000000000001</v>
      </c>
      <c r="S4118" s="7">
        <f t="shared" si="64"/>
        <v>4.3900000000000006</v>
      </c>
    </row>
    <row r="4119" spans="1:19">
      <c r="A4119" s="5" t="str">
        <f>B4119&amp;"-"&amp;COUNTIF($B$2:B4119,B4119)</f>
        <v>RIO GRANDE DO SUL-266</v>
      </c>
      <c r="B4119" s="5" t="s">
        <v>2552</v>
      </c>
      <c r="C4119" s="5" t="s">
        <v>5445</v>
      </c>
      <c r="D4119" s="6">
        <v>-51184</v>
      </c>
      <c r="E4119" s="6">
        <v>-283137</v>
      </c>
      <c r="F4119" s="7">
        <v>4.4790000000000001</v>
      </c>
      <c r="G4119" s="7">
        <v>6.0629999999999997</v>
      </c>
      <c r="H4119" s="7">
        <v>5.6980000000000004</v>
      </c>
      <c r="I4119" s="7">
        <v>4.8099999999999996</v>
      </c>
      <c r="J4119" s="7">
        <v>3.9260000000000002</v>
      </c>
      <c r="K4119" s="7">
        <v>2.9510000000000001</v>
      </c>
      <c r="L4119" s="7">
        <v>2.5299999999999998</v>
      </c>
      <c r="M4119" s="7">
        <v>2.8519999999999999</v>
      </c>
      <c r="N4119" s="7">
        <v>3.6230000000000002</v>
      </c>
      <c r="O4119" s="7">
        <v>3.8719999999999999</v>
      </c>
      <c r="P4119" s="7">
        <v>4.915</v>
      </c>
      <c r="Q4119" s="7">
        <v>6.1059999999999999</v>
      </c>
      <c r="R4119" s="7">
        <v>6.4080000000000004</v>
      </c>
      <c r="S4119" s="7">
        <f t="shared" si="64"/>
        <v>4.4795000000000007</v>
      </c>
    </row>
    <row r="4120" spans="1:19">
      <c r="A4120" s="5" t="str">
        <f>B4120&amp;"-"&amp;COUNTIF($B$2:B4120,B4120)</f>
        <v>RIO GRANDE DO SUL-267</v>
      </c>
      <c r="B4120" s="5" t="s">
        <v>2552</v>
      </c>
      <c r="C4120" s="5" t="s">
        <v>2757</v>
      </c>
      <c r="D4120" s="6">
        <v>-517701</v>
      </c>
      <c r="E4120" s="6">
        <v>-283258</v>
      </c>
      <c r="F4120" s="7">
        <v>4.508</v>
      </c>
      <c r="G4120" s="7">
        <v>6.13</v>
      </c>
      <c r="H4120" s="7">
        <v>5.6970000000000001</v>
      </c>
      <c r="I4120" s="7">
        <v>4.9080000000000004</v>
      </c>
      <c r="J4120" s="7">
        <v>4.0030000000000001</v>
      </c>
      <c r="K4120" s="7">
        <v>2.9929999999999999</v>
      </c>
      <c r="L4120" s="7">
        <v>2.5379999999999998</v>
      </c>
      <c r="M4120" s="7">
        <v>2.8450000000000002</v>
      </c>
      <c r="N4120" s="7">
        <v>3.597</v>
      </c>
      <c r="O4120" s="7">
        <v>3.8069999999999999</v>
      </c>
      <c r="P4120" s="7">
        <v>4.9269999999999996</v>
      </c>
      <c r="Q4120" s="7">
        <v>6.1630000000000003</v>
      </c>
      <c r="R4120" s="7">
        <v>6.4909999999999997</v>
      </c>
      <c r="S4120" s="7">
        <f t="shared" si="64"/>
        <v>4.5082500000000003</v>
      </c>
    </row>
    <row r="4121" spans="1:19">
      <c r="A4121" s="5" t="str">
        <f>B4121&amp;"-"&amp;COUNTIF($B$2:B4121,B4121)</f>
        <v>RIO GRANDE DO SUL-268</v>
      </c>
      <c r="B4121" s="5" t="s">
        <v>2552</v>
      </c>
      <c r="C4121" s="5" t="s">
        <v>4167</v>
      </c>
      <c r="D4121" s="6">
        <v>-528186</v>
      </c>
      <c r="E4121" s="6">
        <v>-284552</v>
      </c>
      <c r="F4121" s="7">
        <v>4.577</v>
      </c>
      <c r="G4121" s="7">
        <v>6.3410000000000002</v>
      </c>
      <c r="H4121" s="7">
        <v>5.8860000000000001</v>
      </c>
      <c r="I4121" s="7">
        <v>5.0049999999999999</v>
      </c>
      <c r="J4121" s="7">
        <v>4.0049999999999999</v>
      </c>
      <c r="K4121" s="7">
        <v>3.0379999999999998</v>
      </c>
      <c r="L4121" s="7">
        <v>2.4969999999999999</v>
      </c>
      <c r="M4121" s="7">
        <v>2.8180000000000001</v>
      </c>
      <c r="N4121" s="7">
        <v>3.56</v>
      </c>
      <c r="O4121" s="7">
        <v>3.867</v>
      </c>
      <c r="P4121" s="7">
        <v>5.0330000000000004</v>
      </c>
      <c r="Q4121" s="7">
        <v>6.25</v>
      </c>
      <c r="R4121" s="7">
        <v>6.6210000000000004</v>
      </c>
      <c r="S4121" s="7">
        <f t="shared" si="64"/>
        <v>4.5767499999999997</v>
      </c>
    </row>
    <row r="4122" spans="1:19">
      <c r="A4122" s="5" t="str">
        <f>B4122&amp;"-"&amp;COUNTIF($B$2:B4122,B4122)</f>
        <v>RIO GRANDE DO SUL-269</v>
      </c>
      <c r="B4122" s="5" t="s">
        <v>2552</v>
      </c>
      <c r="C4122" s="5" t="s">
        <v>2758</v>
      </c>
      <c r="D4122" s="6">
        <v>-524681</v>
      </c>
      <c r="E4122" s="6">
        <v>-285303</v>
      </c>
      <c r="F4122" s="7">
        <v>4.5529999999999999</v>
      </c>
      <c r="G4122" s="7">
        <v>6.2850000000000001</v>
      </c>
      <c r="H4122" s="7">
        <v>5.87</v>
      </c>
      <c r="I4122" s="7">
        <v>4.9939999999999998</v>
      </c>
      <c r="J4122" s="7">
        <v>3.9990000000000001</v>
      </c>
      <c r="K4122" s="7">
        <v>2.988</v>
      </c>
      <c r="L4122" s="7">
        <v>2.4689999999999999</v>
      </c>
      <c r="M4122" s="7">
        <v>2.782</v>
      </c>
      <c r="N4122" s="7">
        <v>3.5609999999999999</v>
      </c>
      <c r="O4122" s="7">
        <v>3.8319999999999999</v>
      </c>
      <c r="P4122" s="7">
        <v>5.0060000000000002</v>
      </c>
      <c r="Q4122" s="7">
        <v>6.2190000000000003</v>
      </c>
      <c r="R4122" s="7">
        <v>6.6269999999999998</v>
      </c>
      <c r="S4122" s="7">
        <f t="shared" si="64"/>
        <v>4.5526666666666671</v>
      </c>
    </row>
    <row r="4123" spans="1:19">
      <c r="A4123" s="5" t="str">
        <f>B4123&amp;"-"&amp;COUNTIF($B$2:B4123,B4123)</f>
        <v>RIO GRANDE DO SUL-270</v>
      </c>
      <c r="B4123" s="5" t="s">
        <v>2552</v>
      </c>
      <c r="C4123" s="5" t="s">
        <v>2759</v>
      </c>
      <c r="D4123" s="6">
        <v>-52776</v>
      </c>
      <c r="E4123" s="6">
        <v>-273694</v>
      </c>
      <c r="F4123" s="7">
        <v>4.6280000000000001</v>
      </c>
      <c r="G4123" s="7">
        <v>6.2889999999999997</v>
      </c>
      <c r="H4123" s="7">
        <v>5.8230000000000004</v>
      </c>
      <c r="I4123" s="7">
        <v>5.1079999999999997</v>
      </c>
      <c r="J4123" s="7">
        <v>4.0910000000000002</v>
      </c>
      <c r="K4123" s="7">
        <v>3.1139999999999999</v>
      </c>
      <c r="L4123" s="7">
        <v>2.6360000000000001</v>
      </c>
      <c r="M4123" s="7">
        <v>2.9079999999999999</v>
      </c>
      <c r="N4123" s="7">
        <v>3.766</v>
      </c>
      <c r="O4123" s="7">
        <v>4.0119999999999996</v>
      </c>
      <c r="P4123" s="7">
        <v>5.125</v>
      </c>
      <c r="Q4123" s="7">
        <v>6.13</v>
      </c>
      <c r="R4123" s="7">
        <v>6.5350000000000001</v>
      </c>
      <c r="S4123" s="7">
        <f t="shared" si="64"/>
        <v>4.6280833333333335</v>
      </c>
    </row>
    <row r="4124" spans="1:19">
      <c r="A4124" s="5" t="str">
        <f>B4124&amp;"-"&amp;COUNTIF($B$2:B4124,B4124)</f>
        <v>RIO GRANDE DO SUL-271</v>
      </c>
      <c r="B4124" s="5" t="s">
        <v>2552</v>
      </c>
      <c r="C4124" s="5" t="s">
        <v>2760</v>
      </c>
      <c r="D4124" s="6">
        <v>-521635</v>
      </c>
      <c r="E4124" s="6">
        <v>-286827</v>
      </c>
      <c r="F4124" s="7">
        <v>4.5</v>
      </c>
      <c r="G4124" s="7">
        <v>6.1710000000000003</v>
      </c>
      <c r="H4124" s="7">
        <v>5.8380000000000001</v>
      </c>
      <c r="I4124" s="7">
        <v>4.907</v>
      </c>
      <c r="J4124" s="7">
        <v>3.9369999999999998</v>
      </c>
      <c r="K4124" s="7">
        <v>2.9209999999999998</v>
      </c>
      <c r="L4124" s="7">
        <v>2.4430000000000001</v>
      </c>
      <c r="M4124" s="7">
        <v>2.75</v>
      </c>
      <c r="N4124" s="7">
        <v>3.53</v>
      </c>
      <c r="O4124" s="7">
        <v>3.7829999999999999</v>
      </c>
      <c r="P4124" s="7">
        <v>4.9160000000000004</v>
      </c>
      <c r="Q4124" s="7">
        <v>6.1849999999999996</v>
      </c>
      <c r="R4124" s="7">
        <v>6.62</v>
      </c>
      <c r="S4124" s="7">
        <f t="shared" si="64"/>
        <v>4.5000833333333334</v>
      </c>
    </row>
    <row r="4125" spans="1:19">
      <c r="A4125" s="5" t="str">
        <f>B4125&amp;"-"&amp;COUNTIF($B$2:B4125,B4125)</f>
        <v>RIO GRANDE DO SUL-272</v>
      </c>
      <c r="B4125" s="5" t="s">
        <v>2552</v>
      </c>
      <c r="C4125" s="5" t="s">
        <v>5721</v>
      </c>
      <c r="D4125" s="6">
        <v>-517463</v>
      </c>
      <c r="E4125" s="6">
        <v>-286542</v>
      </c>
      <c r="F4125" s="7">
        <v>4.452</v>
      </c>
      <c r="G4125" s="7">
        <v>6.1230000000000002</v>
      </c>
      <c r="H4125" s="7">
        <v>5.7380000000000004</v>
      </c>
      <c r="I4125" s="7">
        <v>4.8600000000000003</v>
      </c>
      <c r="J4125" s="7">
        <v>3.92</v>
      </c>
      <c r="K4125" s="7">
        <v>2.907</v>
      </c>
      <c r="L4125" s="7">
        <v>2.4710000000000001</v>
      </c>
      <c r="M4125" s="7">
        <v>2.7650000000000001</v>
      </c>
      <c r="N4125" s="7">
        <v>3.49</v>
      </c>
      <c r="O4125" s="7">
        <v>3.7440000000000002</v>
      </c>
      <c r="P4125" s="7">
        <v>4.8179999999999996</v>
      </c>
      <c r="Q4125" s="7">
        <v>6.1260000000000003</v>
      </c>
      <c r="R4125" s="7">
        <v>6.4619999999999997</v>
      </c>
      <c r="S4125" s="7">
        <f t="shared" si="64"/>
        <v>4.4519999999999991</v>
      </c>
    </row>
    <row r="4126" spans="1:19">
      <c r="A4126" s="5" t="str">
        <f>B4126&amp;"-"&amp;COUNTIF($B$2:B4126,B4126)</f>
        <v>RIO GRANDE DO SUL-273</v>
      </c>
      <c r="B4126" s="5" t="s">
        <v>2552</v>
      </c>
      <c r="C4126" s="5" t="s">
        <v>2761</v>
      </c>
      <c r="D4126" s="6">
        <v>-517076</v>
      </c>
      <c r="E4126" s="6">
        <v>-287296</v>
      </c>
      <c r="F4126" s="7">
        <v>4.452</v>
      </c>
      <c r="G4126" s="7">
        <v>6.1230000000000002</v>
      </c>
      <c r="H4126" s="7">
        <v>5.7380000000000004</v>
      </c>
      <c r="I4126" s="7">
        <v>4.8600000000000003</v>
      </c>
      <c r="J4126" s="7">
        <v>3.92</v>
      </c>
      <c r="K4126" s="7">
        <v>2.907</v>
      </c>
      <c r="L4126" s="7">
        <v>2.4710000000000001</v>
      </c>
      <c r="M4126" s="7">
        <v>2.7650000000000001</v>
      </c>
      <c r="N4126" s="7">
        <v>3.49</v>
      </c>
      <c r="O4126" s="7">
        <v>3.7440000000000002</v>
      </c>
      <c r="P4126" s="7">
        <v>4.8179999999999996</v>
      </c>
      <c r="Q4126" s="7">
        <v>6.1260000000000003</v>
      </c>
      <c r="R4126" s="7">
        <v>6.4619999999999997</v>
      </c>
      <c r="S4126" s="7">
        <f t="shared" si="64"/>
        <v>4.4519999999999991</v>
      </c>
    </row>
    <row r="4127" spans="1:19">
      <c r="A4127" s="5" t="str">
        <f>B4127&amp;"-"&amp;COUNTIF($B$2:B4127,B4127)</f>
        <v>RIO GRANDE DO SUL-274</v>
      </c>
      <c r="B4127" s="5" t="s">
        <v>2552</v>
      </c>
      <c r="C4127" s="5" t="s">
        <v>2762</v>
      </c>
      <c r="D4127" s="6">
        <v>-529788</v>
      </c>
      <c r="E4127" s="6">
        <v>-279931</v>
      </c>
      <c r="F4127" s="7">
        <v>4.6230000000000002</v>
      </c>
      <c r="G4127" s="7">
        <v>6.306</v>
      </c>
      <c r="H4127" s="7">
        <v>5.9240000000000004</v>
      </c>
      <c r="I4127" s="7">
        <v>5.0460000000000003</v>
      </c>
      <c r="J4127" s="7">
        <v>4.1020000000000003</v>
      </c>
      <c r="K4127" s="7">
        <v>3.073</v>
      </c>
      <c r="L4127" s="7">
        <v>2.5710000000000002</v>
      </c>
      <c r="M4127" s="7">
        <v>2.8769999999999998</v>
      </c>
      <c r="N4127" s="7">
        <v>3.6440000000000001</v>
      </c>
      <c r="O4127" s="7">
        <v>3.9009999999999998</v>
      </c>
      <c r="P4127" s="7">
        <v>5.1269999999999998</v>
      </c>
      <c r="Q4127" s="7">
        <v>6.258</v>
      </c>
      <c r="R4127" s="7">
        <v>6.6509999999999998</v>
      </c>
      <c r="S4127" s="7">
        <f t="shared" si="64"/>
        <v>4.623333333333334</v>
      </c>
    </row>
    <row r="4128" spans="1:19">
      <c r="A4128" s="5" t="str">
        <f>B4128&amp;"-"&amp;COUNTIF($B$2:B4128,B4128)</f>
        <v>RIO GRANDE DO SUL-275</v>
      </c>
      <c r="B4128" s="5" t="s">
        <v>2552</v>
      </c>
      <c r="C4128" s="5" t="s">
        <v>4476</v>
      </c>
      <c r="D4128" s="6">
        <v>-520279</v>
      </c>
      <c r="E4128" s="6">
        <v>-29214</v>
      </c>
      <c r="F4128" s="7">
        <v>4.359</v>
      </c>
      <c r="G4128" s="7">
        <v>6.1230000000000002</v>
      </c>
      <c r="H4128" s="7">
        <v>5.7060000000000004</v>
      </c>
      <c r="I4128" s="7">
        <v>4.782</v>
      </c>
      <c r="J4128" s="7">
        <v>3.7949999999999999</v>
      </c>
      <c r="K4128" s="7">
        <v>2.8260000000000001</v>
      </c>
      <c r="L4128" s="7">
        <v>2.3519999999999999</v>
      </c>
      <c r="M4128" s="7">
        <v>2.6219999999999999</v>
      </c>
      <c r="N4128" s="7">
        <v>3.3580000000000001</v>
      </c>
      <c r="O4128" s="7">
        <v>3.6269999999999998</v>
      </c>
      <c r="P4128" s="7">
        <v>4.6539999999999999</v>
      </c>
      <c r="Q4128" s="7">
        <v>6.0449999999999999</v>
      </c>
      <c r="R4128" s="7">
        <v>6.4139999999999997</v>
      </c>
      <c r="S4128" s="7">
        <f t="shared" si="64"/>
        <v>4.3586666666666671</v>
      </c>
    </row>
    <row r="4129" spans="1:19">
      <c r="A4129" s="5" t="str">
        <f>B4129&amp;"-"&amp;COUNTIF($B$2:B4129,B4129)</f>
        <v>RIO GRANDE DO SUL-276</v>
      </c>
      <c r="B4129" s="5" t="s">
        <v>2552</v>
      </c>
      <c r="C4129" s="5" t="s">
        <v>5722</v>
      </c>
      <c r="D4129" s="6">
        <v>-541079</v>
      </c>
      <c r="E4129" s="6">
        <v>-276141</v>
      </c>
      <c r="F4129" s="7">
        <v>4.67</v>
      </c>
      <c r="G4129" s="7">
        <v>6.49</v>
      </c>
      <c r="H4129" s="7">
        <v>5.9850000000000003</v>
      </c>
      <c r="I4129" s="7">
        <v>5.1479999999999997</v>
      </c>
      <c r="J4129" s="7">
        <v>4.0599999999999996</v>
      </c>
      <c r="K4129" s="7">
        <v>3.1190000000000002</v>
      </c>
      <c r="L4129" s="7">
        <v>2.548</v>
      </c>
      <c r="M4129" s="7">
        <v>2.8809999999999998</v>
      </c>
      <c r="N4129" s="7">
        <v>3.6930000000000001</v>
      </c>
      <c r="O4129" s="7">
        <v>3.9889999999999999</v>
      </c>
      <c r="P4129" s="7">
        <v>5.2320000000000002</v>
      </c>
      <c r="Q4129" s="7">
        <v>6.2290000000000001</v>
      </c>
      <c r="R4129" s="7">
        <v>6.6710000000000003</v>
      </c>
      <c r="S4129" s="7">
        <f t="shared" si="64"/>
        <v>4.6704166666666662</v>
      </c>
    </row>
    <row r="4130" spans="1:19">
      <c r="A4130" s="5" t="str">
        <f>B4130&amp;"-"&amp;COUNTIF($B$2:B4130,B4130)</f>
        <v>RIO GRANDE DO SUL-277</v>
      </c>
      <c r="B4130" s="5" t="s">
        <v>2552</v>
      </c>
      <c r="C4130" s="5" t="s">
        <v>4763</v>
      </c>
      <c r="D4130" s="6">
        <v>-548298</v>
      </c>
      <c r="E4130" s="6">
        <v>-294071</v>
      </c>
      <c r="F4130" s="7">
        <v>4.6280000000000001</v>
      </c>
      <c r="G4130" s="7">
        <v>6.5419999999999998</v>
      </c>
      <c r="H4130" s="7">
        <v>6.0179999999999998</v>
      </c>
      <c r="I4130" s="7">
        <v>5.1180000000000003</v>
      </c>
      <c r="J4130" s="7">
        <v>3.9790000000000001</v>
      </c>
      <c r="K4130" s="7">
        <v>2.93</v>
      </c>
      <c r="L4130" s="7">
        <v>2.4590000000000001</v>
      </c>
      <c r="M4130" s="7">
        <v>2.7330000000000001</v>
      </c>
      <c r="N4130" s="7">
        <v>3.4630000000000001</v>
      </c>
      <c r="O4130" s="7">
        <v>3.9820000000000002</v>
      </c>
      <c r="P4130" s="7">
        <v>5.0819999999999999</v>
      </c>
      <c r="Q4130" s="7">
        <v>6.3739999999999997</v>
      </c>
      <c r="R4130" s="7">
        <v>6.8550000000000004</v>
      </c>
      <c r="S4130" s="7">
        <f t="shared" si="64"/>
        <v>4.6279166666666667</v>
      </c>
    </row>
    <row r="4131" spans="1:19">
      <c r="A4131" s="5" t="str">
        <f>B4131&amp;"-"&amp;COUNTIF($B$2:B4131,B4131)</f>
        <v>RIO GRANDE DO SUL-278</v>
      </c>
      <c r="B4131" s="5" t="s">
        <v>2552</v>
      </c>
      <c r="C4131" s="5" t="s">
        <v>2763</v>
      </c>
      <c r="D4131" s="6">
        <v>-509056</v>
      </c>
      <c r="E4131" s="6">
        <v>-295812</v>
      </c>
      <c r="F4131" s="7">
        <v>4.2809999999999997</v>
      </c>
      <c r="G4131" s="7">
        <v>6.0810000000000004</v>
      </c>
      <c r="H4131" s="7">
        <v>5.5960000000000001</v>
      </c>
      <c r="I4131" s="7">
        <v>4.6520000000000001</v>
      </c>
      <c r="J4131" s="7">
        <v>3.7320000000000002</v>
      </c>
      <c r="K4131" s="7">
        <v>2.7890000000000001</v>
      </c>
      <c r="L4131" s="7">
        <v>2.3380000000000001</v>
      </c>
      <c r="M4131" s="7">
        <v>2.5489999999999999</v>
      </c>
      <c r="N4131" s="7">
        <v>3.2240000000000002</v>
      </c>
      <c r="O4131" s="7">
        <v>3.4969999999999999</v>
      </c>
      <c r="P4131" s="7">
        <v>4.5570000000000004</v>
      </c>
      <c r="Q4131" s="7">
        <v>5.9790000000000001</v>
      </c>
      <c r="R4131" s="7">
        <v>6.375</v>
      </c>
      <c r="S4131" s="7">
        <f t="shared" si="64"/>
        <v>4.2807500000000003</v>
      </c>
    </row>
    <row r="4132" spans="1:19">
      <c r="A4132" s="5" t="str">
        <f>B4132&amp;"-"&amp;COUNTIF($B$2:B4132,B4132)</f>
        <v>RIO GRANDE DO SUL-279</v>
      </c>
      <c r="B4132" s="5" t="s">
        <v>2552</v>
      </c>
      <c r="C4132" s="5" t="s">
        <v>5723</v>
      </c>
      <c r="D4132" s="6">
        <v>-513069</v>
      </c>
      <c r="E4132" s="6">
        <v>-29029</v>
      </c>
      <c r="F4132" s="7">
        <v>4.4290000000000003</v>
      </c>
      <c r="G4132" s="7">
        <v>6.2110000000000003</v>
      </c>
      <c r="H4132" s="7">
        <v>5.734</v>
      </c>
      <c r="I4132" s="7">
        <v>4.8520000000000003</v>
      </c>
      <c r="J4132" s="7">
        <v>3.8460000000000001</v>
      </c>
      <c r="K4132" s="7">
        <v>2.85</v>
      </c>
      <c r="L4132" s="7">
        <v>2.4009999999999998</v>
      </c>
      <c r="M4132" s="7">
        <v>2.681</v>
      </c>
      <c r="N4132" s="7">
        <v>3.44</v>
      </c>
      <c r="O4132" s="7">
        <v>3.6890000000000001</v>
      </c>
      <c r="P4132" s="7">
        <v>4.8109999999999999</v>
      </c>
      <c r="Q4132" s="7">
        <v>6.1559999999999997</v>
      </c>
      <c r="R4132" s="7">
        <v>6.476</v>
      </c>
      <c r="S4132" s="7">
        <f t="shared" si="64"/>
        <v>4.4289166666666668</v>
      </c>
    </row>
    <row r="4133" spans="1:19">
      <c r="A4133" s="5" t="str">
        <f>B4133&amp;"-"&amp;COUNTIF($B$2:B4133,B4133)</f>
        <v>RIO GRANDE DO SUL-280</v>
      </c>
      <c r="B4133" s="5" t="s">
        <v>2552</v>
      </c>
      <c r="C4133" s="5" t="s">
        <v>2764</v>
      </c>
      <c r="D4133" s="6">
        <v>-534694</v>
      </c>
      <c r="E4133" s="6">
        <v>-294715</v>
      </c>
      <c r="F4133" s="7">
        <v>4.4950000000000001</v>
      </c>
      <c r="G4133" s="7">
        <v>6.2779999999999996</v>
      </c>
      <c r="H4133" s="7">
        <v>5.9089999999999998</v>
      </c>
      <c r="I4133" s="7">
        <v>5.0010000000000003</v>
      </c>
      <c r="J4133" s="7">
        <v>3.871</v>
      </c>
      <c r="K4133" s="7">
        <v>2.8650000000000002</v>
      </c>
      <c r="L4133" s="7">
        <v>2.3679999999999999</v>
      </c>
      <c r="M4133" s="7">
        <v>2.6269999999999998</v>
      </c>
      <c r="N4133" s="7">
        <v>3.3759999999999999</v>
      </c>
      <c r="O4133" s="7">
        <v>3.7530000000000001</v>
      </c>
      <c r="P4133" s="7">
        <v>4.9169999999999998</v>
      </c>
      <c r="Q4133" s="7">
        <v>6.2450000000000001</v>
      </c>
      <c r="R4133" s="7">
        <v>6.7279999999999998</v>
      </c>
      <c r="S4133" s="7">
        <f t="shared" si="64"/>
        <v>4.4948333333333332</v>
      </c>
    </row>
    <row r="4134" spans="1:19">
      <c r="A4134" s="5" t="str">
        <f>B4134&amp;"-"&amp;COUNTIF($B$2:B4134,B4134)</f>
        <v>RIO GRANDE DO SUL-281</v>
      </c>
      <c r="B4134" s="5" t="s">
        <v>2552</v>
      </c>
      <c r="C4134" s="5" t="s">
        <v>5210</v>
      </c>
      <c r="D4134" s="6">
        <v>-51114</v>
      </c>
      <c r="E4134" s="6">
        <v>-293746</v>
      </c>
      <c r="F4134" s="7">
        <v>4.3390000000000004</v>
      </c>
      <c r="G4134" s="7">
        <v>6.1829999999999998</v>
      </c>
      <c r="H4134" s="7">
        <v>5.6779999999999999</v>
      </c>
      <c r="I4134" s="7">
        <v>4.7290000000000001</v>
      </c>
      <c r="J4134" s="7">
        <v>3.7759999999999998</v>
      </c>
      <c r="K4134" s="7">
        <v>2.8029999999999999</v>
      </c>
      <c r="L4134" s="7">
        <v>2.3519999999999999</v>
      </c>
      <c r="M4134" s="7">
        <v>2.6030000000000002</v>
      </c>
      <c r="N4134" s="7">
        <v>3.2759999999999998</v>
      </c>
      <c r="O4134" s="7">
        <v>3.569</v>
      </c>
      <c r="P4134" s="7">
        <v>4.6289999999999996</v>
      </c>
      <c r="Q4134" s="7">
        <v>6.0410000000000004</v>
      </c>
      <c r="R4134" s="7">
        <v>6.43</v>
      </c>
      <c r="S4134" s="7">
        <f t="shared" si="64"/>
        <v>4.339083333333333</v>
      </c>
    </row>
    <row r="4135" spans="1:19">
      <c r="A4135" s="5" t="str">
        <f>B4135&amp;"-"&amp;COUNTIF($B$2:B4135,B4135)</f>
        <v>RIO GRANDE DO SUL-282</v>
      </c>
      <c r="B4135" s="5" t="s">
        <v>2552</v>
      </c>
      <c r="C4135" s="5" t="s">
        <v>2765</v>
      </c>
      <c r="D4135" s="6">
        <v>-516117</v>
      </c>
      <c r="E4135" s="6">
        <v>-287804</v>
      </c>
      <c r="F4135" s="7">
        <v>4.4390000000000001</v>
      </c>
      <c r="G4135" s="7">
        <v>6.17</v>
      </c>
      <c r="H4135" s="7">
        <v>5.7679999999999998</v>
      </c>
      <c r="I4135" s="7">
        <v>4.819</v>
      </c>
      <c r="J4135" s="7">
        <v>3.8820000000000001</v>
      </c>
      <c r="K4135" s="7">
        <v>2.9009999999999998</v>
      </c>
      <c r="L4135" s="7">
        <v>2.4239999999999999</v>
      </c>
      <c r="M4135" s="7">
        <v>2.7370000000000001</v>
      </c>
      <c r="N4135" s="7">
        <v>3.4670000000000001</v>
      </c>
      <c r="O4135" s="7">
        <v>3.742</v>
      </c>
      <c r="P4135" s="7">
        <v>4.774</v>
      </c>
      <c r="Q4135" s="7">
        <v>6.1130000000000004</v>
      </c>
      <c r="R4135" s="7">
        <v>6.47</v>
      </c>
      <c r="S4135" s="7">
        <f t="shared" si="64"/>
        <v>4.4389166666666666</v>
      </c>
    </row>
    <row r="4136" spans="1:19">
      <c r="A4136" s="5" t="str">
        <f>B4136&amp;"-"&amp;COUNTIF($B$2:B4136,B4136)</f>
        <v>RIO GRANDE DO SUL-283</v>
      </c>
      <c r="B4136" s="5" t="s">
        <v>2552</v>
      </c>
      <c r="C4136" s="5" t="s">
        <v>2766</v>
      </c>
      <c r="D4136" s="6">
        <v>-536996</v>
      </c>
      <c r="E4136" s="6">
        <v>-280672</v>
      </c>
      <c r="F4136" s="7">
        <v>4.6260000000000003</v>
      </c>
      <c r="G4136" s="7">
        <v>6.375</v>
      </c>
      <c r="H4136" s="7">
        <v>6.0170000000000003</v>
      </c>
      <c r="I4136" s="7">
        <v>5.09</v>
      </c>
      <c r="J4136" s="7">
        <v>4.0350000000000001</v>
      </c>
      <c r="K4136" s="7">
        <v>3.0880000000000001</v>
      </c>
      <c r="L4136" s="7">
        <v>2.585</v>
      </c>
      <c r="M4136" s="7">
        <v>2.8460000000000001</v>
      </c>
      <c r="N4136" s="7">
        <v>3.63</v>
      </c>
      <c r="O4136" s="7">
        <v>3.9580000000000002</v>
      </c>
      <c r="P4136" s="7">
        <v>5.1079999999999997</v>
      </c>
      <c r="Q4136" s="7">
        <v>6.17</v>
      </c>
      <c r="R4136" s="7">
        <v>6.6139999999999999</v>
      </c>
      <c r="S4136" s="7">
        <f t="shared" si="64"/>
        <v>4.6263333333333332</v>
      </c>
    </row>
    <row r="4137" spans="1:19">
      <c r="A4137" s="5" t="str">
        <f>B4137&amp;"-"&amp;COUNTIF($B$2:B4137,B4137)</f>
        <v>RIO GRANDE DO SUL-284</v>
      </c>
      <c r="B4137" s="5" t="s">
        <v>2552</v>
      </c>
      <c r="C4137" s="5" t="s">
        <v>2767</v>
      </c>
      <c r="D4137" s="5" t="s">
        <v>2768</v>
      </c>
      <c r="E4137" s="6">
        <v>-289887</v>
      </c>
      <c r="F4137" s="7">
        <v>4.423</v>
      </c>
      <c r="G4137" s="7">
        <v>6.1920000000000002</v>
      </c>
      <c r="H4137" s="7">
        <v>5.7190000000000003</v>
      </c>
      <c r="I4137" s="7">
        <v>4.8639999999999999</v>
      </c>
      <c r="J4137" s="7">
        <v>3.85</v>
      </c>
      <c r="K4137" s="7">
        <v>2.8540000000000001</v>
      </c>
      <c r="L4137" s="7">
        <v>2.3969999999999998</v>
      </c>
      <c r="M4137" s="7">
        <v>2.6819999999999999</v>
      </c>
      <c r="N4137" s="7">
        <v>3.4329999999999998</v>
      </c>
      <c r="O4137" s="7">
        <v>3.6869999999999998</v>
      </c>
      <c r="P4137" s="7">
        <v>4.7869999999999999</v>
      </c>
      <c r="Q4137" s="7">
        <v>6.1379999999999999</v>
      </c>
      <c r="R4137" s="7">
        <v>6.4820000000000002</v>
      </c>
      <c r="S4137" s="7">
        <f t="shared" si="64"/>
        <v>4.4237499999999992</v>
      </c>
    </row>
    <row r="4138" spans="1:19">
      <c r="A4138" s="5" t="str">
        <f>B4138&amp;"-"&amp;COUNTIF($B$2:B4138,B4138)</f>
        <v>RIO GRANDE DO SUL-285</v>
      </c>
      <c r="B4138" s="5" t="s">
        <v>2552</v>
      </c>
      <c r="C4138" s="5" t="s">
        <v>2345</v>
      </c>
      <c r="D4138" s="5" t="s">
        <v>2769</v>
      </c>
      <c r="E4138" s="6">
        <v>-298484</v>
      </c>
      <c r="F4138" s="7">
        <v>4.3979999999999997</v>
      </c>
      <c r="G4138" s="7">
        <v>6.3159999999999998</v>
      </c>
      <c r="H4138" s="7">
        <v>5.8410000000000002</v>
      </c>
      <c r="I4138" s="7">
        <v>4.8810000000000002</v>
      </c>
      <c r="J4138" s="7">
        <v>3.8090000000000002</v>
      </c>
      <c r="K4138" s="7">
        <v>2.7949999999999999</v>
      </c>
      <c r="L4138" s="7">
        <v>2.3370000000000002</v>
      </c>
      <c r="M4138" s="7">
        <v>2.5430000000000001</v>
      </c>
      <c r="N4138" s="7">
        <v>3.198</v>
      </c>
      <c r="O4138" s="7">
        <v>3.5590000000000002</v>
      </c>
      <c r="P4138" s="7">
        <v>4.6900000000000004</v>
      </c>
      <c r="Q4138" s="7">
        <v>6.173</v>
      </c>
      <c r="R4138" s="7">
        <v>6.6340000000000003</v>
      </c>
      <c r="S4138" s="7">
        <f t="shared" si="64"/>
        <v>4.3980000000000006</v>
      </c>
    </row>
    <row r="4139" spans="1:19">
      <c r="A4139" s="5" t="str">
        <f>B4139&amp;"-"&amp;COUNTIF($B$2:B4139,B4139)</f>
        <v>RIO GRANDE DO SUL-286</v>
      </c>
      <c r="B4139" s="5" t="s">
        <v>2552</v>
      </c>
      <c r="C4139" s="5" t="s">
        <v>2770</v>
      </c>
      <c r="D4139" s="6">
        <v>-531107</v>
      </c>
      <c r="E4139" s="6">
        <v>-279082</v>
      </c>
      <c r="F4139" s="7">
        <v>4.6340000000000003</v>
      </c>
      <c r="G4139" s="7">
        <v>6.367</v>
      </c>
      <c r="H4139" s="7">
        <v>5.9279999999999999</v>
      </c>
      <c r="I4139" s="7">
        <v>5.048</v>
      </c>
      <c r="J4139" s="7">
        <v>4.085</v>
      </c>
      <c r="K4139" s="7">
        <v>3.0990000000000002</v>
      </c>
      <c r="L4139" s="7">
        <v>2.5670000000000002</v>
      </c>
      <c r="M4139" s="7">
        <v>2.899</v>
      </c>
      <c r="N4139" s="7">
        <v>3.653</v>
      </c>
      <c r="O4139" s="7">
        <v>3.9670000000000001</v>
      </c>
      <c r="P4139" s="7">
        <v>5.1260000000000003</v>
      </c>
      <c r="Q4139" s="7">
        <v>6.2409999999999997</v>
      </c>
      <c r="R4139" s="7">
        <v>6.633</v>
      </c>
      <c r="S4139" s="7">
        <f t="shared" si="64"/>
        <v>4.6344166666666666</v>
      </c>
    </row>
    <row r="4140" spans="1:19">
      <c r="A4140" s="5" t="str">
        <f>B4140&amp;"-"&amp;COUNTIF($B$2:B4140,B4140)</f>
        <v>RIO GRANDE DO SUL-287</v>
      </c>
      <c r="B4140" s="5" t="s">
        <v>2552</v>
      </c>
      <c r="C4140" s="5" t="s">
        <v>2771</v>
      </c>
      <c r="D4140" s="6">
        <v>-529494</v>
      </c>
      <c r="E4140" s="6">
        <v>-297342</v>
      </c>
      <c r="F4140" s="7">
        <v>4.391</v>
      </c>
      <c r="G4140" s="7">
        <v>6.1879999999999997</v>
      </c>
      <c r="H4140" s="7">
        <v>5.7809999999999997</v>
      </c>
      <c r="I4140" s="7">
        <v>4.9009999999999998</v>
      </c>
      <c r="J4140" s="7">
        <v>3.8140000000000001</v>
      </c>
      <c r="K4140" s="7">
        <v>2.7850000000000001</v>
      </c>
      <c r="L4140" s="7">
        <v>2.327</v>
      </c>
      <c r="M4140" s="7">
        <v>2.5470000000000002</v>
      </c>
      <c r="N4140" s="7">
        <v>3.266</v>
      </c>
      <c r="O4140" s="7">
        <v>3.629</v>
      </c>
      <c r="P4140" s="7">
        <v>4.7649999999999997</v>
      </c>
      <c r="Q4140" s="7">
        <v>6.0970000000000004</v>
      </c>
      <c r="R4140" s="7">
        <v>6.5970000000000004</v>
      </c>
      <c r="S4140" s="7">
        <f t="shared" si="64"/>
        <v>4.3914166666666672</v>
      </c>
    </row>
    <row r="4141" spans="1:19">
      <c r="A4141" s="5" t="str">
        <f>B4141&amp;"-"&amp;COUNTIF($B$2:B4141,B4141)</f>
        <v>RIO GRANDE DO SUL-288</v>
      </c>
      <c r="B4141" s="5" t="s">
        <v>2552</v>
      </c>
      <c r="C4141" s="5" t="s">
        <v>2772</v>
      </c>
      <c r="D4141" s="6">
        <v>-511333</v>
      </c>
      <c r="E4141" s="6">
        <v>-29688</v>
      </c>
      <c r="F4141" s="7">
        <v>4.3540000000000001</v>
      </c>
      <c r="G4141" s="7">
        <v>6.2430000000000003</v>
      </c>
      <c r="H4141" s="7">
        <v>5.7460000000000004</v>
      </c>
      <c r="I4141" s="7">
        <v>4.782</v>
      </c>
      <c r="J4141" s="7">
        <v>3.7789999999999999</v>
      </c>
      <c r="K4141" s="7">
        <v>2.827</v>
      </c>
      <c r="L4141" s="7">
        <v>2.3199999999999998</v>
      </c>
      <c r="M4141" s="7">
        <v>2.5259999999999998</v>
      </c>
      <c r="N4141" s="7">
        <v>3.2010000000000001</v>
      </c>
      <c r="O4141" s="7">
        <v>3.5569999999999999</v>
      </c>
      <c r="P4141" s="7">
        <v>4.6289999999999996</v>
      </c>
      <c r="Q4141" s="7">
        <v>6.0789999999999997</v>
      </c>
      <c r="R4141" s="7">
        <v>6.5670000000000002</v>
      </c>
      <c r="S4141" s="7">
        <f t="shared" si="64"/>
        <v>4.3546666666666667</v>
      </c>
    </row>
    <row r="4142" spans="1:19">
      <c r="A4142" s="5" t="str">
        <f>B4142&amp;"-"&amp;COUNTIF($B$2:B4142,B4142)</f>
        <v>RIO GRANDE DO SUL-289</v>
      </c>
      <c r="B4142" s="5" t="s">
        <v>2552</v>
      </c>
      <c r="C4142" s="5" t="s">
        <v>2773</v>
      </c>
      <c r="D4142" s="6">
        <v>-545041</v>
      </c>
      <c r="E4142" s="6">
        <v>-275769</v>
      </c>
      <c r="F4142" s="7">
        <v>4.6529999999999996</v>
      </c>
      <c r="G4142" s="7">
        <v>6.5039999999999996</v>
      </c>
      <c r="H4142" s="7">
        <v>5.9880000000000004</v>
      </c>
      <c r="I4142" s="7">
        <v>5.1609999999999996</v>
      </c>
      <c r="J4142" s="7">
        <v>4.04</v>
      </c>
      <c r="K4142" s="7">
        <v>3.0760000000000001</v>
      </c>
      <c r="L4142" s="7">
        <v>2.52</v>
      </c>
      <c r="M4142" s="7">
        <v>2.8180000000000001</v>
      </c>
      <c r="N4142" s="7">
        <v>3.64</v>
      </c>
      <c r="O4142" s="7">
        <v>4.016</v>
      </c>
      <c r="P4142" s="7">
        <v>5.1760000000000002</v>
      </c>
      <c r="Q4142" s="7">
        <v>6.2190000000000003</v>
      </c>
      <c r="R4142" s="7">
        <v>6.6719999999999997</v>
      </c>
      <c r="S4142" s="7">
        <f t="shared" si="64"/>
        <v>4.6524999999999999</v>
      </c>
    </row>
    <row r="4143" spans="1:19">
      <c r="A4143" s="5" t="str">
        <f>B4143&amp;"-"&amp;COUNTIF($B$2:B4143,B4143)</f>
        <v>RIO GRANDE DO SUL-290</v>
      </c>
      <c r="B4143" s="5" t="s">
        <v>2552</v>
      </c>
      <c r="C4143" s="5" t="s">
        <v>2774</v>
      </c>
      <c r="D4143" s="6">
        <v>-531842</v>
      </c>
      <c r="E4143" s="6">
        <v>-275654</v>
      </c>
      <c r="F4143" s="7">
        <v>4.6539999999999999</v>
      </c>
      <c r="G4143" s="7">
        <v>6.3150000000000004</v>
      </c>
      <c r="H4143" s="7">
        <v>5.9180000000000001</v>
      </c>
      <c r="I4143" s="7">
        <v>5.1109999999999998</v>
      </c>
      <c r="J4143" s="7">
        <v>4.125</v>
      </c>
      <c r="K4143" s="7">
        <v>3.1059999999999999</v>
      </c>
      <c r="L4143" s="7">
        <v>2.544</v>
      </c>
      <c r="M4143" s="7">
        <v>2.895</v>
      </c>
      <c r="N4143" s="7">
        <v>3.7050000000000001</v>
      </c>
      <c r="O4143" s="7">
        <v>3.9809999999999999</v>
      </c>
      <c r="P4143" s="7">
        <v>5.1769999999999996</v>
      </c>
      <c r="Q4143" s="7">
        <v>6.3049999999999997</v>
      </c>
      <c r="R4143" s="7">
        <v>6.6639999999999997</v>
      </c>
      <c r="S4143" s="7">
        <f t="shared" si="64"/>
        <v>4.6538333333333339</v>
      </c>
    </row>
    <row r="4144" spans="1:19">
      <c r="A4144" s="5" t="str">
        <f>B4144&amp;"-"&amp;COUNTIF($B$2:B4144,B4144)</f>
        <v>RIO GRANDE DO SUL-291</v>
      </c>
      <c r="B4144" s="5" t="s">
        <v>2552</v>
      </c>
      <c r="C4144" s="5" t="s">
        <v>2775</v>
      </c>
      <c r="D4144" s="6">
        <v>-530644</v>
      </c>
      <c r="E4144" s="6">
        <v>-277495</v>
      </c>
      <c r="F4144" s="7">
        <v>4.6529999999999996</v>
      </c>
      <c r="G4144" s="7">
        <v>6.335</v>
      </c>
      <c r="H4144" s="7">
        <v>5.9240000000000004</v>
      </c>
      <c r="I4144" s="7">
        <v>5.133</v>
      </c>
      <c r="J4144" s="7">
        <v>4.1150000000000002</v>
      </c>
      <c r="K4144" s="7">
        <v>3.113</v>
      </c>
      <c r="L4144" s="7">
        <v>2.57</v>
      </c>
      <c r="M4144" s="7">
        <v>2.895</v>
      </c>
      <c r="N4144" s="7">
        <v>3.669</v>
      </c>
      <c r="O4144" s="7">
        <v>3.9569999999999999</v>
      </c>
      <c r="P4144" s="7">
        <v>5.16</v>
      </c>
      <c r="Q4144" s="7">
        <v>6.2670000000000003</v>
      </c>
      <c r="R4144" s="7">
        <v>6.7009999999999996</v>
      </c>
      <c r="S4144" s="7">
        <f t="shared" si="64"/>
        <v>4.6532499999999999</v>
      </c>
    </row>
    <row r="4145" spans="1:19">
      <c r="A4145" s="5" t="str">
        <f>B4145&amp;"-"&amp;COUNTIF($B$2:B4145,B4145)</f>
        <v>RIO GRANDE DO SUL-292</v>
      </c>
      <c r="B4145" s="5" t="s">
        <v>2552</v>
      </c>
      <c r="C4145" s="5" t="s">
        <v>5211</v>
      </c>
      <c r="D4145" s="6">
        <v>-502672</v>
      </c>
      <c r="E4145" s="6">
        <v>-298886</v>
      </c>
      <c r="F4145" s="7">
        <v>4.298</v>
      </c>
      <c r="G4145" s="7">
        <v>6.2169999999999996</v>
      </c>
      <c r="H4145" s="7">
        <v>5.5540000000000003</v>
      </c>
      <c r="I4145" s="7">
        <v>4.6619999999999999</v>
      </c>
      <c r="J4145" s="7">
        <v>3.8079999999999998</v>
      </c>
      <c r="K4145" s="7">
        <v>2.819</v>
      </c>
      <c r="L4145" s="7">
        <v>2.3719999999999999</v>
      </c>
      <c r="M4145" s="7">
        <v>2.5659999999999998</v>
      </c>
      <c r="N4145" s="7">
        <v>3.226</v>
      </c>
      <c r="O4145" s="7">
        <v>3.4969999999999999</v>
      </c>
      <c r="P4145" s="7">
        <v>4.5389999999999997</v>
      </c>
      <c r="Q4145" s="7">
        <v>5.96</v>
      </c>
      <c r="R4145" s="7">
        <v>6.3579999999999997</v>
      </c>
      <c r="S4145" s="7">
        <f t="shared" si="64"/>
        <v>4.298166666666666</v>
      </c>
    </row>
    <row r="4146" spans="1:19">
      <c r="A4146" s="5" t="str">
        <f>B4146&amp;"-"&amp;COUNTIF($B$2:B4146,B4146)</f>
        <v>RIO GRANDE DO SUL-293</v>
      </c>
      <c r="B4146" s="5" t="s">
        <v>2552</v>
      </c>
      <c r="C4146" s="5" t="s">
        <v>2776</v>
      </c>
      <c r="D4146" s="6">
        <v>-517634</v>
      </c>
      <c r="E4146" s="6">
        <v>-27708</v>
      </c>
      <c r="F4146" s="7">
        <v>4.601</v>
      </c>
      <c r="G4146" s="7">
        <v>6.274</v>
      </c>
      <c r="H4146" s="7">
        <v>5.7779999999999996</v>
      </c>
      <c r="I4146" s="7">
        <v>5.0220000000000002</v>
      </c>
      <c r="J4146" s="7">
        <v>4.0860000000000003</v>
      </c>
      <c r="K4146" s="7">
        <v>3.0619999999999998</v>
      </c>
      <c r="L4146" s="7">
        <v>2.613</v>
      </c>
      <c r="M4146" s="7">
        <v>2.903</v>
      </c>
      <c r="N4146" s="7">
        <v>3.706</v>
      </c>
      <c r="O4146" s="7">
        <v>3.9289999999999998</v>
      </c>
      <c r="P4146" s="7">
        <v>5.0439999999999996</v>
      </c>
      <c r="Q4146" s="7">
        <v>6.2510000000000003</v>
      </c>
      <c r="R4146" s="7">
        <v>6.5410000000000004</v>
      </c>
      <c r="S4146" s="7">
        <f t="shared" si="64"/>
        <v>4.6007499999999988</v>
      </c>
    </row>
    <row r="4147" spans="1:19">
      <c r="A4147" s="5" t="str">
        <f>B4147&amp;"-"&amp;COUNTIF($B$2:B4147,B4147)</f>
        <v>RIO GRANDE DO SUL-294</v>
      </c>
      <c r="B4147" s="5" t="s">
        <v>2552</v>
      </c>
      <c r="C4147" s="5" t="s">
        <v>2777</v>
      </c>
      <c r="D4147" s="6">
        <v>-505099</v>
      </c>
      <c r="E4147" s="6">
        <v>-30258</v>
      </c>
      <c r="F4147" s="7">
        <v>4.4690000000000003</v>
      </c>
      <c r="G4147" s="7">
        <v>6.5670000000000002</v>
      </c>
      <c r="H4147" s="7">
        <v>5.9610000000000003</v>
      </c>
      <c r="I4147" s="7">
        <v>4.8890000000000002</v>
      </c>
      <c r="J4147" s="7">
        <v>3.8740000000000001</v>
      </c>
      <c r="K4147" s="7">
        <v>2.8109999999999999</v>
      </c>
      <c r="L4147" s="7">
        <v>2.327</v>
      </c>
      <c r="M4147" s="7">
        <v>2.528</v>
      </c>
      <c r="N4147" s="7">
        <v>3.1779999999999999</v>
      </c>
      <c r="O4147" s="7">
        <v>3.6080000000000001</v>
      </c>
      <c r="P4147" s="7">
        <v>4.867</v>
      </c>
      <c r="Q4147" s="7">
        <v>6.234</v>
      </c>
      <c r="R4147" s="7">
        <v>6.7850000000000001</v>
      </c>
      <c r="S4147" s="7">
        <f t="shared" si="64"/>
        <v>4.4690833333333329</v>
      </c>
    </row>
    <row r="4148" spans="1:19">
      <c r="A4148" s="5" t="str">
        <f>B4148&amp;"-"&amp;COUNTIF($B$2:B4148,B4148)</f>
        <v>RIO GRANDE DO SUL-295</v>
      </c>
      <c r="B4148" s="5" t="s">
        <v>2552</v>
      </c>
      <c r="C4148" s="5" t="s">
        <v>5446</v>
      </c>
      <c r="D4148" s="6">
        <v>-533138</v>
      </c>
      <c r="E4148" s="6">
        <v>-279011</v>
      </c>
      <c r="F4148" s="7">
        <v>4.6369999999999996</v>
      </c>
      <c r="G4148" s="7">
        <v>6.399</v>
      </c>
      <c r="H4148" s="7">
        <v>5.9580000000000002</v>
      </c>
      <c r="I4148" s="7">
        <v>5.008</v>
      </c>
      <c r="J4148" s="7">
        <v>4.04</v>
      </c>
      <c r="K4148" s="7">
        <v>3.1110000000000002</v>
      </c>
      <c r="L4148" s="7">
        <v>2.5920000000000001</v>
      </c>
      <c r="M4148" s="7">
        <v>2.91</v>
      </c>
      <c r="N4148" s="7">
        <v>3.677</v>
      </c>
      <c r="O4148" s="7">
        <v>3.9729999999999999</v>
      </c>
      <c r="P4148" s="7">
        <v>5.1280000000000001</v>
      </c>
      <c r="Q4148" s="7">
        <v>6.2039999999999997</v>
      </c>
      <c r="R4148" s="7">
        <v>6.6390000000000002</v>
      </c>
      <c r="S4148" s="7">
        <f t="shared" si="64"/>
        <v>4.6365833333333333</v>
      </c>
    </row>
    <row r="4149" spans="1:19">
      <c r="A4149" s="5" t="str">
        <f>B4149&amp;"-"&amp;COUNTIF($B$2:B4149,B4149)</f>
        <v>RIO GRANDE DO SUL-296</v>
      </c>
      <c r="B4149" s="5" t="s">
        <v>2552</v>
      </c>
      <c r="C4149" s="5" t="s">
        <v>2778</v>
      </c>
      <c r="D4149" s="6">
        <v>-535585</v>
      </c>
      <c r="E4149" s="5" t="s">
        <v>2779</v>
      </c>
      <c r="F4149" s="7">
        <v>4.6539999999999999</v>
      </c>
      <c r="G4149" s="7">
        <v>6.4619999999999997</v>
      </c>
      <c r="H4149" s="7">
        <v>5.8529999999999998</v>
      </c>
      <c r="I4149" s="7">
        <v>5.1689999999999996</v>
      </c>
      <c r="J4149" s="7">
        <v>4.08</v>
      </c>
      <c r="K4149" s="7">
        <v>3.109</v>
      </c>
      <c r="L4149" s="7">
        <v>2.57</v>
      </c>
      <c r="M4149" s="7">
        <v>2.903</v>
      </c>
      <c r="N4149" s="7">
        <v>3.7189999999999999</v>
      </c>
      <c r="O4149" s="7">
        <v>3.9860000000000002</v>
      </c>
      <c r="P4149" s="7">
        <v>5.1929999999999996</v>
      </c>
      <c r="Q4149" s="7">
        <v>6.202</v>
      </c>
      <c r="R4149" s="7">
        <v>6.5960000000000001</v>
      </c>
      <c r="S4149" s="7">
        <f t="shared" si="64"/>
        <v>4.6535000000000002</v>
      </c>
    </row>
    <row r="4150" spans="1:19">
      <c r="A4150" s="5" t="str">
        <f>B4150&amp;"-"&amp;COUNTIF($B$2:B4150,B4150)</f>
        <v>RIO GRANDE DO SUL-297</v>
      </c>
      <c r="B4150" s="5" t="s">
        <v>2552</v>
      </c>
      <c r="C4150" s="5" t="s">
        <v>2780</v>
      </c>
      <c r="D4150" s="6">
        <v>-535027</v>
      </c>
      <c r="E4150" s="6">
        <v>-282838</v>
      </c>
      <c r="F4150" s="7">
        <v>4.6100000000000003</v>
      </c>
      <c r="G4150" s="7">
        <v>6.3780000000000001</v>
      </c>
      <c r="H4150" s="7">
        <v>5.9349999999999996</v>
      </c>
      <c r="I4150" s="7">
        <v>5.1079999999999997</v>
      </c>
      <c r="J4150" s="7">
        <v>4.0309999999999997</v>
      </c>
      <c r="K4150" s="7">
        <v>3.0609999999999999</v>
      </c>
      <c r="L4150" s="7">
        <v>2.5099999999999998</v>
      </c>
      <c r="M4150" s="7">
        <v>2.8050000000000002</v>
      </c>
      <c r="N4150" s="7">
        <v>3.5950000000000002</v>
      </c>
      <c r="O4150" s="7">
        <v>3.931</v>
      </c>
      <c r="P4150" s="7">
        <v>5.1139999999999999</v>
      </c>
      <c r="Q4150" s="7">
        <v>6.2229999999999999</v>
      </c>
      <c r="R4150" s="7">
        <v>6.6289999999999996</v>
      </c>
      <c r="S4150" s="7">
        <f t="shared" si="64"/>
        <v>4.6099999999999985</v>
      </c>
    </row>
    <row r="4151" spans="1:19">
      <c r="A4151" s="5" t="str">
        <f>B4151&amp;"-"&amp;COUNTIF($B$2:B4151,B4151)</f>
        <v>RIO GRANDE DO SUL-298</v>
      </c>
      <c r="B4151" s="5" t="s">
        <v>2552</v>
      </c>
      <c r="C4151" s="5" t="s">
        <v>2781</v>
      </c>
      <c r="D4151" s="6">
        <v>-523734</v>
      </c>
      <c r="E4151" s="6">
        <v>-301906</v>
      </c>
      <c r="F4151" s="7">
        <v>4.4710000000000001</v>
      </c>
      <c r="G4151" s="7">
        <v>6.4850000000000003</v>
      </c>
      <c r="H4151" s="7">
        <v>5.952</v>
      </c>
      <c r="I4151" s="7">
        <v>4.9459999999999997</v>
      </c>
      <c r="J4151" s="7">
        <v>3.802</v>
      </c>
      <c r="K4151" s="7">
        <v>2.78</v>
      </c>
      <c r="L4151" s="7">
        <v>2.3130000000000002</v>
      </c>
      <c r="M4151" s="7">
        <v>2.5270000000000001</v>
      </c>
      <c r="N4151" s="7">
        <v>3.2250000000000001</v>
      </c>
      <c r="O4151" s="7">
        <v>3.7240000000000002</v>
      </c>
      <c r="P4151" s="7">
        <v>4.9080000000000004</v>
      </c>
      <c r="Q4151" s="7">
        <v>6.2309999999999999</v>
      </c>
      <c r="R4151" s="7">
        <v>6.7560000000000002</v>
      </c>
      <c r="S4151" s="7">
        <f t="shared" si="64"/>
        <v>4.4707500000000007</v>
      </c>
    </row>
    <row r="4152" spans="1:19">
      <c r="A4152" s="5" t="str">
        <f>B4152&amp;"-"&amp;COUNTIF($B$2:B4152,B4152)</f>
        <v>RIO GRANDE DO SUL-299</v>
      </c>
      <c r="B4152" s="5" t="s">
        <v>2552</v>
      </c>
      <c r="C4152" s="5" t="s">
        <v>2782</v>
      </c>
      <c r="D4152" s="6">
        <v>-517901</v>
      </c>
      <c r="E4152" s="6">
        <v>-285969</v>
      </c>
      <c r="F4152" s="7">
        <v>4.4580000000000002</v>
      </c>
      <c r="G4152" s="7">
        <v>6.1070000000000002</v>
      </c>
      <c r="H4152" s="7">
        <v>5.7089999999999996</v>
      </c>
      <c r="I4152" s="7">
        <v>4.8780000000000001</v>
      </c>
      <c r="J4152" s="7">
        <v>3.9449999999999998</v>
      </c>
      <c r="K4152" s="7">
        <v>2.9009999999999998</v>
      </c>
      <c r="L4152" s="7">
        <v>2.4670000000000001</v>
      </c>
      <c r="M4152" s="7">
        <v>2.774</v>
      </c>
      <c r="N4152" s="7">
        <v>3.4990000000000001</v>
      </c>
      <c r="O4152" s="7">
        <v>3.7549999999999999</v>
      </c>
      <c r="P4152" s="7">
        <v>4.8650000000000002</v>
      </c>
      <c r="Q4152" s="7">
        <v>6.1219999999999999</v>
      </c>
      <c r="R4152" s="7">
        <v>6.4690000000000003</v>
      </c>
      <c r="S4152" s="7">
        <f t="shared" si="64"/>
        <v>4.4575833333333339</v>
      </c>
    </row>
    <row r="4153" spans="1:19">
      <c r="A4153" s="5" t="str">
        <f>B4153&amp;"-"&amp;COUNTIF($B$2:B4153,B4153)</f>
        <v>RIO GRANDE DO SUL-300</v>
      </c>
      <c r="B4153" s="5" t="s">
        <v>2552</v>
      </c>
      <c r="C4153" s="5" t="s">
        <v>2783</v>
      </c>
      <c r="D4153" s="6">
        <v>-531417</v>
      </c>
      <c r="E4153" s="6">
        <v>-29666</v>
      </c>
      <c r="F4153" s="7">
        <v>4.4560000000000004</v>
      </c>
      <c r="G4153" s="7">
        <v>6.3570000000000002</v>
      </c>
      <c r="H4153" s="7">
        <v>5.867</v>
      </c>
      <c r="I4153" s="7">
        <v>4.9669999999999996</v>
      </c>
      <c r="J4153" s="7">
        <v>3.8079999999999998</v>
      </c>
      <c r="K4153" s="7">
        <v>2.7730000000000001</v>
      </c>
      <c r="L4153" s="7">
        <v>2.3149999999999999</v>
      </c>
      <c r="M4153" s="7">
        <v>2.5550000000000002</v>
      </c>
      <c r="N4153" s="7">
        <v>3.298</v>
      </c>
      <c r="O4153" s="7">
        <v>3.6760000000000002</v>
      </c>
      <c r="P4153" s="7">
        <v>4.88</v>
      </c>
      <c r="Q4153" s="7">
        <v>6.2279999999999998</v>
      </c>
      <c r="R4153" s="7">
        <v>6.7469999999999999</v>
      </c>
      <c r="S4153" s="7">
        <f t="shared" si="64"/>
        <v>4.455916666666667</v>
      </c>
    </row>
    <row r="4154" spans="1:19">
      <c r="A4154" s="5" t="str">
        <f>B4154&amp;"-"&amp;COUNTIF($B$2:B4154,B4154)</f>
        <v>RIO GRANDE DO SUL-301</v>
      </c>
      <c r="B4154" s="5" t="s">
        <v>2552</v>
      </c>
      <c r="C4154" s="5" t="s">
        <v>2784</v>
      </c>
      <c r="D4154" s="6">
        <v>-513979</v>
      </c>
      <c r="E4154" s="6">
        <v>-29637</v>
      </c>
      <c r="F4154" s="7">
        <v>4.3520000000000003</v>
      </c>
      <c r="G4154" s="7">
        <v>6.1740000000000004</v>
      </c>
      <c r="H4154" s="7">
        <v>5.7640000000000002</v>
      </c>
      <c r="I4154" s="7">
        <v>4.8220000000000001</v>
      </c>
      <c r="J4154" s="7">
        <v>3.778</v>
      </c>
      <c r="K4154" s="7">
        <v>2.8149999999999999</v>
      </c>
      <c r="L4154" s="7">
        <v>2.3410000000000002</v>
      </c>
      <c r="M4154" s="7">
        <v>2.5329999999999999</v>
      </c>
      <c r="N4154" s="7">
        <v>3.2250000000000001</v>
      </c>
      <c r="O4154" s="7">
        <v>3.5419999999999998</v>
      </c>
      <c r="P4154" s="7">
        <v>4.6029999999999998</v>
      </c>
      <c r="Q4154" s="7">
        <v>6.1079999999999997</v>
      </c>
      <c r="R4154" s="7">
        <v>6.5220000000000002</v>
      </c>
      <c r="S4154" s="7">
        <f t="shared" si="64"/>
        <v>4.3522500000000006</v>
      </c>
    </row>
    <row r="4155" spans="1:19">
      <c r="A4155" s="5" t="str">
        <f>B4155&amp;"-"&amp;COUNTIF($B$2:B4155,B4155)</f>
        <v>RIO GRANDE DO SUL-302</v>
      </c>
      <c r="B4155" s="5" t="s">
        <v>2552</v>
      </c>
      <c r="C4155" s="5" t="s">
        <v>4477</v>
      </c>
      <c r="D4155" s="6">
        <v>-508349</v>
      </c>
      <c r="E4155" s="6">
        <v>-29629</v>
      </c>
      <c r="F4155" s="7">
        <v>4.2830000000000004</v>
      </c>
      <c r="G4155" s="7">
        <v>6.0629999999999997</v>
      </c>
      <c r="H4155" s="7">
        <v>5.5529999999999999</v>
      </c>
      <c r="I4155" s="7">
        <v>4.6479999999999997</v>
      </c>
      <c r="J4155" s="7">
        <v>3.7559999999999998</v>
      </c>
      <c r="K4155" s="7">
        <v>2.8</v>
      </c>
      <c r="L4155" s="7">
        <v>2.351</v>
      </c>
      <c r="M4155" s="7">
        <v>2.5529999999999999</v>
      </c>
      <c r="N4155" s="7">
        <v>3.2450000000000001</v>
      </c>
      <c r="O4155" s="7">
        <v>3.524</v>
      </c>
      <c r="P4155" s="7">
        <v>4.5410000000000004</v>
      </c>
      <c r="Q4155" s="7">
        <v>5.9969999999999999</v>
      </c>
      <c r="R4155" s="7">
        <v>6.3639999999999999</v>
      </c>
      <c r="S4155" s="7">
        <f t="shared" si="64"/>
        <v>4.2829166666666669</v>
      </c>
    </row>
    <row r="4156" spans="1:19">
      <c r="A4156" s="5" t="str">
        <f>B4156&amp;"-"&amp;COUNTIF($B$2:B4156,B4156)</f>
        <v>RIO GRANDE DO SUL-303</v>
      </c>
      <c r="B4156" s="5" t="s">
        <v>2552</v>
      </c>
      <c r="C4156" s="5" t="s">
        <v>2785</v>
      </c>
      <c r="D4156" s="6">
        <v>-529653</v>
      </c>
      <c r="E4156" s="6">
        <v>-294474</v>
      </c>
      <c r="F4156" s="7">
        <v>4.508</v>
      </c>
      <c r="G4156" s="7">
        <v>6.2190000000000003</v>
      </c>
      <c r="H4156" s="7">
        <v>5.9139999999999997</v>
      </c>
      <c r="I4156" s="7">
        <v>5.0250000000000004</v>
      </c>
      <c r="J4156" s="7">
        <v>3.8929999999999998</v>
      </c>
      <c r="K4156" s="7">
        <v>2.8780000000000001</v>
      </c>
      <c r="L4156" s="7">
        <v>2.4129999999999998</v>
      </c>
      <c r="M4156" s="7">
        <v>2.6659999999999999</v>
      </c>
      <c r="N4156" s="7">
        <v>3.4169999999999998</v>
      </c>
      <c r="O4156" s="7">
        <v>3.726</v>
      </c>
      <c r="P4156" s="7">
        <v>4.9550000000000001</v>
      </c>
      <c r="Q4156" s="7">
        <v>6.2759999999999998</v>
      </c>
      <c r="R4156" s="7">
        <v>6.7140000000000004</v>
      </c>
      <c r="S4156" s="7">
        <f t="shared" si="64"/>
        <v>4.508</v>
      </c>
    </row>
    <row r="4157" spans="1:19">
      <c r="A4157" s="5" t="str">
        <f>B4157&amp;"-"&amp;COUNTIF($B$2:B4157,B4157)</f>
        <v>RIO GRANDE DO SUL-304</v>
      </c>
      <c r="B4157" s="5" t="s">
        <v>2552</v>
      </c>
      <c r="C4157" s="5" t="s">
        <v>2786</v>
      </c>
      <c r="D4157" s="6">
        <v>-522752</v>
      </c>
      <c r="E4157" s="6">
        <v>-297485</v>
      </c>
      <c r="F4157" s="7">
        <v>4.359</v>
      </c>
      <c r="G4157" s="7">
        <v>6.149</v>
      </c>
      <c r="H4157" s="7">
        <v>5.7830000000000004</v>
      </c>
      <c r="I4157" s="7">
        <v>4.8250000000000002</v>
      </c>
      <c r="J4157" s="7">
        <v>3.7879999999999998</v>
      </c>
      <c r="K4157" s="7">
        <v>2.7810000000000001</v>
      </c>
      <c r="L4157" s="7">
        <v>2.3050000000000002</v>
      </c>
      <c r="M4157" s="7">
        <v>2.5270000000000001</v>
      </c>
      <c r="N4157" s="7">
        <v>3.2189999999999999</v>
      </c>
      <c r="O4157" s="7">
        <v>3.5859999999999999</v>
      </c>
      <c r="P4157" s="7">
        <v>4.6829999999999998</v>
      </c>
      <c r="Q4157" s="7">
        <v>6.1070000000000002</v>
      </c>
      <c r="R4157" s="7">
        <v>6.5490000000000004</v>
      </c>
      <c r="S4157" s="7">
        <f t="shared" si="64"/>
        <v>4.3585000000000003</v>
      </c>
    </row>
    <row r="4158" spans="1:19">
      <c r="A4158" s="5" t="str">
        <f>B4158&amp;"-"&amp;COUNTIF($B$2:B4158,B4158)</f>
        <v>RIO GRANDE DO SUL-305</v>
      </c>
      <c r="B4158" s="5" t="s">
        <v>2552</v>
      </c>
      <c r="C4158" s="5" t="s">
        <v>2787</v>
      </c>
      <c r="D4158" s="6">
        <v>-524096</v>
      </c>
      <c r="E4158" s="6">
        <v>-28258</v>
      </c>
      <c r="F4158" s="7">
        <v>4.5529999999999999</v>
      </c>
      <c r="G4158" s="7">
        <v>6.266</v>
      </c>
      <c r="H4158" s="7">
        <v>5.8070000000000004</v>
      </c>
      <c r="I4158" s="7">
        <v>4.9450000000000003</v>
      </c>
      <c r="J4158" s="7">
        <v>4.0039999999999996</v>
      </c>
      <c r="K4158" s="7">
        <v>3.008</v>
      </c>
      <c r="L4158" s="7">
        <v>2.512</v>
      </c>
      <c r="M4158" s="7">
        <v>2.8250000000000002</v>
      </c>
      <c r="N4158" s="7">
        <v>3.589</v>
      </c>
      <c r="O4158" s="7">
        <v>3.8370000000000002</v>
      </c>
      <c r="P4158" s="7">
        <v>5.0419999999999998</v>
      </c>
      <c r="Q4158" s="7">
        <v>6.2210000000000001</v>
      </c>
      <c r="R4158" s="7">
        <v>6.5819999999999999</v>
      </c>
      <c r="S4158" s="7">
        <f t="shared" si="64"/>
        <v>4.5531666666666668</v>
      </c>
    </row>
    <row r="4159" spans="1:19">
      <c r="A4159" s="5" t="str">
        <f>B4159&amp;"-"&amp;COUNTIF($B$2:B4159,B4159)</f>
        <v>RIO GRANDE DO SUL-306</v>
      </c>
      <c r="B4159" s="5" t="s">
        <v>2552</v>
      </c>
      <c r="C4159" s="5" t="s">
        <v>2788</v>
      </c>
      <c r="D4159" s="6">
        <v>-524174</v>
      </c>
      <c r="E4159" s="6">
        <v>-277056</v>
      </c>
      <c r="F4159" s="7">
        <v>4.5919999999999996</v>
      </c>
      <c r="G4159" s="7">
        <v>6.2220000000000004</v>
      </c>
      <c r="H4159" s="7">
        <v>5.7869999999999999</v>
      </c>
      <c r="I4159" s="7">
        <v>5.0220000000000002</v>
      </c>
      <c r="J4159" s="7">
        <v>4.0629999999999997</v>
      </c>
      <c r="K4159" s="7">
        <v>3.0529999999999999</v>
      </c>
      <c r="L4159" s="7">
        <v>2.5840000000000001</v>
      </c>
      <c r="M4159" s="7">
        <v>2.9289999999999998</v>
      </c>
      <c r="N4159" s="7">
        <v>3.734</v>
      </c>
      <c r="O4159" s="7">
        <v>3.9319999999999999</v>
      </c>
      <c r="P4159" s="7">
        <v>5.0880000000000001</v>
      </c>
      <c r="Q4159" s="7">
        <v>6.1520000000000001</v>
      </c>
      <c r="R4159" s="7">
        <v>6.5369999999999999</v>
      </c>
      <c r="S4159" s="7">
        <f t="shared" si="64"/>
        <v>4.5919166666666671</v>
      </c>
    </row>
    <row r="4160" spans="1:19">
      <c r="A4160" s="5" t="str">
        <f>B4160&amp;"-"&amp;COUNTIF($B$2:B4160,B4160)</f>
        <v>RIO GRANDE DO SUL-307</v>
      </c>
      <c r="B4160" s="5" t="s">
        <v>2552</v>
      </c>
      <c r="C4160" s="5" t="s">
        <v>2789</v>
      </c>
      <c r="D4160" s="6">
        <v>-517344</v>
      </c>
      <c r="E4160" s="6">
        <v>-29549</v>
      </c>
      <c r="F4160" s="7">
        <v>4.3630000000000004</v>
      </c>
      <c r="G4160" s="7">
        <v>6.2309999999999999</v>
      </c>
      <c r="H4160" s="7">
        <v>5.7270000000000003</v>
      </c>
      <c r="I4160" s="7">
        <v>4.8360000000000003</v>
      </c>
      <c r="J4160" s="7">
        <v>3.7829999999999999</v>
      </c>
      <c r="K4160" s="7">
        <v>2.802</v>
      </c>
      <c r="L4160" s="7">
        <v>2.3250000000000002</v>
      </c>
      <c r="M4160" s="7">
        <v>2.5680000000000001</v>
      </c>
      <c r="N4160" s="7">
        <v>3.2669999999999999</v>
      </c>
      <c r="O4160" s="7">
        <v>3.5739999999999998</v>
      </c>
      <c r="P4160" s="7">
        <v>4.6269999999999998</v>
      </c>
      <c r="Q4160" s="7">
        <v>6.109</v>
      </c>
      <c r="R4160" s="7">
        <v>6.508</v>
      </c>
      <c r="S4160" s="7">
        <f t="shared" si="64"/>
        <v>4.3630833333333339</v>
      </c>
    </row>
    <row r="4161" spans="1:19">
      <c r="A4161" s="5" t="str">
        <f>B4161&amp;"-"&amp;COUNTIF($B$2:B4161,B4161)</f>
        <v>RIO GRANDE DO SUL-308</v>
      </c>
      <c r="B4161" s="5" t="s">
        <v>2552</v>
      </c>
      <c r="C4161" s="5" t="s">
        <v>2790</v>
      </c>
      <c r="D4161" s="6">
        <v>-535823</v>
      </c>
      <c r="E4161" s="6">
        <v>-317374</v>
      </c>
      <c r="F4161" s="7">
        <v>4.4630000000000001</v>
      </c>
      <c r="G4161" s="7">
        <v>6.4480000000000004</v>
      </c>
      <c r="H4161" s="7">
        <v>5.798</v>
      </c>
      <c r="I4161" s="7">
        <v>4.9109999999999996</v>
      </c>
      <c r="J4161" s="7">
        <v>3.7149999999999999</v>
      </c>
      <c r="K4161" s="7">
        <v>2.661</v>
      </c>
      <c r="L4161" s="7">
        <v>2.2770000000000001</v>
      </c>
      <c r="M4161" s="7">
        <v>2.508</v>
      </c>
      <c r="N4161" s="7">
        <v>3.117</v>
      </c>
      <c r="O4161" s="7">
        <v>3.7469999999999999</v>
      </c>
      <c r="P4161" s="7">
        <v>5.0750000000000002</v>
      </c>
      <c r="Q4161" s="7">
        <v>6.383</v>
      </c>
      <c r="R4161" s="7">
        <v>6.9139999999999997</v>
      </c>
      <c r="S4161" s="7">
        <f t="shared" si="64"/>
        <v>4.4628333333333341</v>
      </c>
    </row>
    <row r="4162" spans="1:19">
      <c r="A4162" s="5" t="str">
        <f>B4162&amp;"-"&amp;COUNTIF($B$2:B4162,B4162)</f>
        <v>RIO GRANDE DO SUL-309</v>
      </c>
      <c r="B4162" s="5" t="s">
        <v>2552</v>
      </c>
      <c r="C4162" s="5" t="s">
        <v>5212</v>
      </c>
      <c r="D4162" s="6">
        <v>-528189</v>
      </c>
      <c r="E4162" s="6">
        <v>-318647</v>
      </c>
      <c r="F4162" s="7">
        <v>4.3449999999999998</v>
      </c>
      <c r="G4162" s="7">
        <v>6.3289999999999997</v>
      </c>
      <c r="H4162" s="7">
        <v>5.65</v>
      </c>
      <c r="I4162" s="7">
        <v>4.7919999999999998</v>
      </c>
      <c r="J4162" s="7">
        <v>3.653</v>
      </c>
      <c r="K4162" s="7">
        <v>2.6379999999999999</v>
      </c>
      <c r="L4162" s="7">
        <v>2.2450000000000001</v>
      </c>
      <c r="M4162" s="7">
        <v>2.41</v>
      </c>
      <c r="N4162" s="7">
        <v>3.0150000000000001</v>
      </c>
      <c r="O4162" s="7">
        <v>3.5830000000000002</v>
      </c>
      <c r="P4162" s="7">
        <v>4.8869999999999996</v>
      </c>
      <c r="Q4162" s="7">
        <v>6.2009999999999996</v>
      </c>
      <c r="R4162" s="7">
        <v>6.74</v>
      </c>
      <c r="S4162" s="7">
        <f t="shared" si="64"/>
        <v>4.3452500000000001</v>
      </c>
    </row>
    <row r="4163" spans="1:19">
      <c r="A4163" s="5" t="str">
        <f>B4163&amp;"-"&amp;COUNTIF($B$2:B4163,B4163)</f>
        <v>RIO GRANDE DO SUL-310</v>
      </c>
      <c r="B4163" s="5" t="s">
        <v>2552</v>
      </c>
      <c r="C4163" s="5" t="s">
        <v>4764</v>
      </c>
      <c r="D4163" s="6">
        <v>-536559</v>
      </c>
      <c r="E4163" s="6">
        <v>-28423</v>
      </c>
      <c r="F4163" s="7">
        <v>4.6079999999999997</v>
      </c>
      <c r="G4163" s="7">
        <v>6.4279999999999999</v>
      </c>
      <c r="H4163" s="7">
        <v>5.9640000000000004</v>
      </c>
      <c r="I4163" s="7">
        <v>5.12</v>
      </c>
      <c r="J4163" s="7">
        <v>3.9910000000000001</v>
      </c>
      <c r="K4163" s="7">
        <v>3.0539999999999998</v>
      </c>
      <c r="L4163" s="7">
        <v>2.5049999999999999</v>
      </c>
      <c r="M4163" s="7">
        <v>2.8119999999999998</v>
      </c>
      <c r="N4163" s="7">
        <v>3.5590000000000002</v>
      </c>
      <c r="O4163" s="7">
        <v>3.9260000000000002</v>
      </c>
      <c r="P4163" s="7">
        <v>5.0739999999999998</v>
      </c>
      <c r="Q4163" s="7">
        <v>6.2160000000000002</v>
      </c>
      <c r="R4163" s="7">
        <v>6.65</v>
      </c>
      <c r="S4163" s="7">
        <f t="shared" ref="S4163:S4226" si="65">(G4163+H4163+I4163+J4163+K4163+L4163+M4163+N4163+O4163+P4163+Q4163+R4163)/12</f>
        <v>4.60825</v>
      </c>
    </row>
    <row r="4164" spans="1:19">
      <c r="A4164" s="5" t="str">
        <f>B4164&amp;"-"&amp;COUNTIF($B$2:B4164,B4164)</f>
        <v>RIO GRANDE DO SUL-311</v>
      </c>
      <c r="B4164" s="5" t="s">
        <v>2552</v>
      </c>
      <c r="C4164" s="5" t="s">
        <v>2791</v>
      </c>
      <c r="D4164" s="6">
        <v>-523375</v>
      </c>
      <c r="E4164" s="6">
        <v>-317654</v>
      </c>
      <c r="F4164" s="7">
        <v>4.3109999999999999</v>
      </c>
      <c r="G4164" s="7">
        <v>6.2770000000000001</v>
      </c>
      <c r="H4164" s="7">
        <v>5.633</v>
      </c>
      <c r="I4164" s="7">
        <v>4.79</v>
      </c>
      <c r="J4164" s="7">
        <v>3.6349999999999998</v>
      </c>
      <c r="K4164" s="7">
        <v>2.649</v>
      </c>
      <c r="L4164" s="7">
        <v>2.2269999999999999</v>
      </c>
      <c r="M4164" s="7">
        <v>2.3730000000000002</v>
      </c>
      <c r="N4164" s="7">
        <v>2.984</v>
      </c>
      <c r="O4164" s="7">
        <v>3.5379999999999998</v>
      </c>
      <c r="P4164" s="7">
        <v>4.7990000000000004</v>
      </c>
      <c r="Q4164" s="7">
        <v>6.1509999999999998</v>
      </c>
      <c r="R4164" s="7">
        <v>6.673</v>
      </c>
      <c r="S4164" s="7">
        <f t="shared" si="65"/>
        <v>4.3107499999999996</v>
      </c>
    </row>
    <row r="4165" spans="1:19">
      <c r="A4165" s="5" t="str">
        <f>B4165&amp;"-"&amp;COUNTIF($B$2:B4165,B4165)</f>
        <v>RIO GRANDE DO SUL-312</v>
      </c>
      <c r="B4165" s="5" t="s">
        <v>2552</v>
      </c>
      <c r="C4165" s="5" t="s">
        <v>4478</v>
      </c>
      <c r="D4165" s="6">
        <v>-511344</v>
      </c>
      <c r="E4165" s="6">
        <v>-294509</v>
      </c>
      <c r="F4165" s="7">
        <v>4.3639999999999999</v>
      </c>
      <c r="G4165" s="7">
        <v>6.226</v>
      </c>
      <c r="H4165" s="7">
        <v>5.7350000000000003</v>
      </c>
      <c r="I4165" s="7">
        <v>4.7770000000000001</v>
      </c>
      <c r="J4165" s="7">
        <v>3.7949999999999999</v>
      </c>
      <c r="K4165" s="7">
        <v>2.8090000000000002</v>
      </c>
      <c r="L4165" s="7">
        <v>2.3559999999999999</v>
      </c>
      <c r="M4165" s="7">
        <v>2.58</v>
      </c>
      <c r="N4165" s="7">
        <v>3.26</v>
      </c>
      <c r="O4165" s="7">
        <v>3.5619999999999998</v>
      </c>
      <c r="P4165" s="7">
        <v>4.6509999999999998</v>
      </c>
      <c r="Q4165" s="7">
        <v>6.1020000000000003</v>
      </c>
      <c r="R4165" s="7">
        <v>6.516</v>
      </c>
      <c r="S4165" s="7">
        <f t="shared" si="65"/>
        <v>4.3640833333333324</v>
      </c>
    </row>
    <row r="4166" spans="1:19">
      <c r="A4166" s="5" t="str">
        <f>B4166&amp;"-"&amp;COUNTIF($B$2:B4166,B4166)</f>
        <v>RIO GRANDE DO SUL-313</v>
      </c>
      <c r="B4166" s="5" t="s">
        <v>2552</v>
      </c>
      <c r="C4166" s="5" t="s">
        <v>2792</v>
      </c>
      <c r="D4166" s="6">
        <v>-532086</v>
      </c>
      <c r="E4166" s="6">
        <v>-275085</v>
      </c>
      <c r="F4166" s="7">
        <v>4.6529999999999996</v>
      </c>
      <c r="G4166" s="7">
        <v>6.3289999999999997</v>
      </c>
      <c r="H4166" s="7">
        <v>5.9080000000000004</v>
      </c>
      <c r="I4166" s="7">
        <v>5.1349999999999998</v>
      </c>
      <c r="J4166" s="7">
        <v>4.1040000000000001</v>
      </c>
      <c r="K4166" s="7">
        <v>3.1150000000000002</v>
      </c>
      <c r="L4166" s="7">
        <v>2.5409999999999999</v>
      </c>
      <c r="M4166" s="7">
        <v>2.907</v>
      </c>
      <c r="N4166" s="7">
        <v>3.72</v>
      </c>
      <c r="O4166" s="7">
        <v>3.984</v>
      </c>
      <c r="P4166" s="7">
        <v>5.1790000000000003</v>
      </c>
      <c r="Q4166" s="7">
        <v>6.2789999999999999</v>
      </c>
      <c r="R4166" s="7">
        <v>6.6379999999999999</v>
      </c>
      <c r="S4166" s="7">
        <f t="shared" si="65"/>
        <v>4.6532500000000008</v>
      </c>
    </row>
    <row r="4167" spans="1:19">
      <c r="A4167" s="5" t="str">
        <f>B4167&amp;"-"&amp;COUNTIF($B$2:B4167,B4167)</f>
        <v>RIO GRANDE DO SUL-314</v>
      </c>
      <c r="B4167" s="5" t="s">
        <v>2552</v>
      </c>
      <c r="C4167" s="5" t="s">
        <v>2793</v>
      </c>
      <c r="D4167" s="6">
        <v>-511678</v>
      </c>
      <c r="E4167" s="6">
        <v>-278756</v>
      </c>
      <c r="F4167" s="7">
        <v>4.508</v>
      </c>
      <c r="G4167" s="7">
        <v>6.1180000000000003</v>
      </c>
      <c r="H4167" s="7">
        <v>5.7130000000000001</v>
      </c>
      <c r="I4167" s="7">
        <v>4.9109999999999996</v>
      </c>
      <c r="J4167" s="7">
        <v>3.98</v>
      </c>
      <c r="K4167" s="7">
        <v>2.976</v>
      </c>
      <c r="L4167" s="7">
        <v>2.58</v>
      </c>
      <c r="M4167" s="7">
        <v>2.8690000000000002</v>
      </c>
      <c r="N4167" s="7">
        <v>3.6480000000000001</v>
      </c>
      <c r="O4167" s="7">
        <v>3.8759999999999999</v>
      </c>
      <c r="P4167" s="7">
        <v>4.8959999999999999</v>
      </c>
      <c r="Q4167" s="7">
        <v>6.1319999999999997</v>
      </c>
      <c r="R4167" s="7">
        <v>6.3959999999999999</v>
      </c>
      <c r="S4167" s="7">
        <f t="shared" si="65"/>
        <v>4.5079166666666666</v>
      </c>
    </row>
    <row r="4168" spans="1:19">
      <c r="A4168" s="5" t="str">
        <f>B4168&amp;"-"&amp;COUNTIF($B$2:B4168,B4168)</f>
        <v>RIO GRANDE DO SUL-315</v>
      </c>
      <c r="B4168" s="5" t="s">
        <v>2552</v>
      </c>
      <c r="C4168" s="5" t="s">
        <v>2794</v>
      </c>
      <c r="D4168" s="6">
        <v>-533386</v>
      </c>
      <c r="E4168" s="6">
        <v>-293353</v>
      </c>
      <c r="F4168" s="7">
        <v>4.55</v>
      </c>
      <c r="G4168" s="7">
        <v>6.343</v>
      </c>
      <c r="H4168" s="7">
        <v>5.9710000000000001</v>
      </c>
      <c r="I4168" s="7">
        <v>5.0519999999999996</v>
      </c>
      <c r="J4168" s="7">
        <v>3.8980000000000001</v>
      </c>
      <c r="K4168" s="7">
        <v>2.9369999999999998</v>
      </c>
      <c r="L4168" s="7">
        <v>2.4060000000000001</v>
      </c>
      <c r="M4168" s="7">
        <v>2.7010000000000001</v>
      </c>
      <c r="N4168" s="7">
        <v>3.4670000000000001</v>
      </c>
      <c r="O4168" s="7">
        <v>3.8380000000000001</v>
      </c>
      <c r="P4168" s="7">
        <v>4.9790000000000001</v>
      </c>
      <c r="Q4168" s="7">
        <v>6.298</v>
      </c>
      <c r="R4168" s="7">
        <v>6.7080000000000002</v>
      </c>
      <c r="S4168" s="7">
        <f t="shared" si="65"/>
        <v>4.549833333333333</v>
      </c>
    </row>
    <row r="4169" spans="1:19">
      <c r="A4169" s="5" t="str">
        <f>B4169&amp;"-"&amp;COUNTIF($B$2:B4169,B4169)</f>
        <v>RIO GRANDE DO SUL-316</v>
      </c>
      <c r="B4169" s="5" t="s">
        <v>2552</v>
      </c>
      <c r="C4169" s="5" t="s">
        <v>2795</v>
      </c>
      <c r="D4169" s="6">
        <v>-536085</v>
      </c>
      <c r="E4169" s="6">
        <v>-272114</v>
      </c>
      <c r="F4169" s="7">
        <v>4.6420000000000003</v>
      </c>
      <c r="G4169" s="7">
        <v>6.4560000000000004</v>
      </c>
      <c r="H4169" s="7">
        <v>5.859</v>
      </c>
      <c r="I4169" s="7">
        <v>5.1550000000000002</v>
      </c>
      <c r="J4169" s="7">
        <v>4.0359999999999996</v>
      </c>
      <c r="K4169" s="7">
        <v>3.101</v>
      </c>
      <c r="L4169" s="7">
        <v>2.5299999999999998</v>
      </c>
      <c r="M4169" s="7">
        <v>2.8660000000000001</v>
      </c>
      <c r="N4169" s="7">
        <v>3.7250000000000001</v>
      </c>
      <c r="O4169" s="7">
        <v>4.0030000000000001</v>
      </c>
      <c r="P4169" s="7">
        <v>5.1859999999999999</v>
      </c>
      <c r="Q4169" s="7">
        <v>6.2</v>
      </c>
      <c r="R4169" s="7">
        <v>6.5890000000000004</v>
      </c>
      <c r="S4169" s="7">
        <f t="shared" si="65"/>
        <v>4.6421666666666672</v>
      </c>
    </row>
    <row r="4170" spans="1:19">
      <c r="A4170" s="5" t="str">
        <f>B4170&amp;"-"&amp;COUNTIF($B$2:B4170,B4170)</f>
        <v>RIO GRANDE DO SUL-317</v>
      </c>
      <c r="B4170" s="5" t="s">
        <v>2552</v>
      </c>
      <c r="C4170" s="5" t="s">
        <v>2796</v>
      </c>
      <c r="D4170" s="6">
        <v>-533803</v>
      </c>
      <c r="E4170" s="6">
        <v>-315799</v>
      </c>
      <c r="F4170" s="7">
        <v>4.4139999999999997</v>
      </c>
      <c r="G4170" s="7">
        <v>6.2919999999999998</v>
      </c>
      <c r="H4170" s="7">
        <v>5.76</v>
      </c>
      <c r="I4170" s="7">
        <v>4.8600000000000003</v>
      </c>
      <c r="J4170" s="7">
        <v>3.6949999999999998</v>
      </c>
      <c r="K4170" s="7">
        <v>2.653</v>
      </c>
      <c r="L4170" s="7">
        <v>2.2730000000000001</v>
      </c>
      <c r="M4170" s="7">
        <v>2.4769999999999999</v>
      </c>
      <c r="N4170" s="7">
        <v>3.1139999999999999</v>
      </c>
      <c r="O4170" s="7">
        <v>3.6819999999999999</v>
      </c>
      <c r="P4170" s="7">
        <v>4.9850000000000003</v>
      </c>
      <c r="Q4170" s="7">
        <v>6.306</v>
      </c>
      <c r="R4170" s="7">
        <v>6.8689999999999998</v>
      </c>
      <c r="S4170" s="7">
        <f t="shared" si="65"/>
        <v>4.4138333333333328</v>
      </c>
    </row>
    <row r="4171" spans="1:19">
      <c r="A4171" s="5" t="str">
        <f>B4171&amp;"-"&amp;COUNTIF($B$2:B4171,B4171)</f>
        <v>RIO GRANDE DO SUL-318</v>
      </c>
      <c r="B4171" s="5" t="s">
        <v>2552</v>
      </c>
      <c r="C4171" s="5" t="s">
        <v>2797</v>
      </c>
      <c r="D4171" s="6">
        <v>-51453</v>
      </c>
      <c r="E4171" s="6">
        <v>-290974</v>
      </c>
      <c r="F4171" s="7">
        <v>4.4269999999999996</v>
      </c>
      <c r="G4171" s="7">
        <v>6.226</v>
      </c>
      <c r="H4171" s="7">
        <v>5.7489999999999997</v>
      </c>
      <c r="I4171" s="7">
        <v>4.8230000000000004</v>
      </c>
      <c r="J4171" s="7">
        <v>3.843</v>
      </c>
      <c r="K4171" s="7">
        <v>2.859</v>
      </c>
      <c r="L4171" s="7">
        <v>2.387</v>
      </c>
      <c r="M4171" s="7">
        <v>2.661</v>
      </c>
      <c r="N4171" s="7">
        <v>3.431</v>
      </c>
      <c r="O4171" s="7">
        <v>3.6829999999999998</v>
      </c>
      <c r="P4171" s="7">
        <v>4.7880000000000003</v>
      </c>
      <c r="Q4171" s="7">
        <v>6.1669999999999998</v>
      </c>
      <c r="R4171" s="7">
        <v>6.5149999999999997</v>
      </c>
      <c r="S4171" s="7">
        <f t="shared" si="65"/>
        <v>4.4276666666666671</v>
      </c>
    </row>
    <row r="4172" spans="1:19">
      <c r="A4172" s="5" t="str">
        <f>B4172&amp;"-"&amp;COUNTIF($B$2:B4172,B4172)</f>
        <v>RIO GRANDE DO SUL-319</v>
      </c>
      <c r="B4172" s="5" t="s">
        <v>2552</v>
      </c>
      <c r="C4172" s="5" t="s">
        <v>5213</v>
      </c>
      <c r="D4172" s="6">
        <v>-552006</v>
      </c>
      <c r="E4172" s="6">
        <v>-280444</v>
      </c>
      <c r="F4172" s="7">
        <v>4.702</v>
      </c>
      <c r="G4172" s="7">
        <v>6.6120000000000001</v>
      </c>
      <c r="H4172" s="7">
        <v>6.0919999999999996</v>
      </c>
      <c r="I4172" s="7">
        <v>5.242</v>
      </c>
      <c r="J4172" s="7">
        <v>4.0490000000000004</v>
      </c>
      <c r="K4172" s="7">
        <v>3.0979999999999999</v>
      </c>
      <c r="L4172" s="7">
        <v>2.512</v>
      </c>
      <c r="M4172" s="7">
        <v>2.8210000000000002</v>
      </c>
      <c r="N4172" s="7">
        <v>3.6040000000000001</v>
      </c>
      <c r="O4172" s="7">
        <v>4.0759999999999996</v>
      </c>
      <c r="P4172" s="7">
        <v>5.1820000000000004</v>
      </c>
      <c r="Q4172" s="7">
        <v>6.3730000000000002</v>
      </c>
      <c r="R4172" s="7">
        <v>6.7629999999999999</v>
      </c>
      <c r="S4172" s="7">
        <f t="shared" si="65"/>
        <v>4.702</v>
      </c>
    </row>
    <row r="4173" spans="1:19">
      <c r="A4173" s="5" t="str">
        <f>B4173&amp;"-"&amp;COUNTIF($B$2:B4173,B4173)</f>
        <v>RIO GRANDE DO SUL-320</v>
      </c>
      <c r="B4173" s="5" t="s">
        <v>2552</v>
      </c>
      <c r="C4173" s="5" t="s">
        <v>2798</v>
      </c>
      <c r="D4173" s="6">
        <v>-531003</v>
      </c>
      <c r="E4173" s="6">
        <v>-314483</v>
      </c>
      <c r="F4173" s="7">
        <v>4.3959999999999999</v>
      </c>
      <c r="G4173" s="7">
        <v>6.2729999999999997</v>
      </c>
      <c r="H4173" s="7">
        <v>5.7119999999999997</v>
      </c>
      <c r="I4173" s="7">
        <v>4.8259999999999996</v>
      </c>
      <c r="J4173" s="7">
        <v>3.6920000000000002</v>
      </c>
      <c r="K4173" s="7">
        <v>2.6880000000000002</v>
      </c>
      <c r="L4173" s="7">
        <v>2.2599999999999998</v>
      </c>
      <c r="M4173" s="7">
        <v>2.496</v>
      </c>
      <c r="N4173" s="7">
        <v>3.133</v>
      </c>
      <c r="O4173" s="7">
        <v>3.681</v>
      </c>
      <c r="P4173" s="7">
        <v>4.9359999999999999</v>
      </c>
      <c r="Q4173" s="7">
        <v>6.2569999999999997</v>
      </c>
      <c r="R4173" s="7">
        <v>6.7949999999999999</v>
      </c>
      <c r="S4173" s="7">
        <f t="shared" si="65"/>
        <v>4.3957499999999996</v>
      </c>
    </row>
    <row r="4174" spans="1:19">
      <c r="A4174" s="5" t="str">
        <f>B4174&amp;"-"&amp;COUNTIF($B$2:B4174,B4174)</f>
        <v>RIO GRANDE DO SUL-321</v>
      </c>
      <c r="B4174" s="5" t="s">
        <v>2552</v>
      </c>
      <c r="C4174" s="5" t="s">
        <v>498</v>
      </c>
      <c r="D4174" s="6">
        <v>-53058</v>
      </c>
      <c r="E4174" s="6">
        <v>-273302</v>
      </c>
      <c r="F4174" s="7">
        <v>4.6459999999999999</v>
      </c>
      <c r="G4174" s="7">
        <v>6.2960000000000003</v>
      </c>
      <c r="H4174" s="7">
        <v>5.8440000000000003</v>
      </c>
      <c r="I4174" s="7">
        <v>5.1689999999999996</v>
      </c>
      <c r="J4174" s="7">
        <v>4.0839999999999996</v>
      </c>
      <c r="K4174" s="7">
        <v>3.1110000000000002</v>
      </c>
      <c r="L4174" s="7">
        <v>2.6120000000000001</v>
      </c>
      <c r="M4174" s="7">
        <v>2.8889999999999998</v>
      </c>
      <c r="N4174" s="7">
        <v>3.7429999999999999</v>
      </c>
      <c r="O4174" s="7">
        <v>4.0179999999999998</v>
      </c>
      <c r="P4174" s="7">
        <v>5.1719999999999997</v>
      </c>
      <c r="Q4174" s="7">
        <v>6.2039999999999997</v>
      </c>
      <c r="R4174" s="7">
        <v>6.6109999999999998</v>
      </c>
      <c r="S4174" s="7">
        <f t="shared" si="65"/>
        <v>4.6460833333333325</v>
      </c>
    </row>
    <row r="4175" spans="1:19">
      <c r="A4175" s="5" t="str">
        <f>B4175&amp;"-"&amp;COUNTIF($B$2:B4175,B4175)</f>
        <v>RIO GRANDE DO SUL-322</v>
      </c>
      <c r="B4175" s="5" t="s">
        <v>2552</v>
      </c>
      <c r="C4175" s="5" t="s">
        <v>4765</v>
      </c>
      <c r="D4175" s="6">
        <v>-516724</v>
      </c>
      <c r="E4175" s="6">
        <v>-294486</v>
      </c>
      <c r="F4175" s="7">
        <v>4.3490000000000002</v>
      </c>
      <c r="G4175" s="7">
        <v>6.2050000000000001</v>
      </c>
      <c r="H4175" s="7">
        <v>5.6669999999999998</v>
      </c>
      <c r="I4175" s="7">
        <v>4.7629999999999999</v>
      </c>
      <c r="J4175" s="7">
        <v>3.7810000000000001</v>
      </c>
      <c r="K4175" s="7">
        <v>2.8119999999999998</v>
      </c>
      <c r="L4175" s="7">
        <v>2.3460000000000001</v>
      </c>
      <c r="M4175" s="7">
        <v>2.6</v>
      </c>
      <c r="N4175" s="7">
        <v>3.3039999999999998</v>
      </c>
      <c r="O4175" s="7">
        <v>3.56</v>
      </c>
      <c r="P4175" s="7">
        <v>4.641</v>
      </c>
      <c r="Q4175" s="7">
        <v>6.0860000000000003</v>
      </c>
      <c r="R4175" s="7">
        <v>6.423</v>
      </c>
      <c r="S4175" s="7">
        <f t="shared" si="65"/>
        <v>4.3489999999999993</v>
      </c>
    </row>
    <row r="4176" spans="1:19">
      <c r="A4176" s="5" t="str">
        <f>B4176&amp;"-"&amp;COUNTIF($B$2:B4176,B4176)</f>
        <v>RIO GRANDE DO SUL-323</v>
      </c>
      <c r="B4176" s="5" t="s">
        <v>2552</v>
      </c>
      <c r="C4176" s="5" t="s">
        <v>4168</v>
      </c>
      <c r="D4176" s="6">
        <v>-526795</v>
      </c>
      <c r="E4176" s="6">
        <v>-28059</v>
      </c>
      <c r="F4176" s="7">
        <v>4.5780000000000003</v>
      </c>
      <c r="G4176" s="7">
        <v>6.3310000000000004</v>
      </c>
      <c r="H4176" s="7">
        <v>5.8410000000000002</v>
      </c>
      <c r="I4176" s="7">
        <v>4.9560000000000004</v>
      </c>
      <c r="J4176" s="7">
        <v>4.0659999999999998</v>
      </c>
      <c r="K4176" s="7">
        <v>3.0510000000000002</v>
      </c>
      <c r="L4176" s="7">
        <v>2.5390000000000001</v>
      </c>
      <c r="M4176" s="7">
        <v>2.8519999999999999</v>
      </c>
      <c r="N4176" s="7">
        <v>3.6240000000000001</v>
      </c>
      <c r="O4176" s="7">
        <v>3.8759999999999999</v>
      </c>
      <c r="P4176" s="7">
        <v>5.0590000000000002</v>
      </c>
      <c r="Q4176" s="7">
        <v>6.1879999999999997</v>
      </c>
      <c r="R4176" s="7">
        <v>6.5590000000000002</v>
      </c>
      <c r="S4176" s="7">
        <f t="shared" si="65"/>
        <v>4.5784999999999991</v>
      </c>
    </row>
    <row r="4177" spans="1:19">
      <c r="A4177" s="5" t="str">
        <f>B4177&amp;"-"&amp;COUNTIF($B$2:B4177,B4177)</f>
        <v>RIO GRANDE DO SUL-324</v>
      </c>
      <c r="B4177" s="5" t="s">
        <v>2552</v>
      </c>
      <c r="C4177" s="5" t="s">
        <v>2799</v>
      </c>
      <c r="D4177" s="6">
        <v>-524853</v>
      </c>
      <c r="E4177" s="6">
        <v>-276592</v>
      </c>
      <c r="F4177" s="7">
        <v>4.5919999999999996</v>
      </c>
      <c r="G4177" s="7">
        <v>6.2220000000000004</v>
      </c>
      <c r="H4177" s="7">
        <v>5.7869999999999999</v>
      </c>
      <c r="I4177" s="7">
        <v>5.0220000000000002</v>
      </c>
      <c r="J4177" s="7">
        <v>4.0629999999999997</v>
      </c>
      <c r="K4177" s="7">
        <v>3.0529999999999999</v>
      </c>
      <c r="L4177" s="7">
        <v>2.5840000000000001</v>
      </c>
      <c r="M4177" s="7">
        <v>2.9289999999999998</v>
      </c>
      <c r="N4177" s="7">
        <v>3.734</v>
      </c>
      <c r="O4177" s="7">
        <v>3.9319999999999999</v>
      </c>
      <c r="P4177" s="7">
        <v>5.0880000000000001</v>
      </c>
      <c r="Q4177" s="7">
        <v>6.1520000000000001</v>
      </c>
      <c r="R4177" s="7">
        <v>6.5369999999999999</v>
      </c>
      <c r="S4177" s="7">
        <f t="shared" si="65"/>
        <v>4.5919166666666671</v>
      </c>
    </row>
    <row r="4178" spans="1:19">
      <c r="A4178" s="5" t="str">
        <f>B4178&amp;"-"&amp;COUNTIF($B$2:B4178,B4178)</f>
        <v>RIO GRANDE DO SUL-325</v>
      </c>
      <c r="B4178" s="5" t="s">
        <v>2552</v>
      </c>
      <c r="C4178" s="5" t="s">
        <v>4169</v>
      </c>
      <c r="D4178" s="6">
        <v>-512433</v>
      </c>
      <c r="E4178" s="6">
        <v>-29702</v>
      </c>
      <c r="F4178" s="7">
        <v>4.3810000000000002</v>
      </c>
      <c r="G4178" s="7">
        <v>6.26</v>
      </c>
      <c r="H4178" s="7">
        <v>5.7969999999999997</v>
      </c>
      <c r="I4178" s="7">
        <v>4.8570000000000002</v>
      </c>
      <c r="J4178" s="7">
        <v>3.7829999999999999</v>
      </c>
      <c r="K4178" s="7">
        <v>2.8180000000000001</v>
      </c>
      <c r="L4178" s="7">
        <v>2.335</v>
      </c>
      <c r="M4178" s="7">
        <v>2.54</v>
      </c>
      <c r="N4178" s="7">
        <v>3.2250000000000001</v>
      </c>
      <c r="O4178" s="7">
        <v>3.5710000000000002</v>
      </c>
      <c r="P4178" s="7">
        <v>4.66</v>
      </c>
      <c r="Q4178" s="7">
        <v>6.1079999999999997</v>
      </c>
      <c r="R4178" s="7">
        <v>6.62</v>
      </c>
      <c r="S4178" s="7">
        <f t="shared" si="65"/>
        <v>4.3811666666666662</v>
      </c>
    </row>
    <row r="4179" spans="1:19">
      <c r="A4179" s="5" t="str">
        <f>B4179&amp;"-"&amp;COUNTIF($B$2:B4179,B4179)</f>
        <v>RIO GRANDE DO SUL-326</v>
      </c>
      <c r="B4179" s="5" t="s">
        <v>2552</v>
      </c>
      <c r="C4179" s="5" t="s">
        <v>2800</v>
      </c>
      <c r="D4179" s="6">
        <v>-550105</v>
      </c>
      <c r="E4179" s="6">
        <v>-278573</v>
      </c>
      <c r="F4179" s="7">
        <v>4.6769999999999996</v>
      </c>
      <c r="G4179" s="7">
        <v>6.5460000000000003</v>
      </c>
      <c r="H4179" s="7">
        <v>6.05</v>
      </c>
      <c r="I4179" s="7">
        <v>5.1970000000000001</v>
      </c>
      <c r="J4179" s="7">
        <v>4.0419999999999998</v>
      </c>
      <c r="K4179" s="7">
        <v>3.1</v>
      </c>
      <c r="L4179" s="7">
        <v>2.524</v>
      </c>
      <c r="M4179" s="7">
        <v>2.831</v>
      </c>
      <c r="N4179" s="7">
        <v>3.5960000000000001</v>
      </c>
      <c r="O4179" s="7">
        <v>4.0549999999999997</v>
      </c>
      <c r="P4179" s="7">
        <v>5.1310000000000002</v>
      </c>
      <c r="Q4179" s="7">
        <v>6.3310000000000004</v>
      </c>
      <c r="R4179" s="7">
        <v>6.726</v>
      </c>
      <c r="S4179" s="7">
        <f t="shared" si="65"/>
        <v>4.6774166666666668</v>
      </c>
    </row>
    <row r="4180" spans="1:19">
      <c r="A4180" s="5" t="str">
        <f>B4180&amp;"-"&amp;COUNTIF($B$2:B4180,B4180)</f>
        <v>RIO GRANDE DO SUL-327</v>
      </c>
      <c r="B4180" s="5" t="s">
        <v>2552</v>
      </c>
      <c r="C4180" s="5" t="s">
        <v>5724</v>
      </c>
      <c r="D4180" s="6">
        <v>-546662</v>
      </c>
      <c r="E4180" s="5" t="s">
        <v>2801</v>
      </c>
      <c r="F4180" s="7">
        <v>4.6449999999999996</v>
      </c>
      <c r="G4180" s="7">
        <v>6.4960000000000004</v>
      </c>
      <c r="H4180" s="7">
        <v>5.9669999999999996</v>
      </c>
      <c r="I4180" s="7">
        <v>5.1470000000000002</v>
      </c>
      <c r="J4180" s="7">
        <v>4.0469999999999997</v>
      </c>
      <c r="K4180" s="7">
        <v>3.056</v>
      </c>
      <c r="L4180" s="7">
        <v>2.4950000000000001</v>
      </c>
      <c r="M4180" s="7">
        <v>2.798</v>
      </c>
      <c r="N4180" s="7">
        <v>3.6219999999999999</v>
      </c>
      <c r="O4180" s="7">
        <v>4.0179999999999998</v>
      </c>
      <c r="P4180" s="7">
        <v>5.1879999999999997</v>
      </c>
      <c r="Q4180" s="7">
        <v>6.2309999999999999</v>
      </c>
      <c r="R4180" s="7">
        <v>6.6689999999999996</v>
      </c>
      <c r="S4180" s="7">
        <f t="shared" si="65"/>
        <v>4.6444999999999999</v>
      </c>
    </row>
    <row r="4181" spans="1:19">
      <c r="A4181" s="5" t="str">
        <f>B4181&amp;"-"&amp;COUNTIF($B$2:B4181,B4181)</f>
        <v>RIO GRANDE DO SUL-328</v>
      </c>
      <c r="B4181" s="5" t="s">
        <v>2552</v>
      </c>
      <c r="C4181" s="5" t="s">
        <v>2802</v>
      </c>
      <c r="D4181" s="6">
        <v>-548998</v>
      </c>
      <c r="E4181" s="6">
        <v>-27741</v>
      </c>
      <c r="F4181" s="7">
        <v>4.6509999999999998</v>
      </c>
      <c r="G4181" s="7">
        <v>6.4710000000000001</v>
      </c>
      <c r="H4181" s="7">
        <v>5.9560000000000004</v>
      </c>
      <c r="I4181" s="7">
        <v>5.1760000000000002</v>
      </c>
      <c r="J4181" s="7">
        <v>4.07</v>
      </c>
      <c r="K4181" s="7">
        <v>3.097</v>
      </c>
      <c r="L4181" s="7">
        <v>2.5179999999999998</v>
      </c>
      <c r="M4181" s="7">
        <v>2.8159999999999998</v>
      </c>
      <c r="N4181" s="7">
        <v>3.6360000000000001</v>
      </c>
      <c r="O4181" s="7">
        <v>4.0250000000000004</v>
      </c>
      <c r="P4181" s="7">
        <v>5.1459999999999999</v>
      </c>
      <c r="Q4181" s="7">
        <v>6.2439999999999998</v>
      </c>
      <c r="R4181" s="7">
        <v>6.65</v>
      </c>
      <c r="S4181" s="7">
        <f t="shared" si="65"/>
        <v>4.6504166666666666</v>
      </c>
    </row>
    <row r="4182" spans="1:19">
      <c r="A4182" s="5" t="str">
        <f>B4182&amp;"-"&amp;COUNTIF($B$2:B4182,B4182)</f>
        <v>RIO GRANDE DO SUL-329</v>
      </c>
      <c r="B4182" s="5" t="s">
        <v>2552</v>
      </c>
      <c r="C4182" s="5" t="s">
        <v>2803</v>
      </c>
      <c r="D4182" s="6">
        <v>-551384</v>
      </c>
      <c r="E4182" s="6">
        <v>-279086</v>
      </c>
      <c r="F4182" s="7">
        <v>4.68</v>
      </c>
      <c r="G4182" s="7">
        <v>6.5949999999999998</v>
      </c>
      <c r="H4182" s="7">
        <v>6.0540000000000003</v>
      </c>
      <c r="I4182" s="7">
        <v>5.2149999999999999</v>
      </c>
      <c r="J4182" s="7">
        <v>4.0389999999999997</v>
      </c>
      <c r="K4182" s="7">
        <v>3.0920000000000001</v>
      </c>
      <c r="L4182" s="7">
        <v>2.512</v>
      </c>
      <c r="M4182" s="7">
        <v>2.8210000000000002</v>
      </c>
      <c r="N4182" s="7">
        <v>3.6</v>
      </c>
      <c r="O4182" s="7">
        <v>4.048</v>
      </c>
      <c r="P4182" s="7">
        <v>5.1369999999999996</v>
      </c>
      <c r="Q4182" s="7">
        <v>6.32</v>
      </c>
      <c r="R4182" s="7">
        <v>6.7320000000000002</v>
      </c>
      <c r="S4182" s="7">
        <f t="shared" si="65"/>
        <v>4.6804166666666669</v>
      </c>
    </row>
    <row r="4183" spans="1:19">
      <c r="A4183" s="5" t="str">
        <f>B4183&amp;"-"&amp;COUNTIF($B$2:B4183,B4183)</f>
        <v>RIO GRANDE DO SUL-330</v>
      </c>
      <c r="B4183" s="5" t="s">
        <v>2552</v>
      </c>
      <c r="C4183" s="5" t="s">
        <v>2804</v>
      </c>
      <c r="D4183" s="6">
        <v>-522079</v>
      </c>
      <c r="E4183" s="6">
        <v>-29171</v>
      </c>
      <c r="F4183" s="7">
        <v>4.37</v>
      </c>
      <c r="G4183" s="7">
        <v>6.1319999999999997</v>
      </c>
      <c r="H4183" s="7">
        <v>5.6950000000000003</v>
      </c>
      <c r="I4183" s="7">
        <v>4.8129999999999997</v>
      </c>
      <c r="J4183" s="7">
        <v>3.8029999999999999</v>
      </c>
      <c r="K4183" s="7">
        <v>2.8210000000000002</v>
      </c>
      <c r="L4183" s="7">
        <v>2.3580000000000001</v>
      </c>
      <c r="M4183" s="7">
        <v>2.62</v>
      </c>
      <c r="N4183" s="7">
        <v>3.375</v>
      </c>
      <c r="O4183" s="7">
        <v>3.629</v>
      </c>
      <c r="P4183" s="7">
        <v>4.6790000000000003</v>
      </c>
      <c r="Q4183" s="7">
        <v>6.048</v>
      </c>
      <c r="R4183" s="7">
        <v>6.4690000000000003</v>
      </c>
      <c r="S4183" s="7">
        <f t="shared" si="65"/>
        <v>4.370166666666667</v>
      </c>
    </row>
    <row r="4184" spans="1:19">
      <c r="A4184" s="5" t="str">
        <f>B4184&amp;"-"&amp;COUNTIF($B$2:B4184,B4184)</f>
        <v>RIO GRANDE DO SUL-331</v>
      </c>
      <c r="B4184" s="5" t="s">
        <v>2552</v>
      </c>
      <c r="C4184" s="5" t="s">
        <v>2805</v>
      </c>
      <c r="D4184" s="6">
        <v>-511773</v>
      </c>
      <c r="E4184" s="6">
        <v>-295171</v>
      </c>
      <c r="F4184" s="7">
        <v>4.3639999999999999</v>
      </c>
      <c r="G4184" s="7">
        <v>6.226</v>
      </c>
      <c r="H4184" s="7">
        <v>5.7350000000000003</v>
      </c>
      <c r="I4184" s="7">
        <v>4.7770000000000001</v>
      </c>
      <c r="J4184" s="7">
        <v>3.7949999999999999</v>
      </c>
      <c r="K4184" s="7">
        <v>2.8090000000000002</v>
      </c>
      <c r="L4184" s="7">
        <v>2.3559999999999999</v>
      </c>
      <c r="M4184" s="7">
        <v>2.58</v>
      </c>
      <c r="N4184" s="7">
        <v>3.26</v>
      </c>
      <c r="O4184" s="7">
        <v>3.5619999999999998</v>
      </c>
      <c r="P4184" s="7">
        <v>4.6509999999999998</v>
      </c>
      <c r="Q4184" s="7">
        <v>6.1020000000000003</v>
      </c>
      <c r="R4184" s="7">
        <v>6.516</v>
      </c>
      <c r="S4184" s="7">
        <f t="shared" si="65"/>
        <v>4.3640833333333324</v>
      </c>
    </row>
    <row r="4185" spans="1:19">
      <c r="A4185" s="5" t="str">
        <f>B4185&amp;"-"&amp;COUNTIF($B$2:B4185,B4185)</f>
        <v>RIO GRANDE DO SUL-332</v>
      </c>
      <c r="B4185" s="5" t="s">
        <v>2552</v>
      </c>
      <c r="C4185" s="5" t="s">
        <v>2806</v>
      </c>
      <c r="D4185" s="6">
        <v>-523112</v>
      </c>
      <c r="E4185" s="6">
        <v>-29243</v>
      </c>
      <c r="F4185" s="7">
        <v>4.3979999999999997</v>
      </c>
      <c r="G4185" s="7">
        <v>6.1349999999999998</v>
      </c>
      <c r="H4185" s="7">
        <v>5.726</v>
      </c>
      <c r="I4185" s="7">
        <v>4.8550000000000004</v>
      </c>
      <c r="J4185" s="7">
        <v>3.8359999999999999</v>
      </c>
      <c r="K4185" s="7">
        <v>2.8450000000000002</v>
      </c>
      <c r="L4185" s="7">
        <v>2.3639999999999999</v>
      </c>
      <c r="M4185" s="7">
        <v>2.6349999999999998</v>
      </c>
      <c r="N4185" s="7">
        <v>3.4089999999999998</v>
      </c>
      <c r="O4185" s="7">
        <v>3.6509999999999998</v>
      </c>
      <c r="P4185" s="7">
        <v>4.7270000000000003</v>
      </c>
      <c r="Q4185" s="7">
        <v>6.0890000000000004</v>
      </c>
      <c r="R4185" s="7">
        <v>6.5060000000000002</v>
      </c>
      <c r="S4185" s="7">
        <f t="shared" si="65"/>
        <v>4.3981666666666674</v>
      </c>
    </row>
    <row r="4186" spans="1:19">
      <c r="A4186" s="5" t="str">
        <f>B4186&amp;"-"&amp;COUNTIF($B$2:B4186,B4186)</f>
        <v>RIO GRANDE DO SUL-333</v>
      </c>
      <c r="B4186" s="5" t="s">
        <v>2552</v>
      </c>
      <c r="C4186" s="5" t="s">
        <v>5725</v>
      </c>
      <c r="D4186" s="6">
        <v>-514762</v>
      </c>
      <c r="E4186" s="6">
        <v>-287577</v>
      </c>
      <c r="F4186" s="7">
        <v>4.43</v>
      </c>
      <c r="G4186" s="7">
        <v>6.1180000000000003</v>
      </c>
      <c r="H4186" s="7">
        <v>5.6660000000000004</v>
      </c>
      <c r="I4186" s="7">
        <v>4.8710000000000004</v>
      </c>
      <c r="J4186" s="7">
        <v>3.883</v>
      </c>
      <c r="K4186" s="7">
        <v>2.899</v>
      </c>
      <c r="L4186" s="7">
        <v>2.427</v>
      </c>
      <c r="M4186" s="7">
        <v>2.73</v>
      </c>
      <c r="N4186" s="7">
        <v>3.4630000000000001</v>
      </c>
      <c r="O4186" s="7">
        <v>3.7090000000000001</v>
      </c>
      <c r="P4186" s="7">
        <v>4.8079999999999998</v>
      </c>
      <c r="Q4186" s="7">
        <v>6.1479999999999997</v>
      </c>
      <c r="R4186" s="7">
        <v>6.4429999999999996</v>
      </c>
      <c r="S4186" s="7">
        <f t="shared" si="65"/>
        <v>4.4304166666666669</v>
      </c>
    </row>
    <row r="4187" spans="1:19">
      <c r="A4187" s="5" t="str">
        <f>B4187&amp;"-"&amp;COUNTIF($B$2:B4187,B4187)</f>
        <v>RIO GRANDE DO SUL-334</v>
      </c>
      <c r="B4187" s="5" t="s">
        <v>2552</v>
      </c>
      <c r="C4187" s="5" t="s">
        <v>2807</v>
      </c>
      <c r="D4187" s="6">
        <v>-521574</v>
      </c>
      <c r="E4187" s="6">
        <v>-29005</v>
      </c>
      <c r="F4187" s="7">
        <v>4.3899999999999997</v>
      </c>
      <c r="G4187" s="7">
        <v>6.0869999999999997</v>
      </c>
      <c r="H4187" s="7">
        <v>5.6520000000000001</v>
      </c>
      <c r="I4187" s="7">
        <v>4.7889999999999997</v>
      </c>
      <c r="J4187" s="7">
        <v>3.8420000000000001</v>
      </c>
      <c r="K4187" s="7">
        <v>2.8570000000000002</v>
      </c>
      <c r="L4187" s="7">
        <v>2.4060000000000001</v>
      </c>
      <c r="M4187" s="7">
        <v>2.7090000000000001</v>
      </c>
      <c r="N4187" s="7">
        <v>3.4369999999999998</v>
      </c>
      <c r="O4187" s="7">
        <v>3.6829999999999998</v>
      </c>
      <c r="P4187" s="7">
        <v>4.718</v>
      </c>
      <c r="Q4187" s="7">
        <v>6.0629999999999997</v>
      </c>
      <c r="R4187" s="7">
        <v>6.4429999999999996</v>
      </c>
      <c r="S4187" s="7">
        <f t="shared" si="65"/>
        <v>4.3904999999999994</v>
      </c>
    </row>
    <row r="4188" spans="1:19">
      <c r="A4188" s="5" t="str">
        <f>B4188&amp;"-"&amp;COUNTIF($B$2:B4188,B4188)</f>
        <v>RIO GRANDE DO SUL-335</v>
      </c>
      <c r="B4188" s="5" t="s">
        <v>2552</v>
      </c>
      <c r="C4188" s="5" t="s">
        <v>2808</v>
      </c>
      <c r="D4188" s="6">
        <v>-564487</v>
      </c>
      <c r="E4188" s="6">
        <v>-303845</v>
      </c>
      <c r="F4188" s="7">
        <v>4.7880000000000003</v>
      </c>
      <c r="G4188" s="7">
        <v>6.843</v>
      </c>
      <c r="H4188" s="7">
        <v>6.1779999999999999</v>
      </c>
      <c r="I4188" s="7">
        <v>5.2939999999999996</v>
      </c>
      <c r="J4188" s="7">
        <v>4.101</v>
      </c>
      <c r="K4188" s="7">
        <v>2.9430000000000001</v>
      </c>
      <c r="L4188" s="7">
        <v>2.4249999999999998</v>
      </c>
      <c r="M4188" s="7">
        <v>2.7509999999999999</v>
      </c>
      <c r="N4188" s="7">
        <v>3.508</v>
      </c>
      <c r="O4188" s="7">
        <v>4.2229999999999999</v>
      </c>
      <c r="P4188" s="7">
        <v>5.4329999999999998</v>
      </c>
      <c r="Q4188" s="7">
        <v>6.5819999999999999</v>
      </c>
      <c r="R4188" s="7">
        <v>7.1790000000000003</v>
      </c>
      <c r="S4188" s="7">
        <f t="shared" si="65"/>
        <v>4.788333333333334</v>
      </c>
    </row>
    <row r="4189" spans="1:19">
      <c r="A4189" s="5" t="str">
        <f>B4189&amp;"-"&amp;COUNTIF($B$2:B4189,B4189)</f>
        <v>RIO GRANDE DO SUL-336</v>
      </c>
      <c r="B4189" s="5" t="s">
        <v>2552</v>
      </c>
      <c r="C4189" s="5" t="s">
        <v>4170</v>
      </c>
      <c r="D4189" s="6">
        <v>-524429</v>
      </c>
      <c r="E4189" s="6">
        <v>-278262</v>
      </c>
      <c r="F4189" s="7">
        <v>4.5919999999999996</v>
      </c>
      <c r="G4189" s="7">
        <v>6.2519999999999998</v>
      </c>
      <c r="H4189" s="7">
        <v>5.819</v>
      </c>
      <c r="I4189" s="7">
        <v>4.9909999999999997</v>
      </c>
      <c r="J4189" s="7">
        <v>4.0659999999999998</v>
      </c>
      <c r="K4189" s="7">
        <v>3.0720000000000001</v>
      </c>
      <c r="L4189" s="7">
        <v>2.5870000000000002</v>
      </c>
      <c r="M4189" s="7">
        <v>2.9129999999999998</v>
      </c>
      <c r="N4189" s="7">
        <v>3.7109999999999999</v>
      </c>
      <c r="O4189" s="7">
        <v>3.9249999999999998</v>
      </c>
      <c r="P4189" s="7">
        <v>5.0819999999999999</v>
      </c>
      <c r="Q4189" s="7">
        <v>6.1459999999999999</v>
      </c>
      <c r="R4189" s="7">
        <v>6.5410000000000004</v>
      </c>
      <c r="S4189" s="7">
        <f t="shared" si="65"/>
        <v>4.5920833333333322</v>
      </c>
    </row>
    <row r="4190" spans="1:19">
      <c r="A4190" s="5" t="str">
        <f>B4190&amp;"-"&amp;COUNTIF($B$2:B4190,B4190)</f>
        <v>RIO GRANDE DO SUL-337</v>
      </c>
      <c r="B4190" s="5" t="s">
        <v>2552</v>
      </c>
      <c r="C4190" s="5" t="s">
        <v>2809</v>
      </c>
      <c r="D4190" s="6">
        <v>-540719</v>
      </c>
      <c r="E4190" s="6">
        <v>-29353</v>
      </c>
      <c r="F4190" s="7">
        <v>4.5620000000000003</v>
      </c>
      <c r="G4190" s="7">
        <v>6.4089999999999998</v>
      </c>
      <c r="H4190" s="7">
        <v>5.9429999999999996</v>
      </c>
      <c r="I4190" s="7">
        <v>5.0430000000000001</v>
      </c>
      <c r="J4190" s="7">
        <v>3.9350000000000001</v>
      </c>
      <c r="K4190" s="7">
        <v>2.9169999999999998</v>
      </c>
      <c r="L4190" s="7">
        <v>2.4260000000000002</v>
      </c>
      <c r="M4190" s="7">
        <v>2.71</v>
      </c>
      <c r="N4190" s="7">
        <v>3.452</v>
      </c>
      <c r="O4190" s="7">
        <v>3.8980000000000001</v>
      </c>
      <c r="P4190" s="7">
        <v>4.9850000000000003</v>
      </c>
      <c r="Q4190" s="7">
        <v>6.2709999999999999</v>
      </c>
      <c r="R4190" s="7">
        <v>6.7519999999999998</v>
      </c>
      <c r="S4190" s="7">
        <f t="shared" si="65"/>
        <v>4.5617500000000009</v>
      </c>
    </row>
    <row r="4191" spans="1:19">
      <c r="A4191" s="5" t="str">
        <f>B4191&amp;"-"&amp;COUNTIF($B$2:B4191,B4191)</f>
        <v>RIO GRANDE DO SUL-338</v>
      </c>
      <c r="B4191" s="5" t="s">
        <v>2552</v>
      </c>
      <c r="C4191" s="5" t="s">
        <v>2810</v>
      </c>
      <c r="D4191" s="6">
        <v>-530949</v>
      </c>
      <c r="E4191" s="6">
        <v>-28742</v>
      </c>
      <c r="F4191" s="7">
        <v>4.5869999999999997</v>
      </c>
      <c r="G4191" s="7">
        <v>6.4059999999999997</v>
      </c>
      <c r="H4191" s="7">
        <v>5.9589999999999996</v>
      </c>
      <c r="I4191" s="7">
        <v>5.0599999999999996</v>
      </c>
      <c r="J4191" s="7">
        <v>3.9910000000000001</v>
      </c>
      <c r="K4191" s="7">
        <v>3.0249999999999999</v>
      </c>
      <c r="L4191" s="7">
        <v>2.4660000000000002</v>
      </c>
      <c r="M4191" s="7">
        <v>2.7610000000000001</v>
      </c>
      <c r="N4191" s="7">
        <v>3.5350000000000001</v>
      </c>
      <c r="O4191" s="7">
        <v>3.8809999999999998</v>
      </c>
      <c r="P4191" s="7">
        <v>5.0359999999999996</v>
      </c>
      <c r="Q4191" s="7">
        <v>6.2690000000000001</v>
      </c>
      <c r="R4191" s="7">
        <v>6.6559999999999997</v>
      </c>
      <c r="S4191" s="7">
        <f t="shared" si="65"/>
        <v>4.5870833333333332</v>
      </c>
    </row>
    <row r="4192" spans="1:19">
      <c r="A4192" s="5" t="str">
        <f>B4192&amp;"-"&amp;COUNTIF($B$2:B4192,B4192)</f>
        <v>RIO GRANDE DO SUL-339</v>
      </c>
      <c r="B4192" s="5" t="s">
        <v>2552</v>
      </c>
      <c r="C4192" s="5" t="s">
        <v>2811</v>
      </c>
      <c r="D4192" s="6">
        <v>-536411</v>
      </c>
      <c r="E4192" s="6">
        <v>-276644</v>
      </c>
      <c r="F4192" s="7">
        <v>4.649</v>
      </c>
      <c r="G4192" s="7">
        <v>6.4340000000000002</v>
      </c>
      <c r="H4192" s="7">
        <v>5.9470000000000001</v>
      </c>
      <c r="I4192" s="7">
        <v>5.0679999999999996</v>
      </c>
      <c r="J4192" s="7">
        <v>4.0549999999999997</v>
      </c>
      <c r="K4192" s="7">
        <v>3.1139999999999999</v>
      </c>
      <c r="L4192" s="7">
        <v>2.5870000000000002</v>
      </c>
      <c r="M4192" s="7">
        <v>2.9169999999999998</v>
      </c>
      <c r="N4192" s="7">
        <v>3.6880000000000002</v>
      </c>
      <c r="O4192" s="7">
        <v>3.988</v>
      </c>
      <c r="P4192" s="7">
        <v>5.149</v>
      </c>
      <c r="Q4192" s="7">
        <v>6.2</v>
      </c>
      <c r="R4192" s="7">
        <v>6.6459999999999999</v>
      </c>
      <c r="S4192" s="7">
        <f t="shared" si="65"/>
        <v>4.6494166666666672</v>
      </c>
    </row>
    <row r="4193" spans="1:19">
      <c r="A4193" s="5" t="str">
        <f>B4193&amp;"-"&amp;COUNTIF($B$2:B4193,B4193)</f>
        <v>RIO GRANDE DO SUL-340</v>
      </c>
      <c r="B4193" s="5" t="s">
        <v>2552</v>
      </c>
      <c r="C4193" s="5" t="s">
        <v>2812</v>
      </c>
      <c r="D4193" s="6">
        <v>-520796</v>
      </c>
      <c r="E4193" s="6">
        <v>-291164</v>
      </c>
      <c r="F4193" s="7">
        <v>4.3540000000000001</v>
      </c>
      <c r="G4193" s="7">
        <v>6.0759999999999996</v>
      </c>
      <c r="H4193" s="7">
        <v>5.6740000000000004</v>
      </c>
      <c r="I4193" s="7">
        <v>4.76</v>
      </c>
      <c r="J4193" s="7">
        <v>3.7869999999999999</v>
      </c>
      <c r="K4193" s="7">
        <v>2.827</v>
      </c>
      <c r="L4193" s="7">
        <v>2.359</v>
      </c>
      <c r="M4193" s="7">
        <v>2.6520000000000001</v>
      </c>
      <c r="N4193" s="7">
        <v>3.3889999999999998</v>
      </c>
      <c r="O4193" s="7">
        <v>3.6480000000000001</v>
      </c>
      <c r="P4193" s="7">
        <v>4.6589999999999998</v>
      </c>
      <c r="Q4193" s="7">
        <v>6.0279999999999996</v>
      </c>
      <c r="R4193" s="7">
        <v>6.3940000000000001</v>
      </c>
      <c r="S4193" s="7">
        <f t="shared" si="65"/>
        <v>4.3544166666666664</v>
      </c>
    </row>
    <row r="4194" spans="1:19">
      <c r="A4194" s="5" t="str">
        <f>B4194&amp;"-"&amp;COUNTIF($B$2:B4194,B4194)</f>
        <v>RIO GRANDE DO SUL-341</v>
      </c>
      <c r="B4194" s="5" t="s">
        <v>2552</v>
      </c>
      <c r="C4194" s="5" t="s">
        <v>5318</v>
      </c>
      <c r="D4194" s="6">
        <v>-533749</v>
      </c>
      <c r="E4194" s="6">
        <v>-29813</v>
      </c>
      <c r="F4194" s="7">
        <v>4.51</v>
      </c>
      <c r="G4194" s="7">
        <v>6.4989999999999997</v>
      </c>
      <c r="H4194" s="7">
        <v>5.9539999999999997</v>
      </c>
      <c r="I4194" s="7">
        <v>5.0229999999999997</v>
      </c>
      <c r="J4194" s="7">
        <v>3.8559999999999999</v>
      </c>
      <c r="K4194" s="7">
        <v>2.8220000000000001</v>
      </c>
      <c r="L4194" s="7">
        <v>2.3279999999999998</v>
      </c>
      <c r="M4194" s="7">
        <v>2.5630000000000002</v>
      </c>
      <c r="N4194" s="7">
        <v>3.2789999999999999</v>
      </c>
      <c r="O4194" s="7">
        <v>3.7559999999999998</v>
      </c>
      <c r="P4194" s="7">
        <v>4.9210000000000003</v>
      </c>
      <c r="Q4194" s="7">
        <v>6.3</v>
      </c>
      <c r="R4194" s="7">
        <v>6.8230000000000004</v>
      </c>
      <c r="S4194" s="7">
        <f t="shared" si="65"/>
        <v>4.5103333333333326</v>
      </c>
    </row>
    <row r="4195" spans="1:19">
      <c r="A4195" s="5" t="str">
        <f>B4195&amp;"-"&amp;COUNTIF($B$2:B4195,B4195)</f>
        <v>RIO GRANDE DO SUL-342</v>
      </c>
      <c r="B4195" s="5" t="s">
        <v>2552</v>
      </c>
      <c r="C4195" s="5" t="s">
        <v>2813</v>
      </c>
      <c r="D4195" s="6">
        <v>-528422</v>
      </c>
      <c r="E4195" s="6">
        <v>-272978</v>
      </c>
      <c r="F4195" s="7">
        <v>4.6580000000000004</v>
      </c>
      <c r="G4195" s="7">
        <v>6.2960000000000003</v>
      </c>
      <c r="H4195" s="7">
        <v>5.8719999999999999</v>
      </c>
      <c r="I4195" s="7">
        <v>5.1689999999999996</v>
      </c>
      <c r="J4195" s="7">
        <v>4.1230000000000002</v>
      </c>
      <c r="K4195" s="7">
        <v>3.1309999999999998</v>
      </c>
      <c r="L4195" s="7">
        <v>2.6360000000000001</v>
      </c>
      <c r="M4195" s="7">
        <v>2.9249999999999998</v>
      </c>
      <c r="N4195" s="7">
        <v>3.7789999999999999</v>
      </c>
      <c r="O4195" s="7">
        <v>4.0259999999999998</v>
      </c>
      <c r="P4195" s="7">
        <v>5.1689999999999996</v>
      </c>
      <c r="Q4195" s="7">
        <v>6.1859999999999999</v>
      </c>
      <c r="R4195" s="7">
        <v>6.5880000000000001</v>
      </c>
      <c r="S4195" s="7">
        <f t="shared" si="65"/>
        <v>4.6583333333333323</v>
      </c>
    </row>
    <row r="4196" spans="1:19">
      <c r="A4196" s="5" t="str">
        <f>B4196&amp;"-"&amp;COUNTIF($B$2:B4196,B4196)</f>
        <v>RIO GRANDE DO SUL-343</v>
      </c>
      <c r="B4196" s="5" t="s">
        <v>2552</v>
      </c>
      <c r="C4196" s="5" t="s">
        <v>2814</v>
      </c>
      <c r="D4196" s="6">
        <v>-521075</v>
      </c>
      <c r="E4196" s="6">
        <v>-320354</v>
      </c>
      <c r="F4196" s="7">
        <v>4.367</v>
      </c>
      <c r="G4196" s="7">
        <v>6.3760000000000003</v>
      </c>
      <c r="H4196" s="7">
        <v>5.7350000000000003</v>
      </c>
      <c r="I4196" s="7">
        <v>4.8470000000000004</v>
      </c>
      <c r="J4196" s="7">
        <v>3.6339999999999999</v>
      </c>
      <c r="K4196" s="7">
        <v>2.6469999999999998</v>
      </c>
      <c r="L4196" s="7">
        <v>2.2130000000000001</v>
      </c>
      <c r="M4196" s="7">
        <v>2.3769999999999998</v>
      </c>
      <c r="N4196" s="7">
        <v>3</v>
      </c>
      <c r="O4196" s="7">
        <v>3.6240000000000001</v>
      </c>
      <c r="P4196" s="7">
        <v>4.9290000000000003</v>
      </c>
      <c r="Q4196" s="7">
        <v>6.2290000000000001</v>
      </c>
      <c r="R4196" s="7">
        <v>6.79</v>
      </c>
      <c r="S4196" s="7">
        <f t="shared" si="65"/>
        <v>4.3667500000000006</v>
      </c>
    </row>
    <row r="4197" spans="1:19">
      <c r="A4197" s="5" t="str">
        <f>B4197&amp;"-"&amp;COUNTIF($B$2:B4197,B4197)</f>
        <v>RIO GRANDE DO SUL-344</v>
      </c>
      <c r="B4197" s="5" t="s">
        <v>2552</v>
      </c>
      <c r="C4197" s="5" t="s">
        <v>2815</v>
      </c>
      <c r="D4197" s="6">
        <v>-52378</v>
      </c>
      <c r="E4197" s="6">
        <v>-299897</v>
      </c>
      <c r="F4197" s="7">
        <v>4.4349999999999996</v>
      </c>
      <c r="G4197" s="7">
        <v>6.4260000000000002</v>
      </c>
      <c r="H4197" s="7">
        <v>5.8780000000000001</v>
      </c>
      <c r="I4197" s="7">
        <v>4.8959999999999999</v>
      </c>
      <c r="J4197" s="7">
        <v>3.7879999999999998</v>
      </c>
      <c r="K4197" s="7">
        <v>2.7949999999999999</v>
      </c>
      <c r="L4197" s="7">
        <v>2.319</v>
      </c>
      <c r="M4197" s="7">
        <v>2.4950000000000001</v>
      </c>
      <c r="N4197" s="7">
        <v>3.2189999999999999</v>
      </c>
      <c r="O4197" s="7">
        <v>3.64</v>
      </c>
      <c r="P4197" s="7">
        <v>4.8289999999999997</v>
      </c>
      <c r="Q4197" s="7">
        <v>6.2210000000000001</v>
      </c>
      <c r="R4197" s="7">
        <v>6.718</v>
      </c>
      <c r="S4197" s="7">
        <f t="shared" si="65"/>
        <v>4.4353333333333333</v>
      </c>
    </row>
    <row r="4198" spans="1:19">
      <c r="A4198" s="5" t="str">
        <f>B4198&amp;"-"&amp;COUNTIF($B$2:B4198,B4198)</f>
        <v>RIO GRANDE DO SUL-345</v>
      </c>
      <c r="B4198" s="5" t="s">
        <v>2552</v>
      </c>
      <c r="C4198" s="5" t="s">
        <v>2816</v>
      </c>
      <c r="D4198" s="6">
        <v>-504492</v>
      </c>
      <c r="E4198" s="6">
        <v>-296395</v>
      </c>
      <c r="F4198" s="7">
        <v>4.266</v>
      </c>
      <c r="G4198" s="7">
        <v>6.0410000000000004</v>
      </c>
      <c r="H4198" s="7">
        <v>5.4660000000000002</v>
      </c>
      <c r="I4198" s="7">
        <v>4.5940000000000003</v>
      </c>
      <c r="J4198" s="7">
        <v>3.7629999999999999</v>
      </c>
      <c r="K4198" s="7">
        <v>2.7589999999999999</v>
      </c>
      <c r="L4198" s="7">
        <v>2.339</v>
      </c>
      <c r="M4198" s="7">
        <v>2.5880000000000001</v>
      </c>
      <c r="N4198" s="7">
        <v>3.2570000000000001</v>
      </c>
      <c r="O4198" s="7">
        <v>3.508</v>
      </c>
      <c r="P4198" s="7">
        <v>4.57</v>
      </c>
      <c r="Q4198" s="7">
        <v>5.9809999999999999</v>
      </c>
      <c r="R4198" s="7">
        <v>6.3259999999999996</v>
      </c>
      <c r="S4198" s="7">
        <f t="shared" si="65"/>
        <v>4.2660000000000009</v>
      </c>
    </row>
    <row r="4199" spans="1:19">
      <c r="A4199" s="5" t="str">
        <f>B4199&amp;"-"&amp;COUNTIF($B$2:B4199,B4199)</f>
        <v>RIO GRANDE DO SUL-346</v>
      </c>
      <c r="B4199" s="5" t="s">
        <v>2552</v>
      </c>
      <c r="C4199" s="5" t="s">
        <v>2817</v>
      </c>
      <c r="D4199" s="6">
        <v>-518708</v>
      </c>
      <c r="E4199" s="6">
        <v>-292894</v>
      </c>
      <c r="F4199" s="7">
        <v>4.3760000000000003</v>
      </c>
      <c r="G4199" s="7">
        <v>6.2089999999999996</v>
      </c>
      <c r="H4199" s="7">
        <v>5.7409999999999997</v>
      </c>
      <c r="I4199" s="7">
        <v>4.8230000000000004</v>
      </c>
      <c r="J4199" s="7">
        <v>3.7749999999999999</v>
      </c>
      <c r="K4199" s="7">
        <v>2.82</v>
      </c>
      <c r="L4199" s="7">
        <v>2.323</v>
      </c>
      <c r="M4199" s="7">
        <v>2.6040000000000001</v>
      </c>
      <c r="N4199" s="7">
        <v>3.327</v>
      </c>
      <c r="O4199" s="7">
        <v>3.609</v>
      </c>
      <c r="P4199" s="7">
        <v>4.7</v>
      </c>
      <c r="Q4199" s="7">
        <v>6.0860000000000003</v>
      </c>
      <c r="R4199" s="7">
        <v>6.5019999999999998</v>
      </c>
      <c r="S4199" s="7">
        <f t="shared" si="65"/>
        <v>4.3765833333333335</v>
      </c>
    </row>
    <row r="4200" spans="1:19">
      <c r="A4200" s="5" t="str">
        <f>B4200&amp;"-"&amp;COUNTIF($B$2:B4200,B4200)</f>
        <v>RIO GRANDE DO SUL-347</v>
      </c>
      <c r="B4200" s="5" t="s">
        <v>2552</v>
      </c>
      <c r="C4200" s="5" t="s">
        <v>2818</v>
      </c>
      <c r="D4200" s="6">
        <v>-53171</v>
      </c>
      <c r="E4200" s="6">
        <v>-274747</v>
      </c>
      <c r="F4200" s="7">
        <v>4.6509999999999998</v>
      </c>
      <c r="G4200" s="7">
        <v>6.3289999999999997</v>
      </c>
      <c r="H4200" s="7">
        <v>5.9089999999999998</v>
      </c>
      <c r="I4200" s="7">
        <v>5.1269999999999998</v>
      </c>
      <c r="J4200" s="7">
        <v>4.1100000000000003</v>
      </c>
      <c r="K4200" s="7">
        <v>3.1059999999999999</v>
      </c>
      <c r="L4200" s="7">
        <v>2.548</v>
      </c>
      <c r="M4200" s="7">
        <v>2.8980000000000001</v>
      </c>
      <c r="N4200" s="7">
        <v>3.7170000000000001</v>
      </c>
      <c r="O4200" s="7">
        <v>3.9780000000000002</v>
      </c>
      <c r="P4200" s="7">
        <v>5.1769999999999996</v>
      </c>
      <c r="Q4200" s="7">
        <v>6.2690000000000001</v>
      </c>
      <c r="R4200" s="7">
        <v>6.649</v>
      </c>
      <c r="S4200" s="7">
        <f t="shared" si="65"/>
        <v>4.651416666666667</v>
      </c>
    </row>
    <row r="4201" spans="1:19">
      <c r="A4201" s="5" t="str">
        <f>B4201&amp;"-"&amp;COUNTIF($B$2:B4201,B4201)</f>
        <v>RIO GRANDE DO SUL-348</v>
      </c>
      <c r="B4201" s="5" t="s">
        <v>2552</v>
      </c>
      <c r="C4201" s="5" t="s">
        <v>2819</v>
      </c>
      <c r="D4201" s="6">
        <v>-548191</v>
      </c>
      <c r="E4201" s="6">
        <v>-28257</v>
      </c>
      <c r="F4201" s="7">
        <v>4.702</v>
      </c>
      <c r="G4201" s="7">
        <v>6.6050000000000004</v>
      </c>
      <c r="H4201" s="7">
        <v>6.1369999999999996</v>
      </c>
      <c r="I4201" s="7">
        <v>5.22</v>
      </c>
      <c r="J4201" s="7">
        <v>4.0609999999999999</v>
      </c>
      <c r="K4201" s="7">
        <v>3.0859999999999999</v>
      </c>
      <c r="L4201" s="7">
        <v>2.5310000000000001</v>
      </c>
      <c r="M4201" s="7">
        <v>2.8330000000000002</v>
      </c>
      <c r="N4201" s="7">
        <v>3.59</v>
      </c>
      <c r="O4201" s="7">
        <v>4.05</v>
      </c>
      <c r="P4201" s="7">
        <v>5.157</v>
      </c>
      <c r="Q4201" s="7">
        <v>6.3730000000000002</v>
      </c>
      <c r="R4201" s="7">
        <v>6.7789999999999999</v>
      </c>
      <c r="S4201" s="7">
        <f t="shared" si="65"/>
        <v>4.7018333333333331</v>
      </c>
    </row>
    <row r="4202" spans="1:19">
      <c r="A4202" s="5" t="str">
        <f>B4202&amp;"-"&amp;COUNTIF($B$2:B4202,B4202)</f>
        <v>RIO GRANDE DO SUL-349</v>
      </c>
      <c r="B4202" s="5" t="s">
        <v>2552</v>
      </c>
      <c r="C4202" s="5" t="s">
        <v>2820</v>
      </c>
      <c r="D4202" s="6">
        <v>-505761</v>
      </c>
      <c r="E4202" s="6">
        <v>-29651</v>
      </c>
      <c r="F4202" s="7">
        <v>4.375</v>
      </c>
      <c r="G4202" s="7">
        <v>6.3150000000000004</v>
      </c>
      <c r="H4202" s="7">
        <v>5.718</v>
      </c>
      <c r="I4202" s="7">
        <v>4.7519999999999998</v>
      </c>
      <c r="J4202" s="7">
        <v>3.8140000000000001</v>
      </c>
      <c r="K4202" s="7">
        <v>2.806</v>
      </c>
      <c r="L4202" s="7">
        <v>2.3340000000000001</v>
      </c>
      <c r="M4202" s="7">
        <v>2.573</v>
      </c>
      <c r="N4202" s="7">
        <v>3.226</v>
      </c>
      <c r="O4202" s="7">
        <v>3.5609999999999999</v>
      </c>
      <c r="P4202" s="7">
        <v>4.6900000000000004</v>
      </c>
      <c r="Q4202" s="7">
        <v>6.1719999999999997</v>
      </c>
      <c r="R4202" s="7">
        <v>6.5359999999999996</v>
      </c>
      <c r="S4202" s="7">
        <f t="shared" si="65"/>
        <v>4.3747499999999997</v>
      </c>
    </row>
    <row r="4203" spans="1:19">
      <c r="A4203" s="5" t="str">
        <f>B4203&amp;"-"&amp;COUNTIF($B$2:B4203,B4203)</f>
        <v>RIO GRANDE DO SUL-350</v>
      </c>
      <c r="B4203" s="5" t="s">
        <v>2552</v>
      </c>
      <c r="C4203" s="5" t="s">
        <v>2821</v>
      </c>
      <c r="D4203" s="6">
        <v>-52806</v>
      </c>
      <c r="E4203" s="6">
        <v>-277763</v>
      </c>
      <c r="F4203" s="7">
        <v>4.6289999999999996</v>
      </c>
      <c r="G4203" s="7">
        <v>6.3319999999999999</v>
      </c>
      <c r="H4203" s="7">
        <v>5.9189999999999996</v>
      </c>
      <c r="I4203" s="7">
        <v>5.0549999999999997</v>
      </c>
      <c r="J4203" s="7">
        <v>4.09</v>
      </c>
      <c r="K4203" s="7">
        <v>3.0920000000000001</v>
      </c>
      <c r="L4203" s="7">
        <v>2.5790000000000002</v>
      </c>
      <c r="M4203" s="7">
        <v>2.92</v>
      </c>
      <c r="N4203" s="7">
        <v>3.6760000000000002</v>
      </c>
      <c r="O4203" s="7">
        <v>3.93</v>
      </c>
      <c r="P4203" s="7">
        <v>5.1349999999999998</v>
      </c>
      <c r="Q4203" s="7">
        <v>6.194</v>
      </c>
      <c r="R4203" s="7">
        <v>6.6289999999999996</v>
      </c>
      <c r="S4203" s="7">
        <f t="shared" si="65"/>
        <v>4.6292499999999999</v>
      </c>
    </row>
    <row r="4204" spans="1:19">
      <c r="A4204" s="5" t="str">
        <f>B4204&amp;"-"&amp;COUNTIF($B$2:B4204,B4204)</f>
        <v>RIO GRANDE DO SUL-351</v>
      </c>
      <c r="B4204" s="5" t="s">
        <v>2552</v>
      </c>
      <c r="C4204" s="5" t="s">
        <v>2822</v>
      </c>
      <c r="D4204" s="6">
        <v>-529086</v>
      </c>
      <c r="E4204" s="6">
        <v>-278319</v>
      </c>
      <c r="F4204" s="7">
        <v>4.6420000000000003</v>
      </c>
      <c r="G4204" s="7">
        <v>6.35</v>
      </c>
      <c r="H4204" s="7">
        <v>5.94</v>
      </c>
      <c r="I4204" s="7">
        <v>5.0730000000000004</v>
      </c>
      <c r="J4204" s="7">
        <v>4.1040000000000001</v>
      </c>
      <c r="K4204" s="7">
        <v>3.1019999999999999</v>
      </c>
      <c r="L4204" s="7">
        <v>2.577</v>
      </c>
      <c r="M4204" s="7">
        <v>2.9249999999999998</v>
      </c>
      <c r="N4204" s="7">
        <v>3.6789999999999998</v>
      </c>
      <c r="O4204" s="7">
        <v>3.9369999999999998</v>
      </c>
      <c r="P4204" s="7">
        <v>5.1340000000000003</v>
      </c>
      <c r="Q4204" s="7">
        <v>6.2279999999999998</v>
      </c>
      <c r="R4204" s="7">
        <v>6.657</v>
      </c>
      <c r="S4204" s="7">
        <f t="shared" si="65"/>
        <v>4.6421666666666672</v>
      </c>
    </row>
    <row r="4205" spans="1:19">
      <c r="A4205" s="5" t="str">
        <f>B4205&amp;"-"&amp;COUNTIF($B$2:B4205,B4205)</f>
        <v>RIO GRANDE DO SUL-352</v>
      </c>
      <c r="B4205" s="5" t="s">
        <v>2552</v>
      </c>
      <c r="C4205" s="5" t="s">
        <v>2823</v>
      </c>
      <c r="D4205" s="6">
        <v>-550271</v>
      </c>
      <c r="E4205" s="6">
        <v>-281301</v>
      </c>
      <c r="F4205" s="7">
        <v>4.7030000000000003</v>
      </c>
      <c r="G4205" s="7">
        <v>6.6079999999999997</v>
      </c>
      <c r="H4205" s="7">
        <v>6.1189999999999998</v>
      </c>
      <c r="I4205" s="7">
        <v>5.218</v>
      </c>
      <c r="J4205" s="7">
        <v>4.0659999999999998</v>
      </c>
      <c r="K4205" s="7">
        <v>3.0720000000000001</v>
      </c>
      <c r="L4205" s="7">
        <v>2.5419999999999998</v>
      </c>
      <c r="M4205" s="7">
        <v>2.8319999999999999</v>
      </c>
      <c r="N4205" s="7">
        <v>3.6309999999999998</v>
      </c>
      <c r="O4205" s="7">
        <v>4.0570000000000004</v>
      </c>
      <c r="P4205" s="7">
        <v>5.1420000000000003</v>
      </c>
      <c r="Q4205" s="7">
        <v>6.3710000000000004</v>
      </c>
      <c r="R4205" s="7">
        <v>6.78</v>
      </c>
      <c r="S4205" s="7">
        <f t="shared" si="65"/>
        <v>4.7031666666666672</v>
      </c>
    </row>
    <row r="4206" spans="1:19">
      <c r="A4206" s="5" t="str">
        <f>B4206&amp;"-"&amp;COUNTIF($B$2:B4206,B4206)</f>
        <v>RIO GRANDE DO SUL-353</v>
      </c>
      <c r="B4206" s="5" t="s">
        <v>2552</v>
      </c>
      <c r="C4206" s="5" t="s">
        <v>5726</v>
      </c>
      <c r="D4206" s="6">
        <v>-549139</v>
      </c>
      <c r="E4206" s="6">
        <v>-30258</v>
      </c>
      <c r="F4206" s="7">
        <v>4.6470000000000002</v>
      </c>
      <c r="G4206" s="7">
        <v>6.726</v>
      </c>
      <c r="H4206" s="7">
        <v>6.0410000000000004</v>
      </c>
      <c r="I4206" s="7">
        <v>5.1479999999999997</v>
      </c>
      <c r="J4206" s="7">
        <v>3.95</v>
      </c>
      <c r="K4206" s="7">
        <v>2.8719999999999999</v>
      </c>
      <c r="L4206" s="7">
        <v>2.383</v>
      </c>
      <c r="M4206" s="7">
        <v>2.64</v>
      </c>
      <c r="N4206" s="7">
        <v>3.38</v>
      </c>
      <c r="O4206" s="7">
        <v>3.956</v>
      </c>
      <c r="P4206" s="7">
        <v>5.2270000000000003</v>
      </c>
      <c r="Q4206" s="7">
        <v>6.399</v>
      </c>
      <c r="R4206" s="7">
        <v>7.0460000000000003</v>
      </c>
      <c r="S4206" s="7">
        <f t="shared" si="65"/>
        <v>4.647333333333334</v>
      </c>
    </row>
    <row r="4207" spans="1:19">
      <c r="A4207" s="5" t="str">
        <f>B4207&amp;"-"&amp;COUNTIF($B$2:B4207,B4207)</f>
        <v>RIO GRANDE DO SUL-354</v>
      </c>
      <c r="B4207" s="5" t="s">
        <v>2552</v>
      </c>
      <c r="C4207" s="5" t="s">
        <v>4171</v>
      </c>
      <c r="D4207" s="6">
        <v>-560041</v>
      </c>
      <c r="E4207" s="6">
        <v>-286583</v>
      </c>
      <c r="F4207" s="7">
        <v>4.7709999999999999</v>
      </c>
      <c r="G4207" s="7">
        <v>6.8339999999999996</v>
      </c>
      <c r="H4207" s="7">
        <v>6.1909999999999998</v>
      </c>
      <c r="I4207" s="7">
        <v>5.2729999999999997</v>
      </c>
      <c r="J4207" s="7">
        <v>4.0380000000000003</v>
      </c>
      <c r="K4207" s="7">
        <v>3.0550000000000002</v>
      </c>
      <c r="L4207" s="7">
        <v>2.5049999999999999</v>
      </c>
      <c r="M4207" s="7">
        <v>2.827</v>
      </c>
      <c r="N4207" s="7">
        <v>3.5859999999999999</v>
      </c>
      <c r="O4207" s="7">
        <v>4.13</v>
      </c>
      <c r="P4207" s="7">
        <v>5.34</v>
      </c>
      <c r="Q4207" s="7">
        <v>6.4660000000000002</v>
      </c>
      <c r="R4207" s="7">
        <v>7.0140000000000002</v>
      </c>
      <c r="S4207" s="7">
        <f t="shared" si="65"/>
        <v>4.7715833333333331</v>
      </c>
    </row>
    <row r="4208" spans="1:19">
      <c r="A4208" s="5" t="str">
        <f>B4208&amp;"-"&amp;COUNTIF($B$2:B4208,B4208)</f>
        <v>RIO GRANDE DO SUL-355</v>
      </c>
      <c r="B4208" s="5" t="s">
        <v>2552</v>
      </c>
      <c r="C4208" s="5" t="s">
        <v>4172</v>
      </c>
      <c r="D4208" s="6">
        <v>-518864</v>
      </c>
      <c r="E4208" s="6">
        <v>-285316</v>
      </c>
      <c r="F4208" s="7">
        <v>4.4669999999999996</v>
      </c>
      <c r="G4208" s="7">
        <v>6.1280000000000001</v>
      </c>
      <c r="H4208" s="7">
        <v>5.6989999999999998</v>
      </c>
      <c r="I4208" s="7">
        <v>4.891</v>
      </c>
      <c r="J4208" s="7">
        <v>3.9550000000000001</v>
      </c>
      <c r="K4208" s="7">
        <v>2.9279999999999999</v>
      </c>
      <c r="L4208" s="7">
        <v>2.48</v>
      </c>
      <c r="M4208" s="7">
        <v>2.7959999999999998</v>
      </c>
      <c r="N4208" s="7">
        <v>3.51</v>
      </c>
      <c r="O4208" s="7">
        <v>3.7730000000000001</v>
      </c>
      <c r="P4208" s="7">
        <v>4.8810000000000002</v>
      </c>
      <c r="Q4208" s="7">
        <v>6.0979999999999999</v>
      </c>
      <c r="R4208" s="7">
        <v>6.4649999999999999</v>
      </c>
      <c r="S4208" s="7">
        <f t="shared" si="65"/>
        <v>4.4669999999999996</v>
      </c>
    </row>
    <row r="4209" spans="1:19">
      <c r="A4209" s="5" t="str">
        <f>B4209&amp;"-"&amp;COUNTIF($B$2:B4209,B4209)</f>
        <v>RIO GRANDE DO SUL-356</v>
      </c>
      <c r="B4209" s="5" t="s">
        <v>2552</v>
      </c>
      <c r="C4209" s="5" t="s">
        <v>4173</v>
      </c>
      <c r="D4209" s="6">
        <v>-551258</v>
      </c>
      <c r="E4209" s="6">
        <v>-295552</v>
      </c>
      <c r="F4209" s="7">
        <v>4.6749999999999998</v>
      </c>
      <c r="G4209" s="7">
        <v>6.6870000000000003</v>
      </c>
      <c r="H4209" s="7">
        <v>6.085</v>
      </c>
      <c r="I4209" s="7">
        <v>5.1740000000000004</v>
      </c>
      <c r="J4209" s="7">
        <v>3.9990000000000001</v>
      </c>
      <c r="K4209" s="7">
        <v>2.948</v>
      </c>
      <c r="L4209" s="7">
        <v>2.4580000000000002</v>
      </c>
      <c r="M4209" s="7">
        <v>2.7120000000000002</v>
      </c>
      <c r="N4209" s="7">
        <v>3.4790000000000001</v>
      </c>
      <c r="O4209" s="7">
        <v>4.0060000000000002</v>
      </c>
      <c r="P4209" s="7">
        <v>5.1950000000000003</v>
      </c>
      <c r="Q4209" s="7">
        <v>6.3719999999999999</v>
      </c>
      <c r="R4209" s="7">
        <v>6.9870000000000001</v>
      </c>
      <c r="S4209" s="7">
        <f t="shared" si="65"/>
        <v>4.6751666666666667</v>
      </c>
    </row>
    <row r="4210" spans="1:19">
      <c r="A4210" s="5" t="str">
        <f>B4210&amp;"-"&amp;COUNTIF($B$2:B4210,B4210)</f>
        <v>RIO GRANDE DO SUL-357</v>
      </c>
      <c r="B4210" s="5" t="s">
        <v>2552</v>
      </c>
      <c r="C4210" s="5" t="s">
        <v>4012</v>
      </c>
      <c r="D4210" s="6">
        <v>-505839</v>
      </c>
      <c r="E4210" s="6">
        <v>-294479</v>
      </c>
      <c r="F4210" s="7">
        <v>4.327</v>
      </c>
      <c r="G4210" s="7">
        <v>6.05</v>
      </c>
      <c r="H4210" s="7">
        <v>5.5439999999999996</v>
      </c>
      <c r="I4210" s="7">
        <v>4.5940000000000003</v>
      </c>
      <c r="J4210" s="7">
        <v>3.82</v>
      </c>
      <c r="K4210" s="7">
        <v>2.8130000000000002</v>
      </c>
      <c r="L4210" s="7">
        <v>2.4239999999999999</v>
      </c>
      <c r="M4210" s="7">
        <v>2.665</v>
      </c>
      <c r="N4210" s="7">
        <v>3.3570000000000002</v>
      </c>
      <c r="O4210" s="7">
        <v>3.5939999999999999</v>
      </c>
      <c r="P4210" s="7">
        <v>4.7009999999999996</v>
      </c>
      <c r="Q4210" s="7">
        <v>6.0140000000000002</v>
      </c>
      <c r="R4210" s="7">
        <v>6.35</v>
      </c>
      <c r="S4210" s="7">
        <f t="shared" si="65"/>
        <v>4.3271666666666668</v>
      </c>
    </row>
    <row r="4211" spans="1:19">
      <c r="A4211" s="5" t="str">
        <f>B4211&amp;"-"&amp;COUNTIF($B$2:B4211,B4211)</f>
        <v>RIO GRANDE DO SUL-358</v>
      </c>
      <c r="B4211" s="5" t="s">
        <v>2552</v>
      </c>
      <c r="C4211" s="5" t="s">
        <v>3920</v>
      </c>
      <c r="D4211" s="6">
        <v>-543199</v>
      </c>
      <c r="E4211" s="6">
        <v>-30336</v>
      </c>
      <c r="F4211" s="7">
        <v>4.6219999999999999</v>
      </c>
      <c r="G4211" s="7">
        <v>6.62</v>
      </c>
      <c r="H4211" s="7">
        <v>6.085</v>
      </c>
      <c r="I4211" s="7">
        <v>5.17</v>
      </c>
      <c r="J4211" s="7">
        <v>3.9649999999999999</v>
      </c>
      <c r="K4211" s="7">
        <v>2.8639999999999999</v>
      </c>
      <c r="L4211" s="7">
        <v>2.371</v>
      </c>
      <c r="M4211" s="7">
        <v>2.6019999999999999</v>
      </c>
      <c r="N4211" s="7">
        <v>3.34</v>
      </c>
      <c r="O4211" s="7">
        <v>3.903</v>
      </c>
      <c r="P4211" s="7">
        <v>5.1619999999999999</v>
      </c>
      <c r="Q4211" s="7">
        <v>6.3840000000000003</v>
      </c>
      <c r="R4211" s="7">
        <v>6.9980000000000002</v>
      </c>
      <c r="S4211" s="7">
        <f t="shared" si="65"/>
        <v>4.621999999999999</v>
      </c>
    </row>
    <row r="4212" spans="1:19">
      <c r="A4212" s="5" t="str">
        <f>B4212&amp;"-"&amp;COUNTIF($B$2:B4212,B4212)</f>
        <v>RIO GRANDE DO SUL-359</v>
      </c>
      <c r="B4212" s="5" t="s">
        <v>2552</v>
      </c>
      <c r="C4212" s="5" t="s">
        <v>4579</v>
      </c>
      <c r="D4212" s="6">
        <v>-517211</v>
      </c>
      <c r="E4212" s="6">
        <v>-299646</v>
      </c>
      <c r="F4212" s="7">
        <v>4.4219999999999997</v>
      </c>
      <c r="G4212" s="7">
        <v>6.42</v>
      </c>
      <c r="H4212" s="7">
        <v>5.8620000000000001</v>
      </c>
      <c r="I4212" s="7">
        <v>4.867</v>
      </c>
      <c r="J4212" s="7">
        <v>3.7869999999999999</v>
      </c>
      <c r="K4212" s="7">
        <v>2.7679999999999998</v>
      </c>
      <c r="L4212" s="7">
        <v>2.2919999999999998</v>
      </c>
      <c r="M4212" s="7">
        <v>2.5089999999999999</v>
      </c>
      <c r="N4212" s="7">
        <v>3.2160000000000002</v>
      </c>
      <c r="O4212" s="7">
        <v>3.6120000000000001</v>
      </c>
      <c r="P4212" s="7">
        <v>4.83</v>
      </c>
      <c r="Q4212" s="7">
        <v>6.2060000000000004</v>
      </c>
      <c r="R4212" s="7">
        <v>6.6970000000000001</v>
      </c>
      <c r="S4212" s="7">
        <f t="shared" si="65"/>
        <v>4.4221666666666675</v>
      </c>
    </row>
    <row r="4213" spans="1:19">
      <c r="A4213" s="5" t="str">
        <f>B4213&amp;"-"&amp;COUNTIF($B$2:B4213,B4213)</f>
        <v>RIO GRANDE DO SUL-360</v>
      </c>
      <c r="B4213" s="5" t="s">
        <v>2552</v>
      </c>
      <c r="C4213" s="5" t="s">
        <v>4174</v>
      </c>
      <c r="D4213" s="6">
        <v>-518261</v>
      </c>
      <c r="E4213" s="5" t="s">
        <v>2824</v>
      </c>
      <c r="F4213" s="7">
        <v>4.5860000000000003</v>
      </c>
      <c r="G4213" s="7">
        <v>6.2619999999999996</v>
      </c>
      <c r="H4213" s="7">
        <v>5.7720000000000002</v>
      </c>
      <c r="I4213" s="7">
        <v>5.0209999999999999</v>
      </c>
      <c r="J4213" s="7">
        <v>4.08</v>
      </c>
      <c r="K4213" s="7">
        <v>3.03</v>
      </c>
      <c r="L4213" s="7">
        <v>2.5680000000000001</v>
      </c>
      <c r="M4213" s="7">
        <v>2.887</v>
      </c>
      <c r="N4213" s="7">
        <v>3.6819999999999999</v>
      </c>
      <c r="O4213" s="7">
        <v>3.911</v>
      </c>
      <c r="P4213" s="7">
        <v>5.04</v>
      </c>
      <c r="Q4213" s="7">
        <v>6.25</v>
      </c>
      <c r="R4213" s="7">
        <v>6.532</v>
      </c>
      <c r="S4213" s="7">
        <f t="shared" si="65"/>
        <v>4.5862499999999997</v>
      </c>
    </row>
    <row r="4214" spans="1:19">
      <c r="A4214" s="5" t="str">
        <f>B4214&amp;"-"&amp;COUNTIF($B$2:B4214,B4214)</f>
        <v>RIO GRANDE DO SUL-361</v>
      </c>
      <c r="B4214" s="5" t="s">
        <v>2552</v>
      </c>
      <c r="C4214" s="5" t="s">
        <v>5319</v>
      </c>
      <c r="D4214" s="6">
        <v>-534459</v>
      </c>
      <c r="E4214" s="6">
        <v>-29614</v>
      </c>
      <c r="F4214" s="7">
        <v>4.4829999999999997</v>
      </c>
      <c r="G4214" s="7">
        <v>6.3259999999999996</v>
      </c>
      <c r="H4214" s="7">
        <v>5.9089999999999998</v>
      </c>
      <c r="I4214" s="7">
        <v>4.9870000000000001</v>
      </c>
      <c r="J4214" s="7">
        <v>3.8559999999999999</v>
      </c>
      <c r="K4214" s="7">
        <v>2.831</v>
      </c>
      <c r="L4214" s="7">
        <v>2.351</v>
      </c>
      <c r="M4214" s="7">
        <v>2.593</v>
      </c>
      <c r="N4214" s="7">
        <v>3.3439999999999999</v>
      </c>
      <c r="O4214" s="7">
        <v>3.7229999999999999</v>
      </c>
      <c r="P4214" s="7">
        <v>4.8949999999999996</v>
      </c>
      <c r="Q4214" s="7">
        <v>6.2469999999999999</v>
      </c>
      <c r="R4214" s="7">
        <v>6.7389999999999999</v>
      </c>
      <c r="S4214" s="7">
        <f t="shared" si="65"/>
        <v>4.4834166666666659</v>
      </c>
    </row>
    <row r="4215" spans="1:19">
      <c r="A4215" s="5" t="str">
        <f>B4215&amp;"-"&amp;COUNTIF($B$2:B4215,B4215)</f>
        <v>RIO GRANDE DO SUL-362</v>
      </c>
      <c r="B4215" s="5" t="s">
        <v>2552</v>
      </c>
      <c r="C4215" s="5" t="s">
        <v>4175</v>
      </c>
      <c r="D4215" s="6">
        <v>-517069</v>
      </c>
      <c r="E4215" s="6">
        <v>-284989</v>
      </c>
      <c r="F4215" s="7">
        <v>4.4630000000000001</v>
      </c>
      <c r="G4215" s="7">
        <v>6.0990000000000002</v>
      </c>
      <c r="H4215" s="7">
        <v>5.6820000000000004</v>
      </c>
      <c r="I4215" s="7">
        <v>4.8600000000000003</v>
      </c>
      <c r="J4215" s="7">
        <v>3.948</v>
      </c>
      <c r="K4215" s="7">
        <v>2.9289999999999998</v>
      </c>
      <c r="L4215" s="7">
        <v>2.496</v>
      </c>
      <c r="M4215" s="7">
        <v>2.7989999999999999</v>
      </c>
      <c r="N4215" s="7">
        <v>3.5230000000000001</v>
      </c>
      <c r="O4215" s="7">
        <v>3.7709999999999999</v>
      </c>
      <c r="P4215" s="7">
        <v>4.8890000000000002</v>
      </c>
      <c r="Q4215" s="7">
        <v>6.1139999999999999</v>
      </c>
      <c r="R4215" s="7">
        <v>6.4480000000000004</v>
      </c>
      <c r="S4215" s="7">
        <f t="shared" si="65"/>
        <v>4.4631666666666669</v>
      </c>
    </row>
    <row r="4216" spans="1:19">
      <c r="A4216" s="5" t="str">
        <f>B4216&amp;"-"&amp;COUNTIF($B$2:B4216,B4216)</f>
        <v>RIO GRANDE DO SUL-363</v>
      </c>
      <c r="B4216" s="5" t="s">
        <v>2552</v>
      </c>
      <c r="C4216" s="5" t="s">
        <v>5447</v>
      </c>
      <c r="D4216" s="6">
        <v>-531231</v>
      </c>
      <c r="E4216" s="6">
        <v>-277794</v>
      </c>
      <c r="F4216" s="7">
        <v>4.6440000000000001</v>
      </c>
      <c r="G4216" s="7">
        <v>6.3730000000000002</v>
      </c>
      <c r="H4216" s="7">
        <v>5.9169999999999998</v>
      </c>
      <c r="I4216" s="7">
        <v>5.0590000000000002</v>
      </c>
      <c r="J4216" s="7">
        <v>4.1150000000000002</v>
      </c>
      <c r="K4216" s="7">
        <v>3.1</v>
      </c>
      <c r="L4216" s="7">
        <v>2.569</v>
      </c>
      <c r="M4216" s="7">
        <v>2.9079999999999999</v>
      </c>
      <c r="N4216" s="7">
        <v>3.6640000000000001</v>
      </c>
      <c r="O4216" s="7">
        <v>3.9649999999999999</v>
      </c>
      <c r="P4216" s="7">
        <v>5.1360000000000001</v>
      </c>
      <c r="Q4216" s="7">
        <v>6.2510000000000003</v>
      </c>
      <c r="R4216" s="7">
        <v>6.6740000000000004</v>
      </c>
      <c r="S4216" s="7">
        <f t="shared" si="65"/>
        <v>4.6442500000000004</v>
      </c>
    </row>
    <row r="4217" spans="1:19">
      <c r="A4217" s="5" t="str">
        <f>B4217&amp;"-"&amp;COUNTIF($B$2:B4217,B4217)</f>
        <v>RIO GRANDE DO SUL-364</v>
      </c>
      <c r="B4217" s="5" t="s">
        <v>2552</v>
      </c>
      <c r="C4217" s="5" t="s">
        <v>4479</v>
      </c>
      <c r="D4217" s="6">
        <v>-522959</v>
      </c>
      <c r="E4217" s="6">
        <v>-29044</v>
      </c>
      <c r="F4217" s="7">
        <v>4.4029999999999996</v>
      </c>
      <c r="G4217" s="7">
        <v>6.0819999999999999</v>
      </c>
      <c r="H4217" s="7">
        <v>5.694</v>
      </c>
      <c r="I4217" s="7">
        <v>4.8179999999999996</v>
      </c>
      <c r="J4217" s="7">
        <v>3.8420000000000001</v>
      </c>
      <c r="K4217" s="7">
        <v>2.867</v>
      </c>
      <c r="L4217" s="7">
        <v>2.4060000000000001</v>
      </c>
      <c r="M4217" s="7">
        <v>2.7069999999999999</v>
      </c>
      <c r="N4217" s="7">
        <v>3.4319999999999999</v>
      </c>
      <c r="O4217" s="7">
        <v>3.6819999999999999</v>
      </c>
      <c r="P4217" s="7">
        <v>4.7489999999999997</v>
      </c>
      <c r="Q4217" s="7">
        <v>6.0940000000000003</v>
      </c>
      <c r="R4217" s="7">
        <v>6.4569999999999999</v>
      </c>
      <c r="S4217" s="7">
        <f t="shared" si="65"/>
        <v>4.4025000000000007</v>
      </c>
    </row>
    <row r="4218" spans="1:19">
      <c r="A4218" s="5" t="str">
        <f>B4218&amp;"-"&amp;COUNTIF($B$2:B4218,B4218)</f>
        <v>RIO GRANDE DO SUL-365</v>
      </c>
      <c r="B4218" s="5" t="s">
        <v>2552</v>
      </c>
      <c r="C4218" s="5" t="s">
        <v>5320</v>
      </c>
      <c r="D4218" s="6">
        <v>-512485</v>
      </c>
      <c r="E4218" s="6">
        <v>-295247</v>
      </c>
      <c r="F4218" s="7">
        <v>4.3449999999999998</v>
      </c>
      <c r="G4218" s="7">
        <v>6.19</v>
      </c>
      <c r="H4218" s="7">
        <v>5.7089999999999996</v>
      </c>
      <c r="I4218" s="7">
        <v>4.782</v>
      </c>
      <c r="J4218" s="7">
        <v>3.79</v>
      </c>
      <c r="K4218" s="7">
        <v>2.806</v>
      </c>
      <c r="L4218" s="7">
        <v>2.3460000000000001</v>
      </c>
      <c r="M4218" s="7">
        <v>2.5640000000000001</v>
      </c>
      <c r="N4218" s="7">
        <v>3.2410000000000001</v>
      </c>
      <c r="O4218" s="7">
        <v>3.5430000000000001</v>
      </c>
      <c r="P4218" s="7">
        <v>4.5910000000000002</v>
      </c>
      <c r="Q4218" s="7">
        <v>6.0880000000000001</v>
      </c>
      <c r="R4218" s="7">
        <v>6.4880000000000004</v>
      </c>
      <c r="S4218" s="7">
        <f t="shared" si="65"/>
        <v>4.3448333333333338</v>
      </c>
    </row>
    <row r="4219" spans="1:19">
      <c r="A4219" s="5" t="str">
        <f>B4219&amp;"-"&amp;COUNTIF($B$2:B4219,B4219)</f>
        <v>RIO GRANDE DO SUL-366</v>
      </c>
      <c r="B4219" s="5" t="s">
        <v>2552</v>
      </c>
      <c r="C4219" s="5" t="s">
        <v>5727</v>
      </c>
      <c r="D4219" s="6">
        <v>-541279</v>
      </c>
      <c r="E4219" s="6">
        <v>-277255</v>
      </c>
      <c r="F4219" s="7">
        <v>4.6849999999999996</v>
      </c>
      <c r="G4219" s="7">
        <v>6.532</v>
      </c>
      <c r="H4219" s="7">
        <v>5.9980000000000002</v>
      </c>
      <c r="I4219" s="7">
        <v>5.1630000000000003</v>
      </c>
      <c r="J4219" s="7">
        <v>4.0960000000000001</v>
      </c>
      <c r="K4219" s="7">
        <v>3.125</v>
      </c>
      <c r="L4219" s="7">
        <v>2.5569999999999999</v>
      </c>
      <c r="M4219" s="7">
        <v>2.8639999999999999</v>
      </c>
      <c r="N4219" s="7">
        <v>3.7</v>
      </c>
      <c r="O4219" s="7">
        <v>4</v>
      </c>
      <c r="P4219" s="7">
        <v>5.2270000000000003</v>
      </c>
      <c r="Q4219" s="7">
        <v>6.2679999999999998</v>
      </c>
      <c r="R4219" s="7">
        <v>6.6920000000000002</v>
      </c>
      <c r="S4219" s="7">
        <f t="shared" si="65"/>
        <v>4.6851666666666665</v>
      </c>
    </row>
    <row r="4220" spans="1:19">
      <c r="A4220" s="5" t="str">
        <f>B4220&amp;"-"&amp;COUNTIF($B$2:B4220,B4220)</f>
        <v>RIO GRANDE DO SUL-367</v>
      </c>
      <c r="B4220" s="5" t="s">
        <v>2552</v>
      </c>
      <c r="C4220" s="5" t="s">
        <v>4480</v>
      </c>
      <c r="D4220" s="6">
        <v>-520338</v>
      </c>
      <c r="E4220" s="6">
        <v>-320125</v>
      </c>
      <c r="F4220" s="7">
        <v>4.3659999999999997</v>
      </c>
      <c r="G4220" s="7">
        <v>6.391</v>
      </c>
      <c r="H4220" s="7">
        <v>5.7489999999999997</v>
      </c>
      <c r="I4220" s="7">
        <v>4.8520000000000003</v>
      </c>
      <c r="J4220" s="7">
        <v>3.65</v>
      </c>
      <c r="K4220" s="7">
        <v>2.645</v>
      </c>
      <c r="L4220" s="7">
        <v>2.2189999999999999</v>
      </c>
      <c r="M4220" s="7">
        <v>2.37</v>
      </c>
      <c r="N4220" s="7">
        <v>2.992</v>
      </c>
      <c r="O4220" s="7">
        <v>3.6259999999999999</v>
      </c>
      <c r="P4220" s="7">
        <v>4.9130000000000003</v>
      </c>
      <c r="Q4220" s="7">
        <v>6.2149999999999999</v>
      </c>
      <c r="R4220" s="7">
        <v>6.774</v>
      </c>
      <c r="S4220" s="7">
        <f t="shared" si="65"/>
        <v>4.3663333333333334</v>
      </c>
    </row>
    <row r="4221" spans="1:19">
      <c r="A4221" s="5" t="str">
        <f>B4221&amp;"-"&amp;COUNTIF($B$2:B4221,B4221)</f>
        <v>RIO GRANDE DO SUL-368</v>
      </c>
      <c r="B4221" s="5" t="s">
        <v>2552</v>
      </c>
      <c r="C4221" s="5" t="s">
        <v>4481</v>
      </c>
      <c r="D4221" s="6">
        <v>-515971</v>
      </c>
      <c r="E4221" s="6">
        <v>-277712</v>
      </c>
      <c r="F4221" s="7">
        <v>4.5720000000000001</v>
      </c>
      <c r="G4221" s="7">
        <v>6.2910000000000004</v>
      </c>
      <c r="H4221" s="7">
        <v>5.7779999999999996</v>
      </c>
      <c r="I4221" s="7">
        <v>4.9569999999999999</v>
      </c>
      <c r="J4221" s="7">
        <v>4.0270000000000001</v>
      </c>
      <c r="K4221" s="7">
        <v>3.02</v>
      </c>
      <c r="L4221" s="7">
        <v>2.5920000000000001</v>
      </c>
      <c r="M4221" s="7">
        <v>2.9140000000000001</v>
      </c>
      <c r="N4221" s="7">
        <v>3.7130000000000001</v>
      </c>
      <c r="O4221" s="7">
        <v>3.9209999999999998</v>
      </c>
      <c r="P4221" s="7">
        <v>4.9969999999999999</v>
      </c>
      <c r="Q4221" s="7">
        <v>6.1740000000000004</v>
      </c>
      <c r="R4221" s="7">
        <v>6.484</v>
      </c>
      <c r="S4221" s="7">
        <f t="shared" si="65"/>
        <v>4.5723333333333338</v>
      </c>
    </row>
    <row r="4222" spans="1:19">
      <c r="A4222" s="5" t="str">
        <f>B4222&amp;"-"&amp;COUNTIF($B$2:B4222,B4222)</f>
        <v>RIO GRANDE DO SUL-369</v>
      </c>
      <c r="B4222" s="5" t="s">
        <v>2552</v>
      </c>
      <c r="C4222" s="5" t="s">
        <v>4482</v>
      </c>
      <c r="D4222" s="6">
        <v>-514878</v>
      </c>
      <c r="E4222" s="6">
        <v>-295423</v>
      </c>
      <c r="F4222" s="7">
        <v>4.2910000000000004</v>
      </c>
      <c r="G4222" s="7">
        <v>6.0609999999999999</v>
      </c>
      <c r="H4222" s="7">
        <v>5.617</v>
      </c>
      <c r="I4222" s="7">
        <v>4.726</v>
      </c>
      <c r="J4222" s="7">
        <v>3.7559999999999998</v>
      </c>
      <c r="K4222" s="7">
        <v>2.7930000000000001</v>
      </c>
      <c r="L4222" s="7">
        <v>2.3410000000000002</v>
      </c>
      <c r="M4222" s="7">
        <v>2.5510000000000002</v>
      </c>
      <c r="N4222" s="7">
        <v>3.2370000000000001</v>
      </c>
      <c r="O4222" s="7">
        <v>3.5190000000000001</v>
      </c>
      <c r="P4222" s="7">
        <v>4.51</v>
      </c>
      <c r="Q4222" s="7">
        <v>6.0090000000000003</v>
      </c>
      <c r="R4222" s="7">
        <v>6.3719999999999999</v>
      </c>
      <c r="S4222" s="7">
        <f t="shared" si="65"/>
        <v>4.2909999999999995</v>
      </c>
    </row>
    <row r="4223" spans="1:19">
      <c r="A4223" s="5" t="str">
        <f>B4223&amp;"-"&amp;COUNTIF($B$2:B4223,B4223)</f>
        <v>RIO GRANDE DO SUL-370</v>
      </c>
      <c r="B4223" s="5" t="s">
        <v>2552</v>
      </c>
      <c r="C4223" s="5" t="s">
        <v>4483</v>
      </c>
      <c r="D4223" s="6">
        <v>-500682</v>
      </c>
      <c r="E4223" s="6">
        <v>-287481</v>
      </c>
      <c r="F4223" s="7">
        <v>4.4509999999999996</v>
      </c>
      <c r="G4223" s="7">
        <v>5.9770000000000003</v>
      </c>
      <c r="H4223" s="7">
        <v>5.5289999999999999</v>
      </c>
      <c r="I4223" s="7">
        <v>4.79</v>
      </c>
      <c r="J4223" s="7">
        <v>3.956</v>
      </c>
      <c r="K4223" s="7">
        <v>2.96</v>
      </c>
      <c r="L4223" s="7">
        <v>2.5499999999999998</v>
      </c>
      <c r="M4223" s="7">
        <v>2.8610000000000002</v>
      </c>
      <c r="N4223" s="7">
        <v>3.63</v>
      </c>
      <c r="O4223" s="7">
        <v>3.8039999999999998</v>
      </c>
      <c r="P4223" s="7">
        <v>4.8849999999999998</v>
      </c>
      <c r="Q4223" s="7">
        <v>6.093</v>
      </c>
      <c r="R4223" s="7">
        <v>6.3810000000000002</v>
      </c>
      <c r="S4223" s="7">
        <f t="shared" si="65"/>
        <v>4.4513333333333334</v>
      </c>
    </row>
    <row r="4224" spans="1:19">
      <c r="A4224" s="5" t="str">
        <f>B4224&amp;"-"&amp;COUNTIF($B$2:B4224,B4224)</f>
        <v>RIO GRANDE DO SUL-371</v>
      </c>
      <c r="B4224" s="5" t="s">
        <v>2552</v>
      </c>
      <c r="C4224" s="5" t="s">
        <v>4176</v>
      </c>
      <c r="D4224" s="6">
        <v>-511502</v>
      </c>
      <c r="E4224" s="6">
        <v>-29755</v>
      </c>
      <c r="F4224" s="7">
        <v>4.3789999999999996</v>
      </c>
      <c r="G4224" s="7">
        <v>6.3140000000000001</v>
      </c>
      <c r="H4224" s="7">
        <v>5.7830000000000004</v>
      </c>
      <c r="I4224" s="7">
        <v>4.8</v>
      </c>
      <c r="J4224" s="7">
        <v>3.8039999999999998</v>
      </c>
      <c r="K4224" s="7">
        <v>2.7919999999999998</v>
      </c>
      <c r="L4224" s="7">
        <v>2.335</v>
      </c>
      <c r="M4224" s="7">
        <v>2.5169999999999999</v>
      </c>
      <c r="N4224" s="7">
        <v>3.2069999999999999</v>
      </c>
      <c r="O4224" s="7">
        <v>3.56</v>
      </c>
      <c r="P4224" s="7">
        <v>4.6820000000000004</v>
      </c>
      <c r="Q4224" s="7">
        <v>6.1420000000000003</v>
      </c>
      <c r="R4224" s="7">
        <v>6.6159999999999997</v>
      </c>
      <c r="S4224" s="7">
        <f t="shared" si="65"/>
        <v>4.3793333333333342</v>
      </c>
    </row>
    <row r="4225" spans="1:19">
      <c r="A4225" s="5" t="str">
        <f>B4225&amp;"-"&amp;COUNTIF($B$2:B4225,B4225)</f>
        <v>RIO GRANDE DO SUL-372</v>
      </c>
      <c r="B4225" s="5" t="s">
        <v>2552</v>
      </c>
      <c r="C4225" s="5" t="s">
        <v>4766</v>
      </c>
      <c r="D4225" s="6">
        <v>-519736</v>
      </c>
      <c r="E4225" s="6">
        <v>-31361</v>
      </c>
      <c r="F4225" s="7">
        <v>4.3979999999999997</v>
      </c>
      <c r="G4225" s="7">
        <v>6.4710000000000001</v>
      </c>
      <c r="H4225" s="7">
        <v>5.8010000000000002</v>
      </c>
      <c r="I4225" s="7">
        <v>4.8769999999999998</v>
      </c>
      <c r="J4225" s="7">
        <v>3.6960000000000002</v>
      </c>
      <c r="K4225" s="7">
        <v>2.6960000000000002</v>
      </c>
      <c r="L4225" s="7">
        <v>2.2629999999999999</v>
      </c>
      <c r="M4225" s="7">
        <v>2.4159999999999999</v>
      </c>
      <c r="N4225" s="7">
        <v>3.0379999999999998</v>
      </c>
      <c r="O4225" s="7">
        <v>3.625</v>
      </c>
      <c r="P4225" s="7">
        <v>4.8550000000000004</v>
      </c>
      <c r="Q4225" s="7">
        <v>6.2569999999999997</v>
      </c>
      <c r="R4225" s="7">
        <v>6.7779999999999996</v>
      </c>
      <c r="S4225" s="7">
        <f t="shared" si="65"/>
        <v>4.3977499999999994</v>
      </c>
    </row>
    <row r="4226" spans="1:19">
      <c r="A4226" s="5" t="str">
        <f>B4226&amp;"-"&amp;COUNTIF($B$2:B4226,B4226)</f>
        <v>RIO GRANDE DO SUL-373</v>
      </c>
      <c r="B4226" s="5" t="s">
        <v>2552</v>
      </c>
      <c r="C4226" s="5" t="s">
        <v>4177</v>
      </c>
      <c r="D4226" s="6">
        <v>-549609</v>
      </c>
      <c r="E4226" s="6">
        <v>-28408</v>
      </c>
      <c r="F4226" s="7">
        <v>4.7009999999999996</v>
      </c>
      <c r="G4226" s="7">
        <v>6.5720000000000001</v>
      </c>
      <c r="H4226" s="7">
        <v>6.1189999999999998</v>
      </c>
      <c r="I4226" s="7">
        <v>5.2380000000000004</v>
      </c>
      <c r="J4226" s="7">
        <v>4.0430000000000001</v>
      </c>
      <c r="K4226" s="7">
        <v>3.0880000000000001</v>
      </c>
      <c r="L4226" s="7">
        <v>2.5169999999999999</v>
      </c>
      <c r="M4226" s="7">
        <v>2.8359999999999999</v>
      </c>
      <c r="N4226" s="7">
        <v>3.593</v>
      </c>
      <c r="O4226" s="7">
        <v>4.0629999999999997</v>
      </c>
      <c r="P4226" s="7">
        <v>5.1580000000000004</v>
      </c>
      <c r="Q4226" s="7">
        <v>6.3810000000000002</v>
      </c>
      <c r="R4226" s="7">
        <v>6.806</v>
      </c>
      <c r="S4226" s="7">
        <f t="shared" si="65"/>
        <v>4.7011666666666665</v>
      </c>
    </row>
    <row r="4227" spans="1:19">
      <c r="A4227" s="5" t="str">
        <f>B4227&amp;"-"&amp;COUNTIF($B$2:B4227,B4227)</f>
        <v>RIO GRANDE DO SUL-374</v>
      </c>
      <c r="B4227" s="5" t="s">
        <v>2552</v>
      </c>
      <c r="C4227" s="5" t="s">
        <v>4178</v>
      </c>
      <c r="D4227" s="5" t="s">
        <v>2825</v>
      </c>
      <c r="E4227" s="6">
        <v>-289681</v>
      </c>
      <c r="F4227" s="7">
        <v>4.4340000000000002</v>
      </c>
      <c r="G4227" s="7">
        <v>6.181</v>
      </c>
      <c r="H4227" s="7">
        <v>5.71</v>
      </c>
      <c r="I4227" s="7">
        <v>4.7930000000000001</v>
      </c>
      <c r="J4227" s="7">
        <v>3.8570000000000002</v>
      </c>
      <c r="K4227" s="7">
        <v>2.8679999999999999</v>
      </c>
      <c r="L4227" s="7">
        <v>2.411</v>
      </c>
      <c r="M4227" s="7">
        <v>2.742</v>
      </c>
      <c r="N4227" s="7">
        <v>3.4449999999999998</v>
      </c>
      <c r="O4227" s="7">
        <v>3.7080000000000002</v>
      </c>
      <c r="P4227" s="7">
        <v>4.8390000000000004</v>
      </c>
      <c r="Q4227" s="7">
        <v>6.1849999999999996</v>
      </c>
      <c r="R4227" s="7">
        <v>6.4669999999999996</v>
      </c>
      <c r="S4227" s="7">
        <f t="shared" ref="S4227:S4290" si="66">(G4227+H4227+I4227+J4227+K4227+L4227+M4227+N4227+O4227+P4227+Q4227+R4227)/12</f>
        <v>4.4338333333333333</v>
      </c>
    </row>
    <row r="4228" spans="1:19">
      <c r="A4228" s="5" t="str">
        <f>B4228&amp;"-"&amp;COUNTIF($B$2:B4228,B4228)</f>
        <v>RIO GRANDE DO SUL-375</v>
      </c>
      <c r="B4228" s="5" t="s">
        <v>2552</v>
      </c>
      <c r="C4228" s="5" t="s">
        <v>4179</v>
      </c>
      <c r="D4228" s="6">
        <v>-539704</v>
      </c>
      <c r="E4228" s="6">
        <v>-277116</v>
      </c>
      <c r="F4228" s="7">
        <v>4.6630000000000003</v>
      </c>
      <c r="G4228" s="7">
        <v>6.4649999999999999</v>
      </c>
      <c r="H4228" s="7">
        <v>5.9820000000000002</v>
      </c>
      <c r="I4228" s="7">
        <v>5.1159999999999997</v>
      </c>
      <c r="J4228" s="7">
        <v>4.0789999999999997</v>
      </c>
      <c r="K4228" s="7">
        <v>3.1139999999999999</v>
      </c>
      <c r="L4228" s="7">
        <v>2.589</v>
      </c>
      <c r="M4228" s="7">
        <v>2.8980000000000001</v>
      </c>
      <c r="N4228" s="7">
        <v>3.6850000000000001</v>
      </c>
      <c r="O4228" s="7">
        <v>3.9780000000000002</v>
      </c>
      <c r="P4228" s="7">
        <v>5.1820000000000004</v>
      </c>
      <c r="Q4228" s="7">
        <v>6.2009999999999996</v>
      </c>
      <c r="R4228" s="7">
        <v>6.6669999999999998</v>
      </c>
      <c r="S4228" s="7">
        <f t="shared" si="66"/>
        <v>4.6630000000000003</v>
      </c>
    </row>
    <row r="4229" spans="1:19">
      <c r="A4229" s="5" t="str">
        <f>B4229&amp;"-"&amp;COUNTIF($B$2:B4229,B4229)</f>
        <v>RIO GRANDE DO SUL-376</v>
      </c>
      <c r="B4229" s="5" t="s">
        <v>2552</v>
      </c>
      <c r="C4229" s="5" t="s">
        <v>4180</v>
      </c>
      <c r="D4229" s="6">
        <v>-538549</v>
      </c>
      <c r="E4229" s="6">
        <v>-29538</v>
      </c>
      <c r="F4229" s="7">
        <v>4.5579999999999998</v>
      </c>
      <c r="G4229" s="7">
        <v>6.4359999999999999</v>
      </c>
      <c r="H4229" s="7">
        <v>5.9569999999999999</v>
      </c>
      <c r="I4229" s="7">
        <v>5.0179999999999998</v>
      </c>
      <c r="J4229" s="7">
        <v>3.9209999999999998</v>
      </c>
      <c r="K4229" s="7">
        <v>2.9209999999999998</v>
      </c>
      <c r="L4229" s="7">
        <v>2.419</v>
      </c>
      <c r="M4229" s="7">
        <v>2.6869999999999998</v>
      </c>
      <c r="N4229" s="7">
        <v>3.4140000000000001</v>
      </c>
      <c r="O4229" s="7">
        <v>3.871</v>
      </c>
      <c r="P4229" s="7">
        <v>5.0039999999999996</v>
      </c>
      <c r="Q4229" s="7">
        <v>6.2830000000000004</v>
      </c>
      <c r="R4229" s="7">
        <v>6.766</v>
      </c>
      <c r="S4229" s="7">
        <f t="shared" si="66"/>
        <v>4.5580833333333333</v>
      </c>
    </row>
    <row r="4230" spans="1:19">
      <c r="A4230" s="5" t="str">
        <f>B4230&amp;"-"&amp;COUNTIF($B$2:B4230,B4230)</f>
        <v>RIO GRANDE DO SUL-377</v>
      </c>
      <c r="B4230" s="5" t="s">
        <v>2552</v>
      </c>
      <c r="C4230" s="5" t="s">
        <v>5448</v>
      </c>
      <c r="D4230" s="6">
        <v>-545563</v>
      </c>
      <c r="E4230" s="6">
        <v>-285565</v>
      </c>
      <c r="F4230" s="7">
        <v>4.6689999999999996</v>
      </c>
      <c r="G4230" s="7">
        <v>6.53</v>
      </c>
      <c r="H4230" s="7">
        <v>6.0419999999999998</v>
      </c>
      <c r="I4230" s="7">
        <v>5.2110000000000003</v>
      </c>
      <c r="J4230" s="7">
        <v>4.0289999999999999</v>
      </c>
      <c r="K4230" s="7">
        <v>3.0489999999999999</v>
      </c>
      <c r="L4230" s="7">
        <v>2.5009999999999999</v>
      </c>
      <c r="M4230" s="7">
        <v>2.7949999999999999</v>
      </c>
      <c r="N4230" s="7">
        <v>3.58</v>
      </c>
      <c r="O4230" s="7">
        <v>4.0129999999999999</v>
      </c>
      <c r="P4230" s="7">
        <v>5.1420000000000003</v>
      </c>
      <c r="Q4230" s="7">
        <v>6.3730000000000002</v>
      </c>
      <c r="R4230" s="7">
        <v>6.7569999999999997</v>
      </c>
      <c r="S4230" s="7">
        <f t="shared" si="66"/>
        <v>4.6684999999999999</v>
      </c>
    </row>
    <row r="4231" spans="1:19">
      <c r="A4231" s="5" t="str">
        <f>B4231&amp;"-"&amp;COUNTIF($B$2:B4231,B4231)</f>
        <v>RIO GRANDE DO SUL-378</v>
      </c>
      <c r="B4231" s="5" t="s">
        <v>2552</v>
      </c>
      <c r="C4231" s="5" t="s">
        <v>4181</v>
      </c>
      <c r="D4231" s="6">
        <v>-552659</v>
      </c>
      <c r="E4231" s="6">
        <v>-281838</v>
      </c>
      <c r="F4231" s="7">
        <v>4.7229999999999999</v>
      </c>
      <c r="G4231" s="7">
        <v>6.6130000000000004</v>
      </c>
      <c r="H4231" s="7">
        <v>6.1230000000000002</v>
      </c>
      <c r="I4231" s="7">
        <v>5.2690000000000001</v>
      </c>
      <c r="J4231" s="7">
        <v>4.0549999999999997</v>
      </c>
      <c r="K4231" s="7">
        <v>3.097</v>
      </c>
      <c r="L4231" s="7">
        <v>2.5419999999999998</v>
      </c>
      <c r="M4231" s="7">
        <v>2.8559999999999999</v>
      </c>
      <c r="N4231" s="7">
        <v>3.6139999999999999</v>
      </c>
      <c r="O4231" s="7">
        <v>4.0979999999999999</v>
      </c>
      <c r="P4231" s="7">
        <v>5.1970000000000001</v>
      </c>
      <c r="Q4231" s="7">
        <v>6.4029999999999996</v>
      </c>
      <c r="R4231" s="7">
        <v>6.8129999999999997</v>
      </c>
      <c r="S4231" s="7">
        <f t="shared" si="66"/>
        <v>4.7233333333333336</v>
      </c>
    </row>
    <row r="4232" spans="1:19">
      <c r="A4232" s="5" t="str">
        <f>B4232&amp;"-"&amp;COUNTIF($B$2:B4232,B4232)</f>
        <v>RIO GRANDE DO SUL-379</v>
      </c>
      <c r="B4232" s="5" t="s">
        <v>2552</v>
      </c>
      <c r="C4232" s="5" t="s">
        <v>5449</v>
      </c>
      <c r="D4232" s="6">
        <v>-549359</v>
      </c>
      <c r="E4232" s="6">
        <v>-28021</v>
      </c>
      <c r="F4232" s="7">
        <v>4.6950000000000003</v>
      </c>
      <c r="G4232" s="7">
        <v>6.569</v>
      </c>
      <c r="H4232" s="7">
        <v>6.0709999999999997</v>
      </c>
      <c r="I4232" s="7">
        <v>5.2080000000000002</v>
      </c>
      <c r="J4232" s="7">
        <v>4.069</v>
      </c>
      <c r="K4232" s="7">
        <v>3.093</v>
      </c>
      <c r="L4232" s="7">
        <v>2.5350000000000001</v>
      </c>
      <c r="M4232" s="7">
        <v>2.851</v>
      </c>
      <c r="N4232" s="7">
        <v>3.63</v>
      </c>
      <c r="O4232" s="7">
        <v>4.0460000000000003</v>
      </c>
      <c r="P4232" s="7">
        <v>5.1509999999999998</v>
      </c>
      <c r="Q4232" s="7">
        <v>6.3540000000000001</v>
      </c>
      <c r="R4232" s="7">
        <v>6.7560000000000002</v>
      </c>
      <c r="S4232" s="7">
        <f t="shared" si="66"/>
        <v>4.6944166666666662</v>
      </c>
    </row>
    <row r="4233" spans="1:19">
      <c r="A4233" s="5" t="str">
        <f>B4233&amp;"-"&amp;COUNTIF($B$2:B4233,B4233)</f>
        <v>RIO GRANDE DO SUL-380</v>
      </c>
      <c r="B4233" s="5" t="s">
        <v>2552</v>
      </c>
      <c r="C4233" s="5" t="s">
        <v>4182</v>
      </c>
      <c r="D4233" s="6">
        <v>-515107</v>
      </c>
      <c r="E4233" s="6">
        <v>-294205</v>
      </c>
      <c r="F4233" s="7">
        <v>4.3339999999999996</v>
      </c>
      <c r="G4233" s="7">
        <v>6.1429999999999998</v>
      </c>
      <c r="H4233" s="7">
        <v>5.64</v>
      </c>
      <c r="I4233" s="7">
        <v>4.72</v>
      </c>
      <c r="J4233" s="7">
        <v>3.782</v>
      </c>
      <c r="K4233" s="7">
        <v>2.8</v>
      </c>
      <c r="L4233" s="7">
        <v>2.36</v>
      </c>
      <c r="M4233" s="7">
        <v>2.61</v>
      </c>
      <c r="N4233" s="7">
        <v>3.29</v>
      </c>
      <c r="O4233" s="7">
        <v>3.556</v>
      </c>
      <c r="P4233" s="7">
        <v>4.6360000000000001</v>
      </c>
      <c r="Q4233" s="7">
        <v>6.0419999999999998</v>
      </c>
      <c r="R4233" s="7">
        <v>6.4290000000000003</v>
      </c>
      <c r="S4233" s="7">
        <f t="shared" si="66"/>
        <v>4.3340000000000005</v>
      </c>
    </row>
    <row r="4234" spans="1:19">
      <c r="A4234" s="5" t="str">
        <f>B4234&amp;"-"&amp;COUNTIF($B$2:B4234,B4234)</f>
        <v>RIO GRANDE DO SUL-381</v>
      </c>
      <c r="B4234" s="5" t="s">
        <v>2552</v>
      </c>
      <c r="C4234" s="5" t="s">
        <v>5450</v>
      </c>
      <c r="D4234" s="6">
        <v>-532518</v>
      </c>
      <c r="E4234" s="6">
        <v>-27771</v>
      </c>
      <c r="F4234" s="7">
        <v>4.6360000000000001</v>
      </c>
      <c r="G4234" s="7">
        <v>6.3869999999999996</v>
      </c>
      <c r="H4234" s="7">
        <v>5.8879999999999999</v>
      </c>
      <c r="I4234" s="7">
        <v>5.0259999999999998</v>
      </c>
      <c r="J4234" s="7">
        <v>4.0979999999999999</v>
      </c>
      <c r="K4234" s="7">
        <v>3.105</v>
      </c>
      <c r="L4234" s="7">
        <v>2.581</v>
      </c>
      <c r="M4234" s="7">
        <v>2.9129999999999998</v>
      </c>
      <c r="N4234" s="7">
        <v>3.6749999999999998</v>
      </c>
      <c r="O4234" s="7">
        <v>3.9809999999999999</v>
      </c>
      <c r="P4234" s="7">
        <v>5.1310000000000002</v>
      </c>
      <c r="Q4234" s="7">
        <v>6.2140000000000004</v>
      </c>
      <c r="R4234" s="7">
        <v>6.64</v>
      </c>
      <c r="S4234" s="7">
        <f t="shared" si="66"/>
        <v>4.6365833333333333</v>
      </c>
    </row>
    <row r="4235" spans="1:19">
      <c r="A4235" s="5" t="str">
        <f>B4235&amp;"-"&amp;COUNTIF($B$2:B4235,B4235)</f>
        <v>RIO GRANDE DO SUL-382</v>
      </c>
      <c r="B4235" s="5" t="s">
        <v>2552</v>
      </c>
      <c r="C4235" s="5" t="s">
        <v>5728</v>
      </c>
      <c r="D4235" s="6">
        <v>-548869</v>
      </c>
      <c r="E4235" s="6">
        <v>-28124</v>
      </c>
      <c r="F4235" s="7">
        <v>4.6959999999999997</v>
      </c>
      <c r="G4235" s="7">
        <v>6.6040000000000001</v>
      </c>
      <c r="H4235" s="7">
        <v>6.0940000000000003</v>
      </c>
      <c r="I4235" s="7">
        <v>5.2060000000000004</v>
      </c>
      <c r="J4235" s="7">
        <v>4.0759999999999996</v>
      </c>
      <c r="K4235" s="7">
        <v>3.0960000000000001</v>
      </c>
      <c r="L4235" s="7">
        <v>2.5310000000000001</v>
      </c>
      <c r="M4235" s="7">
        <v>2.8479999999999999</v>
      </c>
      <c r="N4235" s="7">
        <v>3.6120000000000001</v>
      </c>
      <c r="O4235" s="7">
        <v>4.0380000000000003</v>
      </c>
      <c r="P4235" s="7">
        <v>5.1390000000000002</v>
      </c>
      <c r="Q4235" s="7">
        <v>6.3550000000000004</v>
      </c>
      <c r="R4235" s="7">
        <v>6.758</v>
      </c>
      <c r="S4235" s="7">
        <f t="shared" si="66"/>
        <v>4.6964166666666669</v>
      </c>
    </row>
    <row r="4236" spans="1:19">
      <c r="A4236" s="5" t="str">
        <f>B4236&amp;"-"&amp;COUNTIF($B$2:B4236,B4236)</f>
        <v>RIO GRANDE DO SUL-383</v>
      </c>
      <c r="B4236" s="5" t="s">
        <v>2552</v>
      </c>
      <c r="C4236" s="5" t="s">
        <v>4183</v>
      </c>
      <c r="D4236" s="6">
        <v>-54179</v>
      </c>
      <c r="E4236" s="6">
        <v>-296209</v>
      </c>
      <c r="F4236" s="7">
        <v>4.5579999999999998</v>
      </c>
      <c r="G4236" s="7">
        <v>6.4950000000000001</v>
      </c>
      <c r="H4236" s="7">
        <v>5.9850000000000003</v>
      </c>
      <c r="I4236" s="7">
        <v>5.0449999999999999</v>
      </c>
      <c r="J4236" s="7">
        <v>3.9159999999999999</v>
      </c>
      <c r="K4236" s="7">
        <v>2.8639999999999999</v>
      </c>
      <c r="L4236" s="7">
        <v>2.3740000000000001</v>
      </c>
      <c r="M4236" s="7">
        <v>2.637</v>
      </c>
      <c r="N4236" s="7">
        <v>3.3759999999999999</v>
      </c>
      <c r="O4236" s="7">
        <v>3.8410000000000002</v>
      </c>
      <c r="P4236" s="7">
        <v>4.9930000000000003</v>
      </c>
      <c r="Q4236" s="7">
        <v>6.31</v>
      </c>
      <c r="R4236" s="7">
        <v>6.8550000000000004</v>
      </c>
      <c r="S4236" s="7">
        <f t="shared" si="66"/>
        <v>4.5575833333333335</v>
      </c>
    </row>
    <row r="4237" spans="1:19">
      <c r="A4237" s="5" t="str">
        <f>B4237&amp;"-"&amp;COUNTIF($B$2:B4237,B4237)</f>
        <v>RIO GRANDE DO SUL-384</v>
      </c>
      <c r="B4237" s="5" t="s">
        <v>2552</v>
      </c>
      <c r="C4237" s="5" t="s">
        <v>4184</v>
      </c>
      <c r="D4237" s="6">
        <v>-513753</v>
      </c>
      <c r="E4237" s="6">
        <v>-29589</v>
      </c>
      <c r="F4237" s="7">
        <v>4.3520000000000003</v>
      </c>
      <c r="G4237" s="7">
        <v>6.1740000000000004</v>
      </c>
      <c r="H4237" s="7">
        <v>5.7640000000000002</v>
      </c>
      <c r="I4237" s="7">
        <v>4.8220000000000001</v>
      </c>
      <c r="J4237" s="7">
        <v>3.778</v>
      </c>
      <c r="K4237" s="7">
        <v>2.8149999999999999</v>
      </c>
      <c r="L4237" s="7">
        <v>2.3410000000000002</v>
      </c>
      <c r="M4237" s="7">
        <v>2.5329999999999999</v>
      </c>
      <c r="N4237" s="7">
        <v>3.2250000000000001</v>
      </c>
      <c r="O4237" s="7">
        <v>3.5419999999999998</v>
      </c>
      <c r="P4237" s="7">
        <v>4.6029999999999998</v>
      </c>
      <c r="Q4237" s="7">
        <v>6.1079999999999997</v>
      </c>
      <c r="R4237" s="7">
        <v>6.5220000000000002</v>
      </c>
      <c r="S4237" s="7">
        <f t="shared" si="66"/>
        <v>4.3522500000000006</v>
      </c>
    </row>
    <row r="4238" spans="1:19">
      <c r="A4238" s="5" t="str">
        <f>B4238&amp;"-"&amp;COUNTIF($B$2:B4238,B4238)</f>
        <v>RIO GRANDE DO SUL-385</v>
      </c>
      <c r="B4238" s="5" t="s">
        <v>2552</v>
      </c>
      <c r="C4238" s="5" t="s">
        <v>4484</v>
      </c>
      <c r="D4238" s="6">
        <v>-535649</v>
      </c>
      <c r="E4238" s="6">
        <v>-30161</v>
      </c>
      <c r="F4238" s="7">
        <v>4.5449999999999999</v>
      </c>
      <c r="G4238" s="7">
        <v>6.4909999999999997</v>
      </c>
      <c r="H4238" s="7">
        <v>6.0279999999999996</v>
      </c>
      <c r="I4238" s="7">
        <v>5.0679999999999996</v>
      </c>
      <c r="J4238" s="7">
        <v>3.875</v>
      </c>
      <c r="K4238" s="7">
        <v>2.8250000000000002</v>
      </c>
      <c r="L4238" s="7">
        <v>2.33</v>
      </c>
      <c r="M4238" s="7">
        <v>2.5409999999999999</v>
      </c>
      <c r="N4238" s="7">
        <v>3.3039999999999998</v>
      </c>
      <c r="O4238" s="7">
        <v>3.8029999999999999</v>
      </c>
      <c r="P4238" s="7">
        <v>5.0270000000000001</v>
      </c>
      <c r="Q4238" s="7">
        <v>6.3460000000000001</v>
      </c>
      <c r="R4238" s="7">
        <v>6.9029999999999996</v>
      </c>
      <c r="S4238" s="7">
        <f t="shared" si="66"/>
        <v>4.5450833333333325</v>
      </c>
    </row>
    <row r="4239" spans="1:19">
      <c r="A4239" s="5" t="str">
        <f>B4239&amp;"-"&amp;COUNTIF($B$2:B4239,B4239)</f>
        <v>RIO GRANDE DO SUL-386</v>
      </c>
      <c r="B4239" s="5" t="s">
        <v>2552</v>
      </c>
      <c r="C4239" s="5" t="s">
        <v>4485</v>
      </c>
      <c r="D4239" s="6">
        <v>-539372</v>
      </c>
      <c r="E4239" s="6">
        <v>-277911</v>
      </c>
      <c r="F4239" s="7">
        <v>4.66</v>
      </c>
      <c r="G4239" s="7">
        <v>6.4489999999999998</v>
      </c>
      <c r="H4239" s="7">
        <v>6.0019999999999998</v>
      </c>
      <c r="I4239" s="7">
        <v>5.0949999999999998</v>
      </c>
      <c r="J4239" s="7">
        <v>4.07</v>
      </c>
      <c r="K4239" s="7">
        <v>3.1</v>
      </c>
      <c r="L4239" s="7">
        <v>2.5830000000000002</v>
      </c>
      <c r="M4239" s="7">
        <v>2.8879999999999999</v>
      </c>
      <c r="N4239" s="7">
        <v>3.6960000000000002</v>
      </c>
      <c r="O4239" s="7">
        <v>3.9820000000000002</v>
      </c>
      <c r="P4239" s="7">
        <v>5.16</v>
      </c>
      <c r="Q4239" s="7">
        <v>6.2149999999999999</v>
      </c>
      <c r="R4239" s="7">
        <v>6.6829999999999998</v>
      </c>
      <c r="S4239" s="7">
        <f t="shared" si="66"/>
        <v>4.6602499999999996</v>
      </c>
    </row>
    <row r="4240" spans="1:19">
      <c r="A4240" s="5" t="str">
        <f>B4240&amp;"-"&amp;COUNTIF($B$2:B4240,B4240)</f>
        <v>RIO GRANDE DO SUL-387</v>
      </c>
      <c r="B4240" s="5" t="s">
        <v>2552</v>
      </c>
      <c r="C4240" s="5" t="s">
        <v>4185</v>
      </c>
      <c r="D4240" s="6">
        <v>-525242</v>
      </c>
      <c r="E4240" s="6">
        <v>-275588</v>
      </c>
      <c r="F4240" s="7">
        <v>4.5979999999999999</v>
      </c>
      <c r="G4240" s="7">
        <v>6.2</v>
      </c>
      <c r="H4240" s="7">
        <v>5.7519999999999998</v>
      </c>
      <c r="I4240" s="7">
        <v>5.008</v>
      </c>
      <c r="J4240" s="7">
        <v>4.1040000000000001</v>
      </c>
      <c r="K4240" s="7">
        <v>3.0880000000000001</v>
      </c>
      <c r="L4240" s="7">
        <v>2.605</v>
      </c>
      <c r="M4240" s="7">
        <v>2.927</v>
      </c>
      <c r="N4240" s="7">
        <v>3.7519999999999998</v>
      </c>
      <c r="O4240" s="7">
        <v>3.9649999999999999</v>
      </c>
      <c r="P4240" s="7">
        <v>5.0990000000000002</v>
      </c>
      <c r="Q4240" s="7">
        <v>6.165</v>
      </c>
      <c r="R4240" s="7">
        <v>6.5140000000000002</v>
      </c>
      <c r="S4240" s="7">
        <f t="shared" si="66"/>
        <v>4.5982500000000002</v>
      </c>
    </row>
    <row r="4241" spans="1:19">
      <c r="A4241" s="5" t="str">
        <f>B4241&amp;"-"&amp;COUNTIF($B$2:B4241,B4241)</f>
        <v>RIO GRANDE DO SUL-388</v>
      </c>
      <c r="B4241" s="5" t="s">
        <v>2552</v>
      </c>
      <c r="C4241" s="5" t="s">
        <v>4186</v>
      </c>
      <c r="D4241" s="6">
        <v>-517649</v>
      </c>
      <c r="E4241" s="6">
        <v>-29047</v>
      </c>
      <c r="F4241" s="7">
        <v>4.4169999999999998</v>
      </c>
      <c r="G4241" s="7">
        <v>6.1989999999999998</v>
      </c>
      <c r="H4241" s="7">
        <v>5.7549999999999999</v>
      </c>
      <c r="I4241" s="7">
        <v>4.8659999999999997</v>
      </c>
      <c r="J4241" s="7">
        <v>3.8439999999999999</v>
      </c>
      <c r="K4241" s="7">
        <v>2.851</v>
      </c>
      <c r="L4241" s="7">
        <v>2.37</v>
      </c>
      <c r="M4241" s="7">
        <v>2.6909999999999998</v>
      </c>
      <c r="N4241" s="7">
        <v>3.4020000000000001</v>
      </c>
      <c r="O4241" s="7">
        <v>3.6760000000000002</v>
      </c>
      <c r="P4241" s="7">
        <v>4.7450000000000001</v>
      </c>
      <c r="Q4241" s="7">
        <v>6.1070000000000002</v>
      </c>
      <c r="R4241" s="7">
        <v>6.4980000000000002</v>
      </c>
      <c r="S4241" s="7">
        <f t="shared" si="66"/>
        <v>4.4169999999999998</v>
      </c>
    </row>
    <row r="4242" spans="1:19">
      <c r="A4242" s="5" t="str">
        <f>B4242&amp;"-"&amp;COUNTIF($B$2:B4242,B4242)</f>
        <v>RIO GRANDE DO SUL-389</v>
      </c>
      <c r="B4242" s="5" t="s">
        <v>2552</v>
      </c>
      <c r="C4242" s="5" t="s">
        <v>4187</v>
      </c>
      <c r="D4242" s="6">
        <v>-513707</v>
      </c>
      <c r="E4242" s="6">
        <v>-293727</v>
      </c>
      <c r="F4242" s="7">
        <v>4.3090000000000002</v>
      </c>
      <c r="G4242" s="7">
        <v>6.085</v>
      </c>
      <c r="H4242" s="7">
        <v>5.59</v>
      </c>
      <c r="I4242" s="7">
        <v>4.7149999999999999</v>
      </c>
      <c r="J4242" s="7">
        <v>3.7789999999999999</v>
      </c>
      <c r="K4242" s="7">
        <v>2.8079999999999998</v>
      </c>
      <c r="L4242" s="7">
        <v>2.3559999999999999</v>
      </c>
      <c r="M4242" s="7">
        <v>2.59</v>
      </c>
      <c r="N4242" s="7">
        <v>3.2829999999999999</v>
      </c>
      <c r="O4242" s="7">
        <v>3.544</v>
      </c>
      <c r="P4242" s="7">
        <v>4.577</v>
      </c>
      <c r="Q4242" s="7">
        <v>6.0019999999999998</v>
      </c>
      <c r="R4242" s="7">
        <v>6.3789999999999996</v>
      </c>
      <c r="S4242" s="7">
        <f t="shared" si="66"/>
        <v>4.3090000000000002</v>
      </c>
    </row>
    <row r="4243" spans="1:19">
      <c r="A4243" s="5" t="str">
        <f>B4243&amp;"-"&amp;COUNTIF($B$2:B4243,B4243)</f>
        <v>RIO GRANDE DO SUL-390</v>
      </c>
      <c r="B4243" s="5" t="s">
        <v>2552</v>
      </c>
      <c r="C4243" s="5" t="s">
        <v>4188</v>
      </c>
      <c r="D4243" s="6">
        <v>-54679</v>
      </c>
      <c r="E4243" s="6">
        <v>-296919</v>
      </c>
      <c r="F4243" s="7">
        <v>4.6230000000000002</v>
      </c>
      <c r="G4243" s="7">
        <v>6.6159999999999997</v>
      </c>
      <c r="H4243" s="7">
        <v>6.0270000000000001</v>
      </c>
      <c r="I4243" s="7">
        <v>5.1289999999999996</v>
      </c>
      <c r="J4243" s="7">
        <v>3.9529999999999998</v>
      </c>
      <c r="K4243" s="7">
        <v>2.91</v>
      </c>
      <c r="L4243" s="7">
        <v>2.4129999999999998</v>
      </c>
      <c r="M4243" s="7">
        <v>2.677</v>
      </c>
      <c r="N4243" s="7">
        <v>3.4169999999999998</v>
      </c>
      <c r="O4243" s="7">
        <v>3.903</v>
      </c>
      <c r="P4243" s="7">
        <v>5.077</v>
      </c>
      <c r="Q4243" s="7">
        <v>6.3710000000000004</v>
      </c>
      <c r="R4243" s="7">
        <v>6.9809999999999999</v>
      </c>
      <c r="S4243" s="7">
        <f t="shared" si="66"/>
        <v>4.6228333333333333</v>
      </c>
    </row>
    <row r="4244" spans="1:19">
      <c r="A4244" s="5" t="str">
        <f>B4244&amp;"-"&amp;COUNTIF($B$2:B4244,B4244)</f>
        <v>RIO GRANDE DO SUL-391</v>
      </c>
      <c r="B4244" s="5" t="s">
        <v>2552</v>
      </c>
      <c r="C4244" s="5" t="s">
        <v>4486</v>
      </c>
      <c r="D4244" s="6">
        <v>-522689</v>
      </c>
      <c r="E4244" s="6">
        <v>-29383</v>
      </c>
      <c r="F4244" s="7">
        <v>4.3070000000000004</v>
      </c>
      <c r="G4244" s="7">
        <v>5.9740000000000002</v>
      </c>
      <c r="H4244" s="7">
        <v>5.6</v>
      </c>
      <c r="I4244" s="7">
        <v>4.7240000000000002</v>
      </c>
      <c r="J4244" s="7">
        <v>3.7480000000000002</v>
      </c>
      <c r="K4244" s="7">
        <v>2.8029999999999999</v>
      </c>
      <c r="L4244" s="7">
        <v>2.3559999999999999</v>
      </c>
      <c r="M4244" s="7">
        <v>2.593</v>
      </c>
      <c r="N4244" s="7">
        <v>3.3159999999999998</v>
      </c>
      <c r="O4244" s="7">
        <v>3.5830000000000002</v>
      </c>
      <c r="P4244" s="7">
        <v>4.5970000000000004</v>
      </c>
      <c r="Q4244" s="7">
        <v>6.0170000000000003</v>
      </c>
      <c r="R4244" s="7">
        <v>6.3710000000000004</v>
      </c>
      <c r="S4244" s="7">
        <f t="shared" si="66"/>
        <v>4.3068333333333344</v>
      </c>
    </row>
    <row r="4245" spans="1:19">
      <c r="A4245" s="5" t="str">
        <f>B4245&amp;"-"&amp;COUNTIF($B$2:B4245,B4245)</f>
        <v>RIO GRANDE DO SUL-392</v>
      </c>
      <c r="B4245" s="5" t="s">
        <v>2552</v>
      </c>
      <c r="C4245" s="5" t="s">
        <v>2826</v>
      </c>
      <c r="D4245" s="6">
        <v>-531355</v>
      </c>
      <c r="E4245" s="6">
        <v>-27709</v>
      </c>
      <c r="F4245" s="7">
        <v>4.6529999999999996</v>
      </c>
      <c r="G4245" s="7">
        <v>6.3769999999999998</v>
      </c>
      <c r="H4245" s="7">
        <v>5.883</v>
      </c>
      <c r="I4245" s="7">
        <v>5.09</v>
      </c>
      <c r="J4245" s="7">
        <v>4.1120000000000001</v>
      </c>
      <c r="K4245" s="7">
        <v>3.11</v>
      </c>
      <c r="L4245" s="7">
        <v>2.5630000000000002</v>
      </c>
      <c r="M4245" s="7">
        <v>2.9140000000000001</v>
      </c>
      <c r="N4245" s="7">
        <v>3.6880000000000002</v>
      </c>
      <c r="O4245" s="7">
        <v>3.9710000000000001</v>
      </c>
      <c r="P4245" s="7">
        <v>5.1470000000000002</v>
      </c>
      <c r="Q4245" s="7">
        <v>6.2709999999999999</v>
      </c>
      <c r="R4245" s="7">
        <v>6.71</v>
      </c>
      <c r="S4245" s="7">
        <f t="shared" si="66"/>
        <v>4.6529999999999996</v>
      </c>
    </row>
    <row r="4246" spans="1:19">
      <c r="A4246" s="5" t="str">
        <f>B4246&amp;"-"&amp;COUNTIF($B$2:B4246,B4246)</f>
        <v>RIO GRANDE DO SUL-393</v>
      </c>
      <c r="B4246" s="5" t="s">
        <v>2552</v>
      </c>
      <c r="C4246" s="5" t="s">
        <v>2827</v>
      </c>
      <c r="D4246" s="6">
        <v>-530975</v>
      </c>
      <c r="E4246" s="6">
        <v>-283946</v>
      </c>
      <c r="F4246" s="7">
        <v>4.5810000000000004</v>
      </c>
      <c r="G4246" s="7">
        <v>6.343</v>
      </c>
      <c r="H4246" s="7">
        <v>5.9219999999999997</v>
      </c>
      <c r="I4246" s="7">
        <v>5.04</v>
      </c>
      <c r="J4246" s="7">
        <v>3.9940000000000002</v>
      </c>
      <c r="K4246" s="7">
        <v>3.044</v>
      </c>
      <c r="L4246" s="7">
        <v>2.5009999999999999</v>
      </c>
      <c r="M4246" s="7">
        <v>2.8159999999999998</v>
      </c>
      <c r="N4246" s="7">
        <v>3.573</v>
      </c>
      <c r="O4246" s="7">
        <v>3.8639999999999999</v>
      </c>
      <c r="P4246" s="7">
        <v>5.0359999999999996</v>
      </c>
      <c r="Q4246" s="7">
        <v>6.218</v>
      </c>
      <c r="R4246" s="7">
        <v>6.6210000000000004</v>
      </c>
      <c r="S4246" s="7">
        <f t="shared" si="66"/>
        <v>4.5810000000000004</v>
      </c>
    </row>
    <row r="4247" spans="1:19">
      <c r="A4247" s="5" t="str">
        <f>B4247&amp;"-"&amp;COUNTIF($B$2:B4247,B4247)</f>
        <v>RIO GRANDE DO SUL-394</v>
      </c>
      <c r="B4247" s="5" t="s">
        <v>2552</v>
      </c>
      <c r="C4247" s="5" t="s">
        <v>2828</v>
      </c>
      <c r="D4247" s="6">
        <v>-532138</v>
      </c>
      <c r="E4247" s="6">
        <v>-290955</v>
      </c>
      <c r="F4247" s="7">
        <v>4.5449999999999999</v>
      </c>
      <c r="G4247" s="7">
        <v>6.3780000000000001</v>
      </c>
      <c r="H4247" s="7">
        <v>5.91</v>
      </c>
      <c r="I4247" s="7">
        <v>5.0449999999999999</v>
      </c>
      <c r="J4247" s="7">
        <v>3.9089999999999998</v>
      </c>
      <c r="K4247" s="7">
        <v>2.9540000000000002</v>
      </c>
      <c r="L4247" s="7">
        <v>2.42</v>
      </c>
      <c r="M4247" s="7">
        <v>2.7040000000000002</v>
      </c>
      <c r="N4247" s="7">
        <v>3.4830000000000001</v>
      </c>
      <c r="O4247" s="7">
        <v>3.8159999999999998</v>
      </c>
      <c r="P4247" s="7">
        <v>4.9770000000000003</v>
      </c>
      <c r="Q4247" s="7">
        <v>6.25</v>
      </c>
      <c r="R4247" s="7">
        <v>6.6959999999999997</v>
      </c>
      <c r="S4247" s="7">
        <f t="shared" si="66"/>
        <v>4.5451666666666668</v>
      </c>
    </row>
    <row r="4248" spans="1:19">
      <c r="A4248" s="5" t="str">
        <f>B4248&amp;"-"&amp;COUNTIF($B$2:B4248,B4248)</f>
        <v>RIO GRANDE DO SUL-395</v>
      </c>
      <c r="B4248" s="5" t="s">
        <v>2552</v>
      </c>
      <c r="C4248" s="5" t="s">
        <v>5451</v>
      </c>
      <c r="D4248" s="6">
        <v>-548378</v>
      </c>
      <c r="E4248" s="6">
        <v>-281238</v>
      </c>
      <c r="F4248" s="7">
        <v>4.6959999999999997</v>
      </c>
      <c r="G4248" s="7">
        <v>6.6040000000000001</v>
      </c>
      <c r="H4248" s="7">
        <v>6.0940000000000003</v>
      </c>
      <c r="I4248" s="7">
        <v>5.2060000000000004</v>
      </c>
      <c r="J4248" s="7">
        <v>4.0759999999999996</v>
      </c>
      <c r="K4248" s="7">
        <v>3.0960000000000001</v>
      </c>
      <c r="L4248" s="7">
        <v>2.5310000000000001</v>
      </c>
      <c r="M4248" s="7">
        <v>2.8479999999999999</v>
      </c>
      <c r="N4248" s="7">
        <v>3.6120000000000001</v>
      </c>
      <c r="O4248" s="7">
        <v>4.0380000000000003</v>
      </c>
      <c r="P4248" s="7">
        <v>5.1390000000000002</v>
      </c>
      <c r="Q4248" s="7">
        <v>6.3550000000000004</v>
      </c>
      <c r="R4248" s="7">
        <v>6.758</v>
      </c>
      <c r="S4248" s="7">
        <f t="shared" si="66"/>
        <v>4.6964166666666669</v>
      </c>
    </row>
    <row r="4249" spans="1:19">
      <c r="A4249" s="5" t="str">
        <f>B4249&amp;"-"&amp;COUNTIF($B$2:B4249,B4249)</f>
        <v>RIO GRANDE DO SUL-396</v>
      </c>
      <c r="B4249" s="5" t="s">
        <v>2552</v>
      </c>
      <c r="C4249" s="5" t="s">
        <v>2829</v>
      </c>
      <c r="D4249" s="6">
        <v>-515115</v>
      </c>
      <c r="E4249" s="6">
        <v>-294419</v>
      </c>
      <c r="F4249" s="7">
        <v>4.3339999999999996</v>
      </c>
      <c r="G4249" s="7">
        <v>6.1429999999999998</v>
      </c>
      <c r="H4249" s="7">
        <v>5.64</v>
      </c>
      <c r="I4249" s="7">
        <v>4.72</v>
      </c>
      <c r="J4249" s="7">
        <v>3.782</v>
      </c>
      <c r="K4249" s="7">
        <v>2.8</v>
      </c>
      <c r="L4249" s="7">
        <v>2.36</v>
      </c>
      <c r="M4249" s="7">
        <v>2.61</v>
      </c>
      <c r="N4249" s="7">
        <v>3.29</v>
      </c>
      <c r="O4249" s="7">
        <v>3.556</v>
      </c>
      <c r="P4249" s="7">
        <v>4.6360000000000001</v>
      </c>
      <c r="Q4249" s="7">
        <v>6.0419999999999998</v>
      </c>
      <c r="R4249" s="7">
        <v>6.4290000000000003</v>
      </c>
      <c r="S4249" s="7">
        <f t="shared" si="66"/>
        <v>4.3340000000000005</v>
      </c>
    </row>
    <row r="4250" spans="1:19">
      <c r="A4250" s="5" t="str">
        <f>B4250&amp;"-"&amp;COUNTIF($B$2:B4250,B4250)</f>
        <v>RIO GRANDE DO SUL-397</v>
      </c>
      <c r="B4250" s="5" t="s">
        <v>2552</v>
      </c>
      <c r="C4250" s="5" t="s">
        <v>2830</v>
      </c>
      <c r="D4250" s="6">
        <v>-518084</v>
      </c>
      <c r="E4250" s="6">
        <v>-279475</v>
      </c>
      <c r="F4250" s="7">
        <v>4.5789999999999997</v>
      </c>
      <c r="G4250" s="7">
        <v>6.26</v>
      </c>
      <c r="H4250" s="7">
        <v>5.78</v>
      </c>
      <c r="I4250" s="7">
        <v>5.01</v>
      </c>
      <c r="J4250" s="7">
        <v>4.0780000000000003</v>
      </c>
      <c r="K4250" s="7">
        <v>3.0259999999999998</v>
      </c>
      <c r="L4250" s="7">
        <v>2.5640000000000001</v>
      </c>
      <c r="M4250" s="7">
        <v>2.887</v>
      </c>
      <c r="N4250" s="7">
        <v>3.661</v>
      </c>
      <c r="O4250" s="7">
        <v>3.8959999999999999</v>
      </c>
      <c r="P4250" s="7">
        <v>5.0140000000000002</v>
      </c>
      <c r="Q4250" s="7">
        <v>6.2430000000000003</v>
      </c>
      <c r="R4250" s="7">
        <v>6.5350000000000001</v>
      </c>
      <c r="S4250" s="7">
        <f t="shared" si="66"/>
        <v>4.5795000000000003</v>
      </c>
    </row>
    <row r="4251" spans="1:19">
      <c r="A4251" s="5" t="str">
        <f>B4251&amp;"-"&amp;COUNTIF($B$2:B4251,B4251)</f>
        <v>RIO GRANDE DO SUL-398</v>
      </c>
      <c r="B4251" s="5" t="s">
        <v>2552</v>
      </c>
      <c r="C4251" s="5" t="s">
        <v>5729</v>
      </c>
      <c r="D4251" s="6">
        <v>-532515</v>
      </c>
      <c r="E4251" s="6">
        <v>-283658</v>
      </c>
      <c r="F4251" s="7">
        <v>4.5869999999999997</v>
      </c>
      <c r="G4251" s="7">
        <v>6.3789999999999996</v>
      </c>
      <c r="H4251" s="7">
        <v>5.923</v>
      </c>
      <c r="I4251" s="7">
        <v>5.0309999999999997</v>
      </c>
      <c r="J4251" s="7">
        <v>4.0129999999999999</v>
      </c>
      <c r="K4251" s="7">
        <v>3.0369999999999999</v>
      </c>
      <c r="L4251" s="7">
        <v>2.5089999999999999</v>
      </c>
      <c r="M4251" s="7">
        <v>2.823</v>
      </c>
      <c r="N4251" s="7">
        <v>3.5710000000000002</v>
      </c>
      <c r="O4251" s="7">
        <v>3.8809999999999998</v>
      </c>
      <c r="P4251" s="7">
        <v>5.0510000000000002</v>
      </c>
      <c r="Q4251" s="7">
        <v>6.2030000000000003</v>
      </c>
      <c r="R4251" s="7">
        <v>6.6219999999999999</v>
      </c>
      <c r="S4251" s="7">
        <f t="shared" si="66"/>
        <v>4.5869166666666663</v>
      </c>
    </row>
    <row r="4252" spans="1:19">
      <c r="A4252" s="5" t="str">
        <f>B4252&amp;"-"&amp;COUNTIF($B$2:B4252,B4252)</f>
        <v>RIO GRANDE DO SUL-399</v>
      </c>
      <c r="B4252" s="5" t="s">
        <v>2552</v>
      </c>
      <c r="C4252" s="5" t="s">
        <v>2831</v>
      </c>
      <c r="D4252" s="6">
        <v>-519284</v>
      </c>
      <c r="E4252" s="6">
        <v>-281613</v>
      </c>
      <c r="F4252" s="7">
        <v>4.5330000000000004</v>
      </c>
      <c r="G4252" s="7">
        <v>6.2050000000000001</v>
      </c>
      <c r="H4252" s="7">
        <v>5.726</v>
      </c>
      <c r="I4252" s="7">
        <v>4.931</v>
      </c>
      <c r="J4252" s="7">
        <v>4.0049999999999999</v>
      </c>
      <c r="K4252" s="7">
        <v>2.9940000000000002</v>
      </c>
      <c r="L4252" s="7">
        <v>2.5150000000000001</v>
      </c>
      <c r="M4252" s="7">
        <v>2.8620000000000001</v>
      </c>
      <c r="N4252" s="7">
        <v>3.6480000000000001</v>
      </c>
      <c r="O4252" s="7">
        <v>3.8540000000000001</v>
      </c>
      <c r="P4252" s="7">
        <v>4.9779999999999998</v>
      </c>
      <c r="Q4252" s="7">
        <v>6.1779999999999999</v>
      </c>
      <c r="R4252" s="7">
        <v>6.5049999999999999</v>
      </c>
      <c r="S4252" s="7">
        <f t="shared" si="66"/>
        <v>4.5334166666666667</v>
      </c>
    </row>
    <row r="4253" spans="1:19">
      <c r="A4253" s="5" t="str">
        <f>B4253&amp;"-"&amp;COUNTIF($B$2:B4253,B4253)</f>
        <v>RIO GRANDE DO SUL-400</v>
      </c>
      <c r="B4253" s="5" t="s">
        <v>2552</v>
      </c>
      <c r="C4253" s="5" t="s">
        <v>2832</v>
      </c>
      <c r="D4253" s="6">
        <v>-520879</v>
      </c>
      <c r="E4253" s="6">
        <v>-29469</v>
      </c>
      <c r="F4253" s="7">
        <v>4.3410000000000002</v>
      </c>
      <c r="G4253" s="7">
        <v>6.0780000000000003</v>
      </c>
      <c r="H4253" s="7">
        <v>5.7089999999999996</v>
      </c>
      <c r="I4253" s="7">
        <v>4.7850000000000001</v>
      </c>
      <c r="J4253" s="7">
        <v>3.794</v>
      </c>
      <c r="K4253" s="7">
        <v>2.8159999999999998</v>
      </c>
      <c r="L4253" s="7">
        <v>2.3359999999999999</v>
      </c>
      <c r="M4253" s="7">
        <v>2.556</v>
      </c>
      <c r="N4253" s="7">
        <v>3.2869999999999999</v>
      </c>
      <c r="O4253" s="7">
        <v>3.59</v>
      </c>
      <c r="P4253" s="7">
        <v>4.62</v>
      </c>
      <c r="Q4253" s="7">
        <v>6.0620000000000003</v>
      </c>
      <c r="R4253" s="7">
        <v>6.4560000000000004</v>
      </c>
      <c r="S4253" s="7">
        <f t="shared" si="66"/>
        <v>4.340749999999999</v>
      </c>
    </row>
    <row r="4254" spans="1:19">
      <c r="A4254" s="5" t="str">
        <f>B4254&amp;"-"&amp;COUNTIF($B$2:B4254,B4254)</f>
        <v>RIO GRANDE DO SUL-401</v>
      </c>
      <c r="B4254" s="5" t="s">
        <v>2552</v>
      </c>
      <c r="C4254" s="5" t="s">
        <v>2833</v>
      </c>
      <c r="D4254" s="6">
        <v>-524348</v>
      </c>
      <c r="E4254" s="6">
        <v>-297225</v>
      </c>
      <c r="F4254" s="7">
        <v>4.3559999999999999</v>
      </c>
      <c r="G4254" s="7">
        <v>6.1310000000000002</v>
      </c>
      <c r="H4254" s="7">
        <v>5.7220000000000004</v>
      </c>
      <c r="I4254" s="7">
        <v>4.8330000000000002</v>
      </c>
      <c r="J4254" s="7">
        <v>3.7829999999999999</v>
      </c>
      <c r="K4254" s="7">
        <v>2.7959999999999998</v>
      </c>
      <c r="L4254" s="7">
        <v>2.3220000000000001</v>
      </c>
      <c r="M4254" s="7">
        <v>2.54</v>
      </c>
      <c r="N4254" s="7">
        <v>3.2370000000000001</v>
      </c>
      <c r="O4254" s="7">
        <v>3.5880000000000001</v>
      </c>
      <c r="P4254" s="7">
        <v>4.6769999999999996</v>
      </c>
      <c r="Q4254" s="7">
        <v>6.0919999999999996</v>
      </c>
      <c r="R4254" s="7">
        <v>6.5469999999999997</v>
      </c>
      <c r="S4254" s="7">
        <f t="shared" si="66"/>
        <v>4.3556666666666661</v>
      </c>
    </row>
    <row r="4255" spans="1:19">
      <c r="A4255" s="5" t="str">
        <f>B4255&amp;"-"&amp;COUNTIF($B$2:B4255,B4255)</f>
        <v>RIO GRANDE DO SUL-402</v>
      </c>
      <c r="B4255" s="5" t="s">
        <v>2552</v>
      </c>
      <c r="C4255" s="5" t="s">
        <v>2834</v>
      </c>
      <c r="D4255" s="6">
        <v>-540822</v>
      </c>
      <c r="E4255" s="6">
        <v>-303398</v>
      </c>
      <c r="F4255" s="7">
        <v>4.609</v>
      </c>
      <c r="G4255" s="7">
        <v>6.5880000000000001</v>
      </c>
      <c r="H4255" s="7">
        <v>6.0570000000000004</v>
      </c>
      <c r="I4255" s="7">
        <v>5.1109999999999998</v>
      </c>
      <c r="J4255" s="7">
        <v>3.93</v>
      </c>
      <c r="K4255" s="7">
        <v>2.8610000000000002</v>
      </c>
      <c r="L4255" s="7">
        <v>2.3860000000000001</v>
      </c>
      <c r="M4255" s="7">
        <v>2.6190000000000002</v>
      </c>
      <c r="N4255" s="7">
        <v>3.34</v>
      </c>
      <c r="O4255" s="7">
        <v>3.8860000000000001</v>
      </c>
      <c r="P4255" s="7">
        <v>5.1260000000000003</v>
      </c>
      <c r="Q4255" s="7">
        <v>6.3959999999999999</v>
      </c>
      <c r="R4255" s="7">
        <v>7.008</v>
      </c>
      <c r="S4255" s="7">
        <f t="shared" si="66"/>
        <v>4.609</v>
      </c>
    </row>
    <row r="4256" spans="1:19">
      <c r="A4256" s="5" t="str">
        <f>B4256&amp;"-"&amp;COUNTIF($B$2:B4256,B4256)</f>
        <v>RIO GRANDE DO SUL-403</v>
      </c>
      <c r="B4256" s="5" t="s">
        <v>2552</v>
      </c>
      <c r="C4256" s="5" t="s">
        <v>2530</v>
      </c>
      <c r="D4256" s="6">
        <v>-538154</v>
      </c>
      <c r="E4256" s="6">
        <v>-296873</v>
      </c>
      <c r="F4256" s="7">
        <v>4.508</v>
      </c>
      <c r="G4256" s="7">
        <v>6.4610000000000003</v>
      </c>
      <c r="H4256" s="7">
        <v>5.9630000000000001</v>
      </c>
      <c r="I4256" s="7">
        <v>4.9669999999999996</v>
      </c>
      <c r="J4256" s="7">
        <v>3.891</v>
      </c>
      <c r="K4256" s="7">
        <v>2.8090000000000002</v>
      </c>
      <c r="L4256" s="7">
        <v>2.3330000000000002</v>
      </c>
      <c r="M4256" s="7">
        <v>2.5630000000000002</v>
      </c>
      <c r="N4256" s="7">
        <v>3.323</v>
      </c>
      <c r="O4256" s="7">
        <v>3.774</v>
      </c>
      <c r="P4256" s="7">
        <v>4.9269999999999996</v>
      </c>
      <c r="Q4256" s="7">
        <v>6.2750000000000004</v>
      </c>
      <c r="R4256" s="7">
        <v>6.8090000000000002</v>
      </c>
      <c r="S4256" s="7">
        <f t="shared" si="66"/>
        <v>4.5079166666666657</v>
      </c>
    </row>
    <row r="4257" spans="1:19">
      <c r="A4257" s="5" t="str">
        <f>B4257&amp;"-"&amp;COUNTIF($B$2:B4257,B4257)</f>
        <v>RIO GRANDE DO SUL-404</v>
      </c>
      <c r="B4257" s="5" t="s">
        <v>2552</v>
      </c>
      <c r="C4257" s="5" t="s">
        <v>2835</v>
      </c>
      <c r="D4257" s="6">
        <v>-509886</v>
      </c>
      <c r="E4257" s="6">
        <v>-294912</v>
      </c>
      <c r="F4257" s="7">
        <v>4.2910000000000004</v>
      </c>
      <c r="G4257" s="7">
        <v>6.0359999999999996</v>
      </c>
      <c r="H4257" s="7">
        <v>5.5590000000000002</v>
      </c>
      <c r="I4257" s="7">
        <v>4.6020000000000003</v>
      </c>
      <c r="J4257" s="7">
        <v>3.738</v>
      </c>
      <c r="K4257" s="7">
        <v>2.786</v>
      </c>
      <c r="L4257" s="7">
        <v>2.3650000000000002</v>
      </c>
      <c r="M4257" s="7">
        <v>2.5910000000000002</v>
      </c>
      <c r="N4257" s="7">
        <v>3.2749999999999999</v>
      </c>
      <c r="O4257" s="7">
        <v>3.5230000000000001</v>
      </c>
      <c r="P4257" s="7">
        <v>4.6070000000000002</v>
      </c>
      <c r="Q4257" s="7">
        <v>6.0049999999999999</v>
      </c>
      <c r="R4257" s="7">
        <v>6.4</v>
      </c>
      <c r="S4257" s="7">
        <f t="shared" si="66"/>
        <v>4.2905833333333332</v>
      </c>
    </row>
    <row r="4258" spans="1:19">
      <c r="A4258" s="5" t="str">
        <f>B4258&amp;"-"&amp;COUNTIF($B$2:B4258,B4258)</f>
        <v>RIO GRANDE DO SUL-405</v>
      </c>
      <c r="B4258" s="5" t="s">
        <v>2552</v>
      </c>
      <c r="C4258" s="5" t="s">
        <v>2836</v>
      </c>
      <c r="D4258" s="6">
        <v>-544801</v>
      </c>
      <c r="E4258" s="6">
        <v>-278707</v>
      </c>
      <c r="F4258" s="7">
        <v>4.6790000000000003</v>
      </c>
      <c r="G4258" s="7">
        <v>6.4859999999999998</v>
      </c>
      <c r="H4258" s="7">
        <v>6.048</v>
      </c>
      <c r="I4258" s="7">
        <v>5.165</v>
      </c>
      <c r="J4258" s="7">
        <v>4.0919999999999996</v>
      </c>
      <c r="K4258" s="7">
        <v>3.1080000000000001</v>
      </c>
      <c r="L4258" s="7">
        <v>2.5470000000000002</v>
      </c>
      <c r="M4258" s="7">
        <v>2.8450000000000002</v>
      </c>
      <c r="N4258" s="7">
        <v>3.6419999999999999</v>
      </c>
      <c r="O4258" s="7">
        <v>4.0359999999999996</v>
      </c>
      <c r="P4258" s="7">
        <v>5.1680000000000001</v>
      </c>
      <c r="Q4258" s="7">
        <v>6.2960000000000003</v>
      </c>
      <c r="R4258" s="7">
        <v>6.7089999999999996</v>
      </c>
      <c r="S4258" s="7">
        <f t="shared" si="66"/>
        <v>4.6784999999999997</v>
      </c>
    </row>
    <row r="4259" spans="1:19">
      <c r="A4259" s="5" t="str">
        <f>B4259&amp;"-"&amp;COUNTIF($B$2:B4259,B4259)</f>
        <v>RIO GRANDE DO SUL-406</v>
      </c>
      <c r="B4259" s="5" t="s">
        <v>2552</v>
      </c>
      <c r="C4259" s="5" t="s">
        <v>2837</v>
      </c>
      <c r="D4259" s="6">
        <v>-517355</v>
      </c>
      <c r="E4259" s="6">
        <v>-291659</v>
      </c>
      <c r="F4259" s="7">
        <v>4.3959999999999999</v>
      </c>
      <c r="G4259" s="7">
        <v>6.1929999999999996</v>
      </c>
      <c r="H4259" s="7">
        <v>5.7439999999999998</v>
      </c>
      <c r="I4259" s="7">
        <v>4.8239999999999998</v>
      </c>
      <c r="J4259" s="7">
        <v>3.8290000000000002</v>
      </c>
      <c r="K4259" s="7">
        <v>2.8220000000000001</v>
      </c>
      <c r="L4259" s="7">
        <v>2.3490000000000002</v>
      </c>
      <c r="M4259" s="7">
        <v>2.637</v>
      </c>
      <c r="N4259" s="7">
        <v>3.3620000000000001</v>
      </c>
      <c r="O4259" s="7">
        <v>3.64</v>
      </c>
      <c r="P4259" s="7">
        <v>4.734</v>
      </c>
      <c r="Q4259" s="7">
        <v>6.1150000000000002</v>
      </c>
      <c r="R4259" s="7">
        <v>6.5049999999999999</v>
      </c>
      <c r="S4259" s="7">
        <f t="shared" si="66"/>
        <v>4.3961666666666668</v>
      </c>
    </row>
    <row r="4260" spans="1:19">
      <c r="A4260" s="5" t="str">
        <f>B4260&amp;"-"&amp;COUNTIF($B$2:B4260,B4260)</f>
        <v>RIO GRANDE DO SUL-407</v>
      </c>
      <c r="B4260" s="5" t="s">
        <v>2552</v>
      </c>
      <c r="C4260" s="5" t="s">
        <v>5214</v>
      </c>
      <c r="D4260" s="6">
        <v>-533722</v>
      </c>
      <c r="E4260" s="6">
        <v>-335255</v>
      </c>
      <c r="F4260" s="7">
        <v>4.4390000000000001</v>
      </c>
      <c r="G4260" s="7">
        <v>6.5940000000000003</v>
      </c>
      <c r="H4260" s="7">
        <v>5.726</v>
      </c>
      <c r="I4260" s="7">
        <v>4.9710000000000001</v>
      </c>
      <c r="J4260" s="7">
        <v>3.61</v>
      </c>
      <c r="K4260" s="7">
        <v>2.5819999999999999</v>
      </c>
      <c r="L4260" s="7">
        <v>2.1749999999999998</v>
      </c>
      <c r="M4260" s="7">
        <v>2.2799999999999998</v>
      </c>
      <c r="N4260" s="7">
        <v>2.9329999999999998</v>
      </c>
      <c r="O4260" s="7">
        <v>3.8029999999999999</v>
      </c>
      <c r="P4260" s="7">
        <v>5.181</v>
      </c>
      <c r="Q4260" s="7">
        <v>6.44</v>
      </c>
      <c r="R4260" s="7">
        <v>6.9729999999999999</v>
      </c>
      <c r="S4260" s="7">
        <f t="shared" si="66"/>
        <v>4.4389999999999992</v>
      </c>
    </row>
    <row r="4261" spans="1:19">
      <c r="A4261" s="5" t="str">
        <f>B4261&amp;"-"&amp;COUNTIF($B$2:B4261,B4261)</f>
        <v>RIO GRANDE DO SUL-408</v>
      </c>
      <c r="B4261" s="5" t="s">
        <v>2552</v>
      </c>
      <c r="C4261" s="5" t="s">
        <v>2838</v>
      </c>
      <c r="D4261" s="6">
        <v>-531149</v>
      </c>
      <c r="E4261" s="6">
        <v>-30872</v>
      </c>
      <c r="F4261" s="7">
        <v>4.45</v>
      </c>
      <c r="G4261" s="7">
        <v>6.3529999999999998</v>
      </c>
      <c r="H4261" s="7">
        <v>5.8559999999999999</v>
      </c>
      <c r="I4261" s="7">
        <v>4.923</v>
      </c>
      <c r="J4261" s="7">
        <v>3.7519999999999998</v>
      </c>
      <c r="K4261" s="7">
        <v>2.7090000000000001</v>
      </c>
      <c r="L4261" s="7">
        <v>2.2770000000000001</v>
      </c>
      <c r="M4261" s="7">
        <v>2.5019999999999998</v>
      </c>
      <c r="N4261" s="7">
        <v>3.17</v>
      </c>
      <c r="O4261" s="7">
        <v>3.7109999999999999</v>
      </c>
      <c r="P4261" s="7">
        <v>4.9870000000000001</v>
      </c>
      <c r="Q4261" s="7">
        <v>6.2750000000000004</v>
      </c>
      <c r="R4261" s="7">
        <v>6.8769999999999998</v>
      </c>
      <c r="S4261" s="7">
        <f t="shared" si="66"/>
        <v>4.4493333333333327</v>
      </c>
    </row>
    <row r="4262" spans="1:19">
      <c r="A4262" s="5" t="str">
        <f>B4262&amp;"-"&amp;COUNTIF($B$2:B4262,B4262)</f>
        <v>RIO GRANDE DO SUL-409</v>
      </c>
      <c r="B4262" s="5" t="s">
        <v>2552</v>
      </c>
      <c r="C4262" s="5" t="s">
        <v>2839</v>
      </c>
      <c r="D4262" s="6">
        <v>-55532</v>
      </c>
      <c r="E4262" s="6">
        <v>-308882</v>
      </c>
      <c r="F4262" s="7">
        <v>4.6230000000000002</v>
      </c>
      <c r="G4262" s="7">
        <v>6.6769999999999996</v>
      </c>
      <c r="H4262" s="7">
        <v>5.9729999999999999</v>
      </c>
      <c r="I4262" s="7">
        <v>5.0999999999999996</v>
      </c>
      <c r="J4262" s="7">
        <v>3.952</v>
      </c>
      <c r="K4262" s="7">
        <v>2.7890000000000001</v>
      </c>
      <c r="L4262" s="7">
        <v>2.323</v>
      </c>
      <c r="M4262" s="7">
        <v>2.633</v>
      </c>
      <c r="N4262" s="7">
        <v>3.339</v>
      </c>
      <c r="O4262" s="7">
        <v>3.9390000000000001</v>
      </c>
      <c r="P4262" s="7">
        <v>5.2809999999999997</v>
      </c>
      <c r="Q4262" s="7">
        <v>6.4349999999999996</v>
      </c>
      <c r="R4262" s="7">
        <v>7.032</v>
      </c>
      <c r="S4262" s="7">
        <f t="shared" si="66"/>
        <v>4.6227499999999999</v>
      </c>
    </row>
    <row r="4263" spans="1:19">
      <c r="A4263" s="5" t="str">
        <f>B4263&amp;"-"&amp;COUNTIF($B$2:B4263,B4263)</f>
        <v>RIO GRANDE DO SUL-410</v>
      </c>
      <c r="B4263" s="5" t="s">
        <v>2552</v>
      </c>
      <c r="C4263" s="5" t="s">
        <v>2840</v>
      </c>
      <c r="D4263" s="6">
        <v>-548671</v>
      </c>
      <c r="E4263" s="6">
        <v>-291901</v>
      </c>
      <c r="F4263" s="7">
        <v>4.6820000000000004</v>
      </c>
      <c r="G4263" s="7">
        <v>6.5410000000000004</v>
      </c>
      <c r="H4263" s="7">
        <v>6.0640000000000001</v>
      </c>
      <c r="I4263" s="7">
        <v>5.19</v>
      </c>
      <c r="J4263" s="7">
        <v>4.0359999999999996</v>
      </c>
      <c r="K4263" s="7">
        <v>2.9969999999999999</v>
      </c>
      <c r="L4263" s="7">
        <v>2.4660000000000002</v>
      </c>
      <c r="M4263" s="7">
        <v>2.8</v>
      </c>
      <c r="N4263" s="7">
        <v>3.5129999999999999</v>
      </c>
      <c r="O4263" s="7">
        <v>4.0469999999999997</v>
      </c>
      <c r="P4263" s="7">
        <v>5.17</v>
      </c>
      <c r="Q4263" s="7">
        <v>6.4630000000000001</v>
      </c>
      <c r="R4263" s="7">
        <v>6.8979999999999997</v>
      </c>
      <c r="S4263" s="7">
        <f t="shared" si="66"/>
        <v>4.6820833333333338</v>
      </c>
    </row>
    <row r="4264" spans="1:19">
      <c r="A4264" s="5" t="str">
        <f>B4264&amp;"-"&amp;COUNTIF($B$2:B4264,B4264)</f>
        <v>RIO GRANDE DO SUL-411</v>
      </c>
      <c r="B4264" s="5" t="s">
        <v>2552</v>
      </c>
      <c r="C4264" s="5" t="s">
        <v>2841</v>
      </c>
      <c r="D4264" s="6">
        <v>-542672</v>
      </c>
      <c r="E4264" s="6">
        <v>-283006</v>
      </c>
      <c r="F4264" s="7">
        <v>4.6449999999999996</v>
      </c>
      <c r="G4264" s="7">
        <v>6.4630000000000001</v>
      </c>
      <c r="H4264" s="7">
        <v>5.9870000000000001</v>
      </c>
      <c r="I4264" s="7">
        <v>5.1760000000000002</v>
      </c>
      <c r="J4264" s="7">
        <v>4.0110000000000001</v>
      </c>
      <c r="K4264" s="7">
        <v>3.0739999999999998</v>
      </c>
      <c r="L4264" s="7">
        <v>2.5179999999999998</v>
      </c>
      <c r="M4264" s="7">
        <v>2.8149999999999999</v>
      </c>
      <c r="N4264" s="7">
        <v>3.5619999999999998</v>
      </c>
      <c r="O4264" s="7">
        <v>3.992</v>
      </c>
      <c r="P4264" s="7">
        <v>5.1479999999999997</v>
      </c>
      <c r="Q4264" s="7">
        <v>6.2789999999999999</v>
      </c>
      <c r="R4264" s="7">
        <v>6.7080000000000002</v>
      </c>
      <c r="S4264" s="7">
        <f t="shared" si="66"/>
        <v>4.6444166666666655</v>
      </c>
    </row>
    <row r="4265" spans="1:19">
      <c r="A4265" s="5" t="str">
        <f>B4265&amp;"-"&amp;COUNTIF($B$2:B4265,B4265)</f>
        <v>RIO GRANDE DO SUL-412</v>
      </c>
      <c r="B4265" s="5" t="s">
        <v>2552</v>
      </c>
      <c r="C4265" s="5" t="s">
        <v>4580</v>
      </c>
      <c r="D4265" s="6">
        <v>-505179</v>
      </c>
      <c r="E4265" s="6">
        <v>-298273</v>
      </c>
      <c r="F4265" s="7">
        <v>4.4169999999999998</v>
      </c>
      <c r="G4265" s="7">
        <v>6.407</v>
      </c>
      <c r="H4265" s="7">
        <v>5.8129999999999997</v>
      </c>
      <c r="I4265" s="7">
        <v>4.8049999999999997</v>
      </c>
      <c r="J4265" s="7">
        <v>3.8330000000000002</v>
      </c>
      <c r="K4265" s="7">
        <v>2.82</v>
      </c>
      <c r="L4265" s="7">
        <v>2.3420000000000001</v>
      </c>
      <c r="M4265" s="7">
        <v>2.57</v>
      </c>
      <c r="N4265" s="7">
        <v>3.2160000000000002</v>
      </c>
      <c r="O4265" s="7">
        <v>3.5910000000000002</v>
      </c>
      <c r="P4265" s="7">
        <v>4.7409999999999997</v>
      </c>
      <c r="Q4265" s="7">
        <v>6.2089999999999996</v>
      </c>
      <c r="R4265" s="7">
        <v>6.6589999999999998</v>
      </c>
      <c r="S4265" s="7">
        <f t="shared" si="66"/>
        <v>4.4171666666666658</v>
      </c>
    </row>
    <row r="4266" spans="1:19">
      <c r="A4266" s="5" t="str">
        <f>B4266&amp;"-"&amp;COUNTIF($B$2:B4266,B4266)</f>
        <v>RIO GRANDE DO SUL-413</v>
      </c>
      <c r="B4266" s="5" t="s">
        <v>2552</v>
      </c>
      <c r="C4266" s="5" t="s">
        <v>5452</v>
      </c>
      <c r="D4266" s="6">
        <v>-552279</v>
      </c>
      <c r="E4266" s="6">
        <v>-28511</v>
      </c>
      <c r="F4266" s="7">
        <v>4.7350000000000003</v>
      </c>
      <c r="G4266" s="7">
        <v>6.65</v>
      </c>
      <c r="H4266" s="7">
        <v>6.1790000000000003</v>
      </c>
      <c r="I4266" s="7">
        <v>5.2709999999999999</v>
      </c>
      <c r="J4266" s="7">
        <v>4.0410000000000004</v>
      </c>
      <c r="K4266" s="7">
        <v>3.097</v>
      </c>
      <c r="L4266" s="7">
        <v>2.5209999999999999</v>
      </c>
      <c r="M4266" s="7">
        <v>2.8410000000000002</v>
      </c>
      <c r="N4266" s="7">
        <v>3.6</v>
      </c>
      <c r="O4266" s="7">
        <v>4.1059999999999999</v>
      </c>
      <c r="P4266" s="7">
        <v>5.2240000000000002</v>
      </c>
      <c r="Q4266" s="7">
        <v>6.4370000000000003</v>
      </c>
      <c r="R4266" s="7">
        <v>6.8550000000000004</v>
      </c>
      <c r="S4266" s="7">
        <f t="shared" si="66"/>
        <v>4.7351666666666672</v>
      </c>
    </row>
    <row r="4267" spans="1:19">
      <c r="A4267" s="5" t="str">
        <f>B4267&amp;"-"&amp;COUNTIF($B$2:B4267,B4267)</f>
        <v>RIO GRANDE DO SUL-414</v>
      </c>
      <c r="B4267" s="5" t="s">
        <v>2552</v>
      </c>
      <c r="C4267" s="5" t="s">
        <v>4581</v>
      </c>
      <c r="D4267" s="6">
        <v>-520272</v>
      </c>
      <c r="E4267" s="6">
        <v>-28496</v>
      </c>
      <c r="F4267" s="7">
        <v>4.4850000000000003</v>
      </c>
      <c r="G4267" s="7">
        <v>6.1369999999999996</v>
      </c>
      <c r="H4267" s="7">
        <v>5.7409999999999997</v>
      </c>
      <c r="I4267" s="7">
        <v>4.9000000000000004</v>
      </c>
      <c r="J4267" s="7">
        <v>3.9540000000000002</v>
      </c>
      <c r="K4267" s="7">
        <v>2.9580000000000002</v>
      </c>
      <c r="L4267" s="7">
        <v>2.488</v>
      </c>
      <c r="M4267" s="7">
        <v>2.7909999999999999</v>
      </c>
      <c r="N4267" s="7">
        <v>3.516</v>
      </c>
      <c r="O4267" s="7">
        <v>3.782</v>
      </c>
      <c r="P4267" s="7">
        <v>4.9260000000000002</v>
      </c>
      <c r="Q4267" s="7">
        <v>6.1239999999999997</v>
      </c>
      <c r="R4267" s="7">
        <v>6.5</v>
      </c>
      <c r="S4267" s="7">
        <f t="shared" si="66"/>
        <v>4.48475</v>
      </c>
    </row>
    <row r="4268" spans="1:19">
      <c r="A4268" s="5" t="str">
        <f>B4268&amp;"-"&amp;COUNTIF($B$2:B4268,B4268)</f>
        <v>RIO GRANDE DO SUL-415</v>
      </c>
      <c r="B4268" s="5" t="s">
        <v>2552</v>
      </c>
      <c r="C4268" s="5" t="s">
        <v>4582</v>
      </c>
      <c r="D4268" s="6">
        <v>-526909</v>
      </c>
      <c r="E4268" s="6">
        <v>-28396</v>
      </c>
      <c r="F4268" s="7">
        <v>4.5590000000000002</v>
      </c>
      <c r="G4268" s="7">
        <v>6.2729999999999997</v>
      </c>
      <c r="H4268" s="7">
        <v>5.867</v>
      </c>
      <c r="I4268" s="7">
        <v>4.9889999999999999</v>
      </c>
      <c r="J4268" s="7">
        <v>3.9929999999999999</v>
      </c>
      <c r="K4268" s="7">
        <v>3.0230000000000001</v>
      </c>
      <c r="L4268" s="7">
        <v>2.4950000000000001</v>
      </c>
      <c r="M4268" s="7">
        <v>2.823</v>
      </c>
      <c r="N4268" s="7">
        <v>3.5720000000000001</v>
      </c>
      <c r="O4268" s="7">
        <v>3.85</v>
      </c>
      <c r="P4268" s="7">
        <v>5.0049999999999999</v>
      </c>
      <c r="Q4268" s="7">
        <v>6.2050000000000001</v>
      </c>
      <c r="R4268" s="7">
        <v>6.6130000000000004</v>
      </c>
      <c r="S4268" s="7">
        <f t="shared" si="66"/>
        <v>4.5590000000000002</v>
      </c>
    </row>
    <row r="4269" spans="1:19">
      <c r="A4269" s="5" t="str">
        <f>B4269&amp;"-"&amp;COUNTIF($B$2:B4269,B4269)</f>
        <v>RIO GRANDE DO SUL-416</v>
      </c>
      <c r="B4269" s="5" t="s">
        <v>2552</v>
      </c>
      <c r="C4269" s="5" t="s">
        <v>2842</v>
      </c>
      <c r="D4269" s="6">
        <v>-537781</v>
      </c>
      <c r="E4269" s="6">
        <v>-27853</v>
      </c>
      <c r="F4269" s="7">
        <v>4.6500000000000004</v>
      </c>
      <c r="G4269" s="7">
        <v>6.3949999999999996</v>
      </c>
      <c r="H4269" s="7">
        <v>5.9889999999999999</v>
      </c>
      <c r="I4269" s="7">
        <v>5.0780000000000003</v>
      </c>
      <c r="J4269" s="7">
        <v>4.0570000000000004</v>
      </c>
      <c r="K4269" s="7">
        <v>3.1160000000000001</v>
      </c>
      <c r="L4269" s="7">
        <v>2.577</v>
      </c>
      <c r="M4269" s="7">
        <v>2.903</v>
      </c>
      <c r="N4269" s="7">
        <v>3.6850000000000001</v>
      </c>
      <c r="O4269" s="7">
        <v>3.9889999999999999</v>
      </c>
      <c r="P4269" s="7">
        <v>5.1459999999999999</v>
      </c>
      <c r="Q4269" s="7">
        <v>6.1989999999999998</v>
      </c>
      <c r="R4269" s="7">
        <v>6.6710000000000003</v>
      </c>
      <c r="S4269" s="7">
        <f t="shared" si="66"/>
        <v>4.6504166666666658</v>
      </c>
    </row>
    <row r="4270" spans="1:19">
      <c r="A4270" s="5" t="str">
        <f>B4270&amp;"-"&amp;COUNTIF($B$2:B4270,B4270)</f>
        <v>RIO GRANDE DO SUL-417</v>
      </c>
      <c r="B4270" s="5" t="s">
        <v>2552</v>
      </c>
      <c r="C4270" s="5" t="s">
        <v>2843</v>
      </c>
      <c r="D4270" s="6">
        <v>-546624</v>
      </c>
      <c r="E4270" s="6">
        <v>-278267</v>
      </c>
      <c r="F4270" s="7">
        <v>4.6689999999999996</v>
      </c>
      <c r="G4270" s="7">
        <v>6.4859999999999998</v>
      </c>
      <c r="H4270" s="7">
        <v>6.0010000000000003</v>
      </c>
      <c r="I4270" s="7">
        <v>5.1660000000000004</v>
      </c>
      <c r="J4270" s="7">
        <v>4.0860000000000003</v>
      </c>
      <c r="K4270" s="7">
        <v>3.0950000000000002</v>
      </c>
      <c r="L4270" s="7">
        <v>2.5190000000000001</v>
      </c>
      <c r="M4270" s="7">
        <v>2.827</v>
      </c>
      <c r="N4270" s="7">
        <v>3.653</v>
      </c>
      <c r="O4270" s="7">
        <v>4.0389999999999997</v>
      </c>
      <c r="P4270" s="7">
        <v>5.1680000000000001</v>
      </c>
      <c r="Q4270" s="7">
        <v>6.2690000000000001</v>
      </c>
      <c r="R4270" s="7">
        <v>6.7130000000000001</v>
      </c>
      <c r="S4270" s="7">
        <f t="shared" si="66"/>
        <v>4.668499999999999</v>
      </c>
    </row>
    <row r="4271" spans="1:19">
      <c r="A4271" s="5" t="str">
        <f>B4271&amp;"-"&amp;COUNTIF($B$2:B4271,B4271)</f>
        <v>RIO GRANDE DO SUL-418</v>
      </c>
      <c r="B4271" s="5" t="s">
        <v>2552</v>
      </c>
      <c r="C4271" s="5" t="s">
        <v>2844</v>
      </c>
      <c r="D4271" s="6">
        <v>-516438</v>
      </c>
      <c r="E4271" s="6">
        <v>-279079</v>
      </c>
      <c r="F4271" s="7">
        <v>4.5810000000000004</v>
      </c>
      <c r="G4271" s="7">
        <v>6.2930000000000001</v>
      </c>
      <c r="H4271" s="7">
        <v>5.782</v>
      </c>
      <c r="I4271" s="7">
        <v>4.9770000000000003</v>
      </c>
      <c r="J4271" s="7">
        <v>4.0419999999999998</v>
      </c>
      <c r="K4271" s="7">
        <v>3.0209999999999999</v>
      </c>
      <c r="L4271" s="7">
        <v>2.5939999999999999</v>
      </c>
      <c r="M4271" s="7">
        <v>2.907</v>
      </c>
      <c r="N4271" s="7">
        <v>3.6920000000000002</v>
      </c>
      <c r="O4271" s="7">
        <v>3.91</v>
      </c>
      <c r="P4271" s="7">
        <v>5.0010000000000003</v>
      </c>
      <c r="Q4271" s="7">
        <v>6.2229999999999999</v>
      </c>
      <c r="R4271" s="7">
        <v>6.5229999999999997</v>
      </c>
      <c r="S4271" s="7">
        <f t="shared" si="66"/>
        <v>4.5804166666666672</v>
      </c>
    </row>
    <row r="4272" spans="1:19">
      <c r="A4272" s="5" t="str">
        <f>B4272&amp;"-"&amp;COUNTIF($B$2:B4272,B4272)</f>
        <v>RIO GRANDE DO SUL-419</v>
      </c>
      <c r="B4272" s="5" t="s">
        <v>2552</v>
      </c>
      <c r="C4272" s="5" t="s">
        <v>2845</v>
      </c>
      <c r="D4272" s="6">
        <v>-510069</v>
      </c>
      <c r="E4272" s="6">
        <v>-296354</v>
      </c>
      <c r="F4272" s="7">
        <v>4.3230000000000004</v>
      </c>
      <c r="G4272" s="7">
        <v>6.2</v>
      </c>
      <c r="H4272" s="7">
        <v>5.6879999999999997</v>
      </c>
      <c r="I4272" s="7">
        <v>4.72</v>
      </c>
      <c r="J4272" s="7">
        <v>3.7530000000000001</v>
      </c>
      <c r="K4272" s="7">
        <v>2.8079999999999998</v>
      </c>
      <c r="L4272" s="7">
        <v>2.3359999999999999</v>
      </c>
      <c r="M4272" s="7">
        <v>2.5350000000000001</v>
      </c>
      <c r="N4272" s="7">
        <v>3.214</v>
      </c>
      <c r="O4272" s="7">
        <v>3.508</v>
      </c>
      <c r="P4272" s="7">
        <v>4.601</v>
      </c>
      <c r="Q4272" s="7">
        <v>6.0350000000000001</v>
      </c>
      <c r="R4272" s="7">
        <v>6.4859999999999998</v>
      </c>
      <c r="S4272" s="7">
        <f t="shared" si="66"/>
        <v>4.3236666666666661</v>
      </c>
    </row>
    <row r="4273" spans="1:19">
      <c r="A4273" s="5" t="str">
        <f>B4273&amp;"-"&amp;COUNTIF($B$2:B4273,B4273)</f>
        <v>RIO GRANDE DO SUL-420</v>
      </c>
      <c r="B4273" s="5" t="s">
        <v>2552</v>
      </c>
      <c r="C4273" s="5" t="s">
        <v>2846</v>
      </c>
      <c r="D4273" s="6">
        <v>-511454</v>
      </c>
      <c r="E4273" s="6">
        <v>-298281</v>
      </c>
      <c r="F4273" s="7">
        <v>4.3789999999999996</v>
      </c>
      <c r="G4273" s="7">
        <v>6.3140000000000001</v>
      </c>
      <c r="H4273" s="7">
        <v>5.7830000000000004</v>
      </c>
      <c r="I4273" s="7">
        <v>4.8</v>
      </c>
      <c r="J4273" s="7">
        <v>3.8039999999999998</v>
      </c>
      <c r="K4273" s="7">
        <v>2.7919999999999998</v>
      </c>
      <c r="L4273" s="7">
        <v>2.335</v>
      </c>
      <c r="M4273" s="7">
        <v>2.5169999999999999</v>
      </c>
      <c r="N4273" s="7">
        <v>3.2069999999999999</v>
      </c>
      <c r="O4273" s="7">
        <v>3.56</v>
      </c>
      <c r="P4273" s="7">
        <v>4.6820000000000004</v>
      </c>
      <c r="Q4273" s="7">
        <v>6.1420000000000003</v>
      </c>
      <c r="R4273" s="7">
        <v>6.6159999999999997</v>
      </c>
      <c r="S4273" s="7">
        <f t="shared" si="66"/>
        <v>4.3793333333333342</v>
      </c>
    </row>
    <row r="4274" spans="1:19">
      <c r="A4274" s="5" t="str">
        <f>B4274&amp;"-"&amp;COUNTIF($B$2:B4274,B4274)</f>
        <v>RIO GRANDE DO SUL-421</v>
      </c>
      <c r="B4274" s="5" t="s">
        <v>2552</v>
      </c>
      <c r="C4274" s="5" t="s">
        <v>2117</v>
      </c>
      <c r="D4274" s="6">
        <v>-529235</v>
      </c>
      <c r="E4274" s="6">
        <v>-279425</v>
      </c>
      <c r="F4274" s="7">
        <v>4.6360000000000001</v>
      </c>
      <c r="G4274" s="7">
        <v>6.3540000000000001</v>
      </c>
      <c r="H4274" s="7">
        <v>5.9580000000000002</v>
      </c>
      <c r="I4274" s="7">
        <v>5.0529999999999999</v>
      </c>
      <c r="J4274" s="7">
        <v>4.1059999999999999</v>
      </c>
      <c r="K4274" s="7">
        <v>3.085</v>
      </c>
      <c r="L4274" s="7">
        <v>2.5710000000000002</v>
      </c>
      <c r="M4274" s="7">
        <v>2.9049999999999998</v>
      </c>
      <c r="N4274" s="7">
        <v>3.6680000000000001</v>
      </c>
      <c r="O4274" s="7">
        <v>3.92</v>
      </c>
      <c r="P4274" s="7">
        <v>5.1239999999999997</v>
      </c>
      <c r="Q4274" s="7">
        <v>6.24</v>
      </c>
      <c r="R4274" s="7">
        <v>6.6470000000000002</v>
      </c>
      <c r="S4274" s="7">
        <f t="shared" si="66"/>
        <v>4.6359166666666676</v>
      </c>
    </row>
    <row r="4275" spans="1:19">
      <c r="A4275" s="5" t="str">
        <f>B4275&amp;"-"&amp;COUNTIF($B$2:B4275,B4275)</f>
        <v>RIO GRANDE DO SUL-422</v>
      </c>
      <c r="B4275" s="5" t="s">
        <v>2552</v>
      </c>
      <c r="C4275" s="5" t="s">
        <v>2847</v>
      </c>
      <c r="D4275" s="6">
        <v>-534031</v>
      </c>
      <c r="E4275" s="6">
        <v>-274833</v>
      </c>
      <c r="F4275" s="7">
        <v>4.6509999999999998</v>
      </c>
      <c r="G4275" s="7">
        <v>6.3979999999999997</v>
      </c>
      <c r="H4275" s="7">
        <v>5.8550000000000004</v>
      </c>
      <c r="I4275" s="7">
        <v>5.1159999999999997</v>
      </c>
      <c r="J4275" s="7">
        <v>4.0810000000000004</v>
      </c>
      <c r="K4275" s="7">
        <v>3.11</v>
      </c>
      <c r="L4275" s="7">
        <v>2.5670000000000002</v>
      </c>
      <c r="M4275" s="7">
        <v>2.91</v>
      </c>
      <c r="N4275" s="7">
        <v>3.7130000000000001</v>
      </c>
      <c r="O4275" s="7">
        <v>3.9980000000000002</v>
      </c>
      <c r="P4275" s="7">
        <v>5.1849999999999996</v>
      </c>
      <c r="Q4275" s="7">
        <v>6.2409999999999997</v>
      </c>
      <c r="R4275" s="7">
        <v>6.6379999999999999</v>
      </c>
      <c r="S4275" s="7">
        <f t="shared" si="66"/>
        <v>4.6509999999999998</v>
      </c>
    </row>
    <row r="4276" spans="1:19">
      <c r="A4276" s="5" t="str">
        <f>B4276&amp;"-"&amp;COUNTIF($B$2:B4276,B4276)</f>
        <v>RIO GRANDE DO SUL-423</v>
      </c>
      <c r="B4276" s="5" t="s">
        <v>2552</v>
      </c>
      <c r="C4276" s="5" t="s">
        <v>2848</v>
      </c>
      <c r="D4276" s="6">
        <v>-539498</v>
      </c>
      <c r="E4276" s="6">
        <v>-276372</v>
      </c>
      <c r="F4276" s="7">
        <v>4.665</v>
      </c>
      <c r="G4276" s="7">
        <v>6.4219999999999997</v>
      </c>
      <c r="H4276" s="7">
        <v>5.9470000000000001</v>
      </c>
      <c r="I4276" s="7">
        <v>5.1559999999999997</v>
      </c>
      <c r="J4276" s="7">
        <v>4.0670000000000002</v>
      </c>
      <c r="K4276" s="7">
        <v>3.1219999999999999</v>
      </c>
      <c r="L4276" s="7">
        <v>2.58</v>
      </c>
      <c r="M4276" s="7">
        <v>2.923</v>
      </c>
      <c r="N4276" s="7">
        <v>3.694</v>
      </c>
      <c r="O4276" s="7">
        <v>3.9929999999999999</v>
      </c>
      <c r="P4276" s="7">
        <v>5.2080000000000002</v>
      </c>
      <c r="Q4276" s="7">
        <v>6.2190000000000003</v>
      </c>
      <c r="R4276" s="7">
        <v>6.65</v>
      </c>
      <c r="S4276" s="7">
        <f t="shared" si="66"/>
        <v>4.6650833333333335</v>
      </c>
    </row>
    <row r="4277" spans="1:19">
      <c r="A4277" s="5" t="str">
        <f>B4277&amp;"-"&amp;COUNTIF($B$2:B4277,B4277)</f>
        <v>RIO GRANDE DO SUL-424</v>
      </c>
      <c r="B4277" s="5" t="s">
        <v>2552</v>
      </c>
      <c r="C4277" s="5" t="s">
        <v>2849</v>
      </c>
      <c r="D4277" s="6">
        <v>-529771</v>
      </c>
      <c r="E4277" s="6">
        <v>-293528</v>
      </c>
      <c r="F4277" s="7">
        <v>4.508</v>
      </c>
      <c r="G4277" s="7">
        <v>6.2190000000000003</v>
      </c>
      <c r="H4277" s="7">
        <v>5.9139999999999997</v>
      </c>
      <c r="I4277" s="7">
        <v>5.0250000000000004</v>
      </c>
      <c r="J4277" s="7">
        <v>3.8929999999999998</v>
      </c>
      <c r="K4277" s="7">
        <v>2.8780000000000001</v>
      </c>
      <c r="L4277" s="7">
        <v>2.4129999999999998</v>
      </c>
      <c r="M4277" s="7">
        <v>2.6659999999999999</v>
      </c>
      <c r="N4277" s="7">
        <v>3.4169999999999998</v>
      </c>
      <c r="O4277" s="7">
        <v>3.726</v>
      </c>
      <c r="P4277" s="7">
        <v>4.9550000000000001</v>
      </c>
      <c r="Q4277" s="7">
        <v>6.2759999999999998</v>
      </c>
      <c r="R4277" s="7">
        <v>6.7140000000000004</v>
      </c>
      <c r="S4277" s="7">
        <f t="shared" si="66"/>
        <v>4.508</v>
      </c>
    </row>
    <row r="4278" spans="1:19">
      <c r="A4278" s="5" t="str">
        <f>B4278&amp;"-"&amp;COUNTIF($B$2:B4278,B4278)</f>
        <v>RIO GRANDE DO SUL-425</v>
      </c>
      <c r="B4278" s="5" t="s">
        <v>2552</v>
      </c>
      <c r="C4278" s="5" t="s">
        <v>2850</v>
      </c>
      <c r="D4278" s="6">
        <v>-529502</v>
      </c>
      <c r="E4278" s="6">
        <v>-286299</v>
      </c>
      <c r="F4278" s="7">
        <v>4.58</v>
      </c>
      <c r="G4278" s="7">
        <v>6.3319999999999999</v>
      </c>
      <c r="H4278" s="7">
        <v>5.9029999999999996</v>
      </c>
      <c r="I4278" s="7">
        <v>5.0279999999999996</v>
      </c>
      <c r="J4278" s="7">
        <v>3.9950000000000001</v>
      </c>
      <c r="K4278" s="7">
        <v>3.0390000000000001</v>
      </c>
      <c r="L4278" s="7">
        <v>2.4740000000000002</v>
      </c>
      <c r="M4278" s="7">
        <v>2.7959999999999998</v>
      </c>
      <c r="N4278" s="7">
        <v>3.5680000000000001</v>
      </c>
      <c r="O4278" s="7">
        <v>3.879</v>
      </c>
      <c r="P4278" s="7">
        <v>5.0330000000000004</v>
      </c>
      <c r="Q4278" s="7">
        <v>6.2510000000000003</v>
      </c>
      <c r="R4278" s="7">
        <v>6.6639999999999997</v>
      </c>
      <c r="S4278" s="7">
        <f t="shared" si="66"/>
        <v>4.5801666666666661</v>
      </c>
    </row>
    <row r="4279" spans="1:19">
      <c r="A4279" s="5" t="str">
        <f>B4279&amp;"-"&amp;COUNTIF($B$2:B4279,B4279)</f>
        <v>RIO GRANDE DO SUL-426</v>
      </c>
      <c r="B4279" s="5" t="s">
        <v>2552</v>
      </c>
      <c r="C4279" s="5" t="s">
        <v>2851</v>
      </c>
      <c r="D4279" s="6">
        <v>-545512</v>
      </c>
      <c r="E4279" s="6">
        <v>-280255</v>
      </c>
      <c r="F4279" s="7">
        <v>4.6849999999999996</v>
      </c>
      <c r="G4279" s="7">
        <v>6.5119999999999996</v>
      </c>
      <c r="H4279" s="7">
        <v>6.0750000000000002</v>
      </c>
      <c r="I4279" s="7">
        <v>5.1619999999999999</v>
      </c>
      <c r="J4279" s="7">
        <v>4.0860000000000003</v>
      </c>
      <c r="K4279" s="7">
        <v>3.1139999999999999</v>
      </c>
      <c r="L4279" s="7">
        <v>2.5409999999999999</v>
      </c>
      <c r="M4279" s="7">
        <v>2.8580000000000001</v>
      </c>
      <c r="N4279" s="7">
        <v>3.6459999999999999</v>
      </c>
      <c r="O4279" s="7">
        <v>4.0460000000000003</v>
      </c>
      <c r="P4279" s="7">
        <v>5.157</v>
      </c>
      <c r="Q4279" s="7">
        <v>6.3129999999999997</v>
      </c>
      <c r="R4279" s="7">
        <v>6.71</v>
      </c>
      <c r="S4279" s="7">
        <f t="shared" si="66"/>
        <v>4.6850000000000005</v>
      </c>
    </row>
    <row r="4280" spans="1:19">
      <c r="A4280" s="5" t="str">
        <f>B4280&amp;"-"&amp;COUNTIF($B$2:B4280,B4280)</f>
        <v>RIO GRANDE DO SUL-427</v>
      </c>
      <c r="B4280" s="5" t="s">
        <v>2552</v>
      </c>
      <c r="C4280" s="5" t="s">
        <v>2852</v>
      </c>
      <c r="D4280" s="6">
        <v>-515866</v>
      </c>
      <c r="E4280" s="6">
        <v>-306112</v>
      </c>
      <c r="F4280" s="7">
        <v>4.306</v>
      </c>
      <c r="G4280" s="7">
        <v>6.26</v>
      </c>
      <c r="H4280" s="7">
        <v>5.5629999999999997</v>
      </c>
      <c r="I4280" s="7">
        <v>4.7279999999999998</v>
      </c>
      <c r="J4280" s="7">
        <v>3.7360000000000002</v>
      </c>
      <c r="K4280" s="7">
        <v>2.7589999999999999</v>
      </c>
      <c r="L4280" s="7">
        <v>2.286</v>
      </c>
      <c r="M4280" s="7">
        <v>2.5019999999999998</v>
      </c>
      <c r="N4280" s="7">
        <v>3.109</v>
      </c>
      <c r="O4280" s="7">
        <v>3.5569999999999999</v>
      </c>
      <c r="P4280" s="7">
        <v>4.6529999999999996</v>
      </c>
      <c r="Q4280" s="7">
        <v>6.0910000000000002</v>
      </c>
      <c r="R4280" s="7">
        <v>6.4340000000000002</v>
      </c>
      <c r="S4280" s="7">
        <f t="shared" si="66"/>
        <v>4.3065000000000007</v>
      </c>
    </row>
    <row r="4281" spans="1:19">
      <c r="A4281" s="5" t="str">
        <f>B4281&amp;"-"&amp;COUNTIF($B$2:B4281,B4281)</f>
        <v>RIO GRANDE DO SUL-428</v>
      </c>
      <c r="B4281" s="5" t="s">
        <v>2552</v>
      </c>
      <c r="C4281" s="5" t="s">
        <v>5321</v>
      </c>
      <c r="D4281" s="6">
        <v>-519357</v>
      </c>
      <c r="E4281" s="6">
        <v>-287131</v>
      </c>
      <c r="F4281" s="7">
        <v>4.4649999999999999</v>
      </c>
      <c r="G4281" s="7">
        <v>6.117</v>
      </c>
      <c r="H4281" s="7">
        <v>5.8220000000000001</v>
      </c>
      <c r="I4281" s="7">
        <v>4.851</v>
      </c>
      <c r="J4281" s="7">
        <v>3.903</v>
      </c>
      <c r="K4281" s="7">
        <v>2.8980000000000001</v>
      </c>
      <c r="L4281" s="7">
        <v>2.4540000000000002</v>
      </c>
      <c r="M4281" s="7">
        <v>2.7440000000000002</v>
      </c>
      <c r="N4281" s="7">
        <v>3.4950000000000001</v>
      </c>
      <c r="O4281" s="7">
        <v>3.7629999999999999</v>
      </c>
      <c r="P4281" s="7">
        <v>4.8499999999999996</v>
      </c>
      <c r="Q4281" s="7">
        <v>6.1349999999999998</v>
      </c>
      <c r="R4281" s="7">
        <v>6.5439999999999996</v>
      </c>
      <c r="S4281" s="7">
        <f t="shared" si="66"/>
        <v>4.4646666666666661</v>
      </c>
    </row>
    <row r="4282" spans="1:19">
      <c r="A4282" s="5" t="str">
        <f>B4282&amp;"-"&amp;COUNTIF($B$2:B4282,B4282)</f>
        <v>RIO GRANDE DO SUL-429</v>
      </c>
      <c r="B4282" s="5" t="s">
        <v>2552</v>
      </c>
      <c r="C4282" s="5" t="s">
        <v>4189</v>
      </c>
      <c r="D4282" s="6">
        <v>-522592</v>
      </c>
      <c r="E4282" s="6">
        <v>-279803</v>
      </c>
      <c r="F4282" s="7">
        <v>4.5650000000000004</v>
      </c>
      <c r="G4282" s="7">
        <v>6.242</v>
      </c>
      <c r="H4282" s="7">
        <v>5.82</v>
      </c>
      <c r="I4282" s="7">
        <v>4.9610000000000003</v>
      </c>
      <c r="J4282" s="7">
        <v>4.0259999999999998</v>
      </c>
      <c r="K4282" s="7">
        <v>3.0459999999999998</v>
      </c>
      <c r="L4282" s="7">
        <v>2.5270000000000001</v>
      </c>
      <c r="M4282" s="7">
        <v>2.891</v>
      </c>
      <c r="N4282" s="7">
        <v>3.661</v>
      </c>
      <c r="O4282" s="7">
        <v>3.91</v>
      </c>
      <c r="P4282" s="7">
        <v>5.0389999999999997</v>
      </c>
      <c r="Q4282" s="7">
        <v>6.16</v>
      </c>
      <c r="R4282" s="7">
        <v>6.5010000000000003</v>
      </c>
      <c r="S4282" s="7">
        <f t="shared" si="66"/>
        <v>4.5653333333333332</v>
      </c>
    </row>
    <row r="4283" spans="1:19">
      <c r="A4283" s="5" t="str">
        <f>B4283&amp;"-"&amp;COUNTIF($B$2:B4283,B4283)</f>
        <v>RIO GRANDE DO SUL-430</v>
      </c>
      <c r="B4283" s="5" t="s">
        <v>2552</v>
      </c>
      <c r="C4283" s="5" t="s">
        <v>4190</v>
      </c>
      <c r="D4283" s="6">
        <v>-516022</v>
      </c>
      <c r="E4283" s="6">
        <v>-304567</v>
      </c>
      <c r="F4283" s="7">
        <v>4.282</v>
      </c>
      <c r="G4283" s="7">
        <v>6.1479999999999997</v>
      </c>
      <c r="H4283" s="7">
        <v>5.5309999999999997</v>
      </c>
      <c r="I4283" s="7">
        <v>4.6769999999999996</v>
      </c>
      <c r="J4283" s="7">
        <v>3.7280000000000002</v>
      </c>
      <c r="K4283" s="7">
        <v>2.742</v>
      </c>
      <c r="L4283" s="7">
        <v>2.3159999999999998</v>
      </c>
      <c r="M4283" s="7">
        <v>2.5059999999999998</v>
      </c>
      <c r="N4283" s="7">
        <v>3.1360000000000001</v>
      </c>
      <c r="O4283" s="7">
        <v>3.5110000000000001</v>
      </c>
      <c r="P4283" s="7">
        <v>4.625</v>
      </c>
      <c r="Q4283" s="7">
        <v>6.0389999999999997</v>
      </c>
      <c r="R4283" s="7">
        <v>6.423</v>
      </c>
      <c r="S4283" s="7">
        <f t="shared" si="66"/>
        <v>4.281833333333334</v>
      </c>
    </row>
    <row r="4284" spans="1:19">
      <c r="A4284" s="5" t="str">
        <f>B4284&amp;"-"&amp;COUNTIF($B$2:B4284,B4284)</f>
        <v>RIO GRANDE DO SUL-431</v>
      </c>
      <c r="B4284" s="5" t="s">
        <v>2552</v>
      </c>
      <c r="C4284" s="5" t="s">
        <v>2853</v>
      </c>
      <c r="D4284" s="6">
        <v>-544629</v>
      </c>
      <c r="E4284" s="6">
        <v>-28131</v>
      </c>
      <c r="F4284" s="7">
        <v>4.68</v>
      </c>
      <c r="G4284" s="7">
        <v>6.532</v>
      </c>
      <c r="H4284" s="7">
        <v>6.0659999999999998</v>
      </c>
      <c r="I4284" s="7">
        <v>5.1529999999999996</v>
      </c>
      <c r="J4284" s="7">
        <v>4.0609999999999999</v>
      </c>
      <c r="K4284" s="7">
        <v>3.1040000000000001</v>
      </c>
      <c r="L4284" s="7">
        <v>2.552</v>
      </c>
      <c r="M4284" s="7">
        <v>2.8639999999999999</v>
      </c>
      <c r="N4284" s="7">
        <v>3.6379999999999999</v>
      </c>
      <c r="O4284" s="7">
        <v>4.03</v>
      </c>
      <c r="P4284" s="7">
        <v>5.1459999999999999</v>
      </c>
      <c r="Q4284" s="7">
        <v>6.3079999999999998</v>
      </c>
      <c r="R4284" s="7">
        <v>6.7080000000000002</v>
      </c>
      <c r="S4284" s="7">
        <f t="shared" si="66"/>
        <v>4.6801666666666666</v>
      </c>
    </row>
    <row r="4285" spans="1:19">
      <c r="A4285" s="5" t="str">
        <f>B4285&amp;"-"&amp;COUNTIF($B$2:B4285,B4285)</f>
        <v>RIO GRANDE DO SUL-432</v>
      </c>
      <c r="B4285" s="5" t="s">
        <v>2552</v>
      </c>
      <c r="C4285" s="5" t="s">
        <v>2854</v>
      </c>
      <c r="D4285" s="6">
        <v>-521222</v>
      </c>
      <c r="E4285" s="6">
        <v>-274367</v>
      </c>
      <c r="F4285" s="7">
        <v>4.6440000000000001</v>
      </c>
      <c r="G4285" s="7">
        <v>6.3769999999999998</v>
      </c>
      <c r="H4285" s="7">
        <v>5.8840000000000003</v>
      </c>
      <c r="I4285" s="7">
        <v>5.1459999999999999</v>
      </c>
      <c r="J4285" s="7">
        <v>4.0609999999999999</v>
      </c>
      <c r="K4285" s="7">
        <v>3.0609999999999999</v>
      </c>
      <c r="L4285" s="7">
        <v>2.5619999999999998</v>
      </c>
      <c r="M4285" s="7">
        <v>2.8820000000000001</v>
      </c>
      <c r="N4285" s="7">
        <v>3.7450000000000001</v>
      </c>
      <c r="O4285" s="7">
        <v>3.99</v>
      </c>
      <c r="P4285" s="7">
        <v>5.1100000000000003</v>
      </c>
      <c r="Q4285" s="7">
        <v>6.2789999999999999</v>
      </c>
      <c r="R4285" s="7">
        <v>6.6269999999999998</v>
      </c>
      <c r="S4285" s="7">
        <f t="shared" si="66"/>
        <v>4.6436666666666673</v>
      </c>
    </row>
    <row r="4286" spans="1:19">
      <c r="A4286" s="5" t="str">
        <f>B4286&amp;"-"&amp;COUNTIF($B$2:B4286,B4286)</f>
        <v>RIO GRANDE DO SUL-433</v>
      </c>
      <c r="B4286" s="5" t="s">
        <v>2552</v>
      </c>
      <c r="C4286" s="5" t="s">
        <v>2855</v>
      </c>
      <c r="D4286" s="6">
        <v>-535859</v>
      </c>
      <c r="E4286" s="6">
        <v>-29642</v>
      </c>
      <c r="F4286" s="7">
        <v>4.4779999999999998</v>
      </c>
      <c r="G4286" s="7">
        <v>6.2779999999999996</v>
      </c>
      <c r="H4286" s="7">
        <v>5.9029999999999996</v>
      </c>
      <c r="I4286" s="7">
        <v>4.96</v>
      </c>
      <c r="J4286" s="7">
        <v>3.8570000000000002</v>
      </c>
      <c r="K4286" s="7">
        <v>2.8439999999999999</v>
      </c>
      <c r="L4286" s="7">
        <v>2.3570000000000002</v>
      </c>
      <c r="M4286" s="7">
        <v>2.5960000000000001</v>
      </c>
      <c r="N4286" s="7">
        <v>3.3570000000000002</v>
      </c>
      <c r="O4286" s="7">
        <v>3.7570000000000001</v>
      </c>
      <c r="P4286" s="7">
        <v>4.8789999999999996</v>
      </c>
      <c r="Q4286" s="7">
        <v>6.2469999999999999</v>
      </c>
      <c r="R4286" s="7">
        <v>6.7030000000000003</v>
      </c>
      <c r="S4286" s="7">
        <f t="shared" si="66"/>
        <v>4.4781666666666666</v>
      </c>
    </row>
    <row r="4287" spans="1:19">
      <c r="A4287" s="5" t="str">
        <f>B4287&amp;"-"&amp;COUNTIF($B$2:B4287,B4287)</f>
        <v>RIO GRANDE DO SUL-434</v>
      </c>
      <c r="B4287" s="5" t="s">
        <v>2552</v>
      </c>
      <c r="C4287" s="5" t="s">
        <v>2856</v>
      </c>
      <c r="D4287" s="6">
        <v>-525219</v>
      </c>
      <c r="E4287" s="6">
        <v>-29539</v>
      </c>
      <c r="F4287" s="7">
        <v>4.3499999999999996</v>
      </c>
      <c r="G4287" s="7">
        <v>6.0960000000000001</v>
      </c>
      <c r="H4287" s="7">
        <v>5.6829999999999998</v>
      </c>
      <c r="I4287" s="7">
        <v>4.7789999999999999</v>
      </c>
      <c r="J4287" s="7">
        <v>3.7759999999999998</v>
      </c>
      <c r="K4287" s="7">
        <v>2.806</v>
      </c>
      <c r="L4287" s="7">
        <v>2.3639999999999999</v>
      </c>
      <c r="M4287" s="7">
        <v>2.6</v>
      </c>
      <c r="N4287" s="7">
        <v>3.323</v>
      </c>
      <c r="O4287" s="7">
        <v>3.589</v>
      </c>
      <c r="P4287" s="7">
        <v>4.694</v>
      </c>
      <c r="Q4287" s="7">
        <v>6.0289999999999999</v>
      </c>
      <c r="R4287" s="7">
        <v>6.4630000000000001</v>
      </c>
      <c r="S4287" s="7">
        <f t="shared" si="66"/>
        <v>4.3501666666666674</v>
      </c>
    </row>
    <row r="4288" spans="1:19">
      <c r="A4288" s="5" t="str">
        <f>B4288&amp;"-"&amp;COUNTIF($B$2:B4288,B4288)</f>
        <v>RIO GRANDE DO SUL-435</v>
      </c>
      <c r="B4288" s="5" t="s">
        <v>2552</v>
      </c>
      <c r="C4288" s="5" t="s">
        <v>534</v>
      </c>
      <c r="D4288" s="6">
        <v>-530331</v>
      </c>
      <c r="E4288" s="6">
        <v>-294199</v>
      </c>
      <c r="F4288" s="7">
        <v>4.5220000000000002</v>
      </c>
      <c r="G4288" s="7">
        <v>6.2910000000000004</v>
      </c>
      <c r="H4288" s="7">
        <v>5.9370000000000003</v>
      </c>
      <c r="I4288" s="7">
        <v>5.0190000000000001</v>
      </c>
      <c r="J4288" s="7">
        <v>3.911</v>
      </c>
      <c r="K4288" s="7">
        <v>2.891</v>
      </c>
      <c r="L4288" s="7">
        <v>2.4060000000000001</v>
      </c>
      <c r="M4288" s="7">
        <v>2.66</v>
      </c>
      <c r="N4288" s="7">
        <v>3.4169999999999998</v>
      </c>
      <c r="O4288" s="7">
        <v>3.746</v>
      </c>
      <c r="P4288" s="7">
        <v>4.9720000000000004</v>
      </c>
      <c r="Q4288" s="7">
        <v>6.2889999999999997</v>
      </c>
      <c r="R4288" s="7">
        <v>6.726</v>
      </c>
      <c r="S4288" s="7">
        <f t="shared" si="66"/>
        <v>4.5220833333333337</v>
      </c>
    </row>
    <row r="4289" spans="1:19">
      <c r="A4289" s="5" t="str">
        <f>B4289&amp;"-"&amp;COUNTIF($B$2:B4289,B4289)</f>
        <v>RIO GRANDE DO SUL-436</v>
      </c>
      <c r="B4289" s="5" t="s">
        <v>2552</v>
      </c>
      <c r="C4289" s="5" t="s">
        <v>1913</v>
      </c>
      <c r="D4289" s="6">
        <v>-525135</v>
      </c>
      <c r="E4289" s="6">
        <v>-288311</v>
      </c>
      <c r="F4289" s="7">
        <v>4.556</v>
      </c>
      <c r="G4289" s="7">
        <v>6.2679999999999998</v>
      </c>
      <c r="H4289" s="7">
        <v>5.8520000000000003</v>
      </c>
      <c r="I4289" s="7">
        <v>5.016</v>
      </c>
      <c r="J4289" s="7">
        <v>3.9580000000000002</v>
      </c>
      <c r="K4289" s="7">
        <v>2.9830000000000001</v>
      </c>
      <c r="L4289" s="7">
        <v>2.4630000000000001</v>
      </c>
      <c r="M4289" s="7">
        <v>2.766</v>
      </c>
      <c r="N4289" s="7">
        <v>3.5259999999999998</v>
      </c>
      <c r="O4289" s="7">
        <v>3.8290000000000002</v>
      </c>
      <c r="P4289" s="7">
        <v>5.0330000000000004</v>
      </c>
      <c r="Q4289" s="7">
        <v>6.2869999999999999</v>
      </c>
      <c r="R4289" s="7">
        <v>6.69</v>
      </c>
      <c r="S4289" s="7">
        <f t="shared" si="66"/>
        <v>4.5559166666666675</v>
      </c>
    </row>
    <row r="4290" spans="1:19">
      <c r="A4290" s="5" t="str">
        <f>B4290&amp;"-"&amp;COUNTIF($B$2:B4290,B4290)</f>
        <v>RIO GRANDE DO SUL-437</v>
      </c>
      <c r="B4290" s="5" t="s">
        <v>2552</v>
      </c>
      <c r="C4290" s="5" t="s">
        <v>2857</v>
      </c>
      <c r="D4290" s="6">
        <v>-516827</v>
      </c>
      <c r="E4290" s="6">
        <v>-296435</v>
      </c>
      <c r="F4290" s="7">
        <v>4.3499999999999996</v>
      </c>
      <c r="G4290" s="7">
        <v>6.173</v>
      </c>
      <c r="H4290" s="7">
        <v>5.7409999999999997</v>
      </c>
      <c r="I4290" s="7">
        <v>4.8220000000000001</v>
      </c>
      <c r="J4290" s="7">
        <v>3.7810000000000001</v>
      </c>
      <c r="K4290" s="7">
        <v>2.7850000000000001</v>
      </c>
      <c r="L4290" s="7">
        <v>2.3119999999999998</v>
      </c>
      <c r="M4290" s="7">
        <v>2.5339999999999998</v>
      </c>
      <c r="N4290" s="7">
        <v>3.2440000000000002</v>
      </c>
      <c r="O4290" s="7">
        <v>3.5550000000000002</v>
      </c>
      <c r="P4290" s="7">
        <v>4.6120000000000001</v>
      </c>
      <c r="Q4290" s="7">
        <v>6.1130000000000004</v>
      </c>
      <c r="R4290" s="7">
        <v>6.5309999999999997</v>
      </c>
      <c r="S4290" s="7">
        <f t="shared" si="66"/>
        <v>4.35025</v>
      </c>
    </row>
    <row r="4291" spans="1:19">
      <c r="A4291" s="5" t="str">
        <f>B4291&amp;"-"&amp;COUNTIF($B$2:B4291,B4291)</f>
        <v>RIO GRANDE DO SUL-438</v>
      </c>
      <c r="B4291" s="5" t="s">
        <v>2552</v>
      </c>
      <c r="C4291" s="5" t="s">
        <v>2123</v>
      </c>
      <c r="D4291" s="6">
        <v>-520101</v>
      </c>
      <c r="E4291" s="6">
        <v>-280657</v>
      </c>
      <c r="F4291" s="7">
        <v>4.5540000000000003</v>
      </c>
      <c r="G4291" s="7">
        <v>6.2279999999999998</v>
      </c>
      <c r="H4291" s="7">
        <v>5.7960000000000003</v>
      </c>
      <c r="I4291" s="7">
        <v>4.9649999999999999</v>
      </c>
      <c r="J4291" s="7">
        <v>4.024</v>
      </c>
      <c r="K4291" s="7">
        <v>3.0179999999999998</v>
      </c>
      <c r="L4291" s="7">
        <v>2.532</v>
      </c>
      <c r="M4291" s="7">
        <v>2.8580000000000001</v>
      </c>
      <c r="N4291" s="7">
        <v>3.6459999999999999</v>
      </c>
      <c r="O4291" s="7">
        <v>3.88</v>
      </c>
      <c r="P4291" s="7">
        <v>5.0039999999999996</v>
      </c>
      <c r="Q4291" s="7">
        <v>6.1840000000000002</v>
      </c>
      <c r="R4291" s="7">
        <v>6.5209999999999999</v>
      </c>
      <c r="S4291" s="7">
        <f t="shared" ref="S4291:S4354" si="67">(G4291+H4291+I4291+J4291+K4291+L4291+M4291+N4291+O4291+P4291+Q4291+R4291)/12</f>
        <v>4.5546666666666669</v>
      </c>
    </row>
    <row r="4292" spans="1:19">
      <c r="A4292" s="5" t="str">
        <f>B4292&amp;"-"&amp;COUNTIF($B$2:B4292,B4292)</f>
        <v>RIO GRANDE DO SUL-439</v>
      </c>
      <c r="B4292" s="5" t="s">
        <v>2552</v>
      </c>
      <c r="C4292" s="5" t="s">
        <v>2858</v>
      </c>
      <c r="D4292" s="6">
        <v>-528699</v>
      </c>
      <c r="E4292" s="6">
        <v>-28626</v>
      </c>
      <c r="F4292" s="7">
        <v>4.58</v>
      </c>
      <c r="G4292" s="7">
        <v>6.3339999999999996</v>
      </c>
      <c r="H4292" s="7">
        <v>5.9020000000000001</v>
      </c>
      <c r="I4292" s="7">
        <v>5.0209999999999999</v>
      </c>
      <c r="J4292" s="7">
        <v>3.984</v>
      </c>
      <c r="K4292" s="7">
        <v>3.032</v>
      </c>
      <c r="L4292" s="7">
        <v>2.4790000000000001</v>
      </c>
      <c r="M4292" s="7">
        <v>2.7869999999999999</v>
      </c>
      <c r="N4292" s="7">
        <v>3.5680000000000001</v>
      </c>
      <c r="O4292" s="7">
        <v>3.8639999999999999</v>
      </c>
      <c r="P4292" s="7">
        <v>5.0490000000000004</v>
      </c>
      <c r="Q4292" s="7">
        <v>6.2729999999999997</v>
      </c>
      <c r="R4292" s="7">
        <v>6.665</v>
      </c>
      <c r="S4292" s="7">
        <f t="shared" si="67"/>
        <v>4.5798333333333323</v>
      </c>
    </row>
    <row r="4293" spans="1:19">
      <c r="A4293" s="5" t="str">
        <f>B4293&amp;"-"&amp;COUNTIF($B$2:B4293,B4293)</f>
        <v>RIO GRANDE DO SUL-440</v>
      </c>
      <c r="B4293" s="5" t="s">
        <v>2552</v>
      </c>
      <c r="C4293" s="5" t="s">
        <v>2859</v>
      </c>
      <c r="D4293" s="6">
        <v>-513996</v>
      </c>
      <c r="E4293" s="6">
        <v>-306688</v>
      </c>
      <c r="F4293" s="7">
        <v>4.3879999999999999</v>
      </c>
      <c r="G4293" s="7">
        <v>6.4950000000000001</v>
      </c>
      <c r="H4293" s="7">
        <v>5.7110000000000003</v>
      </c>
      <c r="I4293" s="7">
        <v>4.8479999999999999</v>
      </c>
      <c r="J4293" s="7">
        <v>3.7679999999999998</v>
      </c>
      <c r="K4293" s="7">
        <v>2.78</v>
      </c>
      <c r="L4293" s="7">
        <v>2.2909999999999999</v>
      </c>
      <c r="M4293" s="7">
        <v>2.5</v>
      </c>
      <c r="N4293" s="7">
        <v>3.0920000000000001</v>
      </c>
      <c r="O4293" s="7">
        <v>3.6230000000000002</v>
      </c>
      <c r="P4293" s="7">
        <v>4.7539999999999996</v>
      </c>
      <c r="Q4293" s="7">
        <v>6.1980000000000004</v>
      </c>
      <c r="R4293" s="7">
        <v>6.5979999999999999</v>
      </c>
      <c r="S4293" s="7">
        <f t="shared" si="67"/>
        <v>4.3881666666666659</v>
      </c>
    </row>
    <row r="4294" spans="1:19">
      <c r="A4294" s="5" t="str">
        <f>B4294&amp;"-"&amp;COUNTIF($B$2:B4294,B4294)</f>
        <v>RIO GRANDE DO SUL-441</v>
      </c>
      <c r="B4294" s="5" t="s">
        <v>2552</v>
      </c>
      <c r="C4294" s="5" t="s">
        <v>2860</v>
      </c>
      <c r="D4294" s="6">
        <v>-507757</v>
      </c>
      <c r="E4294" s="6">
        <v>-29651</v>
      </c>
      <c r="F4294" s="7">
        <v>4.3780000000000001</v>
      </c>
      <c r="G4294" s="7">
        <v>6.2649999999999997</v>
      </c>
      <c r="H4294" s="7">
        <v>5.7149999999999999</v>
      </c>
      <c r="I4294" s="7">
        <v>4.7869999999999999</v>
      </c>
      <c r="J4294" s="7">
        <v>3.8130000000000002</v>
      </c>
      <c r="K4294" s="7">
        <v>2.8370000000000002</v>
      </c>
      <c r="L4294" s="7">
        <v>2.3410000000000002</v>
      </c>
      <c r="M4294" s="7">
        <v>2.5459999999999998</v>
      </c>
      <c r="N4294" s="7">
        <v>3.2269999999999999</v>
      </c>
      <c r="O4294" s="7">
        <v>3.5910000000000002</v>
      </c>
      <c r="P4294" s="7">
        <v>4.6900000000000004</v>
      </c>
      <c r="Q4294" s="7">
        <v>6.1639999999999997</v>
      </c>
      <c r="R4294" s="7">
        <v>6.5570000000000004</v>
      </c>
      <c r="S4294" s="7">
        <f t="shared" si="67"/>
        <v>4.3777499999999998</v>
      </c>
    </row>
    <row r="4295" spans="1:19">
      <c r="A4295" s="5" t="str">
        <f>B4295&amp;"-"&amp;COUNTIF($B$2:B4295,B4295)</f>
        <v>RIO GRANDE DO SUL-442</v>
      </c>
      <c r="B4295" s="5" t="s">
        <v>2552</v>
      </c>
      <c r="C4295" s="5" t="s">
        <v>2861</v>
      </c>
      <c r="D4295" s="6">
        <v>-518658</v>
      </c>
      <c r="E4295" s="6">
        <v>-297948</v>
      </c>
      <c r="F4295" s="7">
        <v>4.4160000000000004</v>
      </c>
      <c r="G4295" s="7">
        <v>6.3869999999999996</v>
      </c>
      <c r="H4295" s="7">
        <v>5.8449999999999998</v>
      </c>
      <c r="I4295" s="7">
        <v>4.8710000000000004</v>
      </c>
      <c r="J4295" s="7">
        <v>3.8109999999999999</v>
      </c>
      <c r="K4295" s="7">
        <v>2.7730000000000001</v>
      </c>
      <c r="L4295" s="7">
        <v>2.2999999999999998</v>
      </c>
      <c r="M4295" s="7">
        <v>2.516</v>
      </c>
      <c r="N4295" s="7">
        <v>3.262</v>
      </c>
      <c r="O4295" s="7">
        <v>3.593</v>
      </c>
      <c r="P4295" s="7">
        <v>4.7389999999999999</v>
      </c>
      <c r="Q4295" s="7">
        <v>6.2119999999999997</v>
      </c>
      <c r="R4295" s="7">
        <v>6.681</v>
      </c>
      <c r="S4295" s="7">
        <f t="shared" si="67"/>
        <v>4.4158333333333326</v>
      </c>
    </row>
    <row r="4296" spans="1:19">
      <c r="A4296" s="5" t="str">
        <f>B4296&amp;"-"&amp;COUNTIF($B$2:B4296,B4296)</f>
        <v>RIO GRANDE DO SUL-443</v>
      </c>
      <c r="B4296" s="5" t="s">
        <v>2552</v>
      </c>
      <c r="C4296" s="5" t="s">
        <v>4767</v>
      </c>
      <c r="D4296" s="6">
        <v>-534707</v>
      </c>
      <c r="E4296" s="6">
        <v>-274009</v>
      </c>
      <c r="F4296" s="7">
        <v>4.6500000000000004</v>
      </c>
      <c r="G4296" s="7">
        <v>6.43</v>
      </c>
      <c r="H4296" s="7">
        <v>5.8449999999999998</v>
      </c>
      <c r="I4296" s="7">
        <v>5.14</v>
      </c>
      <c r="J4296" s="7">
        <v>4.0730000000000004</v>
      </c>
      <c r="K4296" s="7">
        <v>3.1160000000000001</v>
      </c>
      <c r="L4296" s="7">
        <v>2.581</v>
      </c>
      <c r="M4296" s="7">
        <v>2.9060000000000001</v>
      </c>
      <c r="N4296" s="7">
        <v>3.7320000000000002</v>
      </c>
      <c r="O4296" s="7">
        <v>3.9870000000000001</v>
      </c>
      <c r="P4296" s="7">
        <v>5.1849999999999996</v>
      </c>
      <c r="Q4296" s="7">
        <v>6.2030000000000003</v>
      </c>
      <c r="R4296" s="7">
        <v>6.5970000000000004</v>
      </c>
      <c r="S4296" s="7">
        <f t="shared" si="67"/>
        <v>4.6495833333333341</v>
      </c>
    </row>
    <row r="4297" spans="1:19">
      <c r="A4297" s="5" t="str">
        <f>B4297&amp;"-"&amp;COUNTIF($B$2:B4297,B4297)</f>
        <v>RIO GRANDE DO SUL-444</v>
      </c>
      <c r="B4297" s="5" t="s">
        <v>2552</v>
      </c>
      <c r="C4297" s="5" t="s">
        <v>1916</v>
      </c>
      <c r="D4297" s="6">
        <v>-510939</v>
      </c>
      <c r="E4297" s="6">
        <v>-312869</v>
      </c>
      <c r="F4297" s="7">
        <v>4.4509999999999996</v>
      </c>
      <c r="G4297" s="7">
        <v>6.617</v>
      </c>
      <c r="H4297" s="7">
        <v>5.8579999999999997</v>
      </c>
      <c r="I4297" s="7">
        <v>4.8959999999999999</v>
      </c>
      <c r="J4297" s="7">
        <v>3.7949999999999999</v>
      </c>
      <c r="K4297" s="7">
        <v>2.734</v>
      </c>
      <c r="L4297" s="7">
        <v>2.2789999999999999</v>
      </c>
      <c r="M4297" s="7">
        <v>2.4609999999999999</v>
      </c>
      <c r="N4297" s="7">
        <v>3.101</v>
      </c>
      <c r="O4297" s="7">
        <v>3.6349999999999998</v>
      </c>
      <c r="P4297" s="7">
        <v>4.8769999999999998</v>
      </c>
      <c r="Q4297" s="7">
        <v>6.3170000000000002</v>
      </c>
      <c r="R4297" s="7">
        <v>6.8410000000000002</v>
      </c>
      <c r="S4297" s="7">
        <f t="shared" si="67"/>
        <v>4.4509166666666671</v>
      </c>
    </row>
    <row r="4298" spans="1:19">
      <c r="A4298" s="5" t="str">
        <f>B4298&amp;"-"&amp;COUNTIF($B$2:B4298,B4298)</f>
        <v>RIO GRANDE DO SUL-445</v>
      </c>
      <c r="B4298" s="5" t="s">
        <v>2552</v>
      </c>
      <c r="C4298" s="5" t="s">
        <v>2862</v>
      </c>
      <c r="D4298" s="6">
        <v>-537589</v>
      </c>
      <c r="E4298" s="6">
        <v>-273715</v>
      </c>
      <c r="F4298" s="7">
        <v>4.6449999999999996</v>
      </c>
      <c r="G4298" s="7">
        <v>6.4189999999999996</v>
      </c>
      <c r="H4298" s="7">
        <v>5.9009999999999998</v>
      </c>
      <c r="I4298" s="7">
        <v>5.1280000000000001</v>
      </c>
      <c r="J4298" s="7">
        <v>4.0430000000000001</v>
      </c>
      <c r="K4298" s="7">
        <v>3.1120000000000001</v>
      </c>
      <c r="L4298" s="7">
        <v>2.5649999999999999</v>
      </c>
      <c r="M4298" s="7">
        <v>2.9039999999999999</v>
      </c>
      <c r="N4298" s="7">
        <v>3.71</v>
      </c>
      <c r="O4298" s="7">
        <v>4.0060000000000002</v>
      </c>
      <c r="P4298" s="7">
        <v>5.1790000000000003</v>
      </c>
      <c r="Q4298" s="7">
        <v>6.1829999999999998</v>
      </c>
      <c r="R4298" s="7">
        <v>6.5910000000000002</v>
      </c>
      <c r="S4298" s="7">
        <f t="shared" si="67"/>
        <v>4.6450833333333339</v>
      </c>
    </row>
    <row r="4299" spans="1:19">
      <c r="A4299" s="5" t="str">
        <f>B4299&amp;"-"&amp;COUNTIF($B$2:B4299,B4299)</f>
        <v>RIO GRANDE DO SUL-446</v>
      </c>
      <c r="B4299" s="5" t="s">
        <v>2552</v>
      </c>
      <c r="C4299" s="5" t="s">
        <v>2863</v>
      </c>
      <c r="D4299" s="6">
        <v>-500648</v>
      </c>
      <c r="E4299" s="6">
        <v>-295787</v>
      </c>
      <c r="F4299" s="7">
        <v>4.1669999999999998</v>
      </c>
      <c r="G4299" s="7">
        <v>5.7690000000000001</v>
      </c>
      <c r="H4299" s="7">
        <v>5.2460000000000004</v>
      </c>
      <c r="I4299" s="7">
        <v>4.4870000000000001</v>
      </c>
      <c r="J4299" s="7">
        <v>3.7919999999999998</v>
      </c>
      <c r="K4299" s="7">
        <v>2.863</v>
      </c>
      <c r="L4299" s="7">
        <v>2.4289999999999998</v>
      </c>
      <c r="M4299" s="7">
        <v>2.6389999999999998</v>
      </c>
      <c r="N4299" s="7">
        <v>3.2879999999999998</v>
      </c>
      <c r="O4299" s="7">
        <v>3.476</v>
      </c>
      <c r="P4299" s="7">
        <v>4.3109999999999999</v>
      </c>
      <c r="Q4299" s="7">
        <v>5.6879999999999997</v>
      </c>
      <c r="R4299" s="7">
        <v>6.0129999999999999</v>
      </c>
      <c r="S4299" s="7">
        <f t="shared" si="67"/>
        <v>4.1667499999999995</v>
      </c>
    </row>
    <row r="4300" spans="1:19">
      <c r="A4300" s="5" t="str">
        <f>B4300&amp;"-"&amp;COUNTIF($B$2:B4300,B4300)</f>
        <v>RIO GRANDE DO SUL-447</v>
      </c>
      <c r="B4300" s="5" t="s">
        <v>2552</v>
      </c>
      <c r="C4300" s="5" t="s">
        <v>4583</v>
      </c>
      <c r="D4300" s="6">
        <v>-518048</v>
      </c>
      <c r="E4300" s="6">
        <v>-294487</v>
      </c>
      <c r="F4300" s="7">
        <v>4.37</v>
      </c>
      <c r="G4300" s="7">
        <v>6.21</v>
      </c>
      <c r="H4300" s="7">
        <v>5.7720000000000002</v>
      </c>
      <c r="I4300" s="7">
        <v>4.8579999999999997</v>
      </c>
      <c r="J4300" s="7">
        <v>3.77</v>
      </c>
      <c r="K4300" s="7">
        <v>2.8250000000000002</v>
      </c>
      <c r="L4300" s="7">
        <v>2.33</v>
      </c>
      <c r="M4300" s="7">
        <v>2.5670000000000002</v>
      </c>
      <c r="N4300" s="7">
        <v>3.294</v>
      </c>
      <c r="O4300" s="7">
        <v>3.5779999999999998</v>
      </c>
      <c r="P4300" s="7">
        <v>4.665</v>
      </c>
      <c r="Q4300" s="7">
        <v>6.1</v>
      </c>
      <c r="R4300" s="7">
        <v>6.468</v>
      </c>
      <c r="S4300" s="7">
        <f t="shared" si="67"/>
        <v>4.3697499999999998</v>
      </c>
    </row>
    <row r="4301" spans="1:19">
      <c r="A4301" s="5" t="str">
        <f>B4301&amp;"-"&amp;COUNTIF($B$2:B4301,B4301)</f>
        <v>RIO GRANDE DO SUL-448</v>
      </c>
      <c r="B4301" s="5" t="s">
        <v>2552</v>
      </c>
      <c r="C4301" s="5" t="s">
        <v>2864</v>
      </c>
      <c r="D4301" s="6">
        <v>-52596</v>
      </c>
      <c r="E4301" s="6">
        <v>-285717</v>
      </c>
      <c r="F4301" s="7">
        <v>4.5590000000000002</v>
      </c>
      <c r="G4301" s="7">
        <v>6.2850000000000001</v>
      </c>
      <c r="H4301" s="7">
        <v>5.8710000000000004</v>
      </c>
      <c r="I4301" s="7">
        <v>5.0110000000000001</v>
      </c>
      <c r="J4301" s="7">
        <v>3.99</v>
      </c>
      <c r="K4301" s="7">
        <v>3.0070000000000001</v>
      </c>
      <c r="L4301" s="7">
        <v>2.4670000000000001</v>
      </c>
      <c r="M4301" s="7">
        <v>2.7719999999999998</v>
      </c>
      <c r="N4301" s="7">
        <v>3.5550000000000002</v>
      </c>
      <c r="O4301" s="7">
        <v>3.8279999999999998</v>
      </c>
      <c r="P4301" s="7">
        <v>5.024</v>
      </c>
      <c r="Q4301" s="7">
        <v>6.2610000000000001</v>
      </c>
      <c r="R4301" s="7">
        <v>6.6369999999999996</v>
      </c>
      <c r="S4301" s="7">
        <f t="shared" si="67"/>
        <v>4.5590000000000011</v>
      </c>
    </row>
    <row r="4302" spans="1:19">
      <c r="A4302" s="5" t="str">
        <f>B4302&amp;"-"&amp;COUNTIF($B$2:B4302,B4302)</f>
        <v>RIO GRANDE DO SUL-449</v>
      </c>
      <c r="B4302" s="5" t="s">
        <v>2552</v>
      </c>
      <c r="C4302" s="5" t="s">
        <v>2865</v>
      </c>
      <c r="D4302" s="6">
        <v>-540818</v>
      </c>
      <c r="E4302" s="6">
        <v>-274027</v>
      </c>
      <c r="F4302" s="7">
        <v>4.6529999999999996</v>
      </c>
      <c r="G4302" s="7">
        <v>6.4260000000000002</v>
      </c>
      <c r="H4302" s="7">
        <v>5.9269999999999996</v>
      </c>
      <c r="I4302" s="7">
        <v>5.133</v>
      </c>
      <c r="J4302" s="7">
        <v>4.05</v>
      </c>
      <c r="K4302" s="7">
        <v>3.1160000000000001</v>
      </c>
      <c r="L4302" s="7">
        <v>2.56</v>
      </c>
      <c r="M4302" s="7">
        <v>2.8740000000000001</v>
      </c>
      <c r="N4302" s="7">
        <v>3.6829999999999998</v>
      </c>
      <c r="O4302" s="7">
        <v>4.01</v>
      </c>
      <c r="P4302" s="7">
        <v>5.2190000000000003</v>
      </c>
      <c r="Q4302" s="7">
        <v>6.2119999999999997</v>
      </c>
      <c r="R4302" s="7">
        <v>6.6349999999999998</v>
      </c>
      <c r="S4302" s="7">
        <f t="shared" si="67"/>
        <v>4.6537499999999996</v>
      </c>
    </row>
    <row r="4303" spans="1:19">
      <c r="A4303" s="5" t="str">
        <f>B4303&amp;"-"&amp;COUNTIF($B$2:B4303,B4303)</f>
        <v>RIO GRANDE DO SUL-450</v>
      </c>
      <c r="B4303" s="5" t="s">
        <v>2552</v>
      </c>
      <c r="C4303" s="5" t="s">
        <v>2866</v>
      </c>
      <c r="D4303" s="6">
        <v>-542249</v>
      </c>
      <c r="E4303" s="6">
        <v>-294787</v>
      </c>
      <c r="F4303" s="7">
        <v>4.5670000000000002</v>
      </c>
      <c r="G4303" s="7">
        <v>6.484</v>
      </c>
      <c r="H4303" s="7">
        <v>5.952</v>
      </c>
      <c r="I4303" s="7">
        <v>5.0540000000000003</v>
      </c>
      <c r="J4303" s="7">
        <v>3.9319999999999999</v>
      </c>
      <c r="K4303" s="7">
        <v>2.9009999999999998</v>
      </c>
      <c r="L4303" s="7">
        <v>2.4119999999999999</v>
      </c>
      <c r="M4303" s="7">
        <v>2.677</v>
      </c>
      <c r="N4303" s="7">
        <v>3.4180000000000001</v>
      </c>
      <c r="O4303" s="7">
        <v>3.8639999999999999</v>
      </c>
      <c r="P4303" s="7">
        <v>4.9969999999999999</v>
      </c>
      <c r="Q4303" s="7">
        <v>6.3</v>
      </c>
      <c r="R4303" s="7">
        <v>6.819</v>
      </c>
      <c r="S4303" s="7">
        <f t="shared" si="67"/>
        <v>4.5674999999999999</v>
      </c>
    </row>
    <row r="4304" spans="1:19">
      <c r="A4304" s="5" t="str">
        <f>B4304&amp;"-"&amp;COUNTIF($B$2:B4304,B4304)</f>
        <v>RIO GRANDE DO SUL-451</v>
      </c>
      <c r="B4304" s="5" t="s">
        <v>2552</v>
      </c>
      <c r="C4304" s="5" t="s">
        <v>2867</v>
      </c>
      <c r="D4304" s="6">
        <v>-497337</v>
      </c>
      <c r="E4304" s="6">
        <v>-293339</v>
      </c>
      <c r="F4304" s="7">
        <v>4.2320000000000002</v>
      </c>
      <c r="G4304" s="7">
        <v>5.85</v>
      </c>
      <c r="H4304" s="7">
        <v>5.4219999999999997</v>
      </c>
      <c r="I4304" s="7">
        <v>4.5810000000000004</v>
      </c>
      <c r="J4304" s="7">
        <v>3.839</v>
      </c>
      <c r="K4304" s="7">
        <v>2.964</v>
      </c>
      <c r="L4304" s="7">
        <v>2.444</v>
      </c>
      <c r="M4304" s="7">
        <v>2.6579999999999999</v>
      </c>
      <c r="N4304" s="7">
        <v>3.3359999999999999</v>
      </c>
      <c r="O4304" s="7">
        <v>3.5249999999999999</v>
      </c>
      <c r="P4304" s="7">
        <v>4.3419999999999996</v>
      </c>
      <c r="Q4304" s="7">
        <v>5.7350000000000003</v>
      </c>
      <c r="R4304" s="7">
        <v>6.0819999999999999</v>
      </c>
      <c r="S4304" s="7">
        <f t="shared" si="67"/>
        <v>4.2314999999999996</v>
      </c>
    </row>
    <row r="4305" spans="1:19">
      <c r="A4305" s="5" t="str">
        <f>B4305&amp;"-"&amp;COUNTIF($B$2:B4305,B4305)</f>
        <v>RIO GRANDE DO SUL-452</v>
      </c>
      <c r="B4305" s="5" t="s">
        <v>2552</v>
      </c>
      <c r="C4305" s="5" t="s">
        <v>5322</v>
      </c>
      <c r="D4305" s="6">
        <v>-521452</v>
      </c>
      <c r="E4305" s="6">
        <v>-275007</v>
      </c>
      <c r="F4305" s="7">
        <v>4.63</v>
      </c>
      <c r="G4305" s="7">
        <v>6.3140000000000001</v>
      </c>
      <c r="H4305" s="7">
        <v>5.8520000000000003</v>
      </c>
      <c r="I4305" s="7">
        <v>5.077</v>
      </c>
      <c r="J4305" s="7">
        <v>4.0730000000000004</v>
      </c>
      <c r="K4305" s="7">
        <v>3.0830000000000002</v>
      </c>
      <c r="L4305" s="7">
        <v>2.6059999999999999</v>
      </c>
      <c r="M4305" s="7">
        <v>2.9380000000000002</v>
      </c>
      <c r="N4305" s="7">
        <v>3.7349999999999999</v>
      </c>
      <c r="O4305" s="7">
        <v>3.98</v>
      </c>
      <c r="P4305" s="7">
        <v>5.101</v>
      </c>
      <c r="Q4305" s="7">
        <v>6.2409999999999997</v>
      </c>
      <c r="R4305" s="7">
        <v>6.5640000000000001</v>
      </c>
      <c r="S4305" s="7">
        <f t="shared" si="67"/>
        <v>4.6303333333333336</v>
      </c>
    </row>
    <row r="4306" spans="1:19">
      <c r="A4306" s="5" t="str">
        <f>B4306&amp;"-"&amp;COUNTIF($B$2:B4306,B4306)</f>
        <v>RIO GRANDE DO SUL-453</v>
      </c>
      <c r="B4306" s="5" t="s">
        <v>2552</v>
      </c>
      <c r="C4306" s="5" t="s">
        <v>5323</v>
      </c>
      <c r="D4306" s="6">
        <v>-499239</v>
      </c>
      <c r="E4306" s="6">
        <v>-29456</v>
      </c>
      <c r="F4306" s="7">
        <v>4.0529999999999999</v>
      </c>
      <c r="G4306" s="7">
        <v>5.532</v>
      </c>
      <c r="H4306" s="7">
        <v>5.0709999999999997</v>
      </c>
      <c r="I4306" s="7">
        <v>4.335</v>
      </c>
      <c r="J4306" s="7">
        <v>3.7469999999999999</v>
      </c>
      <c r="K4306" s="7">
        <v>2.8860000000000001</v>
      </c>
      <c r="L4306" s="7">
        <v>2.427</v>
      </c>
      <c r="M4306" s="7">
        <v>2.6230000000000002</v>
      </c>
      <c r="N4306" s="7">
        <v>3.3090000000000002</v>
      </c>
      <c r="O4306" s="7">
        <v>3.4140000000000001</v>
      </c>
      <c r="P4306" s="7">
        <v>4.1230000000000002</v>
      </c>
      <c r="Q4306" s="7">
        <v>5.4690000000000003</v>
      </c>
      <c r="R4306" s="7">
        <v>5.6959999999999997</v>
      </c>
      <c r="S4306" s="7">
        <f t="shared" si="67"/>
        <v>4.0526666666666662</v>
      </c>
    </row>
    <row r="4307" spans="1:19">
      <c r="A4307" s="5" t="str">
        <f>B4307&amp;"-"&amp;COUNTIF($B$2:B4307,B4307)</f>
        <v>RIO GRANDE DO SUL-454</v>
      </c>
      <c r="B4307" s="5" t="s">
        <v>2552</v>
      </c>
      <c r="C4307" s="5" t="s">
        <v>5324</v>
      </c>
      <c r="D4307" s="6">
        <v>-507743</v>
      </c>
      <c r="E4307" s="6">
        <v>-295142</v>
      </c>
      <c r="F4307" s="7">
        <v>4.2960000000000003</v>
      </c>
      <c r="G4307" s="7">
        <v>6.0309999999999997</v>
      </c>
      <c r="H4307" s="7">
        <v>5.5869999999999997</v>
      </c>
      <c r="I4307" s="7">
        <v>4.6440000000000001</v>
      </c>
      <c r="J4307" s="7">
        <v>3.7669999999999999</v>
      </c>
      <c r="K4307" s="7">
        <v>2.802</v>
      </c>
      <c r="L4307" s="7">
        <v>2.3759999999999999</v>
      </c>
      <c r="M4307" s="7">
        <v>2.5910000000000002</v>
      </c>
      <c r="N4307" s="7">
        <v>3.2890000000000001</v>
      </c>
      <c r="O4307" s="7">
        <v>3.5310000000000001</v>
      </c>
      <c r="P4307" s="7">
        <v>4.5789999999999997</v>
      </c>
      <c r="Q4307" s="7">
        <v>6.008</v>
      </c>
      <c r="R4307" s="7">
        <v>6.3449999999999998</v>
      </c>
      <c r="S4307" s="7">
        <f t="shared" si="67"/>
        <v>4.2958333333333334</v>
      </c>
    </row>
    <row r="4308" spans="1:19">
      <c r="A4308" s="5" t="str">
        <f>B4308&amp;"-"&amp;COUNTIF($B$2:B4308,B4308)</f>
        <v>RIO GRANDE DO SUL-455</v>
      </c>
      <c r="B4308" s="5" t="s">
        <v>2552</v>
      </c>
      <c r="C4308" s="5" t="s">
        <v>5325</v>
      </c>
      <c r="D4308" s="6">
        <v>-542362</v>
      </c>
      <c r="E4308" s="6">
        <v>-277805</v>
      </c>
      <c r="F4308" s="7">
        <v>4.6749999999999998</v>
      </c>
      <c r="G4308" s="7">
        <v>6.5030000000000001</v>
      </c>
      <c r="H4308" s="7">
        <v>6.0510000000000002</v>
      </c>
      <c r="I4308" s="7">
        <v>5.125</v>
      </c>
      <c r="J4308" s="7">
        <v>4.085</v>
      </c>
      <c r="K4308" s="7">
        <v>3.1120000000000001</v>
      </c>
      <c r="L4308" s="7">
        <v>2.5630000000000002</v>
      </c>
      <c r="M4308" s="7">
        <v>2.8690000000000002</v>
      </c>
      <c r="N4308" s="7">
        <v>3.6720000000000002</v>
      </c>
      <c r="O4308" s="7">
        <v>4.0229999999999997</v>
      </c>
      <c r="P4308" s="7">
        <v>5.1829999999999998</v>
      </c>
      <c r="Q4308" s="7">
        <v>6.2249999999999996</v>
      </c>
      <c r="R4308" s="7">
        <v>6.6890000000000001</v>
      </c>
      <c r="S4308" s="7">
        <f t="shared" si="67"/>
        <v>4.6749999999999998</v>
      </c>
    </row>
    <row r="4309" spans="1:19">
      <c r="A4309" s="5" t="str">
        <f>B4309&amp;"-"&amp;COUNTIF($B$2:B4309,B4309)</f>
        <v>RIO GRANDE DO SUL-456</v>
      </c>
      <c r="B4309" s="5" t="s">
        <v>2552</v>
      </c>
      <c r="C4309" s="5" t="s">
        <v>5326</v>
      </c>
      <c r="D4309" s="6">
        <v>-500644</v>
      </c>
      <c r="E4309" s="6">
        <v>-29537</v>
      </c>
      <c r="F4309" s="7">
        <v>4.0599999999999996</v>
      </c>
      <c r="G4309" s="7">
        <v>5.5289999999999999</v>
      </c>
      <c r="H4309" s="7">
        <v>5.0670000000000002</v>
      </c>
      <c r="I4309" s="7">
        <v>4.3159999999999998</v>
      </c>
      <c r="J4309" s="7">
        <v>3.7250000000000001</v>
      </c>
      <c r="K4309" s="7">
        <v>2.8250000000000002</v>
      </c>
      <c r="L4309" s="7">
        <v>2.4049999999999998</v>
      </c>
      <c r="M4309" s="7">
        <v>2.6309999999999998</v>
      </c>
      <c r="N4309" s="7">
        <v>3.31</v>
      </c>
      <c r="O4309" s="7">
        <v>3.4089999999999998</v>
      </c>
      <c r="P4309" s="7">
        <v>4.1950000000000003</v>
      </c>
      <c r="Q4309" s="7">
        <v>5.4989999999999997</v>
      </c>
      <c r="R4309" s="7">
        <v>5.8079999999999998</v>
      </c>
      <c r="S4309" s="7">
        <f t="shared" si="67"/>
        <v>4.0599166666666671</v>
      </c>
    </row>
    <row r="4310" spans="1:19">
      <c r="A4310" s="5" t="str">
        <f>B4310&amp;"-"&amp;COUNTIF($B$2:B4310,B4310)</f>
        <v>RIO GRANDE DO SUL-457</v>
      </c>
      <c r="B4310" s="5" t="s">
        <v>2552</v>
      </c>
      <c r="C4310" s="5" t="s">
        <v>5327</v>
      </c>
      <c r="D4310" s="6">
        <v>-528442</v>
      </c>
      <c r="E4310" s="6">
        <v>-276144</v>
      </c>
      <c r="F4310" s="7">
        <v>4.6120000000000001</v>
      </c>
      <c r="G4310" s="7">
        <v>6.2249999999999996</v>
      </c>
      <c r="H4310" s="7">
        <v>5.8090000000000002</v>
      </c>
      <c r="I4310" s="7">
        <v>5.0339999999999998</v>
      </c>
      <c r="J4310" s="7">
        <v>4.0880000000000001</v>
      </c>
      <c r="K4310" s="7">
        <v>3.0910000000000002</v>
      </c>
      <c r="L4310" s="7">
        <v>2.6</v>
      </c>
      <c r="M4310" s="7">
        <v>2.931</v>
      </c>
      <c r="N4310" s="7">
        <v>3.7170000000000001</v>
      </c>
      <c r="O4310" s="7">
        <v>3.976</v>
      </c>
      <c r="P4310" s="7">
        <v>5.1280000000000001</v>
      </c>
      <c r="Q4310" s="7">
        <v>6.1689999999999996</v>
      </c>
      <c r="R4310" s="7">
        <v>6.577</v>
      </c>
      <c r="S4310" s="7">
        <f t="shared" si="67"/>
        <v>4.6120833333333335</v>
      </c>
    </row>
    <row r="4311" spans="1:19">
      <c r="A4311" s="5" t="str">
        <f>B4311&amp;"-"&amp;COUNTIF($B$2:B4311,B4311)</f>
        <v>RIO GRANDE DO SUL-458</v>
      </c>
      <c r="B4311" s="5" t="s">
        <v>2552</v>
      </c>
      <c r="C4311" s="5" t="s">
        <v>5328</v>
      </c>
      <c r="D4311" s="6">
        <v>-539301</v>
      </c>
      <c r="E4311" s="6">
        <v>-274559</v>
      </c>
      <c r="F4311" s="7">
        <v>4.6619999999999999</v>
      </c>
      <c r="G4311" s="7">
        <v>6.399</v>
      </c>
      <c r="H4311" s="7">
        <v>5.9320000000000004</v>
      </c>
      <c r="I4311" s="7">
        <v>5.1369999999999996</v>
      </c>
      <c r="J4311" s="7">
        <v>4.0609999999999999</v>
      </c>
      <c r="K4311" s="7">
        <v>3.1219999999999999</v>
      </c>
      <c r="L4311" s="7">
        <v>2.5819999999999999</v>
      </c>
      <c r="M4311" s="7">
        <v>2.9089999999999998</v>
      </c>
      <c r="N4311" s="7">
        <v>3.7</v>
      </c>
      <c r="O4311" s="7">
        <v>4.0090000000000003</v>
      </c>
      <c r="P4311" s="7">
        <v>5.22</v>
      </c>
      <c r="Q4311" s="7">
        <v>6.2190000000000003</v>
      </c>
      <c r="R4311" s="7">
        <v>6.649</v>
      </c>
      <c r="S4311" s="7">
        <f t="shared" si="67"/>
        <v>4.6615833333333336</v>
      </c>
    </row>
    <row r="4312" spans="1:19">
      <c r="A4312" s="5" t="str">
        <f>B4312&amp;"-"&amp;COUNTIF($B$2:B4312,B4312)</f>
        <v>RIO GRANDE DO SUL-459</v>
      </c>
      <c r="B4312" s="5" t="s">
        <v>2552</v>
      </c>
      <c r="C4312" s="5" t="s">
        <v>2868</v>
      </c>
      <c r="D4312" s="6">
        <v>-501326</v>
      </c>
      <c r="E4312" s="6">
        <v>-299846</v>
      </c>
      <c r="F4312" s="7">
        <v>4.3890000000000002</v>
      </c>
      <c r="G4312" s="7">
        <v>6.36</v>
      </c>
      <c r="H4312" s="7">
        <v>5.7279999999999998</v>
      </c>
      <c r="I4312" s="7">
        <v>4.7569999999999997</v>
      </c>
      <c r="J4312" s="7">
        <v>3.851</v>
      </c>
      <c r="K4312" s="7">
        <v>2.8610000000000002</v>
      </c>
      <c r="L4312" s="7">
        <v>2.371</v>
      </c>
      <c r="M4312" s="7">
        <v>2.54</v>
      </c>
      <c r="N4312" s="7">
        <v>3.202</v>
      </c>
      <c r="O4312" s="7">
        <v>3.5920000000000001</v>
      </c>
      <c r="P4312" s="7">
        <v>4.694</v>
      </c>
      <c r="Q4312" s="7">
        <v>6.1289999999999996</v>
      </c>
      <c r="R4312" s="7">
        <v>6.5780000000000003</v>
      </c>
      <c r="S4312" s="7">
        <f t="shared" si="67"/>
        <v>4.3885833333333331</v>
      </c>
    </row>
    <row r="4313" spans="1:19">
      <c r="A4313" s="5" t="str">
        <f>B4313&amp;"-"&amp;COUNTIF($B$2:B4313,B4313)</f>
        <v>RIO GRANDE DO SUL-460</v>
      </c>
      <c r="B4313" s="5" t="s">
        <v>2552</v>
      </c>
      <c r="C4313" s="5" t="s">
        <v>2869</v>
      </c>
      <c r="D4313" s="6">
        <v>-520537</v>
      </c>
      <c r="E4313" s="6">
        <v>-292981</v>
      </c>
      <c r="F4313" s="7">
        <v>4.351</v>
      </c>
      <c r="G4313" s="7">
        <v>6.0869999999999997</v>
      </c>
      <c r="H4313" s="7">
        <v>5.7080000000000002</v>
      </c>
      <c r="I4313" s="7">
        <v>4.7850000000000001</v>
      </c>
      <c r="J4313" s="7">
        <v>3.7890000000000001</v>
      </c>
      <c r="K4313" s="7">
        <v>2.82</v>
      </c>
      <c r="L4313" s="7">
        <v>2.3540000000000001</v>
      </c>
      <c r="M4313" s="7">
        <v>2.6070000000000002</v>
      </c>
      <c r="N4313" s="7">
        <v>3.3290000000000002</v>
      </c>
      <c r="O4313" s="7">
        <v>3.5920000000000001</v>
      </c>
      <c r="P4313" s="7">
        <v>4.6580000000000004</v>
      </c>
      <c r="Q4313" s="7">
        <v>6.0460000000000003</v>
      </c>
      <c r="R4313" s="7">
        <v>6.4379999999999997</v>
      </c>
      <c r="S4313" s="7">
        <f t="shared" si="67"/>
        <v>4.3510833333333334</v>
      </c>
    </row>
    <row r="4314" spans="1:19">
      <c r="A4314" s="5" t="str">
        <f>B4314&amp;"-"&amp;COUNTIF($B$2:B4314,B4314)</f>
        <v>RIO GRANDE DO SUL-461</v>
      </c>
      <c r="B4314" s="5" t="s">
        <v>2552</v>
      </c>
      <c r="C4314" s="5" t="s">
        <v>2870</v>
      </c>
      <c r="D4314" s="6">
        <v>-52896</v>
      </c>
      <c r="E4314" s="6">
        <v>-275244</v>
      </c>
      <c r="F4314" s="7">
        <v>4.6180000000000003</v>
      </c>
      <c r="G4314" s="7">
        <v>6.2519999999999998</v>
      </c>
      <c r="H4314" s="7">
        <v>5.8079999999999998</v>
      </c>
      <c r="I4314" s="7">
        <v>5.0540000000000003</v>
      </c>
      <c r="J4314" s="7">
        <v>4.0990000000000002</v>
      </c>
      <c r="K4314" s="7">
        <v>3.0990000000000002</v>
      </c>
      <c r="L4314" s="7">
        <v>2.62</v>
      </c>
      <c r="M4314" s="7">
        <v>2.9239999999999999</v>
      </c>
      <c r="N4314" s="7">
        <v>3.74</v>
      </c>
      <c r="O4314" s="7">
        <v>3.9950000000000001</v>
      </c>
      <c r="P4314" s="7">
        <v>5.1189999999999998</v>
      </c>
      <c r="Q4314" s="7">
        <v>6.1479999999999997</v>
      </c>
      <c r="R4314" s="7">
        <v>6.56</v>
      </c>
      <c r="S4314" s="7">
        <f t="shared" si="67"/>
        <v>4.6181666666666663</v>
      </c>
    </row>
    <row r="4315" spans="1:19">
      <c r="A4315" s="5" t="str">
        <f>B4315&amp;"-"&amp;COUNTIF($B$2:B4315,B4315)</f>
        <v>RIO GRANDE DO SUL-462</v>
      </c>
      <c r="B4315" s="5" t="s">
        <v>2552</v>
      </c>
      <c r="C4315" s="5" t="s">
        <v>1918</v>
      </c>
      <c r="D4315" s="6">
        <v>-517079</v>
      </c>
      <c r="E4315" s="6">
        <v>-299296</v>
      </c>
      <c r="F4315" s="7">
        <v>4.41</v>
      </c>
      <c r="G4315" s="7">
        <v>6.3929999999999998</v>
      </c>
      <c r="H4315" s="7">
        <v>5.8419999999999996</v>
      </c>
      <c r="I4315" s="7">
        <v>4.8659999999999997</v>
      </c>
      <c r="J4315" s="7">
        <v>3.7919999999999998</v>
      </c>
      <c r="K4315" s="7">
        <v>2.7650000000000001</v>
      </c>
      <c r="L4315" s="7">
        <v>2.2930000000000001</v>
      </c>
      <c r="M4315" s="7">
        <v>2.5019999999999998</v>
      </c>
      <c r="N4315" s="7">
        <v>3.234</v>
      </c>
      <c r="O4315" s="7">
        <v>3.5830000000000002</v>
      </c>
      <c r="P4315" s="7">
        <v>4.774</v>
      </c>
      <c r="Q4315" s="7">
        <v>6.2039999999999997</v>
      </c>
      <c r="R4315" s="7">
        <v>6.6660000000000004</v>
      </c>
      <c r="S4315" s="7">
        <f t="shared" si="67"/>
        <v>4.4095000000000004</v>
      </c>
    </row>
    <row r="4316" spans="1:19">
      <c r="A4316" s="5" t="str">
        <f>B4316&amp;"-"&amp;COUNTIF($B$2:B4316,B4316)</f>
        <v>RIO GRANDE DO SUL-463</v>
      </c>
      <c r="B4316" s="5" t="s">
        <v>2552</v>
      </c>
      <c r="C4316" s="5" t="s">
        <v>2871</v>
      </c>
      <c r="D4316" s="6">
        <v>-544443</v>
      </c>
      <c r="E4316" s="6">
        <v>-276578</v>
      </c>
      <c r="F4316" s="7">
        <v>4.6630000000000003</v>
      </c>
      <c r="G4316" s="7">
        <v>6.508</v>
      </c>
      <c r="H4316" s="7">
        <v>5.9880000000000004</v>
      </c>
      <c r="I4316" s="7">
        <v>5.1390000000000002</v>
      </c>
      <c r="J4316" s="7">
        <v>4.0670000000000002</v>
      </c>
      <c r="K4316" s="7">
        <v>3.089</v>
      </c>
      <c r="L4316" s="7">
        <v>2.5419999999999998</v>
      </c>
      <c r="M4316" s="7">
        <v>2.8519999999999999</v>
      </c>
      <c r="N4316" s="7">
        <v>3.6560000000000001</v>
      </c>
      <c r="O4316" s="7">
        <v>4.0350000000000001</v>
      </c>
      <c r="P4316" s="7">
        <v>5.1950000000000003</v>
      </c>
      <c r="Q4316" s="7">
        <v>6.2389999999999999</v>
      </c>
      <c r="R4316" s="7">
        <v>6.6479999999999997</v>
      </c>
      <c r="S4316" s="7">
        <f t="shared" si="67"/>
        <v>4.6631666666666662</v>
      </c>
    </row>
    <row r="4317" spans="1:19">
      <c r="A4317" s="5" t="str">
        <f>B4317&amp;"-"&amp;COUNTIF($B$2:B4317,B4317)</f>
        <v>RIO GRANDE DO SUL-464</v>
      </c>
      <c r="B4317" s="5" t="s">
        <v>2552</v>
      </c>
      <c r="C4317" s="5" t="s">
        <v>2872</v>
      </c>
      <c r="D4317" s="6">
        <v>-529543</v>
      </c>
      <c r="E4317" s="6">
        <v>-291044</v>
      </c>
      <c r="F4317" s="7">
        <v>4.5490000000000004</v>
      </c>
      <c r="G4317" s="7">
        <v>6.351</v>
      </c>
      <c r="H4317" s="7">
        <v>5.9210000000000003</v>
      </c>
      <c r="I4317" s="7">
        <v>5.0730000000000004</v>
      </c>
      <c r="J4317" s="7">
        <v>3.9119999999999999</v>
      </c>
      <c r="K4317" s="7">
        <v>2.9540000000000002</v>
      </c>
      <c r="L4317" s="7">
        <v>2.4289999999999998</v>
      </c>
      <c r="M4317" s="7">
        <v>2.694</v>
      </c>
      <c r="N4317" s="7">
        <v>3.4910000000000001</v>
      </c>
      <c r="O4317" s="7">
        <v>3.7879999999999998</v>
      </c>
      <c r="P4317" s="7">
        <v>4.984</v>
      </c>
      <c r="Q4317" s="7">
        <v>6.2910000000000004</v>
      </c>
      <c r="R4317" s="7">
        <v>6.7030000000000003</v>
      </c>
      <c r="S4317" s="7">
        <f t="shared" si="67"/>
        <v>4.5492499999999998</v>
      </c>
    </row>
    <row r="4318" spans="1:19">
      <c r="A4318" s="5" t="str">
        <f>B4318&amp;"-"&amp;COUNTIF($B$2:B4318,B4318)</f>
        <v>RIO GRANDE DO SUL-465</v>
      </c>
      <c r="B4318" s="5" t="s">
        <v>2552</v>
      </c>
      <c r="C4318" s="5" t="s">
        <v>2873</v>
      </c>
      <c r="D4318" s="6">
        <v>-515387</v>
      </c>
      <c r="E4318" s="6">
        <v>-279246</v>
      </c>
      <c r="F4318" s="7">
        <v>4.5670000000000002</v>
      </c>
      <c r="G4318" s="7">
        <v>6.2720000000000002</v>
      </c>
      <c r="H4318" s="7">
        <v>5.7590000000000003</v>
      </c>
      <c r="I4318" s="7">
        <v>4.9640000000000004</v>
      </c>
      <c r="J4318" s="7">
        <v>4.0289999999999999</v>
      </c>
      <c r="K4318" s="7">
        <v>3.0219999999999998</v>
      </c>
      <c r="L4318" s="7">
        <v>2.5939999999999999</v>
      </c>
      <c r="M4318" s="7">
        <v>2.899</v>
      </c>
      <c r="N4318" s="7">
        <v>3.6930000000000001</v>
      </c>
      <c r="O4318" s="7">
        <v>3.9119999999999999</v>
      </c>
      <c r="P4318" s="7">
        <v>4.9809999999999999</v>
      </c>
      <c r="Q4318" s="7">
        <v>6.2</v>
      </c>
      <c r="R4318" s="7">
        <v>6.48</v>
      </c>
      <c r="S4318" s="7">
        <f t="shared" si="67"/>
        <v>4.5670833333333336</v>
      </c>
    </row>
    <row r="4319" spans="1:19">
      <c r="A4319" s="5" t="str">
        <f>B4319&amp;"-"&amp;COUNTIF($B$2:B4319,B4319)</f>
        <v>RIO GRANDE DO SUL-466</v>
      </c>
      <c r="B4319" s="5" t="s">
        <v>2552</v>
      </c>
      <c r="C4319" s="5" t="s">
        <v>5401</v>
      </c>
      <c r="D4319" s="6">
        <v>-538359</v>
      </c>
      <c r="E4319" s="6">
        <v>-29081</v>
      </c>
      <c r="F4319" s="7">
        <v>4.6079999999999997</v>
      </c>
      <c r="G4319" s="7">
        <v>6.4560000000000004</v>
      </c>
      <c r="H4319" s="7">
        <v>5.99</v>
      </c>
      <c r="I4319" s="7">
        <v>5.1020000000000003</v>
      </c>
      <c r="J4319" s="7">
        <v>3.9820000000000002</v>
      </c>
      <c r="K4319" s="7">
        <v>2.9860000000000002</v>
      </c>
      <c r="L4319" s="7">
        <v>2.4660000000000002</v>
      </c>
      <c r="M4319" s="7">
        <v>2.7549999999999999</v>
      </c>
      <c r="N4319" s="7">
        <v>3.5209999999999999</v>
      </c>
      <c r="O4319" s="7">
        <v>3.94</v>
      </c>
      <c r="P4319" s="7">
        <v>5.0309999999999997</v>
      </c>
      <c r="Q4319" s="7">
        <v>6.327</v>
      </c>
      <c r="R4319" s="7">
        <v>6.7489999999999997</v>
      </c>
      <c r="S4319" s="7">
        <f t="shared" si="67"/>
        <v>4.6087499999999997</v>
      </c>
    </row>
    <row r="4320" spans="1:19">
      <c r="A4320" s="5" t="str">
        <f>B4320&amp;"-"&amp;COUNTIF($B$2:B4320,B4320)</f>
        <v>RIO GRANDE DO SUL-467</v>
      </c>
      <c r="B4320" s="5" t="s">
        <v>2552</v>
      </c>
      <c r="C4320" s="5" t="s">
        <v>2874</v>
      </c>
      <c r="D4320" s="6">
        <v>-514178</v>
      </c>
      <c r="E4320" s="6">
        <v>-294777</v>
      </c>
      <c r="F4320" s="7">
        <v>4.2910000000000004</v>
      </c>
      <c r="G4320" s="7">
        <v>6.0609999999999999</v>
      </c>
      <c r="H4320" s="7">
        <v>5.617</v>
      </c>
      <c r="I4320" s="7">
        <v>4.726</v>
      </c>
      <c r="J4320" s="7">
        <v>3.7559999999999998</v>
      </c>
      <c r="K4320" s="7">
        <v>2.7930000000000001</v>
      </c>
      <c r="L4320" s="7">
        <v>2.3410000000000002</v>
      </c>
      <c r="M4320" s="7">
        <v>2.5510000000000002</v>
      </c>
      <c r="N4320" s="7">
        <v>3.2370000000000001</v>
      </c>
      <c r="O4320" s="7">
        <v>3.5190000000000001</v>
      </c>
      <c r="P4320" s="7">
        <v>4.51</v>
      </c>
      <c r="Q4320" s="7">
        <v>6.0090000000000003</v>
      </c>
      <c r="R4320" s="7">
        <v>6.3719999999999999</v>
      </c>
      <c r="S4320" s="7">
        <f t="shared" si="67"/>
        <v>4.2909999999999995</v>
      </c>
    </row>
    <row r="4321" spans="1:19">
      <c r="A4321" s="5" t="str">
        <f>B4321&amp;"-"&amp;COUNTIF($B$2:B4321,B4321)</f>
        <v>RIO GRANDE DO SUL-468</v>
      </c>
      <c r="B4321" s="5" t="s">
        <v>2552</v>
      </c>
      <c r="C4321" s="5" t="s">
        <v>2875</v>
      </c>
      <c r="D4321" s="6">
        <v>-544819</v>
      </c>
      <c r="E4321" s="6">
        <v>-277602</v>
      </c>
      <c r="F4321" s="7">
        <v>4.6779999999999999</v>
      </c>
      <c r="G4321" s="7">
        <v>6.4969999999999999</v>
      </c>
      <c r="H4321" s="7">
        <v>6.0259999999999998</v>
      </c>
      <c r="I4321" s="7">
        <v>5.1609999999999996</v>
      </c>
      <c r="J4321" s="7">
        <v>4.0890000000000004</v>
      </c>
      <c r="K4321" s="7">
        <v>3.0990000000000002</v>
      </c>
      <c r="L4321" s="7">
        <v>2.5539999999999998</v>
      </c>
      <c r="M4321" s="7">
        <v>2.843</v>
      </c>
      <c r="N4321" s="7">
        <v>3.661</v>
      </c>
      <c r="O4321" s="7">
        <v>4.0389999999999997</v>
      </c>
      <c r="P4321" s="7">
        <v>5.1859999999999999</v>
      </c>
      <c r="Q4321" s="7">
        <v>6.2759999999999998</v>
      </c>
      <c r="R4321" s="7">
        <v>6.7039999999999997</v>
      </c>
      <c r="S4321" s="7">
        <f t="shared" si="67"/>
        <v>4.6779166666666665</v>
      </c>
    </row>
    <row r="4322" spans="1:19">
      <c r="A4322" s="5" t="str">
        <f>B4322&amp;"-"&amp;COUNTIF($B$2:B4322,B4322)</f>
        <v>RIO GRANDE DO SUL-469</v>
      </c>
      <c r="B4322" s="5" t="s">
        <v>2552</v>
      </c>
      <c r="C4322" s="5" t="s">
        <v>4768</v>
      </c>
      <c r="D4322" s="6">
        <v>-521779</v>
      </c>
      <c r="E4322" s="6">
        <v>-31422</v>
      </c>
      <c r="F4322" s="7">
        <v>4.2910000000000004</v>
      </c>
      <c r="G4322" s="7">
        <v>6.218</v>
      </c>
      <c r="H4322" s="7">
        <v>5.577</v>
      </c>
      <c r="I4322" s="7">
        <v>4.7140000000000004</v>
      </c>
      <c r="J4322" s="7">
        <v>3.65</v>
      </c>
      <c r="K4322" s="7">
        <v>2.6840000000000002</v>
      </c>
      <c r="L4322" s="7">
        <v>2.2650000000000001</v>
      </c>
      <c r="M4322" s="7">
        <v>2.4420000000000002</v>
      </c>
      <c r="N4322" s="7">
        <v>3.056</v>
      </c>
      <c r="O4322" s="7">
        <v>3.5259999999999998</v>
      </c>
      <c r="P4322" s="7">
        <v>4.7149999999999999</v>
      </c>
      <c r="Q4322" s="7">
        <v>6.069</v>
      </c>
      <c r="R4322" s="7">
        <v>6.5759999999999996</v>
      </c>
      <c r="S4322" s="7">
        <f t="shared" si="67"/>
        <v>4.2910000000000013</v>
      </c>
    </row>
    <row r="4323" spans="1:19">
      <c r="A4323" s="5" t="str">
        <f>B4323&amp;"-"&amp;COUNTIF($B$2:B4323,B4323)</f>
        <v>RIO GRANDE DO SUL-470</v>
      </c>
      <c r="B4323" s="5" t="s">
        <v>2552</v>
      </c>
      <c r="C4323" s="5" t="s">
        <v>2876</v>
      </c>
      <c r="D4323" s="6">
        <v>-546809</v>
      </c>
      <c r="E4323" s="6">
        <v>-28046</v>
      </c>
      <c r="F4323" s="7">
        <v>4.6769999999999996</v>
      </c>
      <c r="G4323" s="7">
        <v>6.5019999999999998</v>
      </c>
      <c r="H4323" s="7">
        <v>6.0449999999999999</v>
      </c>
      <c r="I4323" s="7">
        <v>5.1669999999999998</v>
      </c>
      <c r="J4323" s="7">
        <v>4.085</v>
      </c>
      <c r="K4323" s="7">
        <v>3.1080000000000001</v>
      </c>
      <c r="L4323" s="7">
        <v>2.5379999999999998</v>
      </c>
      <c r="M4323" s="7">
        <v>2.8530000000000002</v>
      </c>
      <c r="N4323" s="7">
        <v>3.6309999999999998</v>
      </c>
      <c r="O4323" s="7">
        <v>4.032</v>
      </c>
      <c r="P4323" s="7">
        <v>5.1449999999999996</v>
      </c>
      <c r="Q4323" s="7">
        <v>6.3019999999999996</v>
      </c>
      <c r="R4323" s="7">
        <v>6.7149999999999999</v>
      </c>
      <c r="S4323" s="7">
        <f t="shared" si="67"/>
        <v>4.6769166666666662</v>
      </c>
    </row>
    <row r="4324" spans="1:19">
      <c r="A4324" s="5" t="str">
        <f>B4324&amp;"-"&amp;COUNTIF($B$2:B4324,B4324)</f>
        <v>RIO GRANDE DO SUL-471</v>
      </c>
      <c r="B4324" s="5" t="s">
        <v>2552</v>
      </c>
      <c r="C4324" s="5" t="s">
        <v>4191</v>
      </c>
      <c r="D4324" s="6">
        <v>-520242</v>
      </c>
      <c r="E4324" s="6">
        <v>-287838</v>
      </c>
      <c r="F4324" s="7">
        <v>4.4509999999999996</v>
      </c>
      <c r="G4324" s="7">
        <v>6.1</v>
      </c>
      <c r="H4324" s="7">
        <v>5.8019999999999996</v>
      </c>
      <c r="I4324" s="7">
        <v>4.867</v>
      </c>
      <c r="J4324" s="7">
        <v>3.8759999999999999</v>
      </c>
      <c r="K4324" s="7">
        <v>2.8919999999999999</v>
      </c>
      <c r="L4324" s="7">
        <v>2.4159999999999999</v>
      </c>
      <c r="M4324" s="7">
        <v>2.72</v>
      </c>
      <c r="N4324" s="7">
        <v>3.472</v>
      </c>
      <c r="O4324" s="7">
        <v>3.7440000000000002</v>
      </c>
      <c r="P4324" s="7">
        <v>4.8280000000000003</v>
      </c>
      <c r="Q4324" s="7">
        <v>6.1420000000000003</v>
      </c>
      <c r="R4324" s="7">
        <v>6.5510000000000002</v>
      </c>
      <c r="S4324" s="7">
        <f t="shared" si="67"/>
        <v>4.4508333333333336</v>
      </c>
    </row>
    <row r="4325" spans="1:19">
      <c r="A4325" s="5" t="str">
        <f>B4325&amp;"-"&amp;COUNTIF($B$2:B4325,B4325)</f>
        <v>RIO GRANDE DO SUL-472</v>
      </c>
      <c r="B4325" s="5" t="s">
        <v>2552</v>
      </c>
      <c r="C4325" s="5" t="s">
        <v>2877</v>
      </c>
      <c r="D4325" s="6">
        <v>-551499</v>
      </c>
      <c r="E4325" s="6">
        <v>-290469</v>
      </c>
      <c r="F4325" s="7">
        <v>4.7329999999999997</v>
      </c>
      <c r="G4325" s="7">
        <v>6.5949999999999998</v>
      </c>
      <c r="H4325" s="7">
        <v>6.1310000000000002</v>
      </c>
      <c r="I4325" s="7">
        <v>5.2309999999999999</v>
      </c>
      <c r="J4325" s="7">
        <v>4.056</v>
      </c>
      <c r="K4325" s="7">
        <v>3.0449999999999999</v>
      </c>
      <c r="L4325" s="7">
        <v>2.52</v>
      </c>
      <c r="M4325" s="7">
        <v>2.8439999999999999</v>
      </c>
      <c r="N4325" s="7">
        <v>3.5680000000000001</v>
      </c>
      <c r="O4325" s="7">
        <v>4.0839999999999996</v>
      </c>
      <c r="P4325" s="7">
        <v>5.2729999999999997</v>
      </c>
      <c r="Q4325" s="7">
        <v>6.5010000000000003</v>
      </c>
      <c r="R4325" s="7">
        <v>6.952</v>
      </c>
      <c r="S4325" s="7">
        <f t="shared" si="67"/>
        <v>4.7333333333333325</v>
      </c>
    </row>
    <row r="4326" spans="1:19">
      <c r="A4326" s="5" t="str">
        <f>B4326&amp;"-"&amp;COUNTIF($B$2:B4326,B4326)</f>
        <v>RIO GRANDE DO SUL-473</v>
      </c>
      <c r="B4326" s="5" t="s">
        <v>2552</v>
      </c>
      <c r="C4326" s="5" t="s">
        <v>2878</v>
      </c>
      <c r="D4326" s="6">
        <v>-570858</v>
      </c>
      <c r="E4326" s="6">
        <v>-297619</v>
      </c>
      <c r="F4326" s="7">
        <v>4.8280000000000003</v>
      </c>
      <c r="G4326" s="7">
        <v>6.984</v>
      </c>
      <c r="H4326" s="7">
        <v>6.2169999999999996</v>
      </c>
      <c r="I4326" s="7">
        <v>5.2859999999999996</v>
      </c>
      <c r="J4326" s="7">
        <v>4.1280000000000001</v>
      </c>
      <c r="K4326" s="7">
        <v>3.0249999999999999</v>
      </c>
      <c r="L4326" s="7">
        <v>2.456</v>
      </c>
      <c r="M4326" s="7">
        <v>2.8079999999999998</v>
      </c>
      <c r="N4326" s="7">
        <v>3.5659999999999998</v>
      </c>
      <c r="O4326" s="7">
        <v>4.2590000000000003</v>
      </c>
      <c r="P4326" s="7">
        <v>5.5039999999999996</v>
      </c>
      <c r="Q4326" s="7">
        <v>6.55</v>
      </c>
      <c r="R4326" s="7">
        <v>7.1529999999999996</v>
      </c>
      <c r="S4326" s="7">
        <f t="shared" si="67"/>
        <v>4.8279999999999994</v>
      </c>
    </row>
    <row r="4327" spans="1:19">
      <c r="A4327" s="5" t="str">
        <f>B4327&amp;"-"&amp;COUNTIF($B$2:B4327,B4327)</f>
        <v>RIO GRANDE DO SUL-474</v>
      </c>
      <c r="B4327" s="5" t="s">
        <v>2552</v>
      </c>
      <c r="C4327" s="5" t="s">
        <v>2879</v>
      </c>
      <c r="D4327" s="6">
        <v>-509422</v>
      </c>
      <c r="E4327" s="6">
        <v>-285083</v>
      </c>
      <c r="F4327" s="7">
        <v>4.4420000000000002</v>
      </c>
      <c r="G4327" s="7">
        <v>6.0430000000000001</v>
      </c>
      <c r="H4327" s="7">
        <v>5.6710000000000003</v>
      </c>
      <c r="I4327" s="7">
        <v>4.7830000000000004</v>
      </c>
      <c r="J4327" s="7">
        <v>3.8769999999999998</v>
      </c>
      <c r="K4327" s="7">
        <v>2.9409999999999998</v>
      </c>
      <c r="L4327" s="7">
        <v>2.5</v>
      </c>
      <c r="M4327" s="7">
        <v>2.802</v>
      </c>
      <c r="N4327" s="7">
        <v>3.5920000000000001</v>
      </c>
      <c r="O4327" s="7">
        <v>3.8119999999999998</v>
      </c>
      <c r="P4327" s="7">
        <v>4.87</v>
      </c>
      <c r="Q4327" s="7">
        <v>6.093</v>
      </c>
      <c r="R4327" s="7">
        <v>6.3280000000000003</v>
      </c>
      <c r="S4327" s="7">
        <f t="shared" si="67"/>
        <v>4.4426666666666668</v>
      </c>
    </row>
    <row r="4328" spans="1:19">
      <c r="A4328" s="5" t="str">
        <f>B4328&amp;"-"&amp;COUNTIF($B$2:B4328,B4328)</f>
        <v>RIO GRANDE DO SUL-475</v>
      </c>
      <c r="B4328" s="5" t="s">
        <v>2552</v>
      </c>
      <c r="C4328" s="5" t="s">
        <v>2880</v>
      </c>
      <c r="D4328" s="6">
        <v>-526863</v>
      </c>
      <c r="E4328" s="6">
        <v>-296038</v>
      </c>
      <c r="F4328" s="7">
        <v>4.3470000000000004</v>
      </c>
      <c r="G4328" s="7">
        <v>6.093</v>
      </c>
      <c r="H4328" s="7">
        <v>5.694</v>
      </c>
      <c r="I4328" s="7">
        <v>4.8470000000000004</v>
      </c>
      <c r="J4328" s="7">
        <v>3.7759999999999998</v>
      </c>
      <c r="K4328" s="7">
        <v>2.7869999999999999</v>
      </c>
      <c r="L4328" s="7">
        <v>2.3290000000000002</v>
      </c>
      <c r="M4328" s="7">
        <v>2.5659999999999998</v>
      </c>
      <c r="N4328" s="7">
        <v>3.27</v>
      </c>
      <c r="O4328" s="7">
        <v>3.585</v>
      </c>
      <c r="P4328" s="7">
        <v>4.6859999999999999</v>
      </c>
      <c r="Q4328" s="7">
        <v>6.04</v>
      </c>
      <c r="R4328" s="7">
        <v>6.4909999999999997</v>
      </c>
      <c r="S4328" s="7">
        <f t="shared" si="67"/>
        <v>4.3469999999999995</v>
      </c>
    </row>
    <row r="4329" spans="1:19">
      <c r="A4329" s="5" t="str">
        <f>B4329&amp;"-"&amp;COUNTIF($B$2:B4329,B4329)</f>
        <v>RIO GRANDE DO SUL-476</v>
      </c>
      <c r="B4329" s="5" t="s">
        <v>2552</v>
      </c>
      <c r="C4329" s="5" t="s">
        <v>2881</v>
      </c>
      <c r="D4329" s="6">
        <v>-512569</v>
      </c>
      <c r="E4329" s="6">
        <v>-293904</v>
      </c>
      <c r="F4329" s="7">
        <v>4.33</v>
      </c>
      <c r="G4329" s="7">
        <v>6.1429999999999998</v>
      </c>
      <c r="H4329" s="7">
        <v>5.665</v>
      </c>
      <c r="I4329" s="7">
        <v>4.74</v>
      </c>
      <c r="J4329" s="7">
        <v>3.786</v>
      </c>
      <c r="K4329" s="7">
        <v>2.7989999999999999</v>
      </c>
      <c r="L4329" s="7">
        <v>2.3540000000000001</v>
      </c>
      <c r="M4329" s="7">
        <v>2.6</v>
      </c>
      <c r="N4329" s="7">
        <v>3.274</v>
      </c>
      <c r="O4329" s="7">
        <v>3.5510000000000002</v>
      </c>
      <c r="P4329" s="7">
        <v>4.5949999999999998</v>
      </c>
      <c r="Q4329" s="7">
        <v>6.0410000000000004</v>
      </c>
      <c r="R4329" s="7">
        <v>6.4160000000000004</v>
      </c>
      <c r="S4329" s="7">
        <f t="shared" si="67"/>
        <v>4.3303333333333329</v>
      </c>
    </row>
    <row r="4330" spans="1:19">
      <c r="A4330" s="5" t="str">
        <f>B4330&amp;"-"&amp;COUNTIF($B$2:B4330,B4330)</f>
        <v>RIO GRANDE DO SUL-477</v>
      </c>
      <c r="B4330" s="5" t="s">
        <v>2552</v>
      </c>
      <c r="C4330" s="5" t="s">
        <v>2882</v>
      </c>
      <c r="D4330" s="6">
        <v>-521839</v>
      </c>
      <c r="E4330" s="6">
        <v>-29787</v>
      </c>
      <c r="F4330" s="7">
        <v>4.4009999999999998</v>
      </c>
      <c r="G4330" s="7">
        <v>6.2359999999999998</v>
      </c>
      <c r="H4330" s="7">
        <v>5.8280000000000003</v>
      </c>
      <c r="I4330" s="7">
        <v>4.8540000000000001</v>
      </c>
      <c r="J4330" s="7">
        <v>3.8029999999999999</v>
      </c>
      <c r="K4330" s="7">
        <v>2.8149999999999999</v>
      </c>
      <c r="L4330" s="7">
        <v>2.3330000000000002</v>
      </c>
      <c r="M4330" s="7">
        <v>2.5510000000000002</v>
      </c>
      <c r="N4330" s="7">
        <v>3.2280000000000002</v>
      </c>
      <c r="O4330" s="7">
        <v>3.6280000000000001</v>
      </c>
      <c r="P4330" s="7">
        <v>4.7460000000000004</v>
      </c>
      <c r="Q4330" s="7">
        <v>6.1580000000000004</v>
      </c>
      <c r="R4330" s="7">
        <v>6.6340000000000003</v>
      </c>
      <c r="S4330" s="7">
        <f t="shared" si="67"/>
        <v>4.4011666666666676</v>
      </c>
    </row>
    <row r="4331" spans="1:19">
      <c r="A4331" s="5" t="str">
        <f>B4331&amp;"-"&amp;COUNTIF($B$2:B4331,B4331)</f>
        <v>RIO GRANDE DO SUL-478</v>
      </c>
      <c r="B4331" s="5" t="s">
        <v>2552</v>
      </c>
      <c r="C4331" s="5" t="s">
        <v>2883</v>
      </c>
      <c r="D4331" s="6">
        <v>-518452</v>
      </c>
      <c r="E4331" s="6">
        <v>-284763</v>
      </c>
      <c r="F4331" s="7">
        <v>4.4669999999999996</v>
      </c>
      <c r="G4331" s="7">
        <v>6.1280000000000001</v>
      </c>
      <c r="H4331" s="7">
        <v>5.6989999999999998</v>
      </c>
      <c r="I4331" s="7">
        <v>4.891</v>
      </c>
      <c r="J4331" s="7">
        <v>3.9550000000000001</v>
      </c>
      <c r="K4331" s="7">
        <v>2.9279999999999999</v>
      </c>
      <c r="L4331" s="7">
        <v>2.48</v>
      </c>
      <c r="M4331" s="7">
        <v>2.7959999999999998</v>
      </c>
      <c r="N4331" s="7">
        <v>3.51</v>
      </c>
      <c r="O4331" s="7">
        <v>3.7730000000000001</v>
      </c>
      <c r="P4331" s="7">
        <v>4.8810000000000002</v>
      </c>
      <c r="Q4331" s="7">
        <v>6.0979999999999999</v>
      </c>
      <c r="R4331" s="7">
        <v>6.4649999999999999</v>
      </c>
      <c r="S4331" s="7">
        <f t="shared" si="67"/>
        <v>4.4669999999999996</v>
      </c>
    </row>
    <row r="4332" spans="1:19">
      <c r="A4332" s="5" t="str">
        <f>B4332&amp;"-"&amp;COUNTIF($B$2:B4332,B4332)</f>
        <v>RIO GRANDE DO SUL-479</v>
      </c>
      <c r="B4332" s="5" t="s">
        <v>2552</v>
      </c>
      <c r="C4332" s="5" t="s">
        <v>5015</v>
      </c>
      <c r="D4332" s="6">
        <v>-521936</v>
      </c>
      <c r="E4332" s="6">
        <v>-296148</v>
      </c>
      <c r="F4332" s="7">
        <v>4.3310000000000004</v>
      </c>
      <c r="G4332" s="7">
        <v>6.0410000000000004</v>
      </c>
      <c r="H4332" s="7">
        <v>5.71</v>
      </c>
      <c r="I4332" s="7">
        <v>4.7839999999999998</v>
      </c>
      <c r="J4332" s="7">
        <v>3.7970000000000002</v>
      </c>
      <c r="K4332" s="7">
        <v>2.786</v>
      </c>
      <c r="L4332" s="7">
        <v>2.3170000000000002</v>
      </c>
      <c r="M4332" s="7">
        <v>2.5379999999999998</v>
      </c>
      <c r="N4332" s="7">
        <v>3.2559999999999998</v>
      </c>
      <c r="O4332" s="7">
        <v>3.5880000000000001</v>
      </c>
      <c r="P4332" s="7">
        <v>4.6210000000000004</v>
      </c>
      <c r="Q4332" s="7">
        <v>6.07</v>
      </c>
      <c r="R4332" s="7">
        <v>6.4619999999999997</v>
      </c>
      <c r="S4332" s="7">
        <f t="shared" si="67"/>
        <v>4.3308333333333335</v>
      </c>
    </row>
    <row r="4333" spans="1:19">
      <c r="A4333" s="5" t="str">
        <f>B4333&amp;"-"&amp;COUNTIF($B$2:B4333,B4333)</f>
        <v>RIO GRANDE DO SUL-480</v>
      </c>
      <c r="B4333" s="5" t="s">
        <v>2552</v>
      </c>
      <c r="C4333" s="5" t="s">
        <v>553</v>
      </c>
      <c r="D4333" s="6">
        <v>-525156</v>
      </c>
      <c r="E4333" s="6">
        <v>-297189</v>
      </c>
      <c r="F4333" s="7">
        <v>4.3630000000000004</v>
      </c>
      <c r="G4333" s="7">
        <v>6.1470000000000002</v>
      </c>
      <c r="H4333" s="7">
        <v>5.7539999999999996</v>
      </c>
      <c r="I4333" s="7">
        <v>4.8620000000000001</v>
      </c>
      <c r="J4333" s="7">
        <v>3.7839999999999998</v>
      </c>
      <c r="K4333" s="7">
        <v>2.79</v>
      </c>
      <c r="L4333" s="7">
        <v>2.3199999999999998</v>
      </c>
      <c r="M4333" s="7">
        <v>2.5339999999999998</v>
      </c>
      <c r="N4333" s="7">
        <v>3.234</v>
      </c>
      <c r="O4333" s="7">
        <v>3.59</v>
      </c>
      <c r="P4333" s="7">
        <v>4.7050000000000001</v>
      </c>
      <c r="Q4333" s="7">
        <v>6.0890000000000004</v>
      </c>
      <c r="R4333" s="7">
        <v>6.5529999999999999</v>
      </c>
      <c r="S4333" s="7">
        <f t="shared" si="67"/>
        <v>4.3634999999999993</v>
      </c>
    </row>
    <row r="4334" spans="1:19">
      <c r="A4334" s="5" t="str">
        <f>B4334&amp;"-"&amp;COUNTIF($B$2:B4334,B4334)</f>
        <v>RIO GRANDE DO SUL-481</v>
      </c>
      <c r="B4334" s="5" t="s">
        <v>2552</v>
      </c>
      <c r="C4334" s="5" t="s">
        <v>5215</v>
      </c>
      <c r="D4334" s="6">
        <v>-515521</v>
      </c>
      <c r="E4334" s="6">
        <v>-289317</v>
      </c>
      <c r="F4334" s="7">
        <v>4.4210000000000003</v>
      </c>
      <c r="G4334" s="7">
        <v>6.1210000000000004</v>
      </c>
      <c r="H4334" s="7">
        <v>5.6929999999999996</v>
      </c>
      <c r="I4334" s="7">
        <v>4.8239999999999998</v>
      </c>
      <c r="J4334" s="7">
        <v>3.8540000000000001</v>
      </c>
      <c r="K4334" s="7">
        <v>2.8860000000000001</v>
      </c>
      <c r="L4334" s="7">
        <v>2.4289999999999998</v>
      </c>
      <c r="M4334" s="7">
        <v>2.7229999999999999</v>
      </c>
      <c r="N4334" s="7">
        <v>3.4550000000000001</v>
      </c>
      <c r="O4334" s="7">
        <v>3.722</v>
      </c>
      <c r="P4334" s="7">
        <v>4.782</v>
      </c>
      <c r="Q4334" s="7">
        <v>6.1189999999999998</v>
      </c>
      <c r="R4334" s="7">
        <v>6.444</v>
      </c>
      <c r="S4334" s="7">
        <f t="shared" si="67"/>
        <v>4.4209999999999994</v>
      </c>
    </row>
    <row r="4335" spans="1:19">
      <c r="A4335" s="5" t="str">
        <f>B4335&amp;"-"&amp;COUNTIF($B$2:B4335,B4335)</f>
        <v>RIO GRANDE DO SUL-482</v>
      </c>
      <c r="B4335" s="5" t="s">
        <v>2552</v>
      </c>
      <c r="C4335" s="5" t="s">
        <v>5329</v>
      </c>
      <c r="D4335" s="6">
        <v>-518589</v>
      </c>
      <c r="E4335" s="6">
        <v>-29068</v>
      </c>
      <c r="F4335" s="7">
        <v>4.3940000000000001</v>
      </c>
      <c r="G4335" s="7">
        <v>6.1840000000000002</v>
      </c>
      <c r="H4335" s="7">
        <v>5.7480000000000002</v>
      </c>
      <c r="I4335" s="7">
        <v>4.84</v>
      </c>
      <c r="J4335" s="7">
        <v>3.806</v>
      </c>
      <c r="K4335" s="7">
        <v>2.835</v>
      </c>
      <c r="L4335" s="7">
        <v>2.3639999999999999</v>
      </c>
      <c r="M4335" s="7">
        <v>2.64</v>
      </c>
      <c r="N4335" s="7">
        <v>3.379</v>
      </c>
      <c r="O4335" s="7">
        <v>3.6629999999999998</v>
      </c>
      <c r="P4335" s="7">
        <v>4.7089999999999996</v>
      </c>
      <c r="Q4335" s="7">
        <v>6.0869999999999997</v>
      </c>
      <c r="R4335" s="7">
        <v>6.476</v>
      </c>
      <c r="S4335" s="7">
        <f t="shared" si="67"/>
        <v>4.3942500000000004</v>
      </c>
    </row>
    <row r="4336" spans="1:19">
      <c r="A4336" s="5" t="str">
        <f>B4336&amp;"-"&amp;COUNTIF($B$2:B4336,B4336)</f>
        <v>RIO GRANDE DO SUL-483</v>
      </c>
      <c r="B4336" s="5" t="s">
        <v>2552</v>
      </c>
      <c r="C4336" s="5" t="s">
        <v>2884</v>
      </c>
      <c r="D4336" s="6">
        <v>-520216</v>
      </c>
      <c r="E4336" s="6">
        <v>-27572</v>
      </c>
      <c r="F4336" s="7">
        <v>4.5910000000000002</v>
      </c>
      <c r="G4336" s="7">
        <v>6.2629999999999999</v>
      </c>
      <c r="H4336" s="7">
        <v>5.77</v>
      </c>
      <c r="I4336" s="7">
        <v>5.0060000000000002</v>
      </c>
      <c r="J4336" s="7">
        <v>4.0449999999999999</v>
      </c>
      <c r="K4336" s="7">
        <v>3.0659999999999998</v>
      </c>
      <c r="L4336" s="7">
        <v>2.5739999999999998</v>
      </c>
      <c r="M4336" s="7">
        <v>2.911</v>
      </c>
      <c r="N4336" s="7">
        <v>3.7149999999999999</v>
      </c>
      <c r="O4336" s="7">
        <v>3.9689999999999999</v>
      </c>
      <c r="P4336" s="7">
        <v>5.05</v>
      </c>
      <c r="Q4336" s="7">
        <v>6.2169999999999996</v>
      </c>
      <c r="R4336" s="7">
        <v>6.5060000000000002</v>
      </c>
      <c r="S4336" s="7">
        <f t="shared" si="67"/>
        <v>4.5910000000000002</v>
      </c>
    </row>
    <row r="4337" spans="1:19">
      <c r="A4337" s="5" t="str">
        <f>B4337&amp;"-"&amp;COUNTIF($B$2:B4337,B4337)</f>
        <v>RIO GRANDE DO SUL-484</v>
      </c>
      <c r="B4337" s="5" t="s">
        <v>2552</v>
      </c>
      <c r="C4337" s="5" t="s">
        <v>4192</v>
      </c>
      <c r="D4337" s="6">
        <v>-510199</v>
      </c>
      <c r="E4337" s="6">
        <v>-300824</v>
      </c>
      <c r="F4337" s="7">
        <v>4.375</v>
      </c>
      <c r="G4337" s="7">
        <v>6.3520000000000003</v>
      </c>
      <c r="H4337" s="7">
        <v>5.7439999999999998</v>
      </c>
      <c r="I4337" s="7">
        <v>4.774</v>
      </c>
      <c r="J4337" s="7">
        <v>3.78</v>
      </c>
      <c r="K4337" s="7">
        <v>2.76</v>
      </c>
      <c r="L4337" s="7">
        <v>2.3130000000000002</v>
      </c>
      <c r="M4337" s="7">
        <v>2.516</v>
      </c>
      <c r="N4337" s="7">
        <v>3.1749999999999998</v>
      </c>
      <c r="O4337" s="7">
        <v>3.5630000000000002</v>
      </c>
      <c r="P4337" s="7">
        <v>4.75</v>
      </c>
      <c r="Q4337" s="7">
        <v>6.181</v>
      </c>
      <c r="R4337" s="7">
        <v>6.593</v>
      </c>
      <c r="S4337" s="7">
        <f t="shared" si="67"/>
        <v>4.3750833333333334</v>
      </c>
    </row>
    <row r="4338" spans="1:19">
      <c r="A4338" s="5" t="str">
        <f>B4338&amp;"-"&amp;COUNTIF($B$2:B4338,B4338)</f>
        <v>RIO GRANDE DO SUL-485</v>
      </c>
      <c r="B4338" s="5" t="s">
        <v>2552</v>
      </c>
      <c r="C4338" s="5" t="s">
        <v>2885</v>
      </c>
      <c r="D4338" s="6">
        <v>-534027</v>
      </c>
      <c r="E4338" s="6">
        <v>-271612</v>
      </c>
      <c r="F4338" s="7">
        <v>4.6399999999999997</v>
      </c>
      <c r="G4338" s="7">
        <v>6.4290000000000003</v>
      </c>
      <c r="H4338" s="7">
        <v>5.8570000000000002</v>
      </c>
      <c r="I4338" s="7">
        <v>5.1550000000000002</v>
      </c>
      <c r="J4338" s="7">
        <v>4.0410000000000004</v>
      </c>
      <c r="K4338" s="7">
        <v>3.0960000000000001</v>
      </c>
      <c r="L4338" s="7">
        <v>2.5409999999999999</v>
      </c>
      <c r="M4338" s="7">
        <v>2.8570000000000002</v>
      </c>
      <c r="N4338" s="7">
        <v>3.7309999999999999</v>
      </c>
      <c r="O4338" s="7">
        <v>4.01</v>
      </c>
      <c r="P4338" s="7">
        <v>5.1719999999999997</v>
      </c>
      <c r="Q4338" s="7">
        <v>6.2009999999999996</v>
      </c>
      <c r="R4338" s="7">
        <v>6.5880000000000001</v>
      </c>
      <c r="S4338" s="7">
        <f t="shared" si="67"/>
        <v>4.6398333333333328</v>
      </c>
    </row>
    <row r="4339" spans="1:19">
      <c r="A4339" s="5" t="str">
        <f>B4339&amp;"-"&amp;COUNTIF($B$2:B4339,B4339)</f>
        <v>RIO GRANDE DO SUL-486</v>
      </c>
      <c r="B4339" s="5" t="s">
        <v>2552</v>
      </c>
      <c r="C4339" s="5" t="s">
        <v>2886</v>
      </c>
      <c r="D4339" s="5" t="s">
        <v>2887</v>
      </c>
      <c r="E4339" s="6">
        <v>-285636</v>
      </c>
      <c r="F4339" s="7">
        <v>4.5720000000000001</v>
      </c>
      <c r="G4339" s="7">
        <v>6.3540000000000001</v>
      </c>
      <c r="H4339" s="7">
        <v>5.9160000000000004</v>
      </c>
      <c r="I4339" s="7">
        <v>5.0110000000000001</v>
      </c>
      <c r="J4339" s="7">
        <v>3.9689999999999999</v>
      </c>
      <c r="K4339" s="7">
        <v>3.0150000000000001</v>
      </c>
      <c r="L4339" s="7">
        <v>2.4830000000000001</v>
      </c>
      <c r="M4339" s="7">
        <v>2.7759999999999998</v>
      </c>
      <c r="N4339" s="7">
        <v>3.556</v>
      </c>
      <c r="O4339" s="7">
        <v>3.843</v>
      </c>
      <c r="P4339" s="7">
        <v>5.03</v>
      </c>
      <c r="Q4339" s="7">
        <v>6.27</v>
      </c>
      <c r="R4339" s="7">
        <v>6.6429999999999998</v>
      </c>
      <c r="S4339" s="7">
        <f t="shared" si="67"/>
        <v>4.5721666666666669</v>
      </c>
    </row>
    <row r="4340" spans="1:19">
      <c r="A4340" s="5" t="str">
        <f>B4340&amp;"-"&amp;COUNTIF($B$2:B4340,B4340)</f>
        <v>RIO GRANDE DO SUL-487</v>
      </c>
      <c r="B4340" s="5" t="s">
        <v>2552</v>
      </c>
      <c r="C4340" s="5" t="s">
        <v>2888</v>
      </c>
      <c r="D4340" s="6">
        <v>-515508</v>
      </c>
      <c r="E4340" s="6">
        <v>-288603</v>
      </c>
      <c r="F4340" s="7">
        <v>4.4210000000000003</v>
      </c>
      <c r="G4340" s="7">
        <v>6.1210000000000004</v>
      </c>
      <c r="H4340" s="7">
        <v>5.6929999999999996</v>
      </c>
      <c r="I4340" s="7">
        <v>4.8239999999999998</v>
      </c>
      <c r="J4340" s="7">
        <v>3.8540000000000001</v>
      </c>
      <c r="K4340" s="7">
        <v>2.8860000000000001</v>
      </c>
      <c r="L4340" s="7">
        <v>2.4289999999999998</v>
      </c>
      <c r="M4340" s="7">
        <v>2.7229999999999999</v>
      </c>
      <c r="N4340" s="7">
        <v>3.4550000000000001</v>
      </c>
      <c r="O4340" s="7">
        <v>3.722</v>
      </c>
      <c r="P4340" s="7">
        <v>4.782</v>
      </c>
      <c r="Q4340" s="7">
        <v>6.1189999999999998</v>
      </c>
      <c r="R4340" s="7">
        <v>6.444</v>
      </c>
      <c r="S4340" s="7">
        <f t="shared" si="67"/>
        <v>4.4209999999999994</v>
      </c>
    </row>
    <row r="4341" spans="1:19">
      <c r="A4341" s="5" t="str">
        <f>B4341&amp;"-"&amp;COUNTIF($B$2:B4341,B4341)</f>
        <v>RIO GRANDE DO SUL-488</v>
      </c>
      <c r="B4341" s="5" t="s">
        <v>2552</v>
      </c>
      <c r="C4341" s="5" t="s">
        <v>5016</v>
      </c>
      <c r="D4341" s="6">
        <v>-521442</v>
      </c>
      <c r="E4341" s="6">
        <v>-281067</v>
      </c>
      <c r="F4341" s="7">
        <v>4.55</v>
      </c>
      <c r="G4341" s="7">
        <v>6.226</v>
      </c>
      <c r="H4341" s="7">
        <v>5.8170000000000002</v>
      </c>
      <c r="I4341" s="7">
        <v>4.9329999999999998</v>
      </c>
      <c r="J4341" s="7">
        <v>4.0270000000000001</v>
      </c>
      <c r="K4341" s="7">
        <v>3.0329999999999999</v>
      </c>
      <c r="L4341" s="7">
        <v>2.5129999999999999</v>
      </c>
      <c r="M4341" s="7">
        <v>2.8519999999999999</v>
      </c>
      <c r="N4341" s="7">
        <v>3.6419999999999999</v>
      </c>
      <c r="O4341" s="7">
        <v>3.8889999999999998</v>
      </c>
      <c r="P4341" s="7">
        <v>5.0090000000000003</v>
      </c>
      <c r="Q4341" s="7">
        <v>6.16</v>
      </c>
      <c r="R4341" s="7">
        <v>6.5</v>
      </c>
      <c r="S4341" s="7">
        <f t="shared" si="67"/>
        <v>4.5500833333333333</v>
      </c>
    </row>
    <row r="4342" spans="1:19">
      <c r="A4342" s="5" t="str">
        <f>B4342&amp;"-"&amp;COUNTIF($B$2:B4342,B4342)</f>
        <v>RIO GRANDE DO SUL-489</v>
      </c>
      <c r="B4342" s="5" t="s">
        <v>2552</v>
      </c>
      <c r="C4342" s="5" t="s">
        <v>2889</v>
      </c>
      <c r="D4342" s="6">
        <v>-521491</v>
      </c>
      <c r="E4342" s="6">
        <v>-285363</v>
      </c>
      <c r="F4342" s="7">
        <v>4.5049999999999999</v>
      </c>
      <c r="G4342" s="7">
        <v>6.1710000000000003</v>
      </c>
      <c r="H4342" s="7">
        <v>5.7649999999999997</v>
      </c>
      <c r="I4342" s="7">
        <v>4.931</v>
      </c>
      <c r="J4342" s="7">
        <v>3.968</v>
      </c>
      <c r="K4342" s="7">
        <v>2.9729999999999999</v>
      </c>
      <c r="L4342" s="7">
        <v>2.4830000000000001</v>
      </c>
      <c r="M4342" s="7">
        <v>2.7869999999999999</v>
      </c>
      <c r="N4342" s="7">
        <v>3.52</v>
      </c>
      <c r="O4342" s="7">
        <v>3.7949999999999999</v>
      </c>
      <c r="P4342" s="7">
        <v>4.9470000000000001</v>
      </c>
      <c r="Q4342" s="7">
        <v>6.1619999999999999</v>
      </c>
      <c r="R4342" s="7">
        <v>6.5579999999999998</v>
      </c>
      <c r="S4342" s="7">
        <f t="shared" si="67"/>
        <v>4.5049999999999999</v>
      </c>
    </row>
    <row r="4343" spans="1:19">
      <c r="A4343" s="5" t="str">
        <f>B4343&amp;"-"&amp;COUNTIF($B$2:B4343,B4343)</f>
        <v>RIO GRANDE DO SUL-490</v>
      </c>
      <c r="B4343" s="5" t="s">
        <v>2552</v>
      </c>
      <c r="C4343" s="5" t="s">
        <v>2890</v>
      </c>
      <c r="D4343" s="6">
        <v>-538772</v>
      </c>
      <c r="E4343" s="6">
        <v>-303486</v>
      </c>
      <c r="F4343" s="7">
        <v>4.5999999999999996</v>
      </c>
      <c r="G4343" s="7">
        <v>6.5469999999999997</v>
      </c>
      <c r="H4343" s="7">
        <v>6.0750000000000002</v>
      </c>
      <c r="I4343" s="7">
        <v>5.1079999999999997</v>
      </c>
      <c r="J4343" s="7">
        <v>3.9390000000000001</v>
      </c>
      <c r="K4343" s="7">
        <v>2.843</v>
      </c>
      <c r="L4343" s="7">
        <v>2.3809999999999998</v>
      </c>
      <c r="M4343" s="7">
        <v>2.6019999999999999</v>
      </c>
      <c r="N4343" s="7">
        <v>3.3450000000000002</v>
      </c>
      <c r="O4343" s="7">
        <v>3.8650000000000002</v>
      </c>
      <c r="P4343" s="7">
        <v>5.1180000000000003</v>
      </c>
      <c r="Q4343" s="7">
        <v>6.4119999999999999</v>
      </c>
      <c r="R4343" s="7">
        <v>6.9589999999999996</v>
      </c>
      <c r="S4343" s="7">
        <f t="shared" si="67"/>
        <v>4.5994999999999999</v>
      </c>
    </row>
    <row r="4344" spans="1:19">
      <c r="A4344" s="5" t="str">
        <f>B4344&amp;"-"&amp;COUNTIF($B$2:B4344,B4344)</f>
        <v>RIO GRANDE DO SUL-491</v>
      </c>
      <c r="B4344" s="5" t="s">
        <v>2552</v>
      </c>
      <c r="C4344" s="5" t="s">
        <v>2891</v>
      </c>
      <c r="D4344" s="6">
        <v>-534923</v>
      </c>
      <c r="E4344" s="6">
        <v>-273691</v>
      </c>
      <c r="F4344" s="7">
        <v>4.6500000000000004</v>
      </c>
      <c r="G4344" s="7">
        <v>6.43</v>
      </c>
      <c r="H4344" s="7">
        <v>5.8449999999999998</v>
      </c>
      <c r="I4344" s="7">
        <v>5.14</v>
      </c>
      <c r="J4344" s="7">
        <v>4.0730000000000004</v>
      </c>
      <c r="K4344" s="7">
        <v>3.1160000000000001</v>
      </c>
      <c r="L4344" s="7">
        <v>2.581</v>
      </c>
      <c r="M4344" s="7">
        <v>2.9060000000000001</v>
      </c>
      <c r="N4344" s="7">
        <v>3.7320000000000002</v>
      </c>
      <c r="O4344" s="7">
        <v>3.9870000000000001</v>
      </c>
      <c r="P4344" s="7">
        <v>5.1849999999999996</v>
      </c>
      <c r="Q4344" s="7">
        <v>6.2030000000000003</v>
      </c>
      <c r="R4344" s="7">
        <v>6.5970000000000004</v>
      </c>
      <c r="S4344" s="7">
        <f t="shared" si="67"/>
        <v>4.6495833333333341</v>
      </c>
    </row>
    <row r="4345" spans="1:19">
      <c r="A4345" s="5" t="str">
        <f>B4345&amp;"-"&amp;COUNTIF($B$2:B4345,B4345)</f>
        <v>RIO GRANDE DO SUL-492</v>
      </c>
      <c r="B4345" s="5" t="s">
        <v>2552</v>
      </c>
      <c r="C4345" s="5" t="s">
        <v>2892</v>
      </c>
      <c r="D4345" s="6">
        <v>-517951</v>
      </c>
      <c r="E4345" s="6">
        <v>-288057</v>
      </c>
      <c r="F4345" s="7">
        <v>4.4409999999999998</v>
      </c>
      <c r="G4345" s="7">
        <v>6.1550000000000002</v>
      </c>
      <c r="H4345" s="7">
        <v>5.7709999999999999</v>
      </c>
      <c r="I4345" s="7">
        <v>4.827</v>
      </c>
      <c r="J4345" s="7">
        <v>3.8780000000000001</v>
      </c>
      <c r="K4345" s="7">
        <v>2.8940000000000001</v>
      </c>
      <c r="L4345" s="7">
        <v>2.4260000000000002</v>
      </c>
      <c r="M4345" s="7">
        <v>2.7370000000000001</v>
      </c>
      <c r="N4345" s="7">
        <v>3.464</v>
      </c>
      <c r="O4345" s="7">
        <v>3.7290000000000001</v>
      </c>
      <c r="P4345" s="7">
        <v>4.79</v>
      </c>
      <c r="Q4345" s="7">
        <v>6.1269999999999998</v>
      </c>
      <c r="R4345" s="7">
        <v>6.4989999999999997</v>
      </c>
      <c r="S4345" s="7">
        <f t="shared" si="67"/>
        <v>4.441416666666667</v>
      </c>
    </row>
    <row r="4346" spans="1:19">
      <c r="A4346" s="5" t="str">
        <f>B4346&amp;"-"&amp;COUNTIF($B$2:B4346,B4346)</f>
        <v>RIO GRANDE DO SUL-493</v>
      </c>
      <c r="B4346" s="5" t="s">
        <v>2552</v>
      </c>
      <c r="C4346" s="5" t="s">
        <v>4876</v>
      </c>
      <c r="D4346" s="6">
        <v>-536978</v>
      </c>
      <c r="E4346" s="6">
        <v>-272907</v>
      </c>
      <c r="F4346" s="7">
        <v>4.6509999999999998</v>
      </c>
      <c r="G4346" s="7">
        <v>6.4749999999999996</v>
      </c>
      <c r="H4346" s="7">
        <v>5.859</v>
      </c>
      <c r="I4346" s="7">
        <v>5.165</v>
      </c>
      <c r="J4346" s="7">
        <v>4.0449999999999999</v>
      </c>
      <c r="K4346" s="7">
        <v>3.0920000000000001</v>
      </c>
      <c r="L4346" s="7">
        <v>2.5579999999999998</v>
      </c>
      <c r="M4346" s="7">
        <v>2.8980000000000001</v>
      </c>
      <c r="N4346" s="7">
        <v>3.7160000000000002</v>
      </c>
      <c r="O4346" s="7">
        <v>4</v>
      </c>
      <c r="P4346" s="7">
        <v>5.1950000000000003</v>
      </c>
      <c r="Q4346" s="7">
        <v>6.1929999999999996</v>
      </c>
      <c r="R4346" s="7">
        <v>6.6109999999999998</v>
      </c>
      <c r="S4346" s="7">
        <f t="shared" si="67"/>
        <v>4.6505833333333326</v>
      </c>
    </row>
    <row r="4347" spans="1:19">
      <c r="A4347" s="5" t="str">
        <f>B4347&amp;"-"&amp;COUNTIF($B$2:B4347,B4347)</f>
        <v>RIO GRANDE DO SUL-494</v>
      </c>
      <c r="B4347" s="5" t="s">
        <v>2552</v>
      </c>
      <c r="C4347" s="5" t="s">
        <v>5453</v>
      </c>
      <c r="D4347" s="6">
        <v>-544959</v>
      </c>
      <c r="E4347" s="6">
        <v>-28351</v>
      </c>
      <c r="F4347" s="7">
        <v>4.681</v>
      </c>
      <c r="G4347" s="7">
        <v>6.5540000000000003</v>
      </c>
      <c r="H4347" s="7">
        <v>6.1130000000000004</v>
      </c>
      <c r="I4347" s="7">
        <v>5.1920000000000002</v>
      </c>
      <c r="J4347" s="7">
        <v>4.0510000000000002</v>
      </c>
      <c r="K4347" s="7">
        <v>3.0640000000000001</v>
      </c>
      <c r="L4347" s="7">
        <v>2.508</v>
      </c>
      <c r="M4347" s="7">
        <v>2.8180000000000001</v>
      </c>
      <c r="N4347" s="7">
        <v>3.5960000000000001</v>
      </c>
      <c r="O4347" s="7">
        <v>4.0199999999999996</v>
      </c>
      <c r="P4347" s="7">
        <v>5.1349999999999998</v>
      </c>
      <c r="Q4347" s="7">
        <v>6.3579999999999997</v>
      </c>
      <c r="R4347" s="7">
        <v>6.7590000000000003</v>
      </c>
      <c r="S4347" s="7">
        <f t="shared" si="67"/>
        <v>4.6806666666666663</v>
      </c>
    </row>
    <row r="4348" spans="1:19">
      <c r="A4348" s="5" t="str">
        <f>B4348&amp;"-"&amp;COUNTIF($B$2:B4348,B4348)</f>
        <v>RIO GRANDE DO SUL-495</v>
      </c>
      <c r="B4348" s="5" t="s">
        <v>2552</v>
      </c>
      <c r="C4348" s="5" t="s">
        <v>5730</v>
      </c>
      <c r="D4348" s="6">
        <v>-517649</v>
      </c>
      <c r="E4348" s="6">
        <v>-294268</v>
      </c>
      <c r="F4348" s="7">
        <v>4.3579999999999997</v>
      </c>
      <c r="G4348" s="7">
        <v>6.2119999999999997</v>
      </c>
      <c r="H4348" s="7">
        <v>5.7140000000000004</v>
      </c>
      <c r="I4348" s="7">
        <v>4.8079999999999998</v>
      </c>
      <c r="J4348" s="7">
        <v>3.7749999999999999</v>
      </c>
      <c r="K4348" s="7">
        <v>2.8069999999999999</v>
      </c>
      <c r="L4348" s="7">
        <v>2.3340000000000001</v>
      </c>
      <c r="M4348" s="7">
        <v>2.589</v>
      </c>
      <c r="N4348" s="7">
        <v>3.298</v>
      </c>
      <c r="O4348" s="7">
        <v>3.5670000000000002</v>
      </c>
      <c r="P4348" s="7">
        <v>4.6429999999999998</v>
      </c>
      <c r="Q4348" s="7">
        <v>6.1029999999999998</v>
      </c>
      <c r="R4348" s="7">
        <v>6.45</v>
      </c>
      <c r="S4348" s="7">
        <f t="shared" si="67"/>
        <v>4.3583333333333334</v>
      </c>
    </row>
    <row r="4349" spans="1:19">
      <c r="A4349" s="5" t="str">
        <f>B4349&amp;"-"&amp;COUNTIF($B$2:B4349,B4349)</f>
        <v>RIO GRANDE DO SUL-496</v>
      </c>
      <c r="B4349" s="5" t="s">
        <v>2552</v>
      </c>
      <c r="C4349" s="5" t="s">
        <v>5731</v>
      </c>
      <c r="D4349" s="6">
        <v>-500438</v>
      </c>
      <c r="E4349" s="6">
        <v>-29801</v>
      </c>
      <c r="F4349" s="7">
        <v>4.3559999999999999</v>
      </c>
      <c r="G4349" s="7">
        <v>6.2569999999999997</v>
      </c>
      <c r="H4349" s="7">
        <v>5.5940000000000003</v>
      </c>
      <c r="I4349" s="7">
        <v>4.7309999999999999</v>
      </c>
      <c r="J4349" s="7">
        <v>3.8860000000000001</v>
      </c>
      <c r="K4349" s="7">
        <v>2.9089999999999998</v>
      </c>
      <c r="L4349" s="7">
        <v>2.4169999999999998</v>
      </c>
      <c r="M4349" s="7">
        <v>2.6160000000000001</v>
      </c>
      <c r="N4349" s="7">
        <v>3.2330000000000001</v>
      </c>
      <c r="O4349" s="7">
        <v>3.573</v>
      </c>
      <c r="P4349" s="7">
        <v>4.6079999999999997</v>
      </c>
      <c r="Q4349" s="7">
        <v>6.0190000000000001</v>
      </c>
      <c r="R4349" s="7">
        <v>6.4249999999999998</v>
      </c>
      <c r="S4349" s="7">
        <f t="shared" si="67"/>
        <v>4.3556666666666652</v>
      </c>
    </row>
    <row r="4350" spans="1:19">
      <c r="A4350" s="5" t="str">
        <f>B4350&amp;"-"&amp;COUNTIF($B$2:B4350,B4350)</f>
        <v>RONDONIA-1</v>
      </c>
      <c r="B4350" s="5" t="s">
        <v>2893</v>
      </c>
      <c r="C4350" s="5" t="s">
        <v>2894</v>
      </c>
      <c r="D4350" s="6">
        <v>-619958</v>
      </c>
      <c r="E4350" s="6">
        <v>-119287</v>
      </c>
      <c r="F4350" s="7">
        <v>4.6349999999999998</v>
      </c>
      <c r="G4350" s="7">
        <v>4.4139999999999997</v>
      </c>
      <c r="H4350" s="7">
        <v>4.3860000000000001</v>
      </c>
      <c r="I4350" s="7">
        <v>4.4939999999999998</v>
      </c>
      <c r="J4350" s="7">
        <v>4.5359999999999996</v>
      </c>
      <c r="K4350" s="7">
        <v>4.1059999999999999</v>
      </c>
      <c r="L4350" s="7">
        <v>4.3230000000000004</v>
      </c>
      <c r="M4350" s="7">
        <v>4.4569999999999999</v>
      </c>
      <c r="N4350" s="7">
        <v>4.9809999999999999</v>
      </c>
      <c r="O4350" s="7">
        <v>4.9859999999999998</v>
      </c>
      <c r="P4350" s="7">
        <v>5.1630000000000003</v>
      </c>
      <c r="Q4350" s="7">
        <v>5.008</v>
      </c>
      <c r="R4350" s="7">
        <v>4.76</v>
      </c>
      <c r="S4350" s="7">
        <f t="shared" si="67"/>
        <v>4.6345000000000001</v>
      </c>
    </row>
    <row r="4351" spans="1:19">
      <c r="A4351" s="5" t="str">
        <f>B4351&amp;"-"&amp;COUNTIF($B$2:B4351,B4351)</f>
        <v>RONDONIA-2</v>
      </c>
      <c r="B4351" s="5" t="s">
        <v>2893</v>
      </c>
      <c r="C4351" s="5" t="s">
        <v>2895</v>
      </c>
      <c r="D4351" s="6">
        <v>-618379</v>
      </c>
      <c r="E4351" s="6">
        <v>-121405</v>
      </c>
      <c r="F4351" s="7">
        <v>4.6239999999999997</v>
      </c>
      <c r="G4351" s="7">
        <v>4.4550000000000001</v>
      </c>
      <c r="H4351" s="7">
        <v>4.3949999999999996</v>
      </c>
      <c r="I4351" s="7">
        <v>4.4260000000000002</v>
      </c>
      <c r="J4351" s="7">
        <v>4.4870000000000001</v>
      </c>
      <c r="K4351" s="7">
        <v>4.0869999999999997</v>
      </c>
      <c r="L4351" s="7">
        <v>4.3109999999999999</v>
      </c>
      <c r="M4351" s="7">
        <v>4.4539999999999997</v>
      </c>
      <c r="N4351" s="7">
        <v>4.9960000000000004</v>
      </c>
      <c r="O4351" s="7">
        <v>5.0190000000000001</v>
      </c>
      <c r="P4351" s="7">
        <v>5.1319999999999997</v>
      </c>
      <c r="Q4351" s="7">
        <v>4.9640000000000004</v>
      </c>
      <c r="R4351" s="7">
        <v>4.7619999999999996</v>
      </c>
      <c r="S4351" s="7">
        <f t="shared" si="67"/>
        <v>4.6239999999999997</v>
      </c>
    </row>
    <row r="4352" spans="1:19">
      <c r="A4352" s="5" t="str">
        <f>B4352&amp;"-"&amp;COUNTIF($B$2:B4352,B4352)</f>
        <v>RONDONIA-3</v>
      </c>
      <c r="B4352" s="5" t="s">
        <v>2893</v>
      </c>
      <c r="C4352" s="5" t="s">
        <v>1924</v>
      </c>
      <c r="D4352" s="6">
        <v>-633193</v>
      </c>
      <c r="E4352" s="6">
        <v>-97147</v>
      </c>
      <c r="F4352" s="7">
        <v>4.5140000000000002</v>
      </c>
      <c r="G4352" s="7">
        <v>4.3010000000000002</v>
      </c>
      <c r="H4352" s="7">
        <v>4.3760000000000003</v>
      </c>
      <c r="I4352" s="7">
        <v>4.3259999999999996</v>
      </c>
      <c r="J4352" s="7">
        <v>4.375</v>
      </c>
      <c r="K4352" s="7">
        <v>4.0149999999999997</v>
      </c>
      <c r="L4352" s="7">
        <v>4.3239999999999998</v>
      </c>
      <c r="M4352" s="7">
        <v>4.4219999999999997</v>
      </c>
      <c r="N4352" s="7">
        <v>4.8540000000000001</v>
      </c>
      <c r="O4352" s="7">
        <v>4.8550000000000004</v>
      </c>
      <c r="P4352" s="7">
        <v>5.0259999999999998</v>
      </c>
      <c r="Q4352" s="7">
        <v>4.7679999999999998</v>
      </c>
      <c r="R4352" s="7">
        <v>4.5190000000000001</v>
      </c>
      <c r="S4352" s="7">
        <f t="shared" si="67"/>
        <v>4.5134166666666662</v>
      </c>
    </row>
    <row r="4353" spans="1:19">
      <c r="A4353" s="5" t="str">
        <f>B4353&amp;"-"&amp;COUNTIF($B$2:B4353,B4353)</f>
        <v>RONDONIA-4</v>
      </c>
      <c r="B4353" s="5" t="s">
        <v>2893</v>
      </c>
      <c r="C4353" s="5" t="s">
        <v>2896</v>
      </c>
      <c r="D4353" s="6">
        <v>-622852</v>
      </c>
      <c r="E4353" s="6">
        <v>-113467</v>
      </c>
      <c r="F4353" s="7">
        <v>4.625</v>
      </c>
      <c r="G4353" s="7">
        <v>4.4630000000000001</v>
      </c>
      <c r="H4353" s="7">
        <v>4.4669999999999996</v>
      </c>
      <c r="I4353" s="7">
        <v>4.4800000000000004</v>
      </c>
      <c r="J4353" s="7">
        <v>4.5469999999999997</v>
      </c>
      <c r="K4353" s="7">
        <v>4.0679999999999996</v>
      </c>
      <c r="L4353" s="7">
        <v>4.343</v>
      </c>
      <c r="M4353" s="7">
        <v>4.484</v>
      </c>
      <c r="N4353" s="7">
        <v>4.9240000000000004</v>
      </c>
      <c r="O4353" s="7">
        <v>4.9050000000000002</v>
      </c>
      <c r="P4353" s="7">
        <v>5.0789999999999997</v>
      </c>
      <c r="Q4353" s="7">
        <v>5</v>
      </c>
      <c r="R4353" s="7">
        <v>4.7380000000000004</v>
      </c>
      <c r="S4353" s="7">
        <f t="shared" si="67"/>
        <v>4.6248333333333331</v>
      </c>
    </row>
    <row r="4354" spans="1:19">
      <c r="A4354" s="5" t="str">
        <f>B4354&amp;"-"&amp;COUNTIF($B$2:B4354,B4354)</f>
        <v>RONDONIA-5</v>
      </c>
      <c r="B4354" s="5" t="s">
        <v>2893</v>
      </c>
      <c r="C4354" s="5" t="s">
        <v>2897</v>
      </c>
      <c r="D4354" s="6">
        <v>-63033</v>
      </c>
      <c r="E4354" s="6">
        <v>-99061</v>
      </c>
      <c r="F4354" s="7">
        <v>4.4939999999999998</v>
      </c>
      <c r="G4354" s="7">
        <v>4.3019999999999996</v>
      </c>
      <c r="H4354" s="7">
        <v>4.3150000000000004</v>
      </c>
      <c r="I4354" s="7">
        <v>4.2850000000000001</v>
      </c>
      <c r="J4354" s="7">
        <v>4.4160000000000004</v>
      </c>
      <c r="K4354" s="7">
        <v>3.9820000000000002</v>
      </c>
      <c r="L4354" s="7">
        <v>4.3319999999999999</v>
      </c>
      <c r="M4354" s="7">
        <v>4.3959999999999999</v>
      </c>
      <c r="N4354" s="7">
        <v>4.74</v>
      </c>
      <c r="O4354" s="7">
        <v>4.8540000000000001</v>
      </c>
      <c r="P4354" s="7">
        <v>4.9669999999999996</v>
      </c>
      <c r="Q4354" s="7">
        <v>4.7279999999999998</v>
      </c>
      <c r="R4354" s="7">
        <v>4.6159999999999997</v>
      </c>
      <c r="S4354" s="7">
        <f t="shared" si="67"/>
        <v>4.4944166666666669</v>
      </c>
    </row>
    <row r="4355" spans="1:19">
      <c r="A4355" s="5" t="str">
        <f>B4355&amp;"-"&amp;COUNTIF($B$2:B4355,B4355)</f>
        <v>RONDONIA-6</v>
      </c>
      <c r="B4355" s="5" t="s">
        <v>2893</v>
      </c>
      <c r="C4355" s="5" t="s">
        <v>1193</v>
      </c>
      <c r="D4355" s="6">
        <v>-638312</v>
      </c>
      <c r="E4355" s="6">
        <v>-10206</v>
      </c>
      <c r="F4355" s="7">
        <v>4.5010000000000003</v>
      </c>
      <c r="G4355" s="7">
        <v>4.3010000000000002</v>
      </c>
      <c r="H4355" s="7">
        <v>4.383</v>
      </c>
      <c r="I4355" s="7">
        <v>4.3339999999999996</v>
      </c>
      <c r="J4355" s="7">
        <v>4.3789999999999996</v>
      </c>
      <c r="K4355" s="7">
        <v>3.9809999999999999</v>
      </c>
      <c r="L4355" s="7">
        <v>4.3019999999999996</v>
      </c>
      <c r="M4355" s="7">
        <v>4.3780000000000001</v>
      </c>
      <c r="N4355" s="7">
        <v>4.8369999999999997</v>
      </c>
      <c r="O4355" s="7">
        <v>4.9050000000000002</v>
      </c>
      <c r="P4355" s="7">
        <v>4.9640000000000004</v>
      </c>
      <c r="Q4355" s="7">
        <v>4.7380000000000004</v>
      </c>
      <c r="R4355" s="7">
        <v>4.5049999999999999</v>
      </c>
      <c r="S4355" s="7">
        <f t="shared" ref="S4355:S4418" si="68">(G4355+H4355+I4355+J4355+K4355+L4355+M4355+N4355+O4355+P4355+Q4355+R4355)/12</f>
        <v>4.5005833333333332</v>
      </c>
    </row>
    <row r="4356" spans="1:19">
      <c r="A4356" s="5" t="str">
        <f>B4356&amp;"-"&amp;COUNTIF($B$2:B4356,B4356)</f>
        <v>RONDONIA-7</v>
      </c>
      <c r="B4356" s="5" t="s">
        <v>2893</v>
      </c>
      <c r="C4356" s="5" t="s">
        <v>2898</v>
      </c>
      <c r="D4356" s="6">
        <v>-605446</v>
      </c>
      <c r="E4356" s="6">
        <v>-134951</v>
      </c>
      <c r="F4356" s="7">
        <v>4.7949999999999999</v>
      </c>
      <c r="G4356" s="7">
        <v>4.8479999999999999</v>
      </c>
      <c r="H4356" s="7">
        <v>4.6360000000000001</v>
      </c>
      <c r="I4356" s="7">
        <v>4.6929999999999996</v>
      </c>
      <c r="J4356" s="7">
        <v>4.7690000000000001</v>
      </c>
      <c r="K4356" s="7">
        <v>4.2430000000000003</v>
      </c>
      <c r="L4356" s="7">
        <v>4.3289999999999997</v>
      </c>
      <c r="M4356" s="7">
        <v>4.5199999999999996</v>
      </c>
      <c r="N4356" s="7">
        <v>4.9909999999999997</v>
      </c>
      <c r="O4356" s="7">
        <v>4.9409999999999998</v>
      </c>
      <c r="P4356" s="7">
        <v>5.2489999999999997</v>
      </c>
      <c r="Q4356" s="7">
        <v>5.2119999999999997</v>
      </c>
      <c r="R4356" s="7">
        <v>5.1100000000000003</v>
      </c>
      <c r="S4356" s="7">
        <f t="shared" si="68"/>
        <v>4.7950833333333334</v>
      </c>
    </row>
    <row r="4357" spans="1:19">
      <c r="A4357" s="5" t="str">
        <f>B4357&amp;"-"&amp;COUNTIF($B$2:B4357,B4357)</f>
        <v>RONDONIA-8</v>
      </c>
      <c r="B4357" s="5" t="s">
        <v>2893</v>
      </c>
      <c r="C4357" s="5" t="s">
        <v>5017</v>
      </c>
      <c r="D4357" s="6">
        <v>-629003</v>
      </c>
      <c r="E4357" s="6">
        <v>-103387</v>
      </c>
      <c r="F4357" s="7">
        <v>4.5369999999999999</v>
      </c>
      <c r="G4357" s="7">
        <v>4.2699999999999996</v>
      </c>
      <c r="H4357" s="7">
        <v>4.2690000000000001</v>
      </c>
      <c r="I4357" s="7">
        <v>4.3890000000000002</v>
      </c>
      <c r="J4357" s="7">
        <v>4.4969999999999999</v>
      </c>
      <c r="K4357" s="7">
        <v>4.0359999999999996</v>
      </c>
      <c r="L4357" s="7">
        <v>4.3620000000000001</v>
      </c>
      <c r="M4357" s="7">
        <v>4.4480000000000004</v>
      </c>
      <c r="N4357" s="7">
        <v>4.891</v>
      </c>
      <c r="O4357" s="7">
        <v>4.8869999999999996</v>
      </c>
      <c r="P4357" s="7">
        <v>5.04</v>
      </c>
      <c r="Q4357" s="7">
        <v>4.8040000000000003</v>
      </c>
      <c r="R4357" s="7">
        <v>4.5540000000000003</v>
      </c>
      <c r="S4357" s="7">
        <f t="shared" si="68"/>
        <v>4.5372500000000002</v>
      </c>
    </row>
    <row r="4358" spans="1:19">
      <c r="A4358" s="5" t="str">
        <f>B4358&amp;"-"&amp;COUNTIF($B$2:B4358,B4358)</f>
        <v>RONDONIA-9</v>
      </c>
      <c r="B4358" s="5" t="s">
        <v>2893</v>
      </c>
      <c r="C4358" s="5" t="s">
        <v>2899</v>
      </c>
      <c r="D4358" s="6">
        <v>-614566</v>
      </c>
      <c r="E4358" s="6">
        <v>-114347</v>
      </c>
      <c r="F4358" s="7">
        <v>4.6219999999999999</v>
      </c>
      <c r="G4358" s="7">
        <v>4.3390000000000004</v>
      </c>
      <c r="H4358" s="7">
        <v>4.3620000000000001</v>
      </c>
      <c r="I4358" s="7">
        <v>4.476</v>
      </c>
      <c r="J4358" s="7">
        <v>4.5179999999999998</v>
      </c>
      <c r="K4358" s="7">
        <v>4.1429999999999998</v>
      </c>
      <c r="L4358" s="7">
        <v>4.3849999999999998</v>
      </c>
      <c r="M4358" s="7">
        <v>4.5380000000000003</v>
      </c>
      <c r="N4358" s="7">
        <v>4.9619999999999997</v>
      </c>
      <c r="O4358" s="7">
        <v>4.923</v>
      </c>
      <c r="P4358" s="7">
        <v>5.109</v>
      </c>
      <c r="Q4358" s="7">
        <v>4.9729999999999999</v>
      </c>
      <c r="R4358" s="7">
        <v>4.7389999999999999</v>
      </c>
      <c r="S4358" s="7">
        <f t="shared" si="68"/>
        <v>4.6222500000000002</v>
      </c>
    </row>
    <row r="4359" spans="1:19">
      <c r="A4359" s="5" t="str">
        <f>B4359&amp;"-"&amp;COUNTIF($B$2:B4359,B4359)</f>
        <v>RONDONIA-10</v>
      </c>
      <c r="B4359" s="5" t="s">
        <v>2893</v>
      </c>
      <c r="C4359" s="5" t="s">
        <v>4584</v>
      </c>
      <c r="D4359" s="6">
        <v>-636212</v>
      </c>
      <c r="E4359" s="6">
        <v>-105699</v>
      </c>
      <c r="F4359" s="7">
        <v>4.5250000000000004</v>
      </c>
      <c r="G4359" s="7">
        <v>4.2439999999999998</v>
      </c>
      <c r="H4359" s="7">
        <v>4.3460000000000001</v>
      </c>
      <c r="I4359" s="7">
        <v>4.3259999999999996</v>
      </c>
      <c r="J4359" s="7">
        <v>4.4619999999999997</v>
      </c>
      <c r="K4359" s="7">
        <v>4.093</v>
      </c>
      <c r="L4359" s="7">
        <v>4.3650000000000002</v>
      </c>
      <c r="M4359" s="7">
        <v>4.3840000000000003</v>
      </c>
      <c r="N4359" s="7">
        <v>4.8620000000000001</v>
      </c>
      <c r="O4359" s="7">
        <v>4.8949999999999996</v>
      </c>
      <c r="P4359" s="7">
        <v>5.0140000000000002</v>
      </c>
      <c r="Q4359" s="7">
        <v>4.7610000000000001</v>
      </c>
      <c r="R4359" s="7">
        <v>4.5529999999999999</v>
      </c>
      <c r="S4359" s="7">
        <f t="shared" si="68"/>
        <v>4.5254166666666675</v>
      </c>
    </row>
    <row r="4360" spans="1:19">
      <c r="A4360" s="5" t="str">
        <f>B4360&amp;"-"&amp;COUNTIF($B$2:B4360,B4360)</f>
        <v>RONDONIA-11</v>
      </c>
      <c r="B4360" s="5" t="s">
        <v>2893</v>
      </c>
      <c r="C4360" s="5" t="s">
        <v>2900</v>
      </c>
      <c r="D4360" s="6">
        <v>-63701</v>
      </c>
      <c r="E4360" s="6">
        <v>-87911</v>
      </c>
      <c r="F4360" s="7">
        <v>4.4649999999999999</v>
      </c>
      <c r="G4360" s="7">
        <v>4.2439999999999998</v>
      </c>
      <c r="H4360" s="7">
        <v>4.383</v>
      </c>
      <c r="I4360" s="7">
        <v>4.3460000000000001</v>
      </c>
      <c r="J4360" s="7">
        <v>4.3230000000000004</v>
      </c>
      <c r="K4360" s="7">
        <v>4.0030000000000001</v>
      </c>
      <c r="L4360" s="7">
        <v>4.3639999999999999</v>
      </c>
      <c r="M4360" s="7">
        <v>4.4870000000000001</v>
      </c>
      <c r="N4360" s="7">
        <v>4.74</v>
      </c>
      <c r="O4360" s="7">
        <v>4.7720000000000002</v>
      </c>
      <c r="P4360" s="7">
        <v>4.8650000000000002</v>
      </c>
      <c r="Q4360" s="7">
        <v>4.657</v>
      </c>
      <c r="R4360" s="7">
        <v>4.3929999999999998</v>
      </c>
      <c r="S4360" s="7">
        <f t="shared" si="68"/>
        <v>4.4647499999999996</v>
      </c>
    </row>
    <row r="4361" spans="1:19">
      <c r="A4361" s="5" t="str">
        <f>B4361&amp;"-"&amp;COUNTIF($B$2:B4361,B4361)</f>
        <v>RONDONIA-12</v>
      </c>
      <c r="B4361" s="5" t="s">
        <v>2893</v>
      </c>
      <c r="C4361" s="5" t="s">
        <v>2901</v>
      </c>
      <c r="D4361" s="6">
        <v>-619487</v>
      </c>
      <c r="E4361" s="6">
        <v>-114257</v>
      </c>
      <c r="F4361" s="7">
        <v>4.6310000000000002</v>
      </c>
      <c r="G4361" s="7">
        <v>4.4320000000000004</v>
      </c>
      <c r="H4361" s="7">
        <v>4.3819999999999997</v>
      </c>
      <c r="I4361" s="7">
        <v>4.5049999999999999</v>
      </c>
      <c r="J4361" s="7">
        <v>4.57</v>
      </c>
      <c r="K4361" s="7">
        <v>4.1349999999999998</v>
      </c>
      <c r="L4361" s="7">
        <v>4.343</v>
      </c>
      <c r="M4361" s="7">
        <v>4.4800000000000004</v>
      </c>
      <c r="N4361" s="7">
        <v>4.8810000000000002</v>
      </c>
      <c r="O4361" s="7">
        <v>4.8819999999999997</v>
      </c>
      <c r="P4361" s="7">
        <v>5.1520000000000001</v>
      </c>
      <c r="Q4361" s="7">
        <v>5.0469999999999997</v>
      </c>
      <c r="R4361" s="7">
        <v>4.7569999999999997</v>
      </c>
      <c r="S4361" s="7">
        <f t="shared" si="68"/>
        <v>4.6304999999999996</v>
      </c>
    </row>
    <row r="4362" spans="1:19">
      <c r="A4362" s="5" t="str">
        <f>B4362&amp;"-"&amp;COUNTIF($B$2:B4362,B4362)</f>
        <v>RONDONIA-13</v>
      </c>
      <c r="B4362" s="5" t="s">
        <v>2893</v>
      </c>
      <c r="C4362" s="5" t="s">
        <v>2902</v>
      </c>
      <c r="D4362" s="6">
        <v>-608173</v>
      </c>
      <c r="E4362" s="6">
        <v>-131874</v>
      </c>
      <c r="F4362" s="7">
        <v>4.7670000000000003</v>
      </c>
      <c r="G4362" s="7">
        <v>4.7519999999999998</v>
      </c>
      <c r="H4362" s="7">
        <v>4.6630000000000003</v>
      </c>
      <c r="I4362" s="7">
        <v>4.7050000000000001</v>
      </c>
      <c r="J4362" s="7">
        <v>4.6319999999999997</v>
      </c>
      <c r="K4362" s="7">
        <v>4.2329999999999997</v>
      </c>
      <c r="L4362" s="7">
        <v>4.3540000000000001</v>
      </c>
      <c r="M4362" s="7">
        <v>4.4939999999999998</v>
      </c>
      <c r="N4362" s="7">
        <v>4.9649999999999999</v>
      </c>
      <c r="O4362" s="7">
        <v>4.9560000000000004</v>
      </c>
      <c r="P4362" s="7">
        <v>5.2389999999999999</v>
      </c>
      <c r="Q4362" s="7">
        <v>5.1740000000000004</v>
      </c>
      <c r="R4362" s="7">
        <v>5.0439999999999996</v>
      </c>
      <c r="S4362" s="7">
        <f t="shared" si="68"/>
        <v>4.7675833333333335</v>
      </c>
    </row>
    <row r="4363" spans="1:19">
      <c r="A4363" s="5" t="str">
        <f>B4363&amp;"-"&amp;COUNTIF($B$2:B4363,B4363)</f>
        <v>RONDONIA-14</v>
      </c>
      <c r="B4363" s="5" t="s">
        <v>2893</v>
      </c>
      <c r="C4363" s="5" t="s">
        <v>2903</v>
      </c>
      <c r="D4363" s="6">
        <v>-609026</v>
      </c>
      <c r="E4363" s="6">
        <v>-125533</v>
      </c>
      <c r="F4363" s="7">
        <v>4.726</v>
      </c>
      <c r="G4363" s="7">
        <v>4.63</v>
      </c>
      <c r="H4363" s="7">
        <v>4.5679999999999996</v>
      </c>
      <c r="I4363" s="7">
        <v>4.5720000000000001</v>
      </c>
      <c r="J4363" s="7">
        <v>4.5910000000000002</v>
      </c>
      <c r="K4363" s="7">
        <v>4.2469999999999999</v>
      </c>
      <c r="L4363" s="7">
        <v>4.3789999999999996</v>
      </c>
      <c r="M4363" s="7">
        <v>4.4989999999999997</v>
      </c>
      <c r="N4363" s="7">
        <v>4.9580000000000002</v>
      </c>
      <c r="O4363" s="7">
        <v>4.9589999999999996</v>
      </c>
      <c r="P4363" s="7">
        <v>5.2290000000000001</v>
      </c>
      <c r="Q4363" s="7">
        <v>5.1260000000000003</v>
      </c>
      <c r="R4363" s="7">
        <v>4.9480000000000004</v>
      </c>
      <c r="S4363" s="7">
        <f t="shared" si="68"/>
        <v>4.7255000000000003</v>
      </c>
    </row>
    <row r="4364" spans="1:19">
      <c r="A4364" s="5" t="str">
        <f>B4364&amp;"-"&amp;COUNTIF($B$2:B4364,B4364)</f>
        <v>RONDONIA-15</v>
      </c>
      <c r="B4364" s="5" t="s">
        <v>2893</v>
      </c>
      <c r="C4364" s="5" t="s">
        <v>2904</v>
      </c>
      <c r="D4364" s="6">
        <v>-605459</v>
      </c>
      <c r="E4364" s="6">
        <v>-131178</v>
      </c>
      <c r="F4364" s="7">
        <v>4.6840000000000002</v>
      </c>
      <c r="G4364" s="7">
        <v>4.6420000000000003</v>
      </c>
      <c r="H4364" s="7">
        <v>4.4660000000000002</v>
      </c>
      <c r="I4364" s="7">
        <v>4.5289999999999999</v>
      </c>
      <c r="J4364" s="7">
        <v>4.556</v>
      </c>
      <c r="K4364" s="7">
        <v>4.1689999999999996</v>
      </c>
      <c r="L4364" s="7">
        <v>4.3559999999999999</v>
      </c>
      <c r="M4364" s="7">
        <v>4.5389999999999997</v>
      </c>
      <c r="N4364" s="7">
        <v>5.0170000000000003</v>
      </c>
      <c r="O4364" s="7">
        <v>4.9130000000000003</v>
      </c>
      <c r="P4364" s="7">
        <v>5.0890000000000004</v>
      </c>
      <c r="Q4364" s="7">
        <v>5.0289999999999999</v>
      </c>
      <c r="R4364" s="7">
        <v>4.9089999999999998</v>
      </c>
      <c r="S4364" s="7">
        <f t="shared" si="68"/>
        <v>4.6845000000000008</v>
      </c>
    </row>
    <row r="4365" spans="1:19">
      <c r="A4365" s="5" t="str">
        <f>B4365&amp;"-"&amp;COUNTIF($B$2:B4365,B4365)</f>
        <v>RONDONIA-16</v>
      </c>
      <c r="B4365" s="5" t="s">
        <v>2893</v>
      </c>
      <c r="C4365" s="5" t="s">
        <v>2905</v>
      </c>
      <c r="D4365" s="6">
        <v>-609421</v>
      </c>
      <c r="E4365" s="6">
        <v>-129982</v>
      </c>
      <c r="F4365" s="7">
        <v>4.7279999999999998</v>
      </c>
      <c r="G4365" s="7">
        <v>4.6719999999999997</v>
      </c>
      <c r="H4365" s="7">
        <v>4.59</v>
      </c>
      <c r="I4365" s="7">
        <v>4.5659999999999998</v>
      </c>
      <c r="J4365" s="7">
        <v>4.5830000000000002</v>
      </c>
      <c r="K4365" s="7">
        <v>4.2050000000000001</v>
      </c>
      <c r="L4365" s="7">
        <v>4.3739999999999997</v>
      </c>
      <c r="M4365" s="7">
        <v>4.5119999999999996</v>
      </c>
      <c r="N4365" s="7">
        <v>5.0289999999999999</v>
      </c>
      <c r="O4365" s="7">
        <v>4.9400000000000004</v>
      </c>
      <c r="P4365" s="7">
        <v>5.1929999999999996</v>
      </c>
      <c r="Q4365" s="7">
        <v>5.1219999999999999</v>
      </c>
      <c r="R4365" s="7">
        <v>4.9480000000000004</v>
      </c>
      <c r="S4365" s="7">
        <f t="shared" si="68"/>
        <v>4.7278333333333329</v>
      </c>
    </row>
    <row r="4366" spans="1:19">
      <c r="A4366" s="5" t="str">
        <f>B4366&amp;"-"&amp;COUNTIF($B$2:B4366,B4366)</f>
        <v>RONDONIA-17</v>
      </c>
      <c r="B4366" s="5" t="s">
        <v>2893</v>
      </c>
      <c r="C4366" s="5" t="s">
        <v>2906</v>
      </c>
      <c r="D4366" s="6">
        <v>-642284</v>
      </c>
      <c r="E4366" s="6">
        <v>-124371</v>
      </c>
      <c r="F4366" s="7">
        <v>4.6399999999999997</v>
      </c>
      <c r="G4366" s="7">
        <v>4.665</v>
      </c>
      <c r="H4366" s="7">
        <v>4.5369999999999999</v>
      </c>
      <c r="I4366" s="7">
        <v>4.4850000000000003</v>
      </c>
      <c r="J4366" s="7">
        <v>4.556</v>
      </c>
      <c r="K4366" s="7">
        <v>3.92</v>
      </c>
      <c r="L4366" s="7">
        <v>4.1639999999999997</v>
      </c>
      <c r="M4366" s="7">
        <v>4.3719999999999999</v>
      </c>
      <c r="N4366" s="7">
        <v>4.8860000000000001</v>
      </c>
      <c r="O4366" s="7">
        <v>4.9340000000000002</v>
      </c>
      <c r="P4366" s="7">
        <v>5.1280000000000001</v>
      </c>
      <c r="Q4366" s="7">
        <v>5.0960000000000001</v>
      </c>
      <c r="R4366" s="7">
        <v>4.9359999999999999</v>
      </c>
      <c r="S4366" s="7">
        <f t="shared" si="68"/>
        <v>4.6399166666666671</v>
      </c>
    </row>
    <row r="4367" spans="1:19">
      <c r="A4367" s="5" t="str">
        <f>B4367&amp;"-"&amp;COUNTIF($B$2:B4367,B4367)</f>
        <v>RONDONIA-18</v>
      </c>
      <c r="B4367" s="5" t="s">
        <v>2893</v>
      </c>
      <c r="C4367" s="5" t="s">
        <v>2907</v>
      </c>
      <c r="D4367" s="6">
        <v>-62585</v>
      </c>
      <c r="E4367" s="6">
        <v>-93611</v>
      </c>
      <c r="F4367" s="7">
        <v>4.4939999999999998</v>
      </c>
      <c r="G4367" s="7">
        <v>4.16</v>
      </c>
      <c r="H4367" s="7">
        <v>4.29</v>
      </c>
      <c r="I4367" s="7">
        <v>4.3440000000000003</v>
      </c>
      <c r="J4367" s="7">
        <v>4.2949999999999999</v>
      </c>
      <c r="K4367" s="7">
        <v>4.0049999999999999</v>
      </c>
      <c r="L4367" s="7">
        <v>4.4219999999999997</v>
      </c>
      <c r="M4367" s="7">
        <v>4.4950000000000001</v>
      </c>
      <c r="N4367" s="7">
        <v>4.87</v>
      </c>
      <c r="O4367" s="7">
        <v>4.7990000000000004</v>
      </c>
      <c r="P4367" s="7">
        <v>4.968</v>
      </c>
      <c r="Q4367" s="7">
        <v>4.7290000000000001</v>
      </c>
      <c r="R4367" s="7">
        <v>4.5449999999999999</v>
      </c>
      <c r="S4367" s="7">
        <f t="shared" si="68"/>
        <v>4.4935</v>
      </c>
    </row>
    <row r="4368" spans="1:19">
      <c r="A4368" s="5" t="str">
        <f>B4368&amp;"-"&amp;COUNTIF($B$2:B4368,B4368)</f>
        <v>RONDONIA-19</v>
      </c>
      <c r="B4368" s="5" t="s">
        <v>2893</v>
      </c>
      <c r="C4368" s="5" t="s">
        <v>4193</v>
      </c>
      <c r="D4368" s="6">
        <v>-610256</v>
      </c>
      <c r="E4368" s="6">
        <v>-11527</v>
      </c>
      <c r="F4368" s="7">
        <v>4.6589999999999998</v>
      </c>
      <c r="G4368" s="7">
        <v>4.4909999999999997</v>
      </c>
      <c r="H4368" s="7">
        <v>4.4480000000000004</v>
      </c>
      <c r="I4368" s="7">
        <v>4.5</v>
      </c>
      <c r="J4368" s="7">
        <v>4.4850000000000003</v>
      </c>
      <c r="K4368" s="7">
        <v>4.1589999999999998</v>
      </c>
      <c r="L4368" s="7">
        <v>4.423</v>
      </c>
      <c r="M4368" s="7">
        <v>4.5709999999999997</v>
      </c>
      <c r="N4368" s="7">
        <v>4.9610000000000003</v>
      </c>
      <c r="O4368" s="7">
        <v>4.9260000000000002</v>
      </c>
      <c r="P4368" s="7">
        <v>5.1550000000000002</v>
      </c>
      <c r="Q4368" s="7">
        <v>5.0250000000000004</v>
      </c>
      <c r="R4368" s="7">
        <v>4.7720000000000002</v>
      </c>
      <c r="S4368" s="7">
        <f t="shared" si="68"/>
        <v>4.6596666666666664</v>
      </c>
    </row>
    <row r="4369" spans="1:19">
      <c r="A4369" s="5" t="str">
        <f>B4369&amp;"-"&amp;COUNTIF($B$2:B4369,B4369)</f>
        <v>RONDONIA-20</v>
      </c>
      <c r="B4369" s="5" t="s">
        <v>2893</v>
      </c>
      <c r="C4369" s="5" t="s">
        <v>2908</v>
      </c>
      <c r="D4369" s="6">
        <v>-627375</v>
      </c>
      <c r="E4369" s="6">
        <v>-106104</v>
      </c>
      <c r="F4369" s="7">
        <v>4.569</v>
      </c>
      <c r="G4369" s="7">
        <v>4.3739999999999997</v>
      </c>
      <c r="H4369" s="7">
        <v>4.2969999999999997</v>
      </c>
      <c r="I4369" s="7">
        <v>4.399</v>
      </c>
      <c r="J4369" s="7">
        <v>4.516</v>
      </c>
      <c r="K4369" s="7">
        <v>4.0069999999999997</v>
      </c>
      <c r="L4369" s="7">
        <v>4.343</v>
      </c>
      <c r="M4369" s="7">
        <v>4.4640000000000004</v>
      </c>
      <c r="N4369" s="7">
        <v>4.8860000000000001</v>
      </c>
      <c r="O4369" s="7">
        <v>4.9349999999999996</v>
      </c>
      <c r="P4369" s="7">
        <v>5.0789999999999997</v>
      </c>
      <c r="Q4369" s="7">
        <v>4.8470000000000004</v>
      </c>
      <c r="R4369" s="7">
        <v>4.6760000000000002</v>
      </c>
      <c r="S4369" s="7">
        <f t="shared" si="68"/>
        <v>4.5685833333333337</v>
      </c>
    </row>
    <row r="4370" spans="1:19">
      <c r="A4370" s="5" t="str">
        <f>B4370&amp;"-"&amp;COUNTIF($B$2:B4370,B4370)</f>
        <v>RONDONIA-21</v>
      </c>
      <c r="B4370" s="5" t="s">
        <v>2893</v>
      </c>
      <c r="C4370" s="5" t="s">
        <v>5732</v>
      </c>
      <c r="D4370" s="5" t="s">
        <v>2909</v>
      </c>
      <c r="E4370" s="6">
        <v>-107893</v>
      </c>
      <c r="F4370" s="7">
        <v>4.585</v>
      </c>
      <c r="G4370" s="7">
        <v>4.5129999999999999</v>
      </c>
      <c r="H4370" s="7">
        <v>4.47</v>
      </c>
      <c r="I4370" s="7">
        <v>4.3559999999999999</v>
      </c>
      <c r="J4370" s="7">
        <v>4.4329999999999998</v>
      </c>
      <c r="K4370" s="7">
        <v>3.96</v>
      </c>
      <c r="L4370" s="7">
        <v>4.141</v>
      </c>
      <c r="M4370" s="7">
        <v>4.3780000000000001</v>
      </c>
      <c r="N4370" s="7">
        <v>4.9080000000000004</v>
      </c>
      <c r="O4370" s="7">
        <v>4.9720000000000004</v>
      </c>
      <c r="P4370" s="7">
        <v>5.1340000000000003</v>
      </c>
      <c r="Q4370" s="7">
        <v>4.9119999999999999</v>
      </c>
      <c r="R4370" s="7">
        <v>4.8339999999999996</v>
      </c>
      <c r="S4370" s="7">
        <f t="shared" si="68"/>
        <v>4.5842499999999999</v>
      </c>
    </row>
    <row r="4371" spans="1:19">
      <c r="A4371" s="5" t="str">
        <f>B4371&amp;"-"&amp;COUNTIF($B$2:B4371,B4371)</f>
        <v>RONDONIA-22</v>
      </c>
      <c r="B4371" s="5" t="s">
        <v>2893</v>
      </c>
      <c r="C4371" s="5" t="s">
        <v>5402</v>
      </c>
      <c r="D4371" s="6">
        <v>-631787</v>
      </c>
      <c r="E4371" s="6">
        <v>-91954</v>
      </c>
      <c r="F4371" s="7">
        <v>4.524</v>
      </c>
      <c r="G4371" s="7">
        <v>4.1959999999999997</v>
      </c>
      <c r="H4371" s="7">
        <v>4.3879999999999999</v>
      </c>
      <c r="I4371" s="7">
        <v>4.2930000000000001</v>
      </c>
      <c r="J4371" s="7">
        <v>4.3360000000000003</v>
      </c>
      <c r="K4371" s="7">
        <v>3.9950000000000001</v>
      </c>
      <c r="L4371" s="7">
        <v>4.4089999999999998</v>
      </c>
      <c r="M4371" s="7">
        <v>4.5510000000000002</v>
      </c>
      <c r="N4371" s="7">
        <v>4.8460000000000001</v>
      </c>
      <c r="O4371" s="7">
        <v>4.9569999999999999</v>
      </c>
      <c r="P4371" s="7">
        <v>5.03</v>
      </c>
      <c r="Q4371" s="7">
        <v>4.7869999999999999</v>
      </c>
      <c r="R4371" s="7">
        <v>4.4969999999999999</v>
      </c>
      <c r="S4371" s="7">
        <f t="shared" si="68"/>
        <v>4.5237499999999997</v>
      </c>
    </row>
    <row r="4372" spans="1:19">
      <c r="A4372" s="5" t="str">
        <f>B4372&amp;"-"&amp;COUNTIF($B$2:B4372,B4372)</f>
        <v>RONDONIA-23</v>
      </c>
      <c r="B4372" s="5" t="s">
        <v>2893</v>
      </c>
      <c r="C4372" s="5" t="s">
        <v>2910</v>
      </c>
      <c r="D4372" s="6">
        <v>-624792</v>
      </c>
      <c r="E4372" s="6">
        <v>-104322</v>
      </c>
      <c r="F4372" s="7">
        <v>4.5609999999999999</v>
      </c>
      <c r="G4372" s="7">
        <v>4.3479999999999999</v>
      </c>
      <c r="H4372" s="7">
        <v>4.3570000000000002</v>
      </c>
      <c r="I4372" s="7">
        <v>4.3769999999999998</v>
      </c>
      <c r="J4372" s="7">
        <v>4.4930000000000003</v>
      </c>
      <c r="K4372" s="7">
        <v>4.0289999999999999</v>
      </c>
      <c r="L4372" s="7">
        <v>4.4279999999999999</v>
      </c>
      <c r="M4372" s="7">
        <v>4.4569999999999999</v>
      </c>
      <c r="N4372" s="7">
        <v>4.8319999999999999</v>
      </c>
      <c r="O4372" s="7">
        <v>4.9029999999999996</v>
      </c>
      <c r="P4372" s="7">
        <v>5.056</v>
      </c>
      <c r="Q4372" s="7">
        <v>4.8540000000000001</v>
      </c>
      <c r="R4372" s="7">
        <v>4.5970000000000004</v>
      </c>
      <c r="S4372" s="7">
        <f t="shared" si="68"/>
        <v>4.5609166666666665</v>
      </c>
    </row>
    <row r="4373" spans="1:19">
      <c r="A4373" s="5" t="str">
        <f>B4373&amp;"-"&amp;COUNTIF($B$2:B4373,B4373)</f>
        <v>RONDONIA-24</v>
      </c>
      <c r="B4373" s="5" t="s">
        <v>2893</v>
      </c>
      <c r="C4373" s="5" t="s">
        <v>5733</v>
      </c>
      <c r="D4373" s="6">
        <v>-619326</v>
      </c>
      <c r="E4373" s="6">
        <v>-108782</v>
      </c>
      <c r="F4373" s="7">
        <v>4.6059999999999999</v>
      </c>
      <c r="G4373" s="7">
        <v>4.4109999999999996</v>
      </c>
      <c r="H4373" s="7">
        <v>4.4249999999999998</v>
      </c>
      <c r="I4373" s="7">
        <v>4.4539999999999997</v>
      </c>
      <c r="J4373" s="7">
        <v>4.5049999999999999</v>
      </c>
      <c r="K4373" s="7">
        <v>4.0739999999999998</v>
      </c>
      <c r="L4373" s="7">
        <v>4.3630000000000004</v>
      </c>
      <c r="M4373" s="7">
        <v>4.43</v>
      </c>
      <c r="N4373" s="7">
        <v>4.867</v>
      </c>
      <c r="O4373" s="7">
        <v>4.8769999999999998</v>
      </c>
      <c r="P4373" s="7">
        <v>5.149</v>
      </c>
      <c r="Q4373" s="7">
        <v>4.968</v>
      </c>
      <c r="R4373" s="7">
        <v>4.7469999999999999</v>
      </c>
      <c r="S4373" s="7">
        <f t="shared" si="68"/>
        <v>4.605833333333333</v>
      </c>
    </row>
    <row r="4374" spans="1:19">
      <c r="A4374" s="5" t="str">
        <f>B4374&amp;"-"&amp;COUNTIF($B$2:B4374,B4374)</f>
        <v>RONDONIA-25</v>
      </c>
      <c r="B4374" s="5" t="s">
        <v>2893</v>
      </c>
      <c r="C4374" s="5" t="s">
        <v>2911</v>
      </c>
      <c r="D4374" s="6">
        <v>-619976</v>
      </c>
      <c r="E4374" s="6">
        <v>-94275</v>
      </c>
      <c r="F4374" s="7">
        <v>4.5149999999999997</v>
      </c>
      <c r="G4374" s="7">
        <v>4.194</v>
      </c>
      <c r="H4374" s="7">
        <v>4.3099999999999996</v>
      </c>
      <c r="I4374" s="7">
        <v>4.3310000000000004</v>
      </c>
      <c r="J4374" s="7">
        <v>4.3440000000000003</v>
      </c>
      <c r="K4374" s="7">
        <v>4.0449999999999999</v>
      </c>
      <c r="L4374" s="7">
        <v>4.484</v>
      </c>
      <c r="M4374" s="7">
        <v>4.5910000000000002</v>
      </c>
      <c r="N4374" s="7">
        <v>4.8529999999999998</v>
      </c>
      <c r="O4374" s="7">
        <v>4.8440000000000003</v>
      </c>
      <c r="P4374" s="7">
        <v>4.9850000000000003</v>
      </c>
      <c r="Q4374" s="7">
        <v>4.6790000000000003</v>
      </c>
      <c r="R4374" s="7">
        <v>4.5170000000000003</v>
      </c>
      <c r="S4374" s="7">
        <f t="shared" si="68"/>
        <v>4.5147500000000012</v>
      </c>
    </row>
    <row r="4375" spans="1:19">
      <c r="A4375" s="5" t="str">
        <f>B4375&amp;"-"&amp;COUNTIF($B$2:B4375,B4375)</f>
        <v>RONDONIA-26</v>
      </c>
      <c r="B4375" s="5" t="s">
        <v>2893</v>
      </c>
      <c r="C4375" s="5" t="s">
        <v>2912</v>
      </c>
      <c r="D4375" s="6">
        <v>-615179</v>
      </c>
      <c r="E4375" s="6">
        <v>-111964</v>
      </c>
      <c r="F4375" s="7">
        <v>4.5919999999999996</v>
      </c>
      <c r="G4375" s="7">
        <v>4.3410000000000002</v>
      </c>
      <c r="H4375" s="7">
        <v>4.38</v>
      </c>
      <c r="I4375" s="7">
        <v>4.4249999999999998</v>
      </c>
      <c r="J4375" s="7">
        <v>4.4349999999999996</v>
      </c>
      <c r="K4375" s="7">
        <v>4.0650000000000004</v>
      </c>
      <c r="L4375" s="7">
        <v>4.3739999999999997</v>
      </c>
      <c r="M4375" s="7">
        <v>4.5529999999999999</v>
      </c>
      <c r="N4375" s="7">
        <v>4.9269999999999996</v>
      </c>
      <c r="O4375" s="7">
        <v>4.8780000000000001</v>
      </c>
      <c r="P4375" s="7">
        <v>5.0179999999999998</v>
      </c>
      <c r="Q4375" s="7">
        <v>4.944</v>
      </c>
      <c r="R4375" s="7">
        <v>4.7670000000000003</v>
      </c>
      <c r="S4375" s="7">
        <f t="shared" si="68"/>
        <v>4.5922500000000008</v>
      </c>
    </row>
    <row r="4376" spans="1:19">
      <c r="A4376" s="5" t="str">
        <f>B4376&amp;"-"&amp;COUNTIF($B$2:B4376,B4376)</f>
        <v>RONDONIA-27</v>
      </c>
      <c r="B4376" s="5" t="s">
        <v>2893</v>
      </c>
      <c r="C4376" s="5" t="s">
        <v>2913</v>
      </c>
      <c r="D4376" s="6">
        <v>-626701</v>
      </c>
      <c r="E4376" s="6">
        <v>-110294</v>
      </c>
      <c r="F4376" s="7">
        <v>4.5750000000000002</v>
      </c>
      <c r="G4376" s="7">
        <v>4.4039999999999999</v>
      </c>
      <c r="H4376" s="7">
        <v>4.3179999999999996</v>
      </c>
      <c r="I4376" s="7">
        <v>4.3789999999999996</v>
      </c>
      <c r="J4376" s="7">
        <v>4.4539999999999997</v>
      </c>
      <c r="K4376" s="7">
        <v>3.9990000000000001</v>
      </c>
      <c r="L4376" s="7">
        <v>4.3220000000000001</v>
      </c>
      <c r="M4376" s="7">
        <v>4.4589999999999996</v>
      </c>
      <c r="N4376" s="7">
        <v>4.9029999999999996</v>
      </c>
      <c r="O4376" s="7">
        <v>4.9240000000000004</v>
      </c>
      <c r="P4376" s="7">
        <v>5.1130000000000004</v>
      </c>
      <c r="Q4376" s="7">
        <v>4.9580000000000002</v>
      </c>
      <c r="R4376" s="7">
        <v>4.6669999999999998</v>
      </c>
      <c r="S4376" s="7">
        <f t="shared" si="68"/>
        <v>4.5750000000000002</v>
      </c>
    </row>
    <row r="4377" spans="1:19">
      <c r="A4377" s="5" t="str">
        <f>B4377&amp;"-"&amp;COUNTIF($B$2:B4377,B4377)</f>
        <v>RONDONIA-28</v>
      </c>
      <c r="B4377" s="5" t="s">
        <v>2893</v>
      </c>
      <c r="C4377" s="5" t="s">
        <v>2914</v>
      </c>
      <c r="D4377" s="6">
        <v>-632983</v>
      </c>
      <c r="E4377" s="6">
        <v>-102594</v>
      </c>
      <c r="F4377" s="7">
        <v>4.5309999999999997</v>
      </c>
      <c r="G4377" s="7">
        <v>4.21</v>
      </c>
      <c r="H4377" s="7">
        <v>4.407</v>
      </c>
      <c r="I4377" s="7">
        <v>4.3860000000000001</v>
      </c>
      <c r="J4377" s="7">
        <v>4.4530000000000003</v>
      </c>
      <c r="K4377" s="7">
        <v>4.0049999999999999</v>
      </c>
      <c r="L4377" s="7">
        <v>4.38</v>
      </c>
      <c r="M4377" s="7">
        <v>4.4320000000000004</v>
      </c>
      <c r="N4377" s="7">
        <v>4.9050000000000002</v>
      </c>
      <c r="O4377" s="7">
        <v>4.9180000000000001</v>
      </c>
      <c r="P4377" s="7">
        <v>5.0129999999999999</v>
      </c>
      <c r="Q4377" s="7">
        <v>4.7590000000000003</v>
      </c>
      <c r="R4377" s="7">
        <v>4.51</v>
      </c>
      <c r="S4377" s="7">
        <f t="shared" si="68"/>
        <v>4.5314999999999994</v>
      </c>
    </row>
    <row r="4378" spans="1:19">
      <c r="A4378" s="5" t="str">
        <f>B4378&amp;"-"&amp;COUNTIF($B$2:B4378,B4378)</f>
        <v>RONDONIA-29</v>
      </c>
      <c r="B4378" s="5" t="s">
        <v>2893</v>
      </c>
      <c r="C4378" s="5" t="s">
        <v>5018</v>
      </c>
      <c r="D4378" s="6">
        <v>-623131</v>
      </c>
      <c r="E4378" s="6">
        <v>-117251</v>
      </c>
      <c r="F4378" s="7">
        <v>4.5970000000000004</v>
      </c>
      <c r="G4378" s="7">
        <v>4.452</v>
      </c>
      <c r="H4378" s="7">
        <v>4.4039999999999999</v>
      </c>
      <c r="I4378" s="7">
        <v>4.4320000000000004</v>
      </c>
      <c r="J4378" s="7">
        <v>4.4610000000000003</v>
      </c>
      <c r="K4378" s="7">
        <v>3.98</v>
      </c>
      <c r="L4378" s="7">
        <v>4.3490000000000002</v>
      </c>
      <c r="M4378" s="7">
        <v>4.444</v>
      </c>
      <c r="N4378" s="7">
        <v>4.9450000000000003</v>
      </c>
      <c r="O4378" s="7">
        <v>4.9370000000000003</v>
      </c>
      <c r="P4378" s="7">
        <v>5.1159999999999997</v>
      </c>
      <c r="Q4378" s="7">
        <v>4.9119999999999999</v>
      </c>
      <c r="R4378" s="7">
        <v>4.7320000000000002</v>
      </c>
      <c r="S4378" s="7">
        <f t="shared" si="68"/>
        <v>4.5969999999999995</v>
      </c>
    </row>
    <row r="4379" spans="1:19">
      <c r="A4379" s="5" t="str">
        <f>B4379&amp;"-"&amp;COUNTIF($B$2:B4379,B4379)</f>
        <v>RONDONIA-30</v>
      </c>
      <c r="B4379" s="5" t="s">
        <v>2893</v>
      </c>
      <c r="C4379" s="5" t="s">
        <v>4487</v>
      </c>
      <c r="D4379" s="6">
        <v>-653351</v>
      </c>
      <c r="E4379" s="6">
        <v>-104081</v>
      </c>
      <c r="F4379" s="7">
        <v>4.5679999999999996</v>
      </c>
      <c r="G4379" s="7">
        <v>4.4980000000000002</v>
      </c>
      <c r="H4379" s="7">
        <v>4.5129999999999999</v>
      </c>
      <c r="I4379" s="7">
        <v>4.359</v>
      </c>
      <c r="J4379" s="7">
        <v>4.4160000000000004</v>
      </c>
      <c r="K4379" s="7">
        <v>3.9390000000000001</v>
      </c>
      <c r="L4379" s="7">
        <v>4.181</v>
      </c>
      <c r="M4379" s="7">
        <v>4.391</v>
      </c>
      <c r="N4379" s="7">
        <v>4.8600000000000003</v>
      </c>
      <c r="O4379" s="7">
        <v>5.0010000000000003</v>
      </c>
      <c r="P4379" s="7">
        <v>5.1150000000000002</v>
      </c>
      <c r="Q4379" s="7">
        <v>4.798</v>
      </c>
      <c r="R4379" s="7">
        <v>4.7480000000000002</v>
      </c>
      <c r="S4379" s="7">
        <f t="shared" si="68"/>
        <v>4.5682499999999999</v>
      </c>
    </row>
    <row r="4380" spans="1:19">
      <c r="A4380" s="5" t="str">
        <f>B4380&amp;"-"&amp;COUNTIF($B$2:B4380,B4380)</f>
        <v>RONDONIA-31</v>
      </c>
      <c r="B4380" s="5" t="s">
        <v>2893</v>
      </c>
      <c r="C4380" s="5" t="s">
        <v>4003</v>
      </c>
      <c r="D4380" s="6">
        <v>-625562</v>
      </c>
      <c r="E4380" s="6">
        <v>-109122</v>
      </c>
      <c r="F4380" s="7">
        <v>4.5810000000000004</v>
      </c>
      <c r="G4380" s="7">
        <v>4.3780000000000001</v>
      </c>
      <c r="H4380" s="7">
        <v>4.3550000000000004</v>
      </c>
      <c r="I4380" s="7">
        <v>4.4470000000000001</v>
      </c>
      <c r="J4380" s="7">
        <v>4.4619999999999997</v>
      </c>
      <c r="K4380" s="7">
        <v>4.01</v>
      </c>
      <c r="L4380" s="7">
        <v>4.3259999999999996</v>
      </c>
      <c r="M4380" s="7">
        <v>4.4459999999999997</v>
      </c>
      <c r="N4380" s="7">
        <v>4.8869999999999996</v>
      </c>
      <c r="O4380" s="7">
        <v>4.9340000000000002</v>
      </c>
      <c r="P4380" s="7">
        <v>5.1289999999999996</v>
      </c>
      <c r="Q4380" s="7">
        <v>4.96</v>
      </c>
      <c r="R4380" s="7">
        <v>4.6379999999999999</v>
      </c>
      <c r="S4380" s="7">
        <f t="shared" si="68"/>
        <v>4.5809999999999995</v>
      </c>
    </row>
    <row r="4381" spans="1:19">
      <c r="A4381" s="5" t="str">
        <f>B4381&amp;"-"&amp;COUNTIF($B$2:B4381,B4381)</f>
        <v>RONDONIA-32</v>
      </c>
      <c r="B4381" s="5" t="s">
        <v>2893</v>
      </c>
      <c r="C4381" s="5" t="s">
        <v>2915</v>
      </c>
      <c r="D4381" s="6">
        <v>-619993</v>
      </c>
      <c r="E4381" s="6">
        <v>-117091</v>
      </c>
      <c r="F4381" s="7">
        <v>4.6509999999999998</v>
      </c>
      <c r="G4381" s="7">
        <v>4.5019999999999998</v>
      </c>
      <c r="H4381" s="7">
        <v>4.4080000000000004</v>
      </c>
      <c r="I4381" s="7">
        <v>4.5519999999999996</v>
      </c>
      <c r="J4381" s="7">
        <v>4.5579999999999998</v>
      </c>
      <c r="K4381" s="7">
        <v>4.109</v>
      </c>
      <c r="L4381" s="7">
        <v>4.3860000000000001</v>
      </c>
      <c r="M4381" s="7">
        <v>4.4550000000000001</v>
      </c>
      <c r="N4381" s="7">
        <v>4.97</v>
      </c>
      <c r="O4381" s="7">
        <v>4.9720000000000004</v>
      </c>
      <c r="P4381" s="7">
        <v>5.14</v>
      </c>
      <c r="Q4381" s="7">
        <v>5.0209999999999999</v>
      </c>
      <c r="R4381" s="7">
        <v>4.734</v>
      </c>
      <c r="S4381" s="7">
        <f t="shared" si="68"/>
        <v>4.6505833333333335</v>
      </c>
    </row>
    <row r="4382" spans="1:19">
      <c r="A4382" s="5" t="str">
        <f>B4382&amp;"-"&amp;COUNTIF($B$2:B4382,B4382)</f>
        <v>RONDONIA-33</v>
      </c>
      <c r="B4382" s="5" t="s">
        <v>2893</v>
      </c>
      <c r="C4382" s="5" t="s">
        <v>2916</v>
      </c>
      <c r="D4382" s="6">
        <v>-62257</v>
      </c>
      <c r="E4382" s="6">
        <v>-107171</v>
      </c>
      <c r="F4382" s="7">
        <v>4.5730000000000004</v>
      </c>
      <c r="G4382" s="7">
        <v>4.4169999999999998</v>
      </c>
      <c r="H4382" s="7">
        <v>4.2699999999999996</v>
      </c>
      <c r="I4382" s="7">
        <v>4.4009999999999998</v>
      </c>
      <c r="J4382" s="7">
        <v>4.4909999999999997</v>
      </c>
      <c r="K4382" s="7">
        <v>4.0750000000000002</v>
      </c>
      <c r="L4382" s="7">
        <v>4.38</v>
      </c>
      <c r="M4382" s="7">
        <v>4.4560000000000004</v>
      </c>
      <c r="N4382" s="7">
        <v>4.8890000000000002</v>
      </c>
      <c r="O4382" s="7">
        <v>4.8470000000000004</v>
      </c>
      <c r="P4382" s="7">
        <v>5.0940000000000003</v>
      </c>
      <c r="Q4382" s="7">
        <v>4.9180000000000001</v>
      </c>
      <c r="R4382" s="7">
        <v>4.6369999999999996</v>
      </c>
      <c r="S4382" s="7">
        <f t="shared" si="68"/>
        <v>4.572916666666667</v>
      </c>
    </row>
    <row r="4383" spans="1:19">
      <c r="A4383" s="5" t="str">
        <f>B4383&amp;"-"&amp;COUNTIF($B$2:B4383,B4383)</f>
        <v>RONDONIA-34</v>
      </c>
      <c r="B4383" s="5" t="s">
        <v>2893</v>
      </c>
      <c r="C4383" s="5" t="s">
        <v>2917</v>
      </c>
      <c r="D4383" s="6">
        <v>-616037</v>
      </c>
      <c r="E4383" s="6">
        <v>-121758</v>
      </c>
      <c r="F4383" s="7">
        <v>4.6459999999999999</v>
      </c>
      <c r="G4383" s="7">
        <v>4.4260000000000002</v>
      </c>
      <c r="H4383" s="7">
        <v>4.4009999999999998</v>
      </c>
      <c r="I4383" s="7">
        <v>4.492</v>
      </c>
      <c r="J4383" s="7">
        <v>4.5709999999999997</v>
      </c>
      <c r="K4383" s="7">
        <v>4.1550000000000002</v>
      </c>
      <c r="L4383" s="7">
        <v>4.335</v>
      </c>
      <c r="M4383" s="7">
        <v>4.4820000000000002</v>
      </c>
      <c r="N4383" s="7">
        <v>4.984</v>
      </c>
      <c r="O4383" s="7">
        <v>4.9489999999999998</v>
      </c>
      <c r="P4383" s="7">
        <v>5.1340000000000003</v>
      </c>
      <c r="Q4383" s="7">
        <v>5.008</v>
      </c>
      <c r="R4383" s="7">
        <v>4.8150000000000004</v>
      </c>
      <c r="S4383" s="7">
        <f t="shared" si="68"/>
        <v>4.6459999999999999</v>
      </c>
    </row>
    <row r="4384" spans="1:19">
      <c r="A4384" s="5" t="str">
        <f>B4384&amp;"-"&amp;COUNTIF($B$2:B4384,B4384)</f>
        <v>RONDONIA-35</v>
      </c>
      <c r="B4384" s="5" t="s">
        <v>2893</v>
      </c>
      <c r="C4384" s="5" t="s">
        <v>2918</v>
      </c>
      <c r="D4384" s="6">
        <v>-611984</v>
      </c>
      <c r="E4384" s="6">
        <v>-116724</v>
      </c>
      <c r="F4384" s="7">
        <v>4.6509999999999998</v>
      </c>
      <c r="G4384" s="7">
        <v>4.43</v>
      </c>
      <c r="H4384" s="7">
        <v>4.407</v>
      </c>
      <c r="I4384" s="7">
        <v>4.5510000000000002</v>
      </c>
      <c r="J4384" s="7">
        <v>4.5119999999999996</v>
      </c>
      <c r="K4384" s="7">
        <v>4.1929999999999996</v>
      </c>
      <c r="L4384" s="7">
        <v>4.4020000000000001</v>
      </c>
      <c r="M4384" s="7">
        <v>4.5469999999999997</v>
      </c>
      <c r="N4384" s="7">
        <v>4.9960000000000004</v>
      </c>
      <c r="O4384" s="7">
        <v>4.8879999999999999</v>
      </c>
      <c r="P4384" s="7">
        <v>5.0880000000000001</v>
      </c>
      <c r="Q4384" s="7">
        <v>4.9809999999999999</v>
      </c>
      <c r="R4384" s="7">
        <v>4.8209999999999997</v>
      </c>
      <c r="S4384" s="7">
        <f t="shared" si="68"/>
        <v>4.6513333333333327</v>
      </c>
    </row>
    <row r="4385" spans="1:19">
      <c r="A4385" s="5" t="str">
        <f>B4385&amp;"-"&amp;COUNTIF($B$2:B4385,B4385)</f>
        <v>RONDONIA-36</v>
      </c>
      <c r="B4385" s="5" t="s">
        <v>2893</v>
      </c>
      <c r="C4385" s="5" t="s">
        <v>2919</v>
      </c>
      <c r="D4385" s="6">
        <v>-610475</v>
      </c>
      <c r="E4385" s="6">
        <v>-134827</v>
      </c>
      <c r="F4385" s="7">
        <v>4.8319999999999999</v>
      </c>
      <c r="G4385" s="7">
        <v>4.8460000000000001</v>
      </c>
      <c r="H4385" s="7">
        <v>4.6959999999999997</v>
      </c>
      <c r="I4385" s="7">
        <v>4.6970000000000001</v>
      </c>
      <c r="J4385" s="7">
        <v>4.7370000000000001</v>
      </c>
      <c r="K4385" s="7">
        <v>4.2590000000000003</v>
      </c>
      <c r="L4385" s="7">
        <v>4.3689999999999998</v>
      </c>
      <c r="M4385" s="7">
        <v>4.5940000000000003</v>
      </c>
      <c r="N4385" s="7">
        <v>5.1050000000000004</v>
      </c>
      <c r="O4385" s="7">
        <v>5.0579999999999998</v>
      </c>
      <c r="P4385" s="7">
        <v>5.2649999999999997</v>
      </c>
      <c r="Q4385" s="7">
        <v>5.2510000000000003</v>
      </c>
      <c r="R4385" s="7">
        <v>5.1079999999999997</v>
      </c>
      <c r="S4385" s="7">
        <f t="shared" si="68"/>
        <v>4.8320833333333324</v>
      </c>
    </row>
    <row r="4386" spans="1:19">
      <c r="A4386" s="5" t="str">
        <f>B4386&amp;"-"&amp;COUNTIF($B$2:B4386,B4386)</f>
        <v>RONDONIA-37</v>
      </c>
      <c r="B4386" s="5" t="s">
        <v>2893</v>
      </c>
      <c r="C4386" s="5" t="s">
        <v>2920</v>
      </c>
      <c r="D4386" s="6">
        <v>-639008</v>
      </c>
      <c r="E4386" s="6">
        <v>-87616</v>
      </c>
      <c r="F4386" s="7">
        <v>4.4800000000000004</v>
      </c>
      <c r="G4386" s="7">
        <v>4.2130000000000001</v>
      </c>
      <c r="H4386" s="7">
        <v>4.4390000000000001</v>
      </c>
      <c r="I4386" s="7">
        <v>4.3209999999999997</v>
      </c>
      <c r="J4386" s="7">
        <v>4.3449999999999998</v>
      </c>
      <c r="K4386" s="7">
        <v>3.97</v>
      </c>
      <c r="L4386" s="7">
        <v>4.2770000000000001</v>
      </c>
      <c r="M4386" s="7">
        <v>4.468</v>
      </c>
      <c r="N4386" s="7">
        <v>4.8419999999999996</v>
      </c>
      <c r="O4386" s="7">
        <v>4.8559999999999999</v>
      </c>
      <c r="P4386" s="7">
        <v>4.9530000000000003</v>
      </c>
      <c r="Q4386" s="7">
        <v>4.6479999999999997</v>
      </c>
      <c r="R4386" s="7">
        <v>4.4260000000000002</v>
      </c>
      <c r="S4386" s="7">
        <f t="shared" si="68"/>
        <v>4.4798333333333344</v>
      </c>
    </row>
    <row r="4387" spans="1:19">
      <c r="A4387" s="5" t="str">
        <f>B4387&amp;"-"&amp;COUNTIF($B$2:B4387,B4387)</f>
        <v>RONDONIA-38</v>
      </c>
      <c r="B4387" s="5" t="s">
        <v>2893</v>
      </c>
      <c r="C4387" s="5" t="s">
        <v>4311</v>
      </c>
      <c r="D4387" s="6">
        <v>-618991</v>
      </c>
      <c r="E4387" s="6">
        <v>-111694</v>
      </c>
      <c r="F4387" s="7">
        <v>4.6360000000000001</v>
      </c>
      <c r="G4387" s="7">
        <v>4.4880000000000004</v>
      </c>
      <c r="H4387" s="7">
        <v>4.4119999999999999</v>
      </c>
      <c r="I4387" s="7">
        <v>4.49</v>
      </c>
      <c r="J4387" s="7">
        <v>4.524</v>
      </c>
      <c r="K4387" s="7">
        <v>4.1239999999999997</v>
      </c>
      <c r="L4387" s="7">
        <v>4.3979999999999997</v>
      </c>
      <c r="M4387" s="7">
        <v>4.4729999999999999</v>
      </c>
      <c r="N4387" s="7">
        <v>4.8920000000000003</v>
      </c>
      <c r="O4387" s="7">
        <v>4.9290000000000003</v>
      </c>
      <c r="P4387" s="7">
        <v>5.1710000000000003</v>
      </c>
      <c r="Q4387" s="7">
        <v>4.968</v>
      </c>
      <c r="R4387" s="7">
        <v>4.7629999999999999</v>
      </c>
      <c r="S4387" s="7">
        <f t="shared" si="68"/>
        <v>4.6360000000000001</v>
      </c>
    </row>
    <row r="4388" spans="1:19">
      <c r="A4388" s="5" t="str">
        <f>B4388&amp;"-"&amp;COUNTIF($B$2:B4388,B4388)</f>
        <v>RONDONIA-39</v>
      </c>
      <c r="B4388" s="5" t="s">
        <v>2893</v>
      </c>
      <c r="C4388" s="5" t="s">
        <v>4585</v>
      </c>
      <c r="D4388" s="6">
        <v>-613158</v>
      </c>
      <c r="E4388" s="6">
        <v>-118299</v>
      </c>
      <c r="F4388" s="7">
        <v>4.6449999999999996</v>
      </c>
      <c r="G4388" s="7">
        <v>4.45</v>
      </c>
      <c r="H4388" s="7">
        <v>4.4260000000000002</v>
      </c>
      <c r="I4388" s="7">
        <v>4.5309999999999997</v>
      </c>
      <c r="J4388" s="7">
        <v>4.5190000000000001</v>
      </c>
      <c r="K4388" s="7">
        <v>4.2160000000000002</v>
      </c>
      <c r="L4388" s="7">
        <v>4.359</v>
      </c>
      <c r="M4388" s="7">
        <v>4.5430000000000001</v>
      </c>
      <c r="N4388" s="7">
        <v>4.9379999999999997</v>
      </c>
      <c r="O4388" s="7">
        <v>4.91</v>
      </c>
      <c r="P4388" s="7">
        <v>5.0830000000000002</v>
      </c>
      <c r="Q4388" s="7">
        <v>4.9720000000000004</v>
      </c>
      <c r="R4388" s="7">
        <v>4.7939999999999996</v>
      </c>
      <c r="S4388" s="7">
        <f t="shared" si="68"/>
        <v>4.6450833333333339</v>
      </c>
    </row>
    <row r="4389" spans="1:19">
      <c r="A4389" s="5" t="str">
        <f>B4389&amp;"-"&amp;COUNTIF($B$2:B4389,B4389)</f>
        <v>RONDONIA-40</v>
      </c>
      <c r="B4389" s="5" t="s">
        <v>2893</v>
      </c>
      <c r="C4389" s="5" t="s">
        <v>2921</v>
      </c>
      <c r="D4389" s="6">
        <v>-628985</v>
      </c>
      <c r="E4389" s="6">
        <v>-97049</v>
      </c>
      <c r="F4389" s="7">
        <v>4.5119999999999996</v>
      </c>
      <c r="G4389" s="7">
        <v>4.2110000000000003</v>
      </c>
      <c r="H4389" s="7">
        <v>4.351</v>
      </c>
      <c r="I4389" s="7">
        <v>4.2770000000000001</v>
      </c>
      <c r="J4389" s="7">
        <v>4.3719999999999999</v>
      </c>
      <c r="K4389" s="7">
        <v>4.0449999999999999</v>
      </c>
      <c r="L4389" s="7">
        <v>4.3680000000000003</v>
      </c>
      <c r="M4389" s="7">
        <v>4.4589999999999996</v>
      </c>
      <c r="N4389" s="7">
        <v>4.835</v>
      </c>
      <c r="O4389" s="7">
        <v>4.8440000000000003</v>
      </c>
      <c r="P4389" s="7">
        <v>4.9870000000000001</v>
      </c>
      <c r="Q4389" s="7">
        <v>4.8019999999999996</v>
      </c>
      <c r="R4389" s="7">
        <v>4.5960000000000001</v>
      </c>
      <c r="S4389" s="7">
        <f t="shared" si="68"/>
        <v>4.5122500000000008</v>
      </c>
    </row>
    <row r="4390" spans="1:19">
      <c r="A4390" s="5" t="str">
        <f>B4390&amp;"-"&amp;COUNTIF($B$2:B4390,B4390)</f>
        <v>RONDONIA-41</v>
      </c>
      <c r="B4390" s="5" t="s">
        <v>2893</v>
      </c>
      <c r="C4390" s="5" t="s">
        <v>2922</v>
      </c>
      <c r="D4390" s="6">
        <v>-617719</v>
      </c>
      <c r="E4390" s="6">
        <v>-117275</v>
      </c>
      <c r="F4390" s="7">
        <v>4.6340000000000003</v>
      </c>
      <c r="G4390" s="7">
        <v>4.452</v>
      </c>
      <c r="H4390" s="7">
        <v>4.4139999999999997</v>
      </c>
      <c r="I4390" s="7">
        <v>4.5720000000000001</v>
      </c>
      <c r="J4390" s="7">
        <v>4.5309999999999997</v>
      </c>
      <c r="K4390" s="7">
        <v>4.1159999999999997</v>
      </c>
      <c r="L4390" s="7">
        <v>4.359</v>
      </c>
      <c r="M4390" s="7">
        <v>4.5</v>
      </c>
      <c r="N4390" s="7">
        <v>4.8780000000000001</v>
      </c>
      <c r="O4390" s="7">
        <v>4.9509999999999996</v>
      </c>
      <c r="P4390" s="7">
        <v>5.1289999999999996</v>
      </c>
      <c r="Q4390" s="7">
        <v>4.9400000000000004</v>
      </c>
      <c r="R4390" s="7">
        <v>4.7679999999999998</v>
      </c>
      <c r="S4390" s="7">
        <f t="shared" si="68"/>
        <v>4.6341666666666663</v>
      </c>
    </row>
    <row r="4391" spans="1:19">
      <c r="A4391" s="5" t="str">
        <f>B4391&amp;"-"&amp;COUNTIF($B$2:B4391,B4391)</f>
        <v>RONDONIA-42</v>
      </c>
      <c r="B4391" s="5" t="s">
        <v>2893</v>
      </c>
      <c r="C4391" s="5" t="s">
        <v>4194</v>
      </c>
      <c r="D4391" s="6">
        <v>-615031</v>
      </c>
      <c r="E4391" s="6">
        <v>-119027</v>
      </c>
      <c r="F4391" s="7">
        <v>4.6779999999999999</v>
      </c>
      <c r="G4391" s="7">
        <v>4.5220000000000002</v>
      </c>
      <c r="H4391" s="7">
        <v>4.4530000000000003</v>
      </c>
      <c r="I4391" s="7">
        <v>4.58</v>
      </c>
      <c r="J4391" s="7">
        <v>4.5960000000000001</v>
      </c>
      <c r="K4391" s="7">
        <v>4.1790000000000003</v>
      </c>
      <c r="L4391" s="7">
        <v>4.3710000000000004</v>
      </c>
      <c r="M4391" s="7">
        <v>4.4960000000000004</v>
      </c>
      <c r="N4391" s="7">
        <v>4.9480000000000004</v>
      </c>
      <c r="O4391" s="7">
        <v>4.9690000000000003</v>
      </c>
      <c r="P4391" s="7">
        <v>5.18</v>
      </c>
      <c r="Q4391" s="7">
        <v>5.0069999999999997</v>
      </c>
      <c r="R4391" s="7">
        <v>4.8360000000000003</v>
      </c>
      <c r="S4391" s="7">
        <f t="shared" si="68"/>
        <v>4.6780833333333343</v>
      </c>
    </row>
    <row r="4392" spans="1:19">
      <c r="A4392" s="5" t="str">
        <f>B4392&amp;"-"&amp;COUNTIF($B$2:B4392,B4392)</f>
        <v>RONDONIA-43</v>
      </c>
      <c r="B4392" s="5" t="s">
        <v>2893</v>
      </c>
      <c r="C4392" s="5" t="s">
        <v>4488</v>
      </c>
      <c r="D4392" s="6">
        <v>-635684</v>
      </c>
      <c r="E4392" s="6">
        <v>-120524</v>
      </c>
      <c r="F4392" s="7">
        <v>4.5819999999999999</v>
      </c>
      <c r="G4392" s="7">
        <v>4.54</v>
      </c>
      <c r="H4392" s="7">
        <v>4.4139999999999997</v>
      </c>
      <c r="I4392" s="7">
        <v>4.4059999999999997</v>
      </c>
      <c r="J4392" s="7">
        <v>4.4710000000000001</v>
      </c>
      <c r="K4392" s="7">
        <v>3.8919999999999999</v>
      </c>
      <c r="L4392" s="7">
        <v>4.1870000000000003</v>
      </c>
      <c r="M4392" s="7">
        <v>4.3979999999999997</v>
      </c>
      <c r="N4392" s="7">
        <v>4.8540000000000001</v>
      </c>
      <c r="O4392" s="7">
        <v>4.9080000000000004</v>
      </c>
      <c r="P4392" s="7">
        <v>5.1289999999999996</v>
      </c>
      <c r="Q4392" s="7">
        <v>4.9800000000000004</v>
      </c>
      <c r="R4392" s="7">
        <v>4.8049999999999997</v>
      </c>
      <c r="S4392" s="7">
        <f t="shared" si="68"/>
        <v>4.5819999999999999</v>
      </c>
    </row>
    <row r="4393" spans="1:19">
      <c r="A4393" s="5" t="str">
        <f>B4393&amp;"-"&amp;COUNTIF($B$2:B4393,B4393)</f>
        <v>RONDONIA-44</v>
      </c>
      <c r="B4393" s="5" t="s">
        <v>2893</v>
      </c>
      <c r="C4393" s="5" t="s">
        <v>4489</v>
      </c>
      <c r="D4393" s="6">
        <v>-627197</v>
      </c>
      <c r="E4393" s="6">
        <v>-116957</v>
      </c>
      <c r="F4393" s="7">
        <v>4.6109999999999998</v>
      </c>
      <c r="G4393" s="7">
        <v>4.4550000000000001</v>
      </c>
      <c r="H4393" s="7">
        <v>4.4539999999999997</v>
      </c>
      <c r="I4393" s="7">
        <v>4.4450000000000003</v>
      </c>
      <c r="J4393" s="7">
        <v>4.4740000000000002</v>
      </c>
      <c r="K4393" s="7">
        <v>3.9620000000000002</v>
      </c>
      <c r="L4393" s="7">
        <v>4.2770000000000001</v>
      </c>
      <c r="M4393" s="7">
        <v>4.4740000000000002</v>
      </c>
      <c r="N4393" s="7">
        <v>4.9240000000000004</v>
      </c>
      <c r="O4393" s="7">
        <v>5.0250000000000004</v>
      </c>
      <c r="P4393" s="7">
        <v>5.1150000000000002</v>
      </c>
      <c r="Q4393" s="7">
        <v>4.9829999999999997</v>
      </c>
      <c r="R4393" s="7">
        <v>4.7460000000000004</v>
      </c>
      <c r="S4393" s="7">
        <f t="shared" si="68"/>
        <v>4.6111666666666666</v>
      </c>
    </row>
    <row r="4394" spans="1:19">
      <c r="A4394" s="5" t="str">
        <f>B4394&amp;"-"&amp;COUNTIF($B$2:B4394,B4394)</f>
        <v>RONDONIA-45</v>
      </c>
      <c r="B4394" s="5" t="s">
        <v>2893</v>
      </c>
      <c r="C4394" s="5" t="s">
        <v>2923</v>
      </c>
      <c r="D4394" s="6">
        <v>-617781</v>
      </c>
      <c r="E4394" s="6">
        <v>-119078</v>
      </c>
      <c r="F4394" s="7">
        <v>4.6660000000000004</v>
      </c>
      <c r="G4394" s="7">
        <v>4.5039999999999996</v>
      </c>
      <c r="H4394" s="7">
        <v>4.415</v>
      </c>
      <c r="I4394" s="7">
        <v>4.5609999999999999</v>
      </c>
      <c r="J4394" s="7">
        <v>4.5620000000000003</v>
      </c>
      <c r="K4394" s="7">
        <v>4.1719999999999997</v>
      </c>
      <c r="L4394" s="7">
        <v>4.3769999999999998</v>
      </c>
      <c r="M4394" s="7">
        <v>4.4960000000000004</v>
      </c>
      <c r="N4394" s="7">
        <v>4.96</v>
      </c>
      <c r="O4394" s="7">
        <v>4.99</v>
      </c>
      <c r="P4394" s="7">
        <v>5.1459999999999999</v>
      </c>
      <c r="Q4394" s="7">
        <v>4.9980000000000002</v>
      </c>
      <c r="R4394" s="7">
        <v>4.8109999999999999</v>
      </c>
      <c r="S4394" s="7">
        <f t="shared" si="68"/>
        <v>4.6660000000000004</v>
      </c>
    </row>
    <row r="4395" spans="1:19">
      <c r="A4395" s="5" t="str">
        <f>B4395&amp;"-"&amp;COUNTIF($B$2:B4395,B4395)</f>
        <v>RONDONIA-46</v>
      </c>
      <c r="B4395" s="5" t="s">
        <v>2893</v>
      </c>
      <c r="C4395" s="5" t="s">
        <v>2924</v>
      </c>
      <c r="D4395" s="6">
        <v>-630337</v>
      </c>
      <c r="E4395" s="6">
        <v>-117699</v>
      </c>
      <c r="F4395" s="7">
        <v>4.5759999999999996</v>
      </c>
      <c r="G4395" s="7">
        <v>4.4770000000000003</v>
      </c>
      <c r="H4395" s="7">
        <v>4.4180000000000001</v>
      </c>
      <c r="I4395" s="7">
        <v>4.41</v>
      </c>
      <c r="J4395" s="7">
        <v>4.4320000000000004</v>
      </c>
      <c r="K4395" s="7">
        <v>3.9369999999999998</v>
      </c>
      <c r="L4395" s="7">
        <v>4.242</v>
      </c>
      <c r="M4395" s="7">
        <v>4.4409999999999998</v>
      </c>
      <c r="N4395" s="7">
        <v>4.9109999999999996</v>
      </c>
      <c r="O4395" s="7">
        <v>4.9509999999999996</v>
      </c>
      <c r="P4395" s="7">
        <v>5.0419999999999998</v>
      </c>
      <c r="Q4395" s="7">
        <v>4.9580000000000002</v>
      </c>
      <c r="R4395" s="7">
        <v>4.6879999999999997</v>
      </c>
      <c r="S4395" s="7">
        <f t="shared" si="68"/>
        <v>4.5755833333333333</v>
      </c>
    </row>
    <row r="4396" spans="1:19">
      <c r="A4396" s="5" t="str">
        <f>B4396&amp;"-"&amp;COUNTIF($B$2:B4396,B4396)</f>
        <v>RONDONIA-47</v>
      </c>
      <c r="B4396" s="5" t="s">
        <v>2893</v>
      </c>
      <c r="C4396" s="5" t="s">
        <v>5216</v>
      </c>
      <c r="D4396" s="6">
        <v>-622562</v>
      </c>
      <c r="E4396" s="6">
        <v>-109337</v>
      </c>
      <c r="F4396" s="7">
        <v>4.625</v>
      </c>
      <c r="G4396" s="7">
        <v>4.5270000000000001</v>
      </c>
      <c r="H4396" s="7">
        <v>4.3879999999999999</v>
      </c>
      <c r="I4396" s="7">
        <v>4.431</v>
      </c>
      <c r="J4396" s="7">
        <v>4.49</v>
      </c>
      <c r="K4396" s="7">
        <v>4.0540000000000003</v>
      </c>
      <c r="L4396" s="7">
        <v>4.3849999999999998</v>
      </c>
      <c r="M4396" s="7">
        <v>4.5199999999999996</v>
      </c>
      <c r="N4396" s="7">
        <v>4.9459999999999997</v>
      </c>
      <c r="O4396" s="7">
        <v>4.8719999999999999</v>
      </c>
      <c r="P4396" s="7">
        <v>5.181</v>
      </c>
      <c r="Q4396" s="7">
        <v>4.9909999999999997</v>
      </c>
      <c r="R4396" s="7">
        <v>4.7119999999999997</v>
      </c>
      <c r="S4396" s="7">
        <f t="shared" si="68"/>
        <v>4.6247499999999997</v>
      </c>
    </row>
    <row r="4397" spans="1:19">
      <c r="A4397" s="5" t="str">
        <f>B4397&amp;"-"&amp;COUNTIF($B$2:B4397,B4397)</f>
        <v>RONDONIA-48</v>
      </c>
      <c r="B4397" s="5" t="s">
        <v>2893</v>
      </c>
      <c r="C4397" s="5" t="s">
        <v>2925</v>
      </c>
      <c r="D4397" s="6">
        <v>-623543</v>
      </c>
      <c r="E4397" s="6">
        <v>-102487</v>
      </c>
      <c r="F4397" s="7">
        <v>4.54</v>
      </c>
      <c r="G4397" s="7">
        <v>4.38</v>
      </c>
      <c r="H4397" s="7">
        <v>4.2889999999999997</v>
      </c>
      <c r="I4397" s="7">
        <v>4.2939999999999996</v>
      </c>
      <c r="J4397" s="7">
        <v>4.4770000000000003</v>
      </c>
      <c r="K4397" s="7">
        <v>4.0380000000000003</v>
      </c>
      <c r="L4397" s="7">
        <v>4.43</v>
      </c>
      <c r="M4397" s="7">
        <v>4.4939999999999998</v>
      </c>
      <c r="N4397" s="7">
        <v>4.835</v>
      </c>
      <c r="O4397" s="7">
        <v>4.8440000000000003</v>
      </c>
      <c r="P4397" s="7">
        <v>4.9880000000000004</v>
      </c>
      <c r="Q4397" s="7">
        <v>4.7850000000000001</v>
      </c>
      <c r="R4397" s="7">
        <v>4.6180000000000003</v>
      </c>
      <c r="S4397" s="7">
        <f t="shared" si="68"/>
        <v>4.5393333333333334</v>
      </c>
    </row>
    <row r="4398" spans="1:19">
      <c r="A4398" s="5" t="str">
        <f>B4398&amp;"-"&amp;COUNTIF($B$2:B4398,B4398)</f>
        <v>RONDONIA-49</v>
      </c>
      <c r="B4398" s="5" t="s">
        <v>2893</v>
      </c>
      <c r="C4398" s="5" t="s">
        <v>5734</v>
      </c>
      <c r="D4398" s="6">
        <v>-623644</v>
      </c>
      <c r="E4398" s="6">
        <v>-111265</v>
      </c>
      <c r="F4398" s="7">
        <v>4.6100000000000003</v>
      </c>
      <c r="G4398" s="7">
        <v>4.4249999999999998</v>
      </c>
      <c r="H4398" s="7">
        <v>4.3890000000000002</v>
      </c>
      <c r="I4398" s="7">
        <v>4.4160000000000004</v>
      </c>
      <c r="J4398" s="7">
        <v>4.5259999999999998</v>
      </c>
      <c r="K4398" s="7">
        <v>4.0620000000000003</v>
      </c>
      <c r="L4398" s="7">
        <v>4.3600000000000003</v>
      </c>
      <c r="M4398" s="7">
        <v>4.4939999999999998</v>
      </c>
      <c r="N4398" s="7">
        <v>4.891</v>
      </c>
      <c r="O4398" s="7">
        <v>4.9080000000000004</v>
      </c>
      <c r="P4398" s="7">
        <v>5.1859999999999999</v>
      </c>
      <c r="Q4398" s="7">
        <v>4.9580000000000002</v>
      </c>
      <c r="R4398" s="7">
        <v>4.71</v>
      </c>
      <c r="S4398" s="7">
        <f t="shared" si="68"/>
        <v>4.6104166666666666</v>
      </c>
    </row>
    <row r="4399" spans="1:19">
      <c r="A4399" s="5" t="str">
        <f>B4399&amp;"-"&amp;COUNTIF($B$2:B4399,B4399)</f>
        <v>RONDONIA-50</v>
      </c>
      <c r="B4399" s="5" t="s">
        <v>2893</v>
      </c>
      <c r="C4399" s="5" t="s">
        <v>2926</v>
      </c>
      <c r="D4399" s="6">
        <v>-621745</v>
      </c>
      <c r="E4399" s="6">
        <v>-98577</v>
      </c>
      <c r="F4399" s="7">
        <v>4.5350000000000001</v>
      </c>
      <c r="G4399" s="7">
        <v>4.335</v>
      </c>
      <c r="H4399" s="7">
        <v>4.3630000000000004</v>
      </c>
      <c r="I4399" s="7">
        <v>4.3369999999999997</v>
      </c>
      <c r="J4399" s="7">
        <v>4.4560000000000004</v>
      </c>
      <c r="K4399" s="7">
        <v>4.0570000000000004</v>
      </c>
      <c r="L4399" s="7">
        <v>4.41</v>
      </c>
      <c r="M4399" s="7">
        <v>4.5359999999999996</v>
      </c>
      <c r="N4399" s="7">
        <v>4.8490000000000002</v>
      </c>
      <c r="O4399" s="7">
        <v>4.8090000000000002</v>
      </c>
      <c r="P4399" s="7">
        <v>4.97</v>
      </c>
      <c r="Q4399" s="7">
        <v>4.7160000000000002</v>
      </c>
      <c r="R4399" s="7">
        <v>4.59</v>
      </c>
      <c r="S4399" s="7">
        <f t="shared" si="68"/>
        <v>4.5356666666666667</v>
      </c>
    </row>
    <row r="4400" spans="1:19">
      <c r="A4400" s="5" t="str">
        <f>B4400&amp;"-"&amp;COUNTIF($B$2:B4400,B4400)</f>
        <v>RONDONIA-51</v>
      </c>
      <c r="B4400" s="5" t="s">
        <v>2893</v>
      </c>
      <c r="C4400" s="5" t="s">
        <v>2927</v>
      </c>
      <c r="D4400" s="6">
        <v>-621285</v>
      </c>
      <c r="E4400" s="6">
        <v>-104268</v>
      </c>
      <c r="F4400" s="7">
        <v>4.5759999999999996</v>
      </c>
      <c r="G4400" s="7">
        <v>4.3680000000000003</v>
      </c>
      <c r="H4400" s="7">
        <v>4.3259999999999996</v>
      </c>
      <c r="I4400" s="7">
        <v>4.38</v>
      </c>
      <c r="J4400" s="7">
        <v>4.5129999999999999</v>
      </c>
      <c r="K4400" s="7">
        <v>4.0599999999999996</v>
      </c>
      <c r="L4400" s="7">
        <v>4.4219999999999997</v>
      </c>
      <c r="M4400" s="7">
        <v>4.5140000000000002</v>
      </c>
      <c r="N4400" s="7">
        <v>4.8789999999999996</v>
      </c>
      <c r="O4400" s="7">
        <v>4.8630000000000004</v>
      </c>
      <c r="P4400" s="7">
        <v>5.0620000000000003</v>
      </c>
      <c r="Q4400" s="7">
        <v>4.8639999999999999</v>
      </c>
      <c r="R4400" s="7">
        <v>4.6630000000000003</v>
      </c>
      <c r="S4400" s="7">
        <f t="shared" si="68"/>
        <v>4.5761666666666656</v>
      </c>
    </row>
    <row r="4401" spans="1:19">
      <c r="A4401" s="5" t="str">
        <f>B4401&amp;"-"&amp;COUNTIF($B$2:B4401,B4401)</f>
        <v>RONDONIA-52</v>
      </c>
      <c r="B4401" s="5" t="s">
        <v>2893</v>
      </c>
      <c r="C4401" s="5" t="s">
        <v>2928</v>
      </c>
      <c r="D4401" s="6">
        <v>-601493</v>
      </c>
      <c r="E4401" s="6">
        <v>-127506</v>
      </c>
      <c r="F4401" s="7">
        <v>4.6340000000000003</v>
      </c>
      <c r="G4401" s="7">
        <v>4.5819999999999999</v>
      </c>
      <c r="H4401" s="7">
        <v>4.4489999999999998</v>
      </c>
      <c r="I4401" s="7">
        <v>4.4249999999999998</v>
      </c>
      <c r="J4401" s="7">
        <v>4.5190000000000001</v>
      </c>
      <c r="K4401" s="7">
        <v>4.2409999999999997</v>
      </c>
      <c r="L4401" s="7">
        <v>4.3639999999999999</v>
      </c>
      <c r="M4401" s="7">
        <v>4.5389999999999997</v>
      </c>
      <c r="N4401" s="7">
        <v>5.048</v>
      </c>
      <c r="O4401" s="7">
        <v>4.7969999999999997</v>
      </c>
      <c r="P4401" s="7">
        <v>4.9480000000000004</v>
      </c>
      <c r="Q4401" s="7">
        <v>4.8719999999999999</v>
      </c>
      <c r="R4401" s="7">
        <v>4.8239999999999998</v>
      </c>
      <c r="S4401" s="7">
        <f t="shared" si="68"/>
        <v>4.6339999999999995</v>
      </c>
    </row>
    <row r="4402" spans="1:19">
      <c r="A4402" s="5" t="str">
        <f>B4402&amp;"-"&amp;COUNTIF($B$2:B4402,B4402)</f>
        <v>RORAIMA-1</v>
      </c>
      <c r="B4402" s="5" t="s">
        <v>2929</v>
      </c>
      <c r="C4402" s="5" t="s">
        <v>2561</v>
      </c>
      <c r="D4402" s="6">
        <v>-613076</v>
      </c>
      <c r="E4402" s="6">
        <v>29882</v>
      </c>
      <c r="F4402" s="7">
        <v>4.8499999999999996</v>
      </c>
      <c r="G4402" s="7">
        <v>4.5350000000000001</v>
      </c>
      <c r="H4402" s="7">
        <v>4.7270000000000003</v>
      </c>
      <c r="I4402" s="7">
        <v>4.9450000000000003</v>
      </c>
      <c r="J4402" s="7">
        <v>4.7610000000000001</v>
      </c>
      <c r="K4402" s="7">
        <v>4.3890000000000002</v>
      </c>
      <c r="L4402" s="7">
        <v>4.5960000000000001</v>
      </c>
      <c r="M4402" s="7">
        <v>4.7480000000000002</v>
      </c>
      <c r="N4402" s="7">
        <v>5.1479999999999997</v>
      </c>
      <c r="O4402" s="7">
        <v>5.444</v>
      </c>
      <c r="P4402" s="7">
        <v>5.3040000000000003</v>
      </c>
      <c r="Q4402" s="7">
        <v>4.9800000000000004</v>
      </c>
      <c r="R4402" s="7">
        <v>4.63</v>
      </c>
      <c r="S4402" s="7">
        <f t="shared" si="68"/>
        <v>4.8505833333333346</v>
      </c>
    </row>
    <row r="4403" spans="1:19">
      <c r="A4403" s="5" t="str">
        <f>B4403&amp;"-"&amp;COUNTIF($B$2:B4403,B4403)</f>
        <v>RORAIMA-2</v>
      </c>
      <c r="B4403" s="5" t="s">
        <v>2929</v>
      </c>
      <c r="C4403" s="5" t="s">
        <v>2930</v>
      </c>
      <c r="D4403" s="6">
        <v>-614185</v>
      </c>
      <c r="E4403" s="6">
        <v>36531</v>
      </c>
      <c r="F4403" s="7">
        <v>5.1289999999999996</v>
      </c>
      <c r="G4403" s="7">
        <v>4.8630000000000004</v>
      </c>
      <c r="H4403" s="7">
        <v>4.9969999999999999</v>
      </c>
      <c r="I4403" s="7">
        <v>5.21</v>
      </c>
      <c r="J4403" s="7">
        <v>5.1239999999999997</v>
      </c>
      <c r="K4403" s="7">
        <v>4.742</v>
      </c>
      <c r="L4403" s="7">
        <v>4.83</v>
      </c>
      <c r="M4403" s="7">
        <v>4.9770000000000003</v>
      </c>
      <c r="N4403" s="7">
        <v>5.4320000000000004</v>
      </c>
      <c r="O4403" s="7">
        <v>5.7549999999999999</v>
      </c>
      <c r="P4403" s="7">
        <v>5.5350000000000001</v>
      </c>
      <c r="Q4403" s="7">
        <v>5.2370000000000001</v>
      </c>
      <c r="R4403" s="7">
        <v>4.8440000000000003</v>
      </c>
      <c r="S4403" s="7">
        <f t="shared" si="68"/>
        <v>5.1288333333333336</v>
      </c>
    </row>
    <row r="4404" spans="1:19">
      <c r="A4404" s="5" t="str">
        <f>B4404&amp;"-"&amp;COUNTIF($B$2:B4404,B4404)</f>
        <v>RORAIMA-3</v>
      </c>
      <c r="B4404" s="5" t="s">
        <v>2929</v>
      </c>
      <c r="C4404" s="5" t="s">
        <v>1810</v>
      </c>
      <c r="D4404" s="6">
        <v>-606762</v>
      </c>
      <c r="E4404" s="6">
        <v>28231</v>
      </c>
      <c r="F4404" s="7">
        <v>4.8860000000000001</v>
      </c>
      <c r="G4404" s="7">
        <v>4.5970000000000004</v>
      </c>
      <c r="H4404" s="7">
        <v>4.7119999999999997</v>
      </c>
      <c r="I4404" s="7">
        <v>4.9459999999999997</v>
      </c>
      <c r="J4404" s="7">
        <v>4.79</v>
      </c>
      <c r="K4404" s="7">
        <v>4.4260000000000002</v>
      </c>
      <c r="L4404" s="7">
        <v>4.5990000000000002</v>
      </c>
      <c r="M4404" s="7">
        <v>4.6900000000000004</v>
      </c>
      <c r="N4404" s="7">
        <v>5.1470000000000002</v>
      </c>
      <c r="O4404" s="7">
        <v>5.5270000000000001</v>
      </c>
      <c r="P4404" s="7">
        <v>5.431</v>
      </c>
      <c r="Q4404" s="7">
        <v>5.1139999999999999</v>
      </c>
      <c r="R4404" s="7">
        <v>4.6619999999999999</v>
      </c>
      <c r="S4404" s="7">
        <f t="shared" si="68"/>
        <v>4.8867500000000001</v>
      </c>
    </row>
    <row r="4405" spans="1:19">
      <c r="A4405" s="5" t="str">
        <f>B4405&amp;"-"&amp;COUNTIF($B$2:B4405,B4405)</f>
        <v>RORAIMA-4</v>
      </c>
      <c r="B4405" s="5" t="s">
        <v>2929</v>
      </c>
      <c r="C4405" s="5" t="s">
        <v>1185</v>
      </c>
      <c r="D4405" s="6">
        <v>-598337</v>
      </c>
      <c r="E4405" s="6">
        <v>33613</v>
      </c>
      <c r="F4405" s="7">
        <v>5.085</v>
      </c>
      <c r="G4405" s="7">
        <v>4.7549999999999999</v>
      </c>
      <c r="H4405" s="7">
        <v>4.8440000000000003</v>
      </c>
      <c r="I4405" s="7">
        <v>5.1360000000000001</v>
      </c>
      <c r="J4405" s="7">
        <v>5.0289999999999999</v>
      </c>
      <c r="K4405" s="7">
        <v>4.6449999999999996</v>
      </c>
      <c r="L4405" s="7">
        <v>4.8550000000000004</v>
      </c>
      <c r="M4405" s="7">
        <v>4.8970000000000002</v>
      </c>
      <c r="N4405" s="7">
        <v>5.3239999999999998</v>
      </c>
      <c r="O4405" s="7">
        <v>5.7460000000000004</v>
      </c>
      <c r="P4405" s="7">
        <v>5.6550000000000002</v>
      </c>
      <c r="Q4405" s="7">
        <v>5.3150000000000004</v>
      </c>
      <c r="R4405" s="7">
        <v>4.8129999999999997</v>
      </c>
      <c r="S4405" s="7">
        <f t="shared" si="68"/>
        <v>5.0845000000000002</v>
      </c>
    </row>
    <row r="4406" spans="1:19">
      <c r="A4406" s="5" t="str">
        <f>B4406&amp;"-"&amp;COUNTIF($B$2:B4406,B4406)</f>
        <v>RORAIMA-5</v>
      </c>
      <c r="B4406" s="5" t="s">
        <v>2929</v>
      </c>
      <c r="C4406" s="5" t="s">
        <v>5735</v>
      </c>
      <c r="D4406" s="6">
        <v>-606029</v>
      </c>
      <c r="E4406" s="6">
        <v>26105</v>
      </c>
      <c r="F4406" s="7">
        <v>4.867</v>
      </c>
      <c r="G4406" s="7">
        <v>4.58</v>
      </c>
      <c r="H4406" s="7">
        <v>4.6660000000000004</v>
      </c>
      <c r="I4406" s="7">
        <v>4.944</v>
      </c>
      <c r="J4406" s="7">
        <v>4.6760000000000002</v>
      </c>
      <c r="K4406" s="7">
        <v>4.3239999999999998</v>
      </c>
      <c r="L4406" s="7">
        <v>4.5579999999999998</v>
      </c>
      <c r="M4406" s="7">
        <v>4.5869999999999997</v>
      </c>
      <c r="N4406" s="7">
        <v>5.0910000000000002</v>
      </c>
      <c r="O4406" s="7">
        <v>5.6210000000000004</v>
      </c>
      <c r="P4406" s="7">
        <v>5.468</v>
      </c>
      <c r="Q4406" s="7">
        <v>5.1870000000000003</v>
      </c>
      <c r="R4406" s="7">
        <v>4.702</v>
      </c>
      <c r="S4406" s="7">
        <f t="shared" si="68"/>
        <v>4.867</v>
      </c>
    </row>
    <row r="4407" spans="1:19">
      <c r="A4407" s="5" t="str">
        <f>B4407&amp;"-"&amp;COUNTIF($B$2:B4407,B4407)</f>
        <v>RORAIMA-6</v>
      </c>
      <c r="B4407" s="5" t="s">
        <v>2929</v>
      </c>
      <c r="C4407" s="5" t="s">
        <v>2931</v>
      </c>
      <c r="D4407" s="6">
        <v>-611282</v>
      </c>
      <c r="E4407" s="6">
        <v>18199</v>
      </c>
      <c r="F4407" s="7">
        <v>4.8220000000000001</v>
      </c>
      <c r="G4407" s="7">
        <v>4.6239999999999997</v>
      </c>
      <c r="H4407" s="7">
        <v>4.7549999999999999</v>
      </c>
      <c r="I4407" s="7">
        <v>4.9219999999999997</v>
      </c>
      <c r="J4407" s="7">
        <v>4.5869999999999997</v>
      </c>
      <c r="K4407" s="7">
        <v>4.194</v>
      </c>
      <c r="L4407" s="7">
        <v>4.5</v>
      </c>
      <c r="M4407" s="7">
        <v>4.4960000000000004</v>
      </c>
      <c r="N4407" s="7">
        <v>4.9930000000000003</v>
      </c>
      <c r="O4407" s="7">
        <v>5.46</v>
      </c>
      <c r="P4407" s="7">
        <v>5.3929999999999998</v>
      </c>
      <c r="Q4407" s="7">
        <v>5.1360000000000001</v>
      </c>
      <c r="R4407" s="7">
        <v>4.8070000000000004</v>
      </c>
      <c r="S4407" s="7">
        <f t="shared" si="68"/>
        <v>4.8222500000000004</v>
      </c>
    </row>
    <row r="4408" spans="1:19">
      <c r="A4408" s="5" t="str">
        <f>B4408&amp;"-"&amp;COUNTIF($B$2:B4408,B4408)</f>
        <v>RORAIMA-7</v>
      </c>
      <c r="B4408" s="5" t="s">
        <v>2929</v>
      </c>
      <c r="C4408" s="5" t="s">
        <v>2932</v>
      </c>
      <c r="D4408" s="6">
        <v>-596968</v>
      </c>
      <c r="E4408" s="5" t="s">
        <v>2933</v>
      </c>
      <c r="F4408" s="7">
        <v>4.6760000000000002</v>
      </c>
      <c r="G4408" s="7">
        <v>4.4119999999999999</v>
      </c>
      <c r="H4408" s="7">
        <v>4.4859999999999998</v>
      </c>
      <c r="I4408" s="7">
        <v>4.4859999999999998</v>
      </c>
      <c r="J4408" s="7">
        <v>4.3339999999999996</v>
      </c>
      <c r="K4408" s="7">
        <v>4.1369999999999996</v>
      </c>
      <c r="L4408" s="7">
        <v>4.452</v>
      </c>
      <c r="M4408" s="7">
        <v>4.5010000000000003</v>
      </c>
      <c r="N4408" s="7">
        <v>5.0949999999999998</v>
      </c>
      <c r="O4408" s="7">
        <v>5.2889999999999997</v>
      </c>
      <c r="P4408" s="7">
        <v>5.25</v>
      </c>
      <c r="Q4408" s="7">
        <v>5.0529999999999999</v>
      </c>
      <c r="R4408" s="7">
        <v>4.6180000000000003</v>
      </c>
      <c r="S4408" s="7">
        <f t="shared" si="68"/>
        <v>4.6760833333333336</v>
      </c>
    </row>
    <row r="4409" spans="1:19">
      <c r="A4409" s="5" t="str">
        <f>B4409&amp;"-"&amp;COUNTIF($B$2:B4409,B4409)</f>
        <v>RORAIMA-8</v>
      </c>
      <c r="B4409" s="5" t="s">
        <v>2929</v>
      </c>
      <c r="C4409" s="5" t="s">
        <v>620</v>
      </c>
      <c r="D4409" s="6">
        <v>-610529</v>
      </c>
      <c r="E4409" s="6">
        <v>21668</v>
      </c>
      <c r="F4409" s="7">
        <v>4.8620000000000001</v>
      </c>
      <c r="G4409" s="7">
        <v>4.649</v>
      </c>
      <c r="H4409" s="7">
        <v>4.7480000000000002</v>
      </c>
      <c r="I4409" s="7">
        <v>5.0640000000000001</v>
      </c>
      <c r="J4409" s="7">
        <v>4.68</v>
      </c>
      <c r="K4409" s="7">
        <v>4.327</v>
      </c>
      <c r="L4409" s="7">
        <v>4.5090000000000003</v>
      </c>
      <c r="M4409" s="7">
        <v>4.5519999999999996</v>
      </c>
      <c r="N4409" s="7">
        <v>4.9850000000000003</v>
      </c>
      <c r="O4409" s="7">
        <v>5.4770000000000003</v>
      </c>
      <c r="P4409" s="7">
        <v>5.4059999999999997</v>
      </c>
      <c r="Q4409" s="7">
        <v>5.1520000000000001</v>
      </c>
      <c r="R4409" s="7">
        <v>4.8</v>
      </c>
      <c r="S4409" s="7">
        <f t="shared" si="68"/>
        <v>4.8624166666666664</v>
      </c>
    </row>
    <row r="4410" spans="1:19">
      <c r="A4410" s="5" t="str">
        <f>B4410&amp;"-"&amp;COUNTIF($B$2:B4410,B4410)</f>
        <v>RORAIMA-9</v>
      </c>
      <c r="B4410" s="5" t="s">
        <v>2929</v>
      </c>
      <c r="C4410" s="5" t="s">
        <v>2934</v>
      </c>
      <c r="D4410" s="6">
        <v>-609209</v>
      </c>
      <c r="E4410" s="6">
        <v>24448</v>
      </c>
      <c r="F4410" s="7">
        <v>4.8579999999999997</v>
      </c>
      <c r="G4410" s="7">
        <v>4.6100000000000003</v>
      </c>
      <c r="H4410" s="7">
        <v>4.6779999999999999</v>
      </c>
      <c r="I4410" s="7">
        <v>4.9390000000000001</v>
      </c>
      <c r="J4410" s="7">
        <v>4.6609999999999996</v>
      </c>
      <c r="K4410" s="7">
        <v>4.2770000000000001</v>
      </c>
      <c r="L4410" s="7">
        <v>4.5389999999999997</v>
      </c>
      <c r="M4410" s="7">
        <v>4.585</v>
      </c>
      <c r="N4410" s="7">
        <v>5.0629999999999997</v>
      </c>
      <c r="O4410" s="7">
        <v>5.5490000000000004</v>
      </c>
      <c r="P4410" s="7">
        <v>5.423</v>
      </c>
      <c r="Q4410" s="7">
        <v>5.2069999999999999</v>
      </c>
      <c r="R4410" s="7">
        <v>4.76</v>
      </c>
      <c r="S4410" s="7">
        <f t="shared" si="68"/>
        <v>4.8575833333333334</v>
      </c>
    </row>
    <row r="4411" spans="1:19">
      <c r="A4411" s="5" t="str">
        <f>B4411&amp;"-"&amp;COUNTIF($B$2:B4411,B4411)</f>
        <v>RORAIMA-10</v>
      </c>
      <c r="B4411" s="5" t="s">
        <v>2929</v>
      </c>
      <c r="C4411" s="5" t="s">
        <v>2935</v>
      </c>
      <c r="D4411" s="6">
        <v>-596317</v>
      </c>
      <c r="E4411" s="6">
        <v>38821</v>
      </c>
      <c r="F4411" s="7">
        <v>5.0960000000000001</v>
      </c>
      <c r="G4411" s="7">
        <v>4.7169999999999996</v>
      </c>
      <c r="H4411" s="7">
        <v>4.8769999999999998</v>
      </c>
      <c r="I4411" s="7">
        <v>5.1459999999999999</v>
      </c>
      <c r="J4411" s="7">
        <v>5.0780000000000003</v>
      </c>
      <c r="K4411" s="7">
        <v>4.798</v>
      </c>
      <c r="L4411" s="7">
        <v>4.9640000000000004</v>
      </c>
      <c r="M4411" s="7">
        <v>5.05</v>
      </c>
      <c r="N4411" s="7">
        <v>5.4779999999999998</v>
      </c>
      <c r="O4411" s="7">
        <v>5.7770000000000001</v>
      </c>
      <c r="P4411" s="7">
        <v>5.4029999999999996</v>
      </c>
      <c r="Q4411" s="7">
        <v>5.1379999999999999</v>
      </c>
      <c r="R4411" s="7">
        <v>4.7279999999999998</v>
      </c>
      <c r="S4411" s="7">
        <f t="shared" si="68"/>
        <v>5.0961666666666661</v>
      </c>
    </row>
    <row r="4412" spans="1:19">
      <c r="A4412" s="5" t="str">
        <f>B4412&amp;"-"&amp;COUNTIF($B$2:B4412,B4412)</f>
        <v>RORAIMA-11</v>
      </c>
      <c r="B4412" s="5" t="s">
        <v>2929</v>
      </c>
      <c r="C4412" s="5" t="s">
        <v>2936</v>
      </c>
      <c r="D4412" s="6">
        <v>-611481</v>
      </c>
      <c r="E4412" s="6">
        <v>44795</v>
      </c>
      <c r="F4412" s="7">
        <v>5.085</v>
      </c>
      <c r="G4412" s="7">
        <v>4.8150000000000004</v>
      </c>
      <c r="H4412" s="7">
        <v>5.032</v>
      </c>
      <c r="I4412" s="7">
        <v>5.2</v>
      </c>
      <c r="J4412" s="7">
        <v>5.28</v>
      </c>
      <c r="K4412" s="7">
        <v>4.8609999999999998</v>
      </c>
      <c r="L4412" s="7">
        <v>4.7279999999999998</v>
      </c>
      <c r="M4412" s="7">
        <v>4.8600000000000003</v>
      </c>
      <c r="N4412" s="7">
        <v>5.2190000000000003</v>
      </c>
      <c r="O4412" s="7">
        <v>5.6180000000000003</v>
      </c>
      <c r="P4412" s="7">
        <v>5.4619999999999997</v>
      </c>
      <c r="Q4412" s="7">
        <v>5.1589999999999998</v>
      </c>
      <c r="R4412" s="7">
        <v>4.7850000000000001</v>
      </c>
      <c r="S4412" s="7">
        <f t="shared" si="68"/>
        <v>5.0849166666666674</v>
      </c>
    </row>
    <row r="4413" spans="1:19">
      <c r="A4413" s="5" t="str">
        <f>B4413&amp;"-"&amp;COUNTIF($B$2:B4413,B4413)</f>
        <v>RORAIMA-12</v>
      </c>
      <c r="B4413" s="5" t="s">
        <v>2929</v>
      </c>
      <c r="C4413" s="5" t="s">
        <v>5217</v>
      </c>
      <c r="D4413" s="6">
        <v>-604394</v>
      </c>
      <c r="E4413" s="5" t="s">
        <v>2937</v>
      </c>
      <c r="F4413" s="7">
        <v>4.71</v>
      </c>
      <c r="G4413" s="7">
        <v>4.5060000000000002</v>
      </c>
      <c r="H4413" s="7">
        <v>4.5979999999999999</v>
      </c>
      <c r="I4413" s="7">
        <v>4.6589999999999998</v>
      </c>
      <c r="J4413" s="7">
        <v>4.4260000000000002</v>
      </c>
      <c r="K4413" s="7">
        <v>4.1059999999999999</v>
      </c>
      <c r="L4413" s="7">
        <v>4.3739999999999997</v>
      </c>
      <c r="M4413" s="7">
        <v>4.4589999999999996</v>
      </c>
      <c r="N4413" s="7">
        <v>5.008</v>
      </c>
      <c r="O4413" s="7">
        <v>5.3479999999999999</v>
      </c>
      <c r="P4413" s="7">
        <v>5.3319999999999999</v>
      </c>
      <c r="Q4413" s="7">
        <v>5</v>
      </c>
      <c r="R4413" s="7">
        <v>4.7069999999999999</v>
      </c>
      <c r="S4413" s="7">
        <f t="shared" si="68"/>
        <v>4.7102500000000003</v>
      </c>
    </row>
    <row r="4414" spans="1:19">
      <c r="A4414" s="5" t="str">
        <f>B4414&amp;"-"&amp;COUNTIF($B$2:B4414,B4414)</f>
        <v>RORAIMA-13</v>
      </c>
      <c r="B4414" s="5" t="s">
        <v>2929</v>
      </c>
      <c r="C4414" s="5" t="s">
        <v>4195</v>
      </c>
      <c r="D4414" s="6">
        <v>-599137</v>
      </c>
      <c r="E4414" s="5" t="s">
        <v>2938</v>
      </c>
      <c r="F4414" s="7">
        <v>4.6980000000000004</v>
      </c>
      <c r="G4414" s="7">
        <v>4.4589999999999996</v>
      </c>
      <c r="H4414" s="7">
        <v>4.5250000000000004</v>
      </c>
      <c r="I4414" s="7">
        <v>4.593</v>
      </c>
      <c r="J4414" s="7">
        <v>4.38</v>
      </c>
      <c r="K4414" s="7">
        <v>4.125</v>
      </c>
      <c r="L4414" s="7">
        <v>4.4489999999999998</v>
      </c>
      <c r="M4414" s="7">
        <v>4.4379999999999997</v>
      </c>
      <c r="N4414" s="7">
        <v>5.0010000000000003</v>
      </c>
      <c r="O4414" s="7">
        <v>5.31</v>
      </c>
      <c r="P4414" s="7">
        <v>5.31</v>
      </c>
      <c r="Q4414" s="7">
        <v>5.0979999999999999</v>
      </c>
      <c r="R4414" s="7">
        <v>4.6890000000000001</v>
      </c>
      <c r="S4414" s="7">
        <f t="shared" si="68"/>
        <v>4.6980833333333338</v>
      </c>
    </row>
    <row r="4415" spans="1:19">
      <c r="A4415" s="5" t="str">
        <f>B4415&amp;"-"&amp;COUNTIF($B$2:B4415,B4415)</f>
        <v>RORAIMA-14</v>
      </c>
      <c r="B4415" s="5" t="s">
        <v>2929</v>
      </c>
      <c r="C4415" s="5" t="s">
        <v>4196</v>
      </c>
      <c r="D4415" s="6">
        <v>-600387</v>
      </c>
      <c r="E4415" s="6">
        <v>10169</v>
      </c>
      <c r="F4415" s="7">
        <v>4.7130000000000001</v>
      </c>
      <c r="G4415" s="7">
        <v>4.4550000000000001</v>
      </c>
      <c r="H4415" s="7">
        <v>4.5229999999999997</v>
      </c>
      <c r="I4415" s="7">
        <v>4.6189999999999998</v>
      </c>
      <c r="J4415" s="7">
        <v>4.4089999999999998</v>
      </c>
      <c r="K4415" s="7">
        <v>4.1550000000000002</v>
      </c>
      <c r="L4415" s="7">
        <v>4.4160000000000004</v>
      </c>
      <c r="M4415" s="7">
        <v>4.47</v>
      </c>
      <c r="N4415" s="7">
        <v>5.048</v>
      </c>
      <c r="O4415" s="7">
        <v>5.351</v>
      </c>
      <c r="P4415" s="7">
        <v>5.3360000000000003</v>
      </c>
      <c r="Q4415" s="7">
        <v>5.0960000000000001</v>
      </c>
      <c r="R4415" s="7">
        <v>4.6740000000000004</v>
      </c>
      <c r="S4415" s="7">
        <f t="shared" si="68"/>
        <v>4.7126666666666663</v>
      </c>
    </row>
    <row r="4416" spans="1:19">
      <c r="A4416" s="5" t="str">
        <f>B4416&amp;"-"&amp;COUNTIF($B$2:B4416,B4416)</f>
        <v>RORAIMA-15</v>
      </c>
      <c r="B4416" s="5" t="s">
        <v>2929</v>
      </c>
      <c r="C4416" s="5" t="s">
        <v>5403</v>
      </c>
      <c r="D4416" s="6">
        <v>-601634</v>
      </c>
      <c r="E4416" s="6">
        <v>45949</v>
      </c>
      <c r="F4416" s="7">
        <v>5.1420000000000003</v>
      </c>
      <c r="G4416" s="7">
        <v>4.8330000000000002</v>
      </c>
      <c r="H4416" s="7">
        <v>5.0709999999999997</v>
      </c>
      <c r="I4416" s="7">
        <v>5.3090000000000002</v>
      </c>
      <c r="J4416" s="7">
        <v>5.2450000000000001</v>
      </c>
      <c r="K4416" s="7">
        <v>4.867</v>
      </c>
      <c r="L4416" s="7">
        <v>4.8550000000000004</v>
      </c>
      <c r="M4416" s="7">
        <v>5.0819999999999999</v>
      </c>
      <c r="N4416" s="7">
        <v>5.407</v>
      </c>
      <c r="O4416" s="7">
        <v>5.7089999999999996</v>
      </c>
      <c r="P4416" s="7">
        <v>5.52</v>
      </c>
      <c r="Q4416" s="7">
        <v>5.1619999999999999</v>
      </c>
      <c r="R4416" s="7">
        <v>4.6500000000000004</v>
      </c>
      <c r="S4416" s="7">
        <f t="shared" si="68"/>
        <v>5.1424999999999992</v>
      </c>
    </row>
    <row r="4417" spans="1:19">
      <c r="A4417" s="5" t="str">
        <f>B4417&amp;"-"&amp;COUNTIF($B$2:B4417,B4417)</f>
        <v>SANTA CATARINA-1</v>
      </c>
      <c r="B4417" s="5" t="s">
        <v>2939</v>
      </c>
      <c r="C4417" s="5" t="s">
        <v>2940</v>
      </c>
      <c r="D4417" s="6">
        <v>-515533</v>
      </c>
      <c r="E4417" s="6">
        <v>-269989</v>
      </c>
      <c r="F4417" s="7">
        <v>4.46</v>
      </c>
      <c r="G4417" s="7">
        <v>5.7130000000000001</v>
      </c>
      <c r="H4417" s="7">
        <v>5.3090000000000002</v>
      </c>
      <c r="I4417" s="7">
        <v>4.9000000000000004</v>
      </c>
      <c r="J4417" s="7">
        <v>4.0229999999999997</v>
      </c>
      <c r="K4417" s="7">
        <v>3.077</v>
      </c>
      <c r="L4417" s="7">
        <v>2.7290000000000001</v>
      </c>
      <c r="M4417" s="7">
        <v>2.948</v>
      </c>
      <c r="N4417" s="7">
        <v>3.8420000000000001</v>
      </c>
      <c r="O4417" s="7">
        <v>4.0439999999999996</v>
      </c>
      <c r="P4417" s="7">
        <v>4.8739999999999997</v>
      </c>
      <c r="Q4417" s="7">
        <v>5.9640000000000004</v>
      </c>
      <c r="R4417" s="7">
        <v>6.093</v>
      </c>
      <c r="S4417" s="7">
        <f t="shared" si="68"/>
        <v>4.4596666666666662</v>
      </c>
    </row>
    <row r="4418" spans="1:19">
      <c r="A4418" s="5" t="str">
        <f>B4418&amp;"-"&amp;COUNTIF($B$2:B4418,B4418)</f>
        <v>SANTA CATARINA-2</v>
      </c>
      <c r="B4418" s="5" t="s">
        <v>2939</v>
      </c>
      <c r="C4418" s="5" t="s">
        <v>5812</v>
      </c>
      <c r="D4418" s="6">
        <v>-529813</v>
      </c>
      <c r="E4418" s="6">
        <v>-270759</v>
      </c>
      <c r="F4418" s="7">
        <v>4.6429999999999998</v>
      </c>
      <c r="G4418" s="7">
        <v>6.2439999999999998</v>
      </c>
      <c r="H4418" s="7">
        <v>5.8239999999999998</v>
      </c>
      <c r="I4418" s="7">
        <v>5.2080000000000002</v>
      </c>
      <c r="J4418" s="7">
        <v>4.1040000000000001</v>
      </c>
      <c r="K4418" s="7">
        <v>3.1150000000000002</v>
      </c>
      <c r="L4418" s="7">
        <v>2.5990000000000002</v>
      </c>
      <c r="M4418" s="7">
        <v>2.8879999999999999</v>
      </c>
      <c r="N4418" s="7">
        <v>3.7730000000000001</v>
      </c>
      <c r="O4418" s="7">
        <v>4.0090000000000003</v>
      </c>
      <c r="P4418" s="7">
        <v>5.1660000000000004</v>
      </c>
      <c r="Q4418" s="7">
        <v>6.2089999999999996</v>
      </c>
      <c r="R4418" s="7">
        <v>6.5810000000000004</v>
      </c>
      <c r="S4418" s="7">
        <f t="shared" si="68"/>
        <v>4.6433333333333344</v>
      </c>
    </row>
    <row r="4419" spans="1:19">
      <c r="A4419" s="5" t="str">
        <f>B4419&amp;"-"&amp;COUNTIF($B$2:B4419,B4419)</f>
        <v>SANTA CATARINA-3</v>
      </c>
      <c r="B4419" s="5" t="s">
        <v>2939</v>
      </c>
      <c r="C4419" s="5" t="s">
        <v>5813</v>
      </c>
      <c r="D4419" s="6">
        <v>-528572</v>
      </c>
      <c r="E4419" s="6">
        <v>-268798</v>
      </c>
      <c r="F4419" s="7">
        <v>4.641</v>
      </c>
      <c r="G4419" s="7">
        <v>6.2229999999999999</v>
      </c>
      <c r="H4419" s="7">
        <v>5.7469999999999999</v>
      </c>
      <c r="I4419" s="7">
        <v>5.1680000000000001</v>
      </c>
      <c r="J4419" s="7">
        <v>4.1379999999999999</v>
      </c>
      <c r="K4419" s="7">
        <v>3.1579999999999999</v>
      </c>
      <c r="L4419" s="7">
        <v>2.6560000000000001</v>
      </c>
      <c r="M4419" s="7">
        <v>2.9409999999999998</v>
      </c>
      <c r="N4419" s="7">
        <v>3.8210000000000002</v>
      </c>
      <c r="O4419" s="7">
        <v>4.0609999999999999</v>
      </c>
      <c r="P4419" s="7">
        <v>5.1529999999999996</v>
      </c>
      <c r="Q4419" s="7">
        <v>6.1580000000000004</v>
      </c>
      <c r="R4419" s="7">
        <v>6.4660000000000002</v>
      </c>
      <c r="S4419" s="7">
        <f t="shared" ref="S4419:S4482" si="69">(G4419+H4419+I4419+J4419+K4419+L4419+M4419+N4419+O4419+P4419+Q4419+R4419)/12</f>
        <v>4.6408333333333331</v>
      </c>
    </row>
    <row r="4420" spans="1:19">
      <c r="A4420" s="5" t="str">
        <f>B4420&amp;"-"&amp;COUNTIF($B$2:B4420,B4420)</f>
        <v>SANTA CATARINA-4</v>
      </c>
      <c r="B4420" s="5" t="s">
        <v>2939</v>
      </c>
      <c r="C4420" s="5" t="s">
        <v>5814</v>
      </c>
      <c r="D4420" s="6">
        <v>-488248</v>
      </c>
      <c r="E4420" s="6">
        <v>-276968</v>
      </c>
      <c r="F4420" s="7">
        <v>4.0199999999999996</v>
      </c>
      <c r="G4420" s="7">
        <v>5.3949999999999996</v>
      </c>
      <c r="H4420" s="7">
        <v>5.0810000000000004</v>
      </c>
      <c r="I4420" s="7">
        <v>4.4039999999999999</v>
      </c>
      <c r="J4420" s="7">
        <v>3.6360000000000001</v>
      </c>
      <c r="K4420" s="7">
        <v>2.984</v>
      </c>
      <c r="L4420" s="7">
        <v>2.5640000000000001</v>
      </c>
      <c r="M4420" s="7">
        <v>2.681</v>
      </c>
      <c r="N4420" s="7">
        <v>3.3860000000000001</v>
      </c>
      <c r="O4420" s="7">
        <v>3.423</v>
      </c>
      <c r="P4420" s="7">
        <v>3.9620000000000002</v>
      </c>
      <c r="Q4420" s="7">
        <v>5.1689999999999996</v>
      </c>
      <c r="R4420" s="7">
        <v>5.5529999999999999</v>
      </c>
      <c r="S4420" s="7">
        <f t="shared" si="69"/>
        <v>4.0198333333333336</v>
      </c>
    </row>
    <row r="4421" spans="1:19">
      <c r="A4421" s="5" t="str">
        <f>B4421&amp;"-"&amp;COUNTIF($B$2:B4421,B4421)</f>
        <v>SANTA CATARINA-5</v>
      </c>
      <c r="B4421" s="5" t="s">
        <v>2939</v>
      </c>
      <c r="C4421" s="5" t="s">
        <v>2941</v>
      </c>
      <c r="D4421" s="6">
        <v>-510237</v>
      </c>
      <c r="E4421" s="6">
        <v>-276131</v>
      </c>
      <c r="F4421" s="7">
        <v>4.4370000000000003</v>
      </c>
      <c r="G4421" s="7">
        <v>6.0170000000000003</v>
      </c>
      <c r="H4421" s="7">
        <v>5.5439999999999996</v>
      </c>
      <c r="I4421" s="7">
        <v>4.8620000000000001</v>
      </c>
      <c r="J4421" s="7">
        <v>3.9460000000000002</v>
      </c>
      <c r="K4421" s="7">
        <v>2.944</v>
      </c>
      <c r="L4421" s="7">
        <v>2.5579999999999998</v>
      </c>
      <c r="M4421" s="7">
        <v>2.83</v>
      </c>
      <c r="N4421" s="7">
        <v>3.6629999999999998</v>
      </c>
      <c r="O4421" s="7">
        <v>3.871</v>
      </c>
      <c r="P4421" s="7">
        <v>4.7889999999999997</v>
      </c>
      <c r="Q4421" s="7">
        <v>5.9930000000000003</v>
      </c>
      <c r="R4421" s="7">
        <v>6.2240000000000002</v>
      </c>
      <c r="S4421" s="7">
        <f t="shared" si="69"/>
        <v>4.43675</v>
      </c>
    </row>
    <row r="4422" spans="1:19">
      <c r="A4422" s="5" t="str">
        <f>B4422&amp;"-"&amp;COUNTIF($B$2:B4422,B4422)</f>
        <v>SANTA CATARINA-6</v>
      </c>
      <c r="B4422" s="5" t="s">
        <v>2939</v>
      </c>
      <c r="C4422" s="5" t="s">
        <v>2942</v>
      </c>
      <c r="D4422" s="6">
        <v>-523233</v>
      </c>
      <c r="E4422" s="6">
        <v>-265721</v>
      </c>
      <c r="F4422" s="7">
        <v>4.6180000000000003</v>
      </c>
      <c r="G4422" s="7">
        <v>6.1520000000000001</v>
      </c>
      <c r="H4422" s="7">
        <v>5.6120000000000001</v>
      </c>
      <c r="I4422" s="7">
        <v>5.0019999999999998</v>
      </c>
      <c r="J4422" s="7">
        <v>4.1260000000000003</v>
      </c>
      <c r="K4422" s="7">
        <v>3.2229999999999999</v>
      </c>
      <c r="L4422" s="7">
        <v>2.7610000000000001</v>
      </c>
      <c r="M4422" s="7">
        <v>3.0329999999999999</v>
      </c>
      <c r="N4422" s="7">
        <v>3.9350000000000001</v>
      </c>
      <c r="O4422" s="7">
        <v>4.1289999999999996</v>
      </c>
      <c r="P4422" s="7">
        <v>5.0910000000000002</v>
      </c>
      <c r="Q4422" s="7">
        <v>6.0579999999999998</v>
      </c>
      <c r="R4422" s="7">
        <v>6.2949999999999999</v>
      </c>
      <c r="S4422" s="7">
        <f t="shared" si="69"/>
        <v>4.6180833333333338</v>
      </c>
    </row>
    <row r="4423" spans="1:19">
      <c r="A4423" s="5" t="str">
        <f>B4423&amp;"-"&amp;COUNTIF($B$2:B4423,B4423)</f>
        <v>SANTA CATARINA-7</v>
      </c>
      <c r="B4423" s="5" t="s">
        <v>2939</v>
      </c>
      <c r="C4423" s="5" t="s">
        <v>5019</v>
      </c>
      <c r="D4423" s="6">
        <v>-498225</v>
      </c>
      <c r="E4423" s="6">
        <v>-274092</v>
      </c>
      <c r="F4423" s="7">
        <v>4.0979999999999999</v>
      </c>
      <c r="G4423" s="7">
        <v>5.6349999999999998</v>
      </c>
      <c r="H4423" s="7">
        <v>5.3550000000000004</v>
      </c>
      <c r="I4423" s="7">
        <v>4.6079999999999997</v>
      </c>
      <c r="J4423" s="7">
        <v>3.6629999999999998</v>
      </c>
      <c r="K4423" s="7">
        <v>2.8839999999999999</v>
      </c>
      <c r="L4423" s="7">
        <v>2.36</v>
      </c>
      <c r="M4423" s="7">
        <v>2.536</v>
      </c>
      <c r="N4423" s="7">
        <v>3.3220000000000001</v>
      </c>
      <c r="O4423" s="7">
        <v>3.5169999999999999</v>
      </c>
      <c r="P4423" s="7">
        <v>4.1079999999999997</v>
      </c>
      <c r="Q4423" s="7">
        <v>5.4050000000000002</v>
      </c>
      <c r="R4423" s="7">
        <v>5.774</v>
      </c>
      <c r="S4423" s="7">
        <f t="shared" si="69"/>
        <v>4.0972499999999998</v>
      </c>
    </row>
    <row r="4424" spans="1:19">
      <c r="A4424" s="5" t="str">
        <f>B4424&amp;"-"&amp;COUNTIF($B$2:B4424,B4424)</f>
        <v>SANTA CATARINA-8</v>
      </c>
      <c r="B4424" s="5" t="s">
        <v>2939</v>
      </c>
      <c r="C4424" s="5" t="s">
        <v>4586</v>
      </c>
      <c r="D4424" s="6">
        <v>-497084</v>
      </c>
      <c r="E4424" s="6">
        <v>-272666</v>
      </c>
      <c r="F4424" s="7">
        <v>4.1020000000000003</v>
      </c>
      <c r="G4424" s="7">
        <v>5.6630000000000003</v>
      </c>
      <c r="H4424" s="7">
        <v>5.3579999999999997</v>
      </c>
      <c r="I4424" s="7">
        <v>4.6449999999999996</v>
      </c>
      <c r="J4424" s="7">
        <v>3.649</v>
      </c>
      <c r="K4424" s="7">
        <v>2.863</v>
      </c>
      <c r="L4424" s="7">
        <v>2.3260000000000001</v>
      </c>
      <c r="M4424" s="7">
        <v>2.4910000000000001</v>
      </c>
      <c r="N4424" s="7">
        <v>3.3180000000000001</v>
      </c>
      <c r="O4424" s="7">
        <v>3.53</v>
      </c>
      <c r="P4424" s="7">
        <v>4.1559999999999997</v>
      </c>
      <c r="Q4424" s="7">
        <v>5.4240000000000004</v>
      </c>
      <c r="R4424" s="7">
        <v>5.8090000000000002</v>
      </c>
      <c r="S4424" s="7">
        <f t="shared" si="69"/>
        <v>4.1026666666666669</v>
      </c>
    </row>
    <row r="4425" spans="1:19">
      <c r="A4425" s="5" t="str">
        <f>B4425&amp;"-"&amp;COUNTIF($B$2:B4425,B4425)</f>
        <v>SANTA CATARINA-9</v>
      </c>
      <c r="B4425" s="5" t="s">
        <v>2939</v>
      </c>
      <c r="C4425" s="5" t="s">
        <v>2943</v>
      </c>
      <c r="D4425" s="6">
        <v>-493278</v>
      </c>
      <c r="E4425" s="6">
        <v>-277006</v>
      </c>
      <c r="F4425" s="7">
        <v>4.1929999999999996</v>
      </c>
      <c r="G4425" s="7">
        <v>5.7480000000000002</v>
      </c>
      <c r="H4425" s="7">
        <v>5.343</v>
      </c>
      <c r="I4425" s="7">
        <v>4.7030000000000003</v>
      </c>
      <c r="J4425" s="7">
        <v>3.7930000000000001</v>
      </c>
      <c r="K4425" s="7">
        <v>2.9420000000000002</v>
      </c>
      <c r="L4425" s="7">
        <v>2.472</v>
      </c>
      <c r="M4425" s="7">
        <v>2.6829999999999998</v>
      </c>
      <c r="N4425" s="7">
        <v>3.4540000000000002</v>
      </c>
      <c r="O4425" s="7">
        <v>3.57</v>
      </c>
      <c r="P4425" s="7">
        <v>4.1790000000000003</v>
      </c>
      <c r="Q4425" s="7">
        <v>5.5389999999999997</v>
      </c>
      <c r="R4425" s="7">
        <v>5.8929999999999998</v>
      </c>
      <c r="S4425" s="7">
        <f t="shared" si="69"/>
        <v>4.1932499999999999</v>
      </c>
    </row>
    <row r="4426" spans="1:19">
      <c r="A4426" s="5" t="str">
        <f>B4426&amp;"-"&amp;COUNTIF($B$2:B4426,B4426)</f>
        <v>SANTA CATARINA-10</v>
      </c>
      <c r="B4426" s="5" t="s">
        <v>2939</v>
      </c>
      <c r="C4426" s="5" t="s">
        <v>2944</v>
      </c>
      <c r="D4426" s="6">
        <v>-519049</v>
      </c>
      <c r="E4426" s="6">
        <v>-274338</v>
      </c>
      <c r="F4426" s="7">
        <v>4.6040000000000001</v>
      </c>
      <c r="G4426" s="7">
        <v>6.3090000000000002</v>
      </c>
      <c r="H4426" s="7">
        <v>5.7359999999999998</v>
      </c>
      <c r="I4426" s="7">
        <v>5.1079999999999997</v>
      </c>
      <c r="J4426" s="7">
        <v>4.0430000000000001</v>
      </c>
      <c r="K4426" s="7">
        <v>3.069</v>
      </c>
      <c r="L4426" s="7">
        <v>2.5289999999999999</v>
      </c>
      <c r="M4426" s="7">
        <v>2.8580000000000001</v>
      </c>
      <c r="N4426" s="7">
        <v>3.7189999999999999</v>
      </c>
      <c r="O4426" s="7">
        <v>3.9729999999999999</v>
      </c>
      <c r="P4426" s="7">
        <v>5.0659999999999998</v>
      </c>
      <c r="Q4426" s="7">
        <v>6.2619999999999996</v>
      </c>
      <c r="R4426" s="7">
        <v>6.58</v>
      </c>
      <c r="S4426" s="7">
        <f t="shared" si="69"/>
        <v>4.6043333333333329</v>
      </c>
    </row>
    <row r="4427" spans="1:19">
      <c r="A4427" s="5" t="str">
        <f>B4427&amp;"-"&amp;COUNTIF($B$2:B4427,B4427)</f>
        <v>SANTA CATARINA-11</v>
      </c>
      <c r="B4427" s="5" t="s">
        <v>2939</v>
      </c>
      <c r="C4427" s="5" t="s">
        <v>698</v>
      </c>
      <c r="D4427" s="6">
        <v>-533324</v>
      </c>
      <c r="E4427" s="6">
        <v>-265387</v>
      </c>
      <c r="F4427" s="7">
        <v>4.665</v>
      </c>
      <c r="G4427" s="7">
        <v>6.2640000000000002</v>
      </c>
      <c r="H4427" s="7">
        <v>5.7789999999999999</v>
      </c>
      <c r="I4427" s="7">
        <v>5.1139999999999999</v>
      </c>
      <c r="J4427" s="7">
        <v>4.1459999999999999</v>
      </c>
      <c r="K4427" s="7">
        <v>3.22</v>
      </c>
      <c r="L4427" s="7">
        <v>2.7389999999999999</v>
      </c>
      <c r="M4427" s="7">
        <v>3.024</v>
      </c>
      <c r="N4427" s="7">
        <v>3.9089999999999998</v>
      </c>
      <c r="O4427" s="7">
        <v>4.1760000000000002</v>
      </c>
      <c r="P4427" s="7">
        <v>5.1470000000000002</v>
      </c>
      <c r="Q4427" s="7">
        <v>6.0880000000000001</v>
      </c>
      <c r="R4427" s="7">
        <v>6.3760000000000003</v>
      </c>
      <c r="S4427" s="7">
        <f t="shared" si="69"/>
        <v>4.6651666666666669</v>
      </c>
    </row>
    <row r="4428" spans="1:19">
      <c r="A4428" s="5" t="str">
        <f>B4428&amp;"-"&amp;COUNTIF($B$2:B4428,B4428)</f>
        <v>SANTA CATARINA-12</v>
      </c>
      <c r="B4428" s="5" t="s">
        <v>2939</v>
      </c>
      <c r="C4428" s="5" t="s">
        <v>2945</v>
      </c>
      <c r="D4428" s="6">
        <v>-489883</v>
      </c>
      <c r="E4428" s="6">
        <v>-275709</v>
      </c>
      <c r="F4428" s="7">
        <v>4.016</v>
      </c>
      <c r="G4428" s="7">
        <v>5.4139999999999997</v>
      </c>
      <c r="H4428" s="7">
        <v>5.1429999999999998</v>
      </c>
      <c r="I4428" s="7">
        <v>4.4470000000000001</v>
      </c>
      <c r="J4428" s="7">
        <v>3.6320000000000001</v>
      </c>
      <c r="K4428" s="7">
        <v>2.9580000000000002</v>
      </c>
      <c r="L4428" s="7">
        <v>2.5129999999999999</v>
      </c>
      <c r="M4428" s="7">
        <v>2.6669999999999998</v>
      </c>
      <c r="N4428" s="7">
        <v>3.3719999999999999</v>
      </c>
      <c r="O4428" s="7">
        <v>3.4039999999999999</v>
      </c>
      <c r="P4428" s="7">
        <v>3.97</v>
      </c>
      <c r="Q4428" s="7">
        <v>5.0869999999999997</v>
      </c>
      <c r="R4428" s="7">
        <v>5.5789999999999997</v>
      </c>
      <c r="S4428" s="7">
        <f t="shared" si="69"/>
        <v>4.0155000000000003</v>
      </c>
    </row>
    <row r="4429" spans="1:19">
      <c r="A4429" s="5" t="str">
        <f>B4429&amp;"-"&amp;COUNTIF($B$2:B4429,B4429)</f>
        <v>SANTA CATARINA-13</v>
      </c>
      <c r="B4429" s="5" t="s">
        <v>2939</v>
      </c>
      <c r="C4429" s="5" t="s">
        <v>2946</v>
      </c>
      <c r="D4429" s="6">
        <v>-511276</v>
      </c>
      <c r="E4429" s="6">
        <v>-276902</v>
      </c>
      <c r="F4429" s="7">
        <v>4.5060000000000002</v>
      </c>
      <c r="G4429" s="7">
        <v>6.11</v>
      </c>
      <c r="H4429" s="7">
        <v>5.6189999999999998</v>
      </c>
      <c r="I4429" s="7">
        <v>4.9169999999999998</v>
      </c>
      <c r="J4429" s="7">
        <v>4</v>
      </c>
      <c r="K4429" s="7">
        <v>2.9809999999999999</v>
      </c>
      <c r="L4429" s="7">
        <v>2.5750000000000002</v>
      </c>
      <c r="M4429" s="7">
        <v>2.8780000000000001</v>
      </c>
      <c r="N4429" s="7">
        <v>3.6829999999999998</v>
      </c>
      <c r="O4429" s="7">
        <v>3.9060000000000001</v>
      </c>
      <c r="P4429" s="7">
        <v>4.8890000000000002</v>
      </c>
      <c r="Q4429" s="7">
        <v>6.13</v>
      </c>
      <c r="R4429" s="7">
        <v>6.3890000000000002</v>
      </c>
      <c r="S4429" s="7">
        <f t="shared" si="69"/>
        <v>4.5064166666666674</v>
      </c>
    </row>
    <row r="4430" spans="1:19">
      <c r="A4430" s="5" t="str">
        <f>B4430&amp;"-"&amp;COUNTIF($B$2:B4430,B4430)</f>
        <v>SANTA CATARINA-14</v>
      </c>
      <c r="B4430" s="5" t="s">
        <v>2939</v>
      </c>
      <c r="C4430" s="5" t="s">
        <v>5736</v>
      </c>
      <c r="D4430" s="6">
        <v>-491321</v>
      </c>
      <c r="E4430" s="6">
        <v>-279017</v>
      </c>
      <c r="F4430" s="7">
        <v>4.0819999999999999</v>
      </c>
      <c r="G4430" s="7">
        <v>5.3840000000000003</v>
      </c>
      <c r="H4430" s="7">
        <v>5.1100000000000003</v>
      </c>
      <c r="I4430" s="7">
        <v>4.3899999999999997</v>
      </c>
      <c r="J4430" s="7">
        <v>3.6840000000000002</v>
      </c>
      <c r="K4430" s="7">
        <v>2.899</v>
      </c>
      <c r="L4430" s="7">
        <v>2.5339999999999998</v>
      </c>
      <c r="M4430" s="7">
        <v>2.7280000000000002</v>
      </c>
      <c r="N4430" s="7">
        <v>3.4729999999999999</v>
      </c>
      <c r="O4430" s="7">
        <v>3.5139999999999998</v>
      </c>
      <c r="P4430" s="7">
        <v>4.157</v>
      </c>
      <c r="Q4430" s="7">
        <v>5.3890000000000002</v>
      </c>
      <c r="R4430" s="7">
        <v>5.7210000000000001</v>
      </c>
      <c r="S4430" s="7">
        <f t="shared" si="69"/>
        <v>4.0819166666666673</v>
      </c>
    </row>
    <row r="4431" spans="1:19">
      <c r="A4431" s="5" t="str">
        <f>B4431&amp;"-"&amp;COUNTIF($B$2:B4431,B4431)</f>
        <v>SANTA CATARINA-15</v>
      </c>
      <c r="B4431" s="5" t="s">
        <v>2939</v>
      </c>
      <c r="C4431" s="5" t="s">
        <v>4550</v>
      </c>
      <c r="D4431" s="6">
        <v>-487664</v>
      </c>
      <c r="E4431" s="6">
        <v>-275196</v>
      </c>
      <c r="F4431" s="7">
        <v>4.016</v>
      </c>
      <c r="G4431" s="7">
        <v>5.4160000000000004</v>
      </c>
      <c r="H4431" s="7">
        <v>5.1379999999999999</v>
      </c>
      <c r="I4431" s="7">
        <v>4.4409999999999998</v>
      </c>
      <c r="J4431" s="7">
        <v>3.6269999999999998</v>
      </c>
      <c r="K4431" s="7">
        <v>2.99</v>
      </c>
      <c r="L4431" s="7">
        <v>2.5459999999999998</v>
      </c>
      <c r="M4431" s="7">
        <v>2.657</v>
      </c>
      <c r="N4431" s="7">
        <v>3.351</v>
      </c>
      <c r="O4431" s="7">
        <v>3.3959999999999999</v>
      </c>
      <c r="P4431" s="7">
        <v>3.94</v>
      </c>
      <c r="Q4431" s="7">
        <v>5.1239999999999997</v>
      </c>
      <c r="R4431" s="7">
        <v>5.5629999999999997</v>
      </c>
      <c r="S4431" s="7">
        <f t="shared" si="69"/>
        <v>4.0157499999999997</v>
      </c>
    </row>
    <row r="4432" spans="1:19">
      <c r="A4432" s="5" t="str">
        <f>B4432&amp;"-"&amp;COUNTIF($B$2:B4432,B4432)</f>
        <v>SANTA CATARINA-16</v>
      </c>
      <c r="B4432" s="5" t="s">
        <v>2939</v>
      </c>
      <c r="C4432" s="5" t="s">
        <v>4877</v>
      </c>
      <c r="D4432" s="6">
        <v>-493889</v>
      </c>
      <c r="E4432" s="6">
        <v>-27038</v>
      </c>
      <c r="F4432" s="7">
        <v>4.0069999999999997</v>
      </c>
      <c r="G4432" s="7">
        <v>5.444</v>
      </c>
      <c r="H4432" s="7">
        <v>5.1849999999999996</v>
      </c>
      <c r="I4432" s="7">
        <v>4.5599999999999996</v>
      </c>
      <c r="J4432" s="7">
        <v>3.669</v>
      </c>
      <c r="K4432" s="7">
        <v>2.9649999999999999</v>
      </c>
      <c r="L4432" s="7">
        <v>2.4369999999999998</v>
      </c>
      <c r="M4432" s="7">
        <v>2.5790000000000002</v>
      </c>
      <c r="N4432" s="7">
        <v>3.3140000000000001</v>
      </c>
      <c r="O4432" s="7">
        <v>3.3969999999999998</v>
      </c>
      <c r="P4432" s="7">
        <v>3.9169999999999998</v>
      </c>
      <c r="Q4432" s="7">
        <v>5.1360000000000001</v>
      </c>
      <c r="R4432" s="7">
        <v>5.4790000000000001</v>
      </c>
      <c r="S4432" s="7">
        <f t="shared" si="69"/>
        <v>4.0068333333333337</v>
      </c>
    </row>
    <row r="4433" spans="1:19">
      <c r="A4433" s="5" t="str">
        <f>B4433&amp;"-"&amp;COUNTIF($B$2:B4433,B4433)</f>
        <v>SANTA CATARINA-17</v>
      </c>
      <c r="B4433" s="5" t="s">
        <v>2939</v>
      </c>
      <c r="C4433" s="5" t="s">
        <v>5404</v>
      </c>
      <c r="D4433" s="6">
        <v>-521427</v>
      </c>
      <c r="E4433" s="6">
        <v>-271592</v>
      </c>
      <c r="F4433" s="7">
        <v>4.5720000000000001</v>
      </c>
      <c r="G4433" s="7">
        <v>6.1559999999999997</v>
      </c>
      <c r="H4433" s="7">
        <v>5.6420000000000003</v>
      </c>
      <c r="I4433" s="7">
        <v>5.1029999999999998</v>
      </c>
      <c r="J4433" s="7">
        <v>4.0339999999999998</v>
      </c>
      <c r="K4433" s="7">
        <v>3.0990000000000002</v>
      </c>
      <c r="L4433" s="7">
        <v>2.6030000000000002</v>
      </c>
      <c r="M4433" s="7">
        <v>2.8780000000000001</v>
      </c>
      <c r="N4433" s="7">
        <v>3.7719999999999998</v>
      </c>
      <c r="O4433" s="7">
        <v>3.9940000000000002</v>
      </c>
      <c r="P4433" s="7">
        <v>5.0359999999999996</v>
      </c>
      <c r="Q4433" s="7">
        <v>6.15</v>
      </c>
      <c r="R4433" s="7">
        <v>6.4009999999999998</v>
      </c>
      <c r="S4433" s="7">
        <f t="shared" si="69"/>
        <v>4.5723333333333329</v>
      </c>
    </row>
    <row r="4434" spans="1:19">
      <c r="A4434" s="5" t="str">
        <f>B4434&amp;"-"&amp;COUNTIF($B$2:B4434,B4434)</f>
        <v>SANTA CATARINA-18</v>
      </c>
      <c r="B4434" s="5" t="s">
        <v>2939</v>
      </c>
      <c r="C4434" s="5" t="s">
        <v>2947</v>
      </c>
      <c r="D4434" s="6">
        <v>-487192</v>
      </c>
      <c r="E4434" s="6">
        <v>-263759</v>
      </c>
      <c r="F4434" s="7">
        <v>3.93</v>
      </c>
      <c r="G4434" s="7">
        <v>5.29</v>
      </c>
      <c r="H4434" s="7">
        <v>5.1340000000000003</v>
      </c>
      <c r="I4434" s="7">
        <v>4.4429999999999996</v>
      </c>
      <c r="J4434" s="7">
        <v>3.6280000000000001</v>
      </c>
      <c r="K4434" s="7">
        <v>2.9780000000000002</v>
      </c>
      <c r="L4434" s="7">
        <v>2.4569999999999999</v>
      </c>
      <c r="M4434" s="7">
        <v>2.54</v>
      </c>
      <c r="N4434" s="7">
        <v>3.1909999999999998</v>
      </c>
      <c r="O4434" s="7">
        <v>3.2949999999999999</v>
      </c>
      <c r="P4434" s="7">
        <v>3.9220000000000002</v>
      </c>
      <c r="Q4434" s="7">
        <v>4.9480000000000004</v>
      </c>
      <c r="R4434" s="7">
        <v>5.3380000000000001</v>
      </c>
      <c r="S4434" s="7">
        <f t="shared" si="69"/>
        <v>3.930333333333333</v>
      </c>
    </row>
    <row r="4435" spans="1:19">
      <c r="A4435" s="5" t="str">
        <f>B4435&amp;"-"&amp;COUNTIF($B$2:B4435,B4435)</f>
        <v>SANTA CATARINA-19</v>
      </c>
      <c r="B4435" s="5" t="s">
        <v>2939</v>
      </c>
      <c r="C4435" s="5" t="s">
        <v>5737</v>
      </c>
      <c r="D4435" s="6">
        <v>-494922</v>
      </c>
      <c r="E4435" s="6">
        <v>-289361</v>
      </c>
      <c r="F4435" s="7">
        <v>4.2859999999999996</v>
      </c>
      <c r="G4435" s="7">
        <v>5.9009999999999998</v>
      </c>
      <c r="H4435" s="7">
        <v>5.4690000000000003</v>
      </c>
      <c r="I4435" s="7">
        <v>4.6669999999999998</v>
      </c>
      <c r="J4435" s="7">
        <v>3.86</v>
      </c>
      <c r="K4435" s="7">
        <v>3.02</v>
      </c>
      <c r="L4435" s="7">
        <v>2.4609999999999999</v>
      </c>
      <c r="M4435" s="7">
        <v>2.6949999999999998</v>
      </c>
      <c r="N4435" s="7">
        <v>3.4009999999999998</v>
      </c>
      <c r="O4435" s="7">
        <v>3.5640000000000001</v>
      </c>
      <c r="P4435" s="7">
        <v>4.4059999999999997</v>
      </c>
      <c r="Q4435" s="7">
        <v>5.7910000000000004</v>
      </c>
      <c r="R4435" s="7">
        <v>6.19</v>
      </c>
      <c r="S4435" s="7">
        <f t="shared" si="69"/>
        <v>4.2854166666666664</v>
      </c>
    </row>
    <row r="4436" spans="1:19">
      <c r="A4436" s="5" t="str">
        <f>B4436&amp;"-"&amp;COUNTIF($B$2:B4436,B4436)</f>
        <v>SANTA CATARINA-20</v>
      </c>
      <c r="B4436" s="5" t="s">
        <v>2939</v>
      </c>
      <c r="C4436" s="5" t="s">
        <v>4490</v>
      </c>
      <c r="D4436" s="6">
        <v>-490219</v>
      </c>
      <c r="E4436" s="6">
        <v>-282453</v>
      </c>
      <c r="F4436" s="7">
        <v>4.2480000000000002</v>
      </c>
      <c r="G4436" s="7">
        <v>5.742</v>
      </c>
      <c r="H4436" s="7">
        <v>5.3040000000000003</v>
      </c>
      <c r="I4436" s="7">
        <v>4.5739999999999998</v>
      </c>
      <c r="J4436" s="7">
        <v>3.8140000000000001</v>
      </c>
      <c r="K4436" s="7">
        <v>2.9929999999999999</v>
      </c>
      <c r="L4436" s="7">
        <v>2.5710000000000002</v>
      </c>
      <c r="M4436" s="7">
        <v>2.7629999999999999</v>
      </c>
      <c r="N4436" s="7">
        <v>3.508</v>
      </c>
      <c r="O4436" s="7">
        <v>3.6179999999999999</v>
      </c>
      <c r="P4436" s="7">
        <v>4.4269999999999996</v>
      </c>
      <c r="Q4436" s="7">
        <v>5.6719999999999997</v>
      </c>
      <c r="R4436" s="7">
        <v>5.9939999999999998</v>
      </c>
      <c r="S4436" s="7">
        <f t="shared" si="69"/>
        <v>4.2483333333333322</v>
      </c>
    </row>
    <row r="4437" spans="1:19">
      <c r="A4437" s="5" t="str">
        <f>B4437&amp;"-"&amp;COUNTIF($B$2:B4437,B4437)</f>
        <v>SANTA CATARINA-21</v>
      </c>
      <c r="B4437" s="5" t="s">
        <v>2939</v>
      </c>
      <c r="C4437" s="5" t="s">
        <v>2948</v>
      </c>
      <c r="D4437" s="6">
        <v>-513412</v>
      </c>
      <c r="E4437" s="6">
        <v>-269261</v>
      </c>
      <c r="F4437" s="7">
        <v>4.4000000000000004</v>
      </c>
      <c r="G4437" s="7">
        <v>5.69</v>
      </c>
      <c r="H4437" s="7">
        <v>5.25</v>
      </c>
      <c r="I4437" s="7">
        <v>4.8019999999999996</v>
      </c>
      <c r="J4437" s="7">
        <v>3.9329999999999998</v>
      </c>
      <c r="K4437" s="7">
        <v>3.016</v>
      </c>
      <c r="L4437" s="7">
        <v>2.7</v>
      </c>
      <c r="M4437" s="7">
        <v>2.9249999999999998</v>
      </c>
      <c r="N4437" s="7">
        <v>3.8330000000000002</v>
      </c>
      <c r="O4437" s="7">
        <v>3.9950000000000001</v>
      </c>
      <c r="P4437" s="7">
        <v>4.7919999999999998</v>
      </c>
      <c r="Q4437" s="7">
        <v>5.8449999999999998</v>
      </c>
      <c r="R4437" s="7">
        <v>6.02</v>
      </c>
      <c r="S4437" s="7">
        <f t="shared" si="69"/>
        <v>4.4000833333333338</v>
      </c>
    </row>
    <row r="4438" spans="1:19">
      <c r="A4438" s="5" t="str">
        <f>B4438&amp;"-"&amp;COUNTIF($B$2:B4438,B4438)</f>
        <v>SANTA CATARINA-22</v>
      </c>
      <c r="B4438" s="5" t="s">
        <v>2939</v>
      </c>
      <c r="C4438" s="5" t="s">
        <v>2949</v>
      </c>
      <c r="D4438" s="6">
        <v>-524547</v>
      </c>
      <c r="E4438" s="6">
        <v>-270753</v>
      </c>
      <c r="F4438" s="7">
        <v>4.6100000000000003</v>
      </c>
      <c r="G4438" s="7">
        <v>6.2329999999999997</v>
      </c>
      <c r="H4438" s="7">
        <v>5.742</v>
      </c>
      <c r="I4438" s="7">
        <v>5.1260000000000003</v>
      </c>
      <c r="J4438" s="7">
        <v>4.0599999999999996</v>
      </c>
      <c r="K4438" s="7">
        <v>3.117</v>
      </c>
      <c r="L4438" s="7">
        <v>2.6219999999999999</v>
      </c>
      <c r="M4438" s="7">
        <v>2.9180000000000001</v>
      </c>
      <c r="N4438" s="7">
        <v>3.7749999999999999</v>
      </c>
      <c r="O4438" s="7">
        <v>4.0140000000000002</v>
      </c>
      <c r="P4438" s="7">
        <v>5.1029999999999998</v>
      </c>
      <c r="Q4438" s="7">
        <v>6.17</v>
      </c>
      <c r="R4438" s="7">
        <v>6.44</v>
      </c>
      <c r="S4438" s="7">
        <f t="shared" si="69"/>
        <v>4.6100000000000003</v>
      </c>
    </row>
    <row r="4439" spans="1:19">
      <c r="A4439" s="5" t="str">
        <f>B4439&amp;"-"&amp;COUNTIF($B$2:B4439,B4439)</f>
        <v>SANTA CATARINA-23</v>
      </c>
      <c r="B4439" s="5" t="s">
        <v>2939</v>
      </c>
      <c r="C4439" s="5" t="s">
        <v>2950</v>
      </c>
      <c r="D4439" s="6">
        <v>-493787</v>
      </c>
      <c r="E4439" s="6">
        <v>-269553</v>
      </c>
      <c r="F4439" s="7">
        <v>4.0069999999999997</v>
      </c>
      <c r="G4439" s="7">
        <v>5.444</v>
      </c>
      <c r="H4439" s="7">
        <v>5.1849999999999996</v>
      </c>
      <c r="I4439" s="7">
        <v>4.5599999999999996</v>
      </c>
      <c r="J4439" s="7">
        <v>3.669</v>
      </c>
      <c r="K4439" s="7">
        <v>2.9649999999999999</v>
      </c>
      <c r="L4439" s="7">
        <v>2.4369999999999998</v>
      </c>
      <c r="M4439" s="7">
        <v>2.5790000000000002</v>
      </c>
      <c r="N4439" s="7">
        <v>3.3140000000000001</v>
      </c>
      <c r="O4439" s="7">
        <v>3.3969999999999998</v>
      </c>
      <c r="P4439" s="7">
        <v>3.9169999999999998</v>
      </c>
      <c r="Q4439" s="7">
        <v>5.1360000000000001</v>
      </c>
      <c r="R4439" s="7">
        <v>5.4790000000000001</v>
      </c>
      <c r="S4439" s="7">
        <f t="shared" si="69"/>
        <v>4.0068333333333337</v>
      </c>
    </row>
    <row r="4440" spans="1:19">
      <c r="A4440" s="5" t="str">
        <f>B4440&amp;"-"&amp;COUNTIF($B$2:B4440,B4440)</f>
        <v>SANTA CATARINA-24</v>
      </c>
      <c r="B4440" s="5" t="s">
        <v>2939</v>
      </c>
      <c r="C4440" s="5" t="s">
        <v>2951</v>
      </c>
      <c r="D4440" s="6">
        <v>-497793</v>
      </c>
      <c r="E4440" s="6">
        <v>-274224</v>
      </c>
      <c r="F4440" s="7">
        <v>4.1189999999999998</v>
      </c>
      <c r="G4440" s="7">
        <v>5.6749999999999998</v>
      </c>
      <c r="H4440" s="7">
        <v>5.383</v>
      </c>
      <c r="I4440" s="7">
        <v>4.6420000000000003</v>
      </c>
      <c r="J4440" s="7">
        <v>3.6739999999999999</v>
      </c>
      <c r="K4440" s="7">
        <v>2.89</v>
      </c>
      <c r="L4440" s="7">
        <v>2.355</v>
      </c>
      <c r="M4440" s="7">
        <v>2.54</v>
      </c>
      <c r="N4440" s="7">
        <v>3.3380000000000001</v>
      </c>
      <c r="O4440" s="7">
        <v>3.5310000000000001</v>
      </c>
      <c r="P4440" s="7">
        <v>4.1520000000000001</v>
      </c>
      <c r="Q4440" s="7">
        <v>5.4450000000000003</v>
      </c>
      <c r="R4440" s="7">
        <v>5.8049999999999997</v>
      </c>
      <c r="S4440" s="7">
        <f t="shared" si="69"/>
        <v>4.1191666666666666</v>
      </c>
    </row>
    <row r="4441" spans="1:19">
      <c r="A4441" s="5" t="str">
        <f>B4441&amp;"-"&amp;COUNTIF($B$2:B4441,B4441)</f>
        <v>SANTA CATARINA-25</v>
      </c>
      <c r="B4441" s="5" t="s">
        <v>2939</v>
      </c>
      <c r="C4441" s="5" t="s">
        <v>573</v>
      </c>
      <c r="D4441" s="5" t="s">
        <v>2952</v>
      </c>
      <c r="E4441" s="6">
        <v>-273103</v>
      </c>
      <c r="F4441" s="7">
        <v>4.0949999999999998</v>
      </c>
      <c r="G4441" s="7">
        <v>5.64</v>
      </c>
      <c r="H4441" s="7">
        <v>5.3140000000000001</v>
      </c>
      <c r="I4441" s="7">
        <v>4.6139999999999999</v>
      </c>
      <c r="J4441" s="7">
        <v>3.6379999999999999</v>
      </c>
      <c r="K4441" s="7">
        <v>2.86</v>
      </c>
      <c r="L4441" s="7">
        <v>2.3410000000000002</v>
      </c>
      <c r="M4441" s="7">
        <v>2.5190000000000001</v>
      </c>
      <c r="N4441" s="7">
        <v>3.34</v>
      </c>
      <c r="O4441" s="7">
        <v>3.5329999999999999</v>
      </c>
      <c r="P4441" s="7">
        <v>4.1559999999999997</v>
      </c>
      <c r="Q4441" s="7">
        <v>5.415</v>
      </c>
      <c r="R4441" s="7">
        <v>5.7640000000000002</v>
      </c>
      <c r="S4441" s="7">
        <f t="shared" si="69"/>
        <v>4.0945</v>
      </c>
    </row>
    <row r="4442" spans="1:19">
      <c r="A4442" s="5" t="str">
        <f>B4442&amp;"-"&amp;COUNTIF($B$2:B4442,B4442)</f>
        <v>SANTA CATARINA-26</v>
      </c>
      <c r="B4442" s="5" t="s">
        <v>2939</v>
      </c>
      <c r="C4442" s="5" t="s">
        <v>5738</v>
      </c>
      <c r="D4442" s="6">
        <v>-494241</v>
      </c>
      <c r="E4442" s="6">
        <v>-289811</v>
      </c>
      <c r="F4442" s="7">
        <v>4.3310000000000004</v>
      </c>
      <c r="G4442" s="7">
        <v>6.0330000000000004</v>
      </c>
      <c r="H4442" s="7">
        <v>5.5490000000000004</v>
      </c>
      <c r="I4442" s="7">
        <v>4.6879999999999997</v>
      </c>
      <c r="J4442" s="7">
        <v>3.903</v>
      </c>
      <c r="K4442" s="7">
        <v>3.0219999999999998</v>
      </c>
      <c r="L4442" s="7">
        <v>2.456</v>
      </c>
      <c r="M4442" s="7">
        <v>2.6880000000000002</v>
      </c>
      <c r="N4442" s="7">
        <v>3.3940000000000001</v>
      </c>
      <c r="O4442" s="7">
        <v>3.585</v>
      </c>
      <c r="P4442" s="7">
        <v>4.4889999999999999</v>
      </c>
      <c r="Q4442" s="7">
        <v>5.867</v>
      </c>
      <c r="R4442" s="7">
        <v>6.2919999999999998</v>
      </c>
      <c r="S4442" s="7">
        <f t="shared" si="69"/>
        <v>4.3304999999999998</v>
      </c>
    </row>
    <row r="4443" spans="1:19">
      <c r="A4443" s="5" t="str">
        <f>B4443&amp;"-"&amp;COUNTIF($B$2:B4443,B4443)</f>
        <v>SANTA CATARINA-27</v>
      </c>
      <c r="B4443" s="5" t="s">
        <v>2939</v>
      </c>
      <c r="C4443" s="5" t="s">
        <v>5739</v>
      </c>
      <c r="D4443" s="6">
        <v>-486127</v>
      </c>
      <c r="E4443" s="6">
        <v>-264602</v>
      </c>
      <c r="F4443" s="7">
        <v>4.056</v>
      </c>
      <c r="G4443" s="7">
        <v>5.5270000000000001</v>
      </c>
      <c r="H4443" s="7">
        <v>5.3550000000000004</v>
      </c>
      <c r="I4443" s="7">
        <v>4.6189999999999998</v>
      </c>
      <c r="J4443" s="7">
        <v>3.722</v>
      </c>
      <c r="K4443" s="7">
        <v>3.0030000000000001</v>
      </c>
      <c r="L4443" s="7">
        <v>2.4860000000000002</v>
      </c>
      <c r="M4443" s="7">
        <v>2.5619999999999998</v>
      </c>
      <c r="N4443" s="7">
        <v>3.2080000000000002</v>
      </c>
      <c r="O4443" s="7">
        <v>3.3889999999999998</v>
      </c>
      <c r="P4443" s="7">
        <v>4.0659999999999998</v>
      </c>
      <c r="Q4443" s="7">
        <v>5.1420000000000003</v>
      </c>
      <c r="R4443" s="7">
        <v>5.5880000000000001</v>
      </c>
      <c r="S4443" s="7">
        <f t="shared" si="69"/>
        <v>4.0555833333333347</v>
      </c>
    </row>
    <row r="4444" spans="1:19">
      <c r="A4444" s="5" t="str">
        <f>B4444&amp;"-"&amp;COUNTIF($B$2:B4444,B4444)</f>
        <v>SANTA CATARINA-28</v>
      </c>
      <c r="B4444" s="5" t="s">
        <v>2939</v>
      </c>
      <c r="C4444" s="5" t="s">
        <v>5740</v>
      </c>
      <c r="D4444" s="6">
        <v>-486356</v>
      </c>
      <c r="E4444" s="6">
        <v>-269931</v>
      </c>
      <c r="F4444" s="7">
        <v>4.1340000000000003</v>
      </c>
      <c r="G4444" s="7">
        <v>5.6970000000000001</v>
      </c>
      <c r="H4444" s="7">
        <v>5.4189999999999996</v>
      </c>
      <c r="I4444" s="7">
        <v>4.6180000000000003</v>
      </c>
      <c r="J4444" s="7">
        <v>3.702</v>
      </c>
      <c r="K4444" s="7">
        <v>3.02</v>
      </c>
      <c r="L4444" s="7">
        <v>2.5139999999999998</v>
      </c>
      <c r="M4444" s="7">
        <v>2.6429999999999998</v>
      </c>
      <c r="N4444" s="7">
        <v>3.2450000000000001</v>
      </c>
      <c r="O4444" s="7">
        <v>3.52</v>
      </c>
      <c r="P4444" s="7">
        <v>4.1609999999999996</v>
      </c>
      <c r="Q4444" s="7">
        <v>5.3209999999999997</v>
      </c>
      <c r="R4444" s="7">
        <v>5.7469999999999999</v>
      </c>
      <c r="S4444" s="7">
        <f t="shared" si="69"/>
        <v>4.1339166666666669</v>
      </c>
    </row>
    <row r="4445" spans="1:19">
      <c r="A4445" s="5" t="str">
        <f>B4445&amp;"-"&amp;COUNTIF($B$2:B4445,B4445)</f>
        <v>SANTA CATARINA-29</v>
      </c>
      <c r="B4445" s="5" t="s">
        <v>2939</v>
      </c>
      <c r="C4445" s="5" t="s">
        <v>5741</v>
      </c>
      <c r="D4445" s="6">
        <v>-495845</v>
      </c>
      <c r="E4445" s="6">
        <v>-291532</v>
      </c>
      <c r="F4445" s="7">
        <v>4.3630000000000004</v>
      </c>
      <c r="G4445" s="7">
        <v>6.1120000000000001</v>
      </c>
      <c r="H4445" s="7">
        <v>5.5940000000000003</v>
      </c>
      <c r="I4445" s="7">
        <v>4.7530000000000001</v>
      </c>
      <c r="J4445" s="7">
        <v>3.944</v>
      </c>
      <c r="K4445" s="7">
        <v>2.9849999999999999</v>
      </c>
      <c r="L4445" s="7">
        <v>2.4750000000000001</v>
      </c>
      <c r="M4445" s="7">
        <v>2.6720000000000002</v>
      </c>
      <c r="N4445" s="7">
        <v>3.3580000000000001</v>
      </c>
      <c r="O4445" s="7">
        <v>3.585</v>
      </c>
      <c r="P4445" s="7">
        <v>4.569</v>
      </c>
      <c r="Q4445" s="7">
        <v>5.9660000000000002</v>
      </c>
      <c r="R4445" s="7">
        <v>6.3470000000000004</v>
      </c>
      <c r="S4445" s="7">
        <f t="shared" si="69"/>
        <v>4.3633333333333342</v>
      </c>
    </row>
    <row r="4446" spans="1:19">
      <c r="A4446" s="5" t="str">
        <f>B4446&amp;"-"&amp;COUNTIF($B$2:B4446,B4446)</f>
        <v>SANTA CATARINA-30</v>
      </c>
      <c r="B4446" s="5" t="s">
        <v>2939</v>
      </c>
      <c r="C4446" s="5" t="s">
        <v>5742</v>
      </c>
      <c r="D4446" s="6">
        <v>-486767</v>
      </c>
      <c r="E4446" s="6">
        <v>-267698</v>
      </c>
      <c r="F4446" s="7">
        <v>4.157</v>
      </c>
      <c r="G4446" s="7">
        <v>5.7350000000000003</v>
      </c>
      <c r="H4446" s="7">
        <v>5.4359999999999999</v>
      </c>
      <c r="I4446" s="7">
        <v>4.6689999999999996</v>
      </c>
      <c r="J4446" s="7">
        <v>3.6819999999999999</v>
      </c>
      <c r="K4446" s="7">
        <v>3.0270000000000001</v>
      </c>
      <c r="L4446" s="7">
        <v>2.52</v>
      </c>
      <c r="M4446" s="7">
        <v>2.617</v>
      </c>
      <c r="N4446" s="7">
        <v>3.2629999999999999</v>
      </c>
      <c r="O4446" s="7">
        <v>3.5009999999999999</v>
      </c>
      <c r="P4446" s="7">
        <v>4.2489999999999997</v>
      </c>
      <c r="Q4446" s="7">
        <v>5.4050000000000002</v>
      </c>
      <c r="R4446" s="7">
        <v>5.7859999999999996</v>
      </c>
      <c r="S4446" s="7">
        <f t="shared" si="69"/>
        <v>4.1574999999999998</v>
      </c>
    </row>
    <row r="4447" spans="1:19">
      <c r="A4447" s="5" t="str">
        <f>B4447&amp;"-"&amp;COUNTIF($B$2:B4447,B4447)</f>
        <v>SANTA CATARINA-31</v>
      </c>
      <c r="B4447" s="5" t="s">
        <v>2939</v>
      </c>
      <c r="C4447" s="5" t="s">
        <v>5743</v>
      </c>
      <c r="D4447" s="6">
        <v>-492411</v>
      </c>
      <c r="E4447" s="6">
        <v>-288049</v>
      </c>
      <c r="F4447" s="7">
        <v>4.3120000000000003</v>
      </c>
      <c r="G4447" s="7">
        <v>6.016</v>
      </c>
      <c r="H4447" s="7">
        <v>5.4989999999999997</v>
      </c>
      <c r="I4447" s="7">
        <v>4.6289999999999996</v>
      </c>
      <c r="J4447" s="7">
        <v>3.8580000000000001</v>
      </c>
      <c r="K4447" s="7">
        <v>3.0009999999999999</v>
      </c>
      <c r="L4447" s="7">
        <v>2.4809999999999999</v>
      </c>
      <c r="M4447" s="7">
        <v>2.6819999999999999</v>
      </c>
      <c r="N4447" s="7">
        <v>3.403</v>
      </c>
      <c r="O4447" s="7">
        <v>3.6</v>
      </c>
      <c r="P4447" s="7">
        <v>4.5010000000000003</v>
      </c>
      <c r="Q4447" s="7">
        <v>5.8630000000000004</v>
      </c>
      <c r="R4447" s="7">
        <v>6.218</v>
      </c>
      <c r="S4447" s="7">
        <f t="shared" si="69"/>
        <v>4.3125833333333325</v>
      </c>
    </row>
    <row r="4448" spans="1:19">
      <c r="A4448" s="5" t="str">
        <f>B4448&amp;"-"&amp;COUNTIF($B$2:B4448,B4448)</f>
        <v>SANTA CATARINA-32</v>
      </c>
      <c r="B4448" s="5" t="s">
        <v>2939</v>
      </c>
      <c r="C4448" s="5" t="s">
        <v>2953</v>
      </c>
      <c r="D4448" s="6">
        <v>-536418</v>
      </c>
      <c r="E4448" s="6">
        <v>-26771</v>
      </c>
      <c r="F4448" s="7">
        <v>4.6100000000000003</v>
      </c>
      <c r="G4448" s="7">
        <v>6.2619999999999996</v>
      </c>
      <c r="H4448" s="7">
        <v>5.78</v>
      </c>
      <c r="I4448" s="7">
        <v>5.0860000000000003</v>
      </c>
      <c r="J4448" s="7">
        <v>4.0659999999999998</v>
      </c>
      <c r="K4448" s="7">
        <v>3.1480000000000001</v>
      </c>
      <c r="L4448" s="7">
        <v>2.653</v>
      </c>
      <c r="M4448" s="7">
        <v>2.9380000000000002</v>
      </c>
      <c r="N4448" s="7">
        <v>3.7850000000000001</v>
      </c>
      <c r="O4448" s="7">
        <v>4.07</v>
      </c>
      <c r="P4448" s="7">
        <v>5.1210000000000004</v>
      </c>
      <c r="Q4448" s="7">
        <v>6.0359999999999996</v>
      </c>
      <c r="R4448" s="7">
        <v>6.3769999999999998</v>
      </c>
      <c r="S4448" s="7">
        <f t="shared" si="69"/>
        <v>4.6101666666666672</v>
      </c>
    </row>
    <row r="4449" spans="1:19">
      <c r="A4449" s="5" t="str">
        <f>B4449&amp;"-"&amp;COUNTIF($B$2:B4449,B4449)</f>
        <v>SANTA CATARINA-33</v>
      </c>
      <c r="B4449" s="5" t="s">
        <v>2939</v>
      </c>
      <c r="C4449" s="5" t="s">
        <v>2954</v>
      </c>
      <c r="D4449" s="6">
        <v>-534405</v>
      </c>
      <c r="E4449" s="6">
        <v>-266545</v>
      </c>
      <c r="F4449" s="7">
        <v>4.6310000000000002</v>
      </c>
      <c r="G4449" s="7">
        <v>6.3019999999999996</v>
      </c>
      <c r="H4449" s="7">
        <v>5.7610000000000001</v>
      </c>
      <c r="I4449" s="7">
        <v>5.0810000000000004</v>
      </c>
      <c r="J4449" s="7">
        <v>4.0940000000000003</v>
      </c>
      <c r="K4449" s="7">
        <v>3.161</v>
      </c>
      <c r="L4449" s="7">
        <v>2.6789999999999998</v>
      </c>
      <c r="M4449" s="7">
        <v>2.9660000000000002</v>
      </c>
      <c r="N4449" s="7">
        <v>3.831</v>
      </c>
      <c r="O4449" s="7">
        <v>4.1020000000000003</v>
      </c>
      <c r="P4449" s="7">
        <v>5.1360000000000001</v>
      </c>
      <c r="Q4449" s="7">
        <v>6.06</v>
      </c>
      <c r="R4449" s="7">
        <v>6.4</v>
      </c>
      <c r="S4449" s="7">
        <f t="shared" si="69"/>
        <v>4.6310833333333337</v>
      </c>
    </row>
    <row r="4450" spans="1:19">
      <c r="A4450" s="5" t="str">
        <f>B4450&amp;"-"&amp;COUNTIF($B$2:B4450,B4450)</f>
        <v>SANTA CATARINA-34</v>
      </c>
      <c r="B4450" s="5" t="s">
        <v>2939</v>
      </c>
      <c r="C4450" s="5" t="s">
        <v>2955</v>
      </c>
      <c r="D4450" s="6">
        <v>-486938</v>
      </c>
      <c r="E4450" s="6">
        <v>-266374</v>
      </c>
      <c r="F4450" s="7">
        <v>4.1390000000000002</v>
      </c>
      <c r="G4450" s="7">
        <v>5.702</v>
      </c>
      <c r="H4450" s="7">
        <v>5.47</v>
      </c>
      <c r="I4450" s="7">
        <v>4.7050000000000001</v>
      </c>
      <c r="J4450" s="7">
        <v>3.78</v>
      </c>
      <c r="K4450" s="7">
        <v>3.0369999999999999</v>
      </c>
      <c r="L4450" s="7">
        <v>2.516</v>
      </c>
      <c r="M4450" s="7">
        <v>2.6040000000000001</v>
      </c>
      <c r="N4450" s="7">
        <v>3.226</v>
      </c>
      <c r="O4450" s="7">
        <v>3.4470000000000001</v>
      </c>
      <c r="P4450" s="7">
        <v>4.1749999999999998</v>
      </c>
      <c r="Q4450" s="7">
        <v>5.2930000000000001</v>
      </c>
      <c r="R4450" s="7">
        <v>5.7160000000000002</v>
      </c>
      <c r="S4450" s="7">
        <f t="shared" si="69"/>
        <v>4.1392499999999997</v>
      </c>
    </row>
    <row r="4451" spans="1:19">
      <c r="A4451" s="5" t="str">
        <f>B4451&amp;"-"&amp;COUNTIF($B$2:B4451,B4451)</f>
        <v>SANTA CATARINA-35</v>
      </c>
      <c r="B4451" s="5" t="s">
        <v>2939</v>
      </c>
      <c r="C4451" s="5" t="s">
        <v>2956</v>
      </c>
      <c r="D4451" s="6">
        <v>-504668</v>
      </c>
      <c r="E4451" s="6">
        <v>-262751</v>
      </c>
      <c r="F4451" s="7">
        <v>4.085</v>
      </c>
      <c r="G4451" s="7">
        <v>5.3819999999999997</v>
      </c>
      <c r="H4451" s="7">
        <v>5.0490000000000004</v>
      </c>
      <c r="I4451" s="7">
        <v>4.5010000000000003</v>
      </c>
      <c r="J4451" s="7">
        <v>3.5190000000000001</v>
      </c>
      <c r="K4451" s="7">
        <v>2.8580000000000001</v>
      </c>
      <c r="L4451" s="7">
        <v>2.3980000000000001</v>
      </c>
      <c r="M4451" s="7">
        <v>2.65</v>
      </c>
      <c r="N4451" s="7">
        <v>3.6320000000000001</v>
      </c>
      <c r="O4451" s="7">
        <v>3.7690000000000001</v>
      </c>
      <c r="P4451" s="7">
        <v>4.3280000000000003</v>
      </c>
      <c r="Q4451" s="7">
        <v>5.3550000000000004</v>
      </c>
      <c r="R4451" s="7">
        <v>5.5730000000000004</v>
      </c>
      <c r="S4451" s="7">
        <f t="shared" si="69"/>
        <v>4.0845000000000002</v>
      </c>
    </row>
    <row r="4452" spans="1:19">
      <c r="A4452" s="5" t="str">
        <f>B4452&amp;"-"&amp;COUNTIF($B$2:B4452,B4452)</f>
        <v>SANTA CATARINA-36</v>
      </c>
      <c r="B4452" s="5" t="s">
        <v>2939</v>
      </c>
      <c r="C4452" s="5" t="s">
        <v>327</v>
      </c>
      <c r="D4452" s="6">
        <v>-535763</v>
      </c>
      <c r="E4452" s="6">
        <v>-268435</v>
      </c>
      <c r="F4452" s="7">
        <v>4.6310000000000002</v>
      </c>
      <c r="G4452" s="7">
        <v>6.32</v>
      </c>
      <c r="H4452" s="7">
        <v>5.7640000000000002</v>
      </c>
      <c r="I4452" s="7">
        <v>5.069</v>
      </c>
      <c r="J4452" s="7">
        <v>4.0910000000000002</v>
      </c>
      <c r="K4452" s="7">
        <v>3.1619999999999999</v>
      </c>
      <c r="L4452" s="7">
        <v>2.68</v>
      </c>
      <c r="M4452" s="7">
        <v>2.9769999999999999</v>
      </c>
      <c r="N4452" s="7">
        <v>3.823</v>
      </c>
      <c r="O4452" s="7">
        <v>4.0949999999999998</v>
      </c>
      <c r="P4452" s="7">
        <v>5.1459999999999999</v>
      </c>
      <c r="Q4452" s="7">
        <v>6.0179999999999998</v>
      </c>
      <c r="R4452" s="7">
        <v>6.431</v>
      </c>
      <c r="S4452" s="7">
        <f t="shared" si="69"/>
        <v>4.6313333333333331</v>
      </c>
    </row>
    <row r="4453" spans="1:19">
      <c r="A4453" s="5" t="str">
        <f>B4453&amp;"-"&amp;COUNTIF($B$2:B4453,B4453)</f>
        <v>SANTA CATARINA-37</v>
      </c>
      <c r="B4453" s="5" t="s">
        <v>2939</v>
      </c>
      <c r="C4453" s="5" t="s">
        <v>2957</v>
      </c>
      <c r="D4453" s="6">
        <v>-493597</v>
      </c>
      <c r="E4453" s="6">
        <v>-267815</v>
      </c>
      <c r="F4453" s="7">
        <v>3.94</v>
      </c>
      <c r="G4453" s="7">
        <v>5.2759999999999998</v>
      </c>
      <c r="H4453" s="7">
        <v>4.992</v>
      </c>
      <c r="I4453" s="7">
        <v>4.4489999999999998</v>
      </c>
      <c r="J4453" s="7">
        <v>3.6259999999999999</v>
      </c>
      <c r="K4453" s="7">
        <v>2.9830000000000001</v>
      </c>
      <c r="L4453" s="7">
        <v>2.488</v>
      </c>
      <c r="M4453" s="7">
        <v>2.621</v>
      </c>
      <c r="N4453" s="7">
        <v>3.3530000000000002</v>
      </c>
      <c r="O4453" s="7">
        <v>3.3420000000000001</v>
      </c>
      <c r="P4453" s="7">
        <v>3.8420000000000001</v>
      </c>
      <c r="Q4453" s="7">
        <v>5.0039999999999996</v>
      </c>
      <c r="R4453" s="7">
        <v>5.3079999999999998</v>
      </c>
      <c r="S4453" s="7">
        <f t="shared" si="69"/>
        <v>3.9403333333333332</v>
      </c>
    </row>
    <row r="4454" spans="1:19">
      <c r="A4454" s="5" t="str">
        <f>B4454&amp;"-"&amp;COUNTIF($B$2:B4454,B4454)</f>
        <v>SANTA CATARINA-38</v>
      </c>
      <c r="B4454" s="5" t="s">
        <v>2939</v>
      </c>
      <c r="C4454" s="5" t="s">
        <v>4769</v>
      </c>
      <c r="D4454" s="6">
        <v>-486602</v>
      </c>
      <c r="E4454" s="6">
        <v>-274965</v>
      </c>
      <c r="F4454" s="7">
        <v>4.1260000000000003</v>
      </c>
      <c r="G4454" s="7">
        <v>5.6680000000000001</v>
      </c>
      <c r="H4454" s="7">
        <v>5.3170000000000002</v>
      </c>
      <c r="I4454" s="7">
        <v>4.5620000000000003</v>
      </c>
      <c r="J4454" s="7">
        <v>3.7170000000000001</v>
      </c>
      <c r="K4454" s="7">
        <v>3.0249999999999999</v>
      </c>
      <c r="L4454" s="7">
        <v>2.5449999999999999</v>
      </c>
      <c r="M4454" s="7">
        <v>2.6739999999999999</v>
      </c>
      <c r="N4454" s="7">
        <v>3.3780000000000001</v>
      </c>
      <c r="O4454" s="7">
        <v>3.4569999999999999</v>
      </c>
      <c r="P4454" s="7">
        <v>4.1079999999999997</v>
      </c>
      <c r="Q4454" s="7">
        <v>5.3259999999999996</v>
      </c>
      <c r="R4454" s="7">
        <v>5.7389999999999999</v>
      </c>
      <c r="S4454" s="7">
        <f t="shared" si="69"/>
        <v>4.1263333333333323</v>
      </c>
    </row>
    <row r="4455" spans="1:19">
      <c r="A4455" s="5" t="str">
        <f>B4455&amp;"-"&amp;COUNTIF($B$2:B4455,B4455)</f>
        <v>SANTA CATARINA-39</v>
      </c>
      <c r="B4455" s="5" t="s">
        <v>2939</v>
      </c>
      <c r="C4455" s="5" t="s">
        <v>2958</v>
      </c>
      <c r="D4455" s="6">
        <v>-490713</v>
      </c>
      <c r="E4455" s="6">
        <v>-26916</v>
      </c>
      <c r="F4455" s="7">
        <v>4.0069999999999997</v>
      </c>
      <c r="G4455" s="7">
        <v>5.476</v>
      </c>
      <c r="H4455" s="7">
        <v>5.2389999999999999</v>
      </c>
      <c r="I4455" s="7">
        <v>4.5380000000000003</v>
      </c>
      <c r="J4455" s="7">
        <v>3.6680000000000001</v>
      </c>
      <c r="K4455" s="7">
        <v>3.0190000000000001</v>
      </c>
      <c r="L4455" s="7">
        <v>2.4849999999999999</v>
      </c>
      <c r="M4455" s="7">
        <v>2.629</v>
      </c>
      <c r="N4455" s="7">
        <v>3.266</v>
      </c>
      <c r="O4455" s="7">
        <v>3.3809999999999998</v>
      </c>
      <c r="P4455" s="7">
        <v>3.8330000000000002</v>
      </c>
      <c r="Q4455" s="7">
        <v>5.0339999999999998</v>
      </c>
      <c r="R4455" s="7">
        <v>5.5110000000000001</v>
      </c>
      <c r="S4455" s="7">
        <f t="shared" si="69"/>
        <v>4.0065833333333334</v>
      </c>
    </row>
    <row r="4456" spans="1:19">
      <c r="A4456" s="5" t="str">
        <f>B4456&amp;"-"&amp;COUNTIF($B$2:B4456,B4456)</f>
        <v>SANTA CATARINA-40</v>
      </c>
      <c r="B4456" s="5" t="s">
        <v>2939</v>
      </c>
      <c r="C4456" s="5" t="s">
        <v>2959</v>
      </c>
      <c r="D4456" s="6">
        <v>-499427</v>
      </c>
      <c r="E4456" s="6">
        <v>-27746</v>
      </c>
      <c r="F4456" s="7">
        <v>4.149</v>
      </c>
      <c r="G4456" s="7">
        <v>5.6589999999999998</v>
      </c>
      <c r="H4456" s="7">
        <v>5.3380000000000001</v>
      </c>
      <c r="I4456" s="7">
        <v>4.5880000000000001</v>
      </c>
      <c r="J4456" s="7">
        <v>3.6819999999999999</v>
      </c>
      <c r="K4456" s="7">
        <v>2.8759999999999999</v>
      </c>
      <c r="L4456" s="7">
        <v>2.4390000000000001</v>
      </c>
      <c r="M4456" s="7">
        <v>2.6579999999999999</v>
      </c>
      <c r="N4456" s="7">
        <v>3.4249999999999998</v>
      </c>
      <c r="O4456" s="7">
        <v>3.59</v>
      </c>
      <c r="P4456" s="7">
        <v>4.1980000000000004</v>
      </c>
      <c r="Q4456" s="7">
        <v>5.516</v>
      </c>
      <c r="R4456" s="7">
        <v>5.8220000000000001</v>
      </c>
      <c r="S4456" s="7">
        <f t="shared" si="69"/>
        <v>4.1492500000000003</v>
      </c>
    </row>
    <row r="4457" spans="1:19">
      <c r="A4457" s="5" t="str">
        <f>B4457&amp;"-"&amp;COUNTIF($B$2:B4457,B4457)</f>
        <v>SANTA CATARINA-41</v>
      </c>
      <c r="B4457" s="5" t="s">
        <v>2939</v>
      </c>
      <c r="C4457" s="5" t="s">
        <v>2960</v>
      </c>
      <c r="D4457" s="6">
        <v>-496377</v>
      </c>
      <c r="E4457" s="6">
        <v>-283381</v>
      </c>
      <c r="F4457" s="7">
        <v>4.3540000000000001</v>
      </c>
      <c r="G4457" s="7">
        <v>5.55</v>
      </c>
      <c r="H4457" s="7">
        <v>5.3049999999999997</v>
      </c>
      <c r="I4457" s="7">
        <v>4.6479999999999997</v>
      </c>
      <c r="J4457" s="7">
        <v>3.86</v>
      </c>
      <c r="K4457" s="7">
        <v>3.008</v>
      </c>
      <c r="L4457" s="7">
        <v>2.6560000000000001</v>
      </c>
      <c r="M4457" s="7">
        <v>2.8839999999999999</v>
      </c>
      <c r="N4457" s="7">
        <v>3.6739999999999999</v>
      </c>
      <c r="O4457" s="7">
        <v>3.8759999999999999</v>
      </c>
      <c r="P4457" s="7">
        <v>4.75</v>
      </c>
      <c r="Q4457" s="7">
        <v>5.8840000000000003</v>
      </c>
      <c r="R4457" s="7">
        <v>6.1459999999999999</v>
      </c>
      <c r="S4457" s="7">
        <f t="shared" si="69"/>
        <v>4.3534166666666669</v>
      </c>
    </row>
    <row r="4458" spans="1:19">
      <c r="A4458" s="5" t="str">
        <f>B4458&amp;"-"&amp;COUNTIF($B$2:B4458,B4458)</f>
        <v>SANTA CATARINA-42</v>
      </c>
      <c r="B4458" s="5" t="s">
        <v>2939</v>
      </c>
      <c r="C4458" s="5" t="s">
        <v>1811</v>
      </c>
      <c r="D4458" s="6">
        <v>-523923</v>
      </c>
      <c r="E4458" s="6">
        <v>-267331</v>
      </c>
      <c r="F4458" s="7">
        <v>4.6120000000000001</v>
      </c>
      <c r="G4458" s="7">
        <v>6.1950000000000003</v>
      </c>
      <c r="H4458" s="7">
        <v>5.5490000000000004</v>
      </c>
      <c r="I4458" s="7">
        <v>5.016</v>
      </c>
      <c r="J4458" s="7">
        <v>4.1189999999999998</v>
      </c>
      <c r="K4458" s="7">
        <v>3.2050000000000001</v>
      </c>
      <c r="L4458" s="7">
        <v>2.754</v>
      </c>
      <c r="M4458" s="7">
        <v>3.0190000000000001</v>
      </c>
      <c r="N4458" s="7">
        <v>3.9039999999999999</v>
      </c>
      <c r="O4458" s="7">
        <v>4.1210000000000004</v>
      </c>
      <c r="P4458" s="7">
        <v>5.0960000000000001</v>
      </c>
      <c r="Q4458" s="7">
        <v>6.0880000000000001</v>
      </c>
      <c r="R4458" s="7">
        <v>6.2830000000000004</v>
      </c>
      <c r="S4458" s="7">
        <f t="shared" si="69"/>
        <v>4.6124166666666664</v>
      </c>
    </row>
    <row r="4459" spans="1:19">
      <c r="A4459" s="5" t="str">
        <f>B4459&amp;"-"&amp;COUNTIF($B$2:B4459,B4459)</f>
        <v>SANTA CATARINA-43</v>
      </c>
      <c r="B4459" s="5" t="s">
        <v>2939</v>
      </c>
      <c r="C4459" s="5" t="s">
        <v>2961</v>
      </c>
      <c r="D4459" s="6">
        <v>-530972</v>
      </c>
      <c r="E4459" s="6">
        <v>-266932</v>
      </c>
      <c r="F4459" s="7">
        <v>4.6050000000000004</v>
      </c>
      <c r="G4459" s="7">
        <v>6.1379999999999999</v>
      </c>
      <c r="H4459" s="7">
        <v>5.65</v>
      </c>
      <c r="I4459" s="7">
        <v>5.0730000000000004</v>
      </c>
      <c r="J4459" s="7">
        <v>4.0940000000000003</v>
      </c>
      <c r="K4459" s="7">
        <v>3.1739999999999999</v>
      </c>
      <c r="L4459" s="7">
        <v>2.6840000000000002</v>
      </c>
      <c r="M4459" s="7">
        <v>2.9980000000000002</v>
      </c>
      <c r="N4459" s="7">
        <v>3.8530000000000002</v>
      </c>
      <c r="O4459" s="7">
        <v>4.1150000000000002</v>
      </c>
      <c r="P4459" s="7">
        <v>5.0960000000000001</v>
      </c>
      <c r="Q4459" s="7">
        <v>6.0389999999999997</v>
      </c>
      <c r="R4459" s="7">
        <v>6.3470000000000004</v>
      </c>
      <c r="S4459" s="7">
        <f t="shared" si="69"/>
        <v>4.6050833333333339</v>
      </c>
    </row>
    <row r="4460" spans="1:19">
      <c r="A4460" s="5" t="str">
        <f>B4460&amp;"-"&amp;COUNTIF($B$2:B4460,B4460)</f>
        <v>SANTA CATARINA-44</v>
      </c>
      <c r="B4460" s="5" t="s">
        <v>2939</v>
      </c>
      <c r="C4460" s="5" t="s">
        <v>2962</v>
      </c>
      <c r="D4460" s="6">
        <v>-494874</v>
      </c>
      <c r="E4460" s="6">
        <v>-277995</v>
      </c>
      <c r="F4460" s="7">
        <v>4.1749999999999998</v>
      </c>
      <c r="G4460" s="7">
        <v>5.6879999999999997</v>
      </c>
      <c r="H4460" s="7">
        <v>5.31</v>
      </c>
      <c r="I4460" s="7">
        <v>4.5949999999999998</v>
      </c>
      <c r="J4460" s="7">
        <v>3.746</v>
      </c>
      <c r="K4460" s="7">
        <v>2.919</v>
      </c>
      <c r="L4460" s="7">
        <v>2.4820000000000002</v>
      </c>
      <c r="M4460" s="7">
        <v>2.694</v>
      </c>
      <c r="N4460" s="7">
        <v>3.4750000000000001</v>
      </c>
      <c r="O4460" s="7">
        <v>3.61</v>
      </c>
      <c r="P4460" s="7">
        <v>4.2110000000000003</v>
      </c>
      <c r="Q4460" s="7">
        <v>5.5250000000000004</v>
      </c>
      <c r="R4460" s="7">
        <v>5.8390000000000004</v>
      </c>
      <c r="S4460" s="7">
        <f t="shared" si="69"/>
        <v>4.1744999999999992</v>
      </c>
    </row>
    <row r="4461" spans="1:19">
      <c r="A4461" s="5" t="str">
        <f>B4461&amp;"-"&amp;COUNTIF($B$2:B4461,B4461)</f>
        <v>SANTA CATARINA-45</v>
      </c>
      <c r="B4461" s="5" t="s">
        <v>2939</v>
      </c>
      <c r="C4461" s="5" t="s">
        <v>2963</v>
      </c>
      <c r="D4461" s="6">
        <v>-48515</v>
      </c>
      <c r="E4461" s="6">
        <v>-271387</v>
      </c>
      <c r="F4461" s="7">
        <v>4.2389999999999999</v>
      </c>
      <c r="G4461" s="7">
        <v>5.8550000000000004</v>
      </c>
      <c r="H4461" s="7">
        <v>5.52</v>
      </c>
      <c r="I4461" s="7">
        <v>4.7619999999999996</v>
      </c>
      <c r="J4461" s="7">
        <v>3.79</v>
      </c>
      <c r="K4461" s="7">
        <v>3.0579999999999998</v>
      </c>
      <c r="L4461" s="7">
        <v>2.552</v>
      </c>
      <c r="M4461" s="7">
        <v>2.681</v>
      </c>
      <c r="N4461" s="7">
        <v>3.3260000000000001</v>
      </c>
      <c r="O4461" s="7">
        <v>3.5510000000000002</v>
      </c>
      <c r="P4461" s="7">
        <v>4.3339999999999996</v>
      </c>
      <c r="Q4461" s="7">
        <v>5.5250000000000004</v>
      </c>
      <c r="R4461" s="7">
        <v>5.9139999999999997</v>
      </c>
      <c r="S4461" s="7">
        <f t="shared" si="69"/>
        <v>4.2389999999999999</v>
      </c>
    </row>
    <row r="4462" spans="1:19">
      <c r="A4462" s="5" t="str">
        <f>B4462&amp;"-"&amp;COUNTIF($B$2:B4462,B4462)</f>
        <v>SANTA CATARINA-46</v>
      </c>
      <c r="B4462" s="5" t="s">
        <v>2939</v>
      </c>
      <c r="C4462" s="5" t="s">
        <v>5744</v>
      </c>
      <c r="D4462" s="6">
        <v>-490693</v>
      </c>
      <c r="E4462" s="6">
        <v>-272012</v>
      </c>
      <c r="F4462" s="7">
        <v>3.9510000000000001</v>
      </c>
      <c r="G4462" s="7">
        <v>5.3449999999999998</v>
      </c>
      <c r="H4462" s="7">
        <v>5.1340000000000003</v>
      </c>
      <c r="I4462" s="7">
        <v>4.4219999999999997</v>
      </c>
      <c r="J4462" s="7">
        <v>3.6030000000000002</v>
      </c>
      <c r="K4462" s="7">
        <v>2.9889999999999999</v>
      </c>
      <c r="L4462" s="7">
        <v>2.4630000000000001</v>
      </c>
      <c r="M4462" s="7">
        <v>2.6349999999999998</v>
      </c>
      <c r="N4462" s="7">
        <v>3.306</v>
      </c>
      <c r="O4462" s="7">
        <v>3.351</v>
      </c>
      <c r="P4462" s="7">
        <v>3.778</v>
      </c>
      <c r="Q4462" s="7">
        <v>4.9720000000000004</v>
      </c>
      <c r="R4462" s="7">
        <v>5.41</v>
      </c>
      <c r="S4462" s="7">
        <f t="shared" si="69"/>
        <v>3.9506666666666668</v>
      </c>
    </row>
    <row r="4463" spans="1:19">
      <c r="A4463" s="5" t="str">
        <f>B4463&amp;"-"&amp;COUNTIF($B$2:B4463,B4463)</f>
        <v>SANTA CATARINA-47</v>
      </c>
      <c r="B4463" s="5" t="s">
        <v>2939</v>
      </c>
      <c r="C4463" s="5" t="s">
        <v>4770</v>
      </c>
      <c r="D4463" s="6">
        <v>-491705</v>
      </c>
      <c r="E4463" s="6">
        <v>-282686</v>
      </c>
      <c r="F4463" s="7">
        <v>4.2169999999999996</v>
      </c>
      <c r="G4463" s="7">
        <v>5.7009999999999996</v>
      </c>
      <c r="H4463" s="7">
        <v>5.2389999999999999</v>
      </c>
      <c r="I4463" s="7">
        <v>4.5220000000000002</v>
      </c>
      <c r="J4463" s="7">
        <v>3.7970000000000002</v>
      </c>
      <c r="K4463" s="7">
        <v>2.9729999999999999</v>
      </c>
      <c r="L4463" s="7">
        <v>2.528</v>
      </c>
      <c r="M4463" s="7">
        <v>2.7349999999999999</v>
      </c>
      <c r="N4463" s="7">
        <v>3.5009999999999999</v>
      </c>
      <c r="O4463" s="7">
        <v>3.6070000000000002</v>
      </c>
      <c r="P4463" s="7">
        <v>4.38</v>
      </c>
      <c r="Q4463" s="7">
        <v>5.649</v>
      </c>
      <c r="R4463" s="7">
        <v>5.976</v>
      </c>
      <c r="S4463" s="7">
        <f t="shared" si="69"/>
        <v>4.2173333333333334</v>
      </c>
    </row>
    <row r="4464" spans="1:19">
      <c r="A4464" s="5" t="str">
        <f>B4464&amp;"-"&amp;COUNTIF($B$2:B4464,B4464)</f>
        <v>SANTA CATARINA-48</v>
      </c>
      <c r="B4464" s="5" t="s">
        <v>2939</v>
      </c>
      <c r="C4464" s="5" t="s">
        <v>4771</v>
      </c>
      <c r="D4464" s="6">
        <v>-498826</v>
      </c>
      <c r="E4464" s="6">
        <v>-273591</v>
      </c>
      <c r="F4464" s="7">
        <v>4.0979999999999999</v>
      </c>
      <c r="G4464" s="7">
        <v>5.6349999999999998</v>
      </c>
      <c r="H4464" s="7">
        <v>5.3550000000000004</v>
      </c>
      <c r="I4464" s="7">
        <v>4.6079999999999997</v>
      </c>
      <c r="J4464" s="7">
        <v>3.6629999999999998</v>
      </c>
      <c r="K4464" s="7">
        <v>2.8839999999999999</v>
      </c>
      <c r="L4464" s="7">
        <v>2.36</v>
      </c>
      <c r="M4464" s="7">
        <v>2.536</v>
      </c>
      <c r="N4464" s="7">
        <v>3.3220000000000001</v>
      </c>
      <c r="O4464" s="7">
        <v>3.5169999999999999</v>
      </c>
      <c r="P4464" s="7">
        <v>4.1079999999999997</v>
      </c>
      <c r="Q4464" s="7">
        <v>5.4050000000000002</v>
      </c>
      <c r="R4464" s="7">
        <v>5.774</v>
      </c>
      <c r="S4464" s="7">
        <f t="shared" si="69"/>
        <v>4.0972499999999998</v>
      </c>
    </row>
    <row r="4465" spans="1:19">
      <c r="A4465" s="5" t="str">
        <f>B4465&amp;"-"&amp;COUNTIF($B$2:B4465,B4465)</f>
        <v>SANTA CATARINA-49</v>
      </c>
      <c r="B4465" s="5" t="s">
        <v>2939</v>
      </c>
      <c r="C4465" s="5" t="s">
        <v>5218</v>
      </c>
      <c r="D4465" s="6">
        <v>-508367</v>
      </c>
      <c r="E4465" s="6">
        <v>-273118</v>
      </c>
      <c r="F4465" s="7">
        <v>4.3550000000000004</v>
      </c>
      <c r="G4465" s="7">
        <v>5.7210000000000001</v>
      </c>
      <c r="H4465" s="7">
        <v>5.4009999999999998</v>
      </c>
      <c r="I4465" s="7">
        <v>4.7489999999999997</v>
      </c>
      <c r="J4465" s="7">
        <v>3.8730000000000002</v>
      </c>
      <c r="K4465" s="7">
        <v>2.96</v>
      </c>
      <c r="L4465" s="7">
        <v>2.573</v>
      </c>
      <c r="M4465" s="7">
        <v>2.839</v>
      </c>
      <c r="N4465" s="7">
        <v>3.7090000000000001</v>
      </c>
      <c r="O4465" s="7">
        <v>3.8780000000000001</v>
      </c>
      <c r="P4465" s="7">
        <v>4.657</v>
      </c>
      <c r="Q4465" s="7">
        <v>5.8029999999999999</v>
      </c>
      <c r="R4465" s="7">
        <v>6.1029999999999998</v>
      </c>
      <c r="S4465" s="7">
        <f t="shared" si="69"/>
        <v>4.3555000000000001</v>
      </c>
    </row>
    <row r="4466" spans="1:19">
      <c r="A4466" s="5" t="str">
        <f>B4466&amp;"-"&amp;COUNTIF($B$2:B4466,B4466)</f>
        <v>SANTA CATARINA-50</v>
      </c>
      <c r="B4466" s="5" t="s">
        <v>2939</v>
      </c>
      <c r="C4466" s="5" t="s">
        <v>2964</v>
      </c>
      <c r="D4466" s="6">
        <v>-489111</v>
      </c>
      <c r="E4466" s="6">
        <v>-270982</v>
      </c>
      <c r="F4466" s="7">
        <v>3.9870000000000001</v>
      </c>
      <c r="G4466" s="7">
        <v>5.4459999999999997</v>
      </c>
      <c r="H4466" s="7">
        <v>5.23</v>
      </c>
      <c r="I4466" s="7">
        <v>4.5369999999999999</v>
      </c>
      <c r="J4466" s="7">
        <v>3.6110000000000002</v>
      </c>
      <c r="K4466" s="7">
        <v>2.996</v>
      </c>
      <c r="L4466" s="7">
        <v>2.4689999999999999</v>
      </c>
      <c r="M4466" s="7">
        <v>2.6280000000000001</v>
      </c>
      <c r="N4466" s="7">
        <v>3.2410000000000001</v>
      </c>
      <c r="O4466" s="7">
        <v>3.36</v>
      </c>
      <c r="P4466" s="7">
        <v>3.839</v>
      </c>
      <c r="Q4466" s="7">
        <v>4.9880000000000004</v>
      </c>
      <c r="R4466" s="7">
        <v>5.4980000000000002</v>
      </c>
      <c r="S4466" s="7">
        <f t="shared" si="69"/>
        <v>3.9869166666666662</v>
      </c>
    </row>
    <row r="4467" spans="1:19">
      <c r="A4467" s="5" t="str">
        <f>B4467&amp;"-"&amp;COUNTIF($B$2:B4467,B4467)</f>
        <v>SANTA CATARINA-51</v>
      </c>
      <c r="B4467" s="5" t="s">
        <v>2939</v>
      </c>
      <c r="C4467" s="5" t="s">
        <v>4772</v>
      </c>
      <c r="D4467" s="6">
        <v>-510124</v>
      </c>
      <c r="E4467" s="6">
        <v>-267761</v>
      </c>
      <c r="F4467" s="7">
        <v>4.2850000000000001</v>
      </c>
      <c r="G4467" s="7">
        <v>5.4720000000000004</v>
      </c>
      <c r="H4467" s="7">
        <v>5.1509999999999998</v>
      </c>
      <c r="I4467" s="7">
        <v>4.694</v>
      </c>
      <c r="J4467" s="7">
        <v>3.8109999999999999</v>
      </c>
      <c r="K4467" s="7">
        <v>2.97</v>
      </c>
      <c r="L4467" s="7">
        <v>2.6339999999999999</v>
      </c>
      <c r="M4467" s="7">
        <v>2.867</v>
      </c>
      <c r="N4467" s="7">
        <v>3.7810000000000001</v>
      </c>
      <c r="O4467" s="7">
        <v>3.895</v>
      </c>
      <c r="P4467" s="7">
        <v>4.6239999999999997</v>
      </c>
      <c r="Q4467" s="7">
        <v>5.665</v>
      </c>
      <c r="R4467" s="7">
        <v>5.8620000000000001</v>
      </c>
      <c r="S4467" s="7">
        <f t="shared" si="69"/>
        <v>4.2854999999999999</v>
      </c>
    </row>
    <row r="4468" spans="1:19">
      <c r="A4468" s="5" t="str">
        <f>B4468&amp;"-"&amp;COUNTIF($B$2:B4468,B4468)</f>
        <v>SANTA CATARINA-52</v>
      </c>
      <c r="B4468" s="5" t="s">
        <v>2939</v>
      </c>
      <c r="C4468" s="5" t="s">
        <v>2965</v>
      </c>
      <c r="D4468" s="6">
        <v>-532462</v>
      </c>
      <c r="E4468" s="6">
        <v>-270746</v>
      </c>
      <c r="F4468" s="7">
        <v>4.6230000000000002</v>
      </c>
      <c r="G4468" s="7">
        <v>6.298</v>
      </c>
      <c r="H4468" s="7">
        <v>5.85</v>
      </c>
      <c r="I4468" s="7">
        <v>5.1349999999999998</v>
      </c>
      <c r="J4468" s="7">
        <v>4.056</v>
      </c>
      <c r="K4468" s="7">
        <v>3.09</v>
      </c>
      <c r="L4468" s="7">
        <v>2.57</v>
      </c>
      <c r="M4468" s="7">
        <v>2.907</v>
      </c>
      <c r="N4468" s="7">
        <v>3.7629999999999999</v>
      </c>
      <c r="O4468" s="7">
        <v>4.0039999999999996</v>
      </c>
      <c r="P4468" s="7">
        <v>5.133</v>
      </c>
      <c r="Q4468" s="7">
        <v>6.1429999999999998</v>
      </c>
      <c r="R4468" s="7">
        <v>6.53</v>
      </c>
      <c r="S4468" s="7">
        <f t="shared" si="69"/>
        <v>4.6232500000000005</v>
      </c>
    </row>
    <row r="4469" spans="1:19">
      <c r="A4469" s="5" t="str">
        <f>B4469&amp;"-"&amp;COUNTIF($B$2:B4469,B4469)</f>
        <v>SANTA CATARINA-53</v>
      </c>
      <c r="B4469" s="5" t="s">
        <v>2939</v>
      </c>
      <c r="C4469" s="5" t="s">
        <v>2966</v>
      </c>
      <c r="D4469" s="6">
        <v>-510955</v>
      </c>
      <c r="E4469" s="6">
        <v>-265947</v>
      </c>
      <c r="F4469" s="7">
        <v>4.2080000000000002</v>
      </c>
      <c r="G4469" s="7">
        <v>5.3659999999999997</v>
      </c>
      <c r="H4469" s="7">
        <v>5.109</v>
      </c>
      <c r="I4469" s="7">
        <v>4.5830000000000002</v>
      </c>
      <c r="J4469" s="7">
        <v>3.681</v>
      </c>
      <c r="K4469" s="7">
        <v>2.96</v>
      </c>
      <c r="L4469" s="7">
        <v>2.5920000000000001</v>
      </c>
      <c r="M4469" s="7">
        <v>2.83</v>
      </c>
      <c r="N4469" s="7">
        <v>3.7789999999999999</v>
      </c>
      <c r="O4469" s="7">
        <v>3.8719999999999999</v>
      </c>
      <c r="P4469" s="7">
        <v>4.5140000000000002</v>
      </c>
      <c r="Q4469" s="7">
        <v>5.4930000000000003</v>
      </c>
      <c r="R4469" s="7">
        <v>5.72</v>
      </c>
      <c r="S4469" s="7">
        <f t="shared" si="69"/>
        <v>4.2082500000000005</v>
      </c>
    </row>
    <row r="4470" spans="1:19">
      <c r="A4470" s="5" t="str">
        <f>B4470&amp;"-"&amp;COUNTIF($B$2:B4470,B4470)</f>
        <v>SANTA CATARINA-54</v>
      </c>
      <c r="B4470" s="5" t="s">
        <v>2939</v>
      </c>
      <c r="C4470" s="5" t="s">
        <v>4878</v>
      </c>
      <c r="D4470" s="6">
        <v>-486508</v>
      </c>
      <c r="E4470" s="6">
        <v>-270246</v>
      </c>
      <c r="F4470" s="7">
        <v>4.1340000000000003</v>
      </c>
      <c r="G4470" s="7">
        <v>5.6970000000000001</v>
      </c>
      <c r="H4470" s="7">
        <v>5.4189999999999996</v>
      </c>
      <c r="I4470" s="7">
        <v>4.6180000000000003</v>
      </c>
      <c r="J4470" s="7">
        <v>3.702</v>
      </c>
      <c r="K4470" s="7">
        <v>3.02</v>
      </c>
      <c r="L4470" s="7">
        <v>2.5139999999999998</v>
      </c>
      <c r="M4470" s="7">
        <v>2.6429999999999998</v>
      </c>
      <c r="N4470" s="7">
        <v>3.2450000000000001</v>
      </c>
      <c r="O4470" s="7">
        <v>3.52</v>
      </c>
      <c r="P4470" s="7">
        <v>4.1609999999999996</v>
      </c>
      <c r="Q4470" s="7">
        <v>5.3209999999999997</v>
      </c>
      <c r="R4470" s="7">
        <v>5.7469999999999999</v>
      </c>
      <c r="S4470" s="7">
        <f t="shared" si="69"/>
        <v>4.1339166666666669</v>
      </c>
    </row>
    <row r="4471" spans="1:19">
      <c r="A4471" s="5" t="str">
        <f>B4471&amp;"-"&amp;COUNTIF($B$2:B4471,B4471)</f>
        <v>SANTA CATARINA-55</v>
      </c>
      <c r="B4471" s="5" t="s">
        <v>2939</v>
      </c>
      <c r="C4471" s="5" t="s">
        <v>112</v>
      </c>
      <c r="D4471" s="6">
        <v>-49268</v>
      </c>
      <c r="E4471" s="6">
        <v>-261955</v>
      </c>
      <c r="F4471" s="7">
        <v>4.0529999999999999</v>
      </c>
      <c r="G4471" s="7">
        <v>5.266</v>
      </c>
      <c r="H4471" s="7">
        <v>4.97</v>
      </c>
      <c r="I4471" s="7">
        <v>4.3730000000000002</v>
      </c>
      <c r="J4471" s="7">
        <v>3.621</v>
      </c>
      <c r="K4471" s="7">
        <v>2.9529999999999998</v>
      </c>
      <c r="L4471" s="7">
        <v>2.5859999999999999</v>
      </c>
      <c r="M4471" s="7">
        <v>2.8029999999999999</v>
      </c>
      <c r="N4471" s="7">
        <v>3.6760000000000002</v>
      </c>
      <c r="O4471" s="7">
        <v>3.6739999999999999</v>
      </c>
      <c r="P4471" s="7">
        <v>4.2190000000000003</v>
      </c>
      <c r="Q4471" s="7">
        <v>5.0679999999999996</v>
      </c>
      <c r="R4471" s="7">
        <v>5.4240000000000004</v>
      </c>
      <c r="S4471" s="7">
        <f t="shared" si="69"/>
        <v>4.0527499999999996</v>
      </c>
    </row>
    <row r="4472" spans="1:19">
      <c r="A4472" s="5" t="str">
        <f>B4472&amp;"-"&amp;COUNTIF($B$2:B4472,B4472)</f>
        <v>SANTA CATARINA-56</v>
      </c>
      <c r="B4472" s="5" t="s">
        <v>2939</v>
      </c>
      <c r="C4472" s="5" t="s">
        <v>2967</v>
      </c>
      <c r="D4472" s="5" t="s">
        <v>2968</v>
      </c>
      <c r="E4472" s="6">
        <v>-27898</v>
      </c>
      <c r="F4472" s="7">
        <v>4.3650000000000002</v>
      </c>
      <c r="G4472" s="7">
        <v>5.9710000000000001</v>
      </c>
      <c r="H4472" s="7">
        <v>5.5229999999999997</v>
      </c>
      <c r="I4472" s="7">
        <v>4.7309999999999999</v>
      </c>
      <c r="J4472" s="7">
        <v>3.85</v>
      </c>
      <c r="K4472" s="7">
        <v>2.9239999999999999</v>
      </c>
      <c r="L4472" s="7">
        <v>2.5110000000000001</v>
      </c>
      <c r="M4472" s="7">
        <v>2.766</v>
      </c>
      <c r="N4472" s="7">
        <v>3.5990000000000002</v>
      </c>
      <c r="O4472" s="7">
        <v>3.7709999999999999</v>
      </c>
      <c r="P4472" s="7">
        <v>4.6760000000000002</v>
      </c>
      <c r="Q4472" s="7">
        <v>5.8689999999999998</v>
      </c>
      <c r="R4472" s="7">
        <v>6.1890000000000001</v>
      </c>
      <c r="S4472" s="7">
        <f t="shared" si="69"/>
        <v>4.3650000000000002</v>
      </c>
    </row>
    <row r="4473" spans="1:19">
      <c r="A4473" s="5" t="str">
        <f>B4473&amp;"-"&amp;COUNTIF($B$2:B4473,B4473)</f>
        <v>SANTA CATARINA-57</v>
      </c>
      <c r="B4473" s="5" t="s">
        <v>2939</v>
      </c>
      <c r="C4473" s="5" t="s">
        <v>5330</v>
      </c>
      <c r="D4473" s="6">
        <v>-530861</v>
      </c>
      <c r="E4473" s="6">
        <v>-263935</v>
      </c>
      <c r="F4473" s="7">
        <v>4.6449999999999996</v>
      </c>
      <c r="G4473" s="7">
        <v>6.1950000000000003</v>
      </c>
      <c r="H4473" s="7">
        <v>5.6509999999999998</v>
      </c>
      <c r="I4473" s="7">
        <v>5.056</v>
      </c>
      <c r="J4473" s="7">
        <v>4.1340000000000003</v>
      </c>
      <c r="K4473" s="7">
        <v>3.2410000000000001</v>
      </c>
      <c r="L4473" s="7">
        <v>2.7639999999999998</v>
      </c>
      <c r="M4473" s="7">
        <v>3.052</v>
      </c>
      <c r="N4473" s="7">
        <v>3.988</v>
      </c>
      <c r="O4473" s="7">
        <v>4.2110000000000003</v>
      </c>
      <c r="P4473" s="7">
        <v>5.1360000000000001</v>
      </c>
      <c r="Q4473" s="7">
        <v>6.0380000000000003</v>
      </c>
      <c r="R4473" s="7">
        <v>6.2670000000000003</v>
      </c>
      <c r="S4473" s="7">
        <f t="shared" si="69"/>
        <v>4.6444166666666673</v>
      </c>
    </row>
    <row r="4474" spans="1:19">
      <c r="A4474" s="5" t="str">
        <f>B4474&amp;"-"&amp;COUNTIF($B$2:B4474,B4474)</f>
        <v>SANTA CATARINA-58</v>
      </c>
      <c r="B4474" s="5" t="s">
        <v>2939</v>
      </c>
      <c r="C4474" s="5" t="s">
        <v>2969</v>
      </c>
      <c r="D4474" s="6">
        <v>-51228</v>
      </c>
      <c r="E4474" s="6">
        <v>-274007</v>
      </c>
      <c r="F4474" s="7">
        <v>4.5190000000000001</v>
      </c>
      <c r="G4474" s="7">
        <v>5.9980000000000002</v>
      </c>
      <c r="H4474" s="7">
        <v>5.5880000000000001</v>
      </c>
      <c r="I4474" s="7">
        <v>4.9119999999999999</v>
      </c>
      <c r="J4474" s="7">
        <v>4.0179999999999998</v>
      </c>
      <c r="K4474" s="7">
        <v>3.024</v>
      </c>
      <c r="L4474" s="7">
        <v>2.6720000000000002</v>
      </c>
      <c r="M4474" s="7">
        <v>2.9220000000000002</v>
      </c>
      <c r="N4474" s="7">
        <v>3.7570000000000001</v>
      </c>
      <c r="O4474" s="7">
        <v>4</v>
      </c>
      <c r="P4474" s="7">
        <v>4.9260000000000002</v>
      </c>
      <c r="Q4474" s="7">
        <v>6.0679999999999996</v>
      </c>
      <c r="R4474" s="7">
        <v>6.343</v>
      </c>
      <c r="S4474" s="7">
        <f t="shared" si="69"/>
        <v>4.519000000000001</v>
      </c>
    </row>
    <row r="4475" spans="1:19">
      <c r="A4475" s="5" t="str">
        <f>B4475&amp;"-"&amp;COUNTIF($B$2:B4475,B4475)</f>
        <v>SANTA CATARINA-59</v>
      </c>
      <c r="B4475" s="5" t="s">
        <v>2939</v>
      </c>
      <c r="C4475" s="5" t="s">
        <v>2970</v>
      </c>
      <c r="D4475" s="6">
        <v>-487662</v>
      </c>
      <c r="E4475" s="6">
        <v>-272621</v>
      </c>
      <c r="F4475" s="7">
        <v>4.05</v>
      </c>
      <c r="G4475" s="7">
        <v>5.5270000000000001</v>
      </c>
      <c r="H4475" s="7">
        <v>5.2720000000000002</v>
      </c>
      <c r="I4475" s="7">
        <v>4.4829999999999997</v>
      </c>
      <c r="J4475" s="7">
        <v>3.645</v>
      </c>
      <c r="K4475" s="7">
        <v>3.0190000000000001</v>
      </c>
      <c r="L4475" s="7">
        <v>2.4910000000000001</v>
      </c>
      <c r="M4475" s="7">
        <v>2.6589999999999998</v>
      </c>
      <c r="N4475" s="7">
        <v>3.3050000000000002</v>
      </c>
      <c r="O4475" s="7">
        <v>3.45</v>
      </c>
      <c r="P4475" s="7">
        <v>3.984</v>
      </c>
      <c r="Q4475" s="7">
        <v>5.1619999999999999</v>
      </c>
      <c r="R4475" s="7">
        <v>5.6050000000000004</v>
      </c>
      <c r="S4475" s="7">
        <f t="shared" si="69"/>
        <v>4.0501666666666667</v>
      </c>
    </row>
    <row r="4476" spans="1:19">
      <c r="A4476" s="5" t="str">
        <f>B4476&amp;"-"&amp;COUNTIF($B$2:B4476,B4476)</f>
        <v>SANTA CATARINA-60</v>
      </c>
      <c r="B4476" s="5" t="s">
        <v>2939</v>
      </c>
      <c r="C4476" s="5" t="s">
        <v>2971</v>
      </c>
      <c r="D4476" s="6">
        <v>-503954</v>
      </c>
      <c r="E4476" s="6">
        <v>-261771</v>
      </c>
      <c r="F4476" s="7">
        <v>4.09</v>
      </c>
      <c r="G4476" s="7">
        <v>5.4039999999999999</v>
      </c>
      <c r="H4476" s="7">
        <v>5.09</v>
      </c>
      <c r="I4476" s="7">
        <v>4.5</v>
      </c>
      <c r="J4476" s="7">
        <v>3.512</v>
      </c>
      <c r="K4476" s="7">
        <v>2.82</v>
      </c>
      <c r="L4476" s="7">
        <v>2.4279999999999999</v>
      </c>
      <c r="M4476" s="7">
        <v>2.6549999999999998</v>
      </c>
      <c r="N4476" s="7">
        <v>3.6539999999999999</v>
      </c>
      <c r="O4476" s="7">
        <v>3.762</v>
      </c>
      <c r="P4476" s="7">
        <v>4.3449999999999998</v>
      </c>
      <c r="Q4476" s="7">
        <v>5.3319999999999999</v>
      </c>
      <c r="R4476" s="7">
        <v>5.5750000000000002</v>
      </c>
      <c r="S4476" s="7">
        <f t="shared" si="69"/>
        <v>4.0897500000000004</v>
      </c>
    </row>
    <row r="4477" spans="1:19">
      <c r="A4477" s="5" t="str">
        <f>B4477&amp;"-"&amp;COUNTIF($B$2:B4477,B4477)</f>
        <v>SANTA CATARINA-61</v>
      </c>
      <c r="B4477" s="5" t="s">
        <v>2939</v>
      </c>
      <c r="C4477" s="5" t="s">
        <v>4197</v>
      </c>
      <c r="D4477" s="6">
        <v>-505102</v>
      </c>
      <c r="E4477" s="6">
        <v>-279394</v>
      </c>
      <c r="F4477" s="7">
        <v>4.3049999999999997</v>
      </c>
      <c r="G4477" s="7">
        <v>5.8339999999999996</v>
      </c>
      <c r="H4477" s="7">
        <v>5.5</v>
      </c>
      <c r="I4477" s="7">
        <v>4.6470000000000002</v>
      </c>
      <c r="J4477" s="7">
        <v>3.79</v>
      </c>
      <c r="K4477" s="7">
        <v>2.8780000000000001</v>
      </c>
      <c r="L4477" s="7">
        <v>2.4649999999999999</v>
      </c>
      <c r="M4477" s="7">
        <v>2.7490000000000001</v>
      </c>
      <c r="N4477" s="7">
        <v>3.5840000000000001</v>
      </c>
      <c r="O4477" s="7">
        <v>3.734</v>
      </c>
      <c r="P4477" s="7">
        <v>4.5659999999999998</v>
      </c>
      <c r="Q4477" s="7">
        <v>5.79</v>
      </c>
      <c r="R4477" s="7">
        <v>6.1210000000000004</v>
      </c>
      <c r="S4477" s="7">
        <f t="shared" si="69"/>
        <v>4.3048333333333337</v>
      </c>
    </row>
    <row r="4478" spans="1:19">
      <c r="A4478" s="5" t="str">
        <f>B4478&amp;"-"&amp;COUNTIF($B$2:B4478,B4478)</f>
        <v>SANTA CATARINA-62</v>
      </c>
      <c r="B4478" s="5" t="s">
        <v>2939</v>
      </c>
      <c r="C4478" s="5" t="s">
        <v>2972</v>
      </c>
      <c r="D4478" s="6">
        <v>-516061</v>
      </c>
      <c r="E4478" s="6">
        <v>-273478</v>
      </c>
      <c r="F4478" s="7">
        <v>4.5609999999999999</v>
      </c>
      <c r="G4478" s="7">
        <v>6.0490000000000004</v>
      </c>
      <c r="H4478" s="7">
        <v>5.5839999999999996</v>
      </c>
      <c r="I4478" s="7">
        <v>5.048</v>
      </c>
      <c r="J4478" s="7">
        <v>4.0650000000000004</v>
      </c>
      <c r="K4478" s="7">
        <v>3.0779999999999998</v>
      </c>
      <c r="L4478" s="7">
        <v>2.6339999999999999</v>
      </c>
      <c r="M4478" s="7">
        <v>2.931</v>
      </c>
      <c r="N4478" s="7">
        <v>3.7519999999999998</v>
      </c>
      <c r="O4478" s="7">
        <v>4.0199999999999996</v>
      </c>
      <c r="P4478" s="7">
        <v>4.9809999999999999</v>
      </c>
      <c r="Q4478" s="7">
        <v>6.1719999999999997</v>
      </c>
      <c r="R4478" s="7">
        <v>6.4139999999999997</v>
      </c>
      <c r="S4478" s="7">
        <f t="shared" si="69"/>
        <v>4.5606666666666671</v>
      </c>
    </row>
    <row r="4479" spans="1:19">
      <c r="A4479" s="5" t="str">
        <f>B4479&amp;"-"&amp;COUNTIF($B$2:B4479,B4479)</f>
        <v>SANTA CATARINA-63</v>
      </c>
      <c r="B4479" s="5" t="s">
        <v>2939</v>
      </c>
      <c r="C4479" s="5" t="s">
        <v>2973</v>
      </c>
      <c r="D4479" s="6">
        <v>-489636</v>
      </c>
      <c r="E4479" s="6">
        <v>-284503</v>
      </c>
      <c r="F4479" s="7">
        <v>4.2809999999999997</v>
      </c>
      <c r="G4479" s="7">
        <v>5.8479999999999999</v>
      </c>
      <c r="H4479" s="7">
        <v>5.4210000000000003</v>
      </c>
      <c r="I4479" s="7">
        <v>4.5949999999999998</v>
      </c>
      <c r="J4479" s="7">
        <v>3.81</v>
      </c>
      <c r="K4479" s="7">
        <v>2.9910000000000001</v>
      </c>
      <c r="L4479" s="7">
        <v>2.5329999999999999</v>
      </c>
      <c r="M4479" s="7">
        <v>2.7509999999999999</v>
      </c>
      <c r="N4479" s="7">
        <v>3.4820000000000002</v>
      </c>
      <c r="O4479" s="7">
        <v>3.6110000000000002</v>
      </c>
      <c r="P4479" s="7">
        <v>4.4550000000000001</v>
      </c>
      <c r="Q4479" s="7">
        <v>5.7380000000000004</v>
      </c>
      <c r="R4479" s="7">
        <v>6.1429999999999998</v>
      </c>
      <c r="S4479" s="7">
        <f t="shared" si="69"/>
        <v>4.2815000000000003</v>
      </c>
    </row>
    <row r="4480" spans="1:19">
      <c r="A4480" s="5" t="str">
        <f>B4480&amp;"-"&amp;COUNTIF($B$2:B4480,B4480)</f>
        <v>SANTA CATARINA-64</v>
      </c>
      <c r="B4480" s="5" t="s">
        <v>2939</v>
      </c>
      <c r="C4480" s="5" t="s">
        <v>1956</v>
      </c>
      <c r="D4480" s="6">
        <v>-516606</v>
      </c>
      <c r="E4480" s="6">
        <v>-270694</v>
      </c>
      <c r="F4480" s="7">
        <v>4.492</v>
      </c>
      <c r="G4480" s="7">
        <v>5.8280000000000003</v>
      </c>
      <c r="H4480" s="7">
        <v>5.4420000000000002</v>
      </c>
      <c r="I4480" s="7">
        <v>4.9450000000000003</v>
      </c>
      <c r="J4480" s="7">
        <v>4.0190000000000001</v>
      </c>
      <c r="K4480" s="7">
        <v>3.0990000000000002</v>
      </c>
      <c r="L4480" s="7">
        <v>2.6909999999999998</v>
      </c>
      <c r="M4480" s="7">
        <v>2.944</v>
      </c>
      <c r="N4480" s="7">
        <v>3.802</v>
      </c>
      <c r="O4480" s="7">
        <v>4.048</v>
      </c>
      <c r="P4480" s="7">
        <v>4.8979999999999997</v>
      </c>
      <c r="Q4480" s="7">
        <v>6.0419999999999998</v>
      </c>
      <c r="R4480" s="7">
        <v>6.1440000000000001</v>
      </c>
      <c r="S4480" s="7">
        <f t="shared" si="69"/>
        <v>4.491833333333334</v>
      </c>
    </row>
    <row r="4481" spans="1:19">
      <c r="A4481" s="5" t="str">
        <f>B4481&amp;"-"&amp;COUNTIF($B$2:B4481,B4481)</f>
        <v>SANTA CATARINA-65</v>
      </c>
      <c r="B4481" s="5" t="s">
        <v>2939</v>
      </c>
      <c r="C4481" s="5" t="s">
        <v>2974</v>
      </c>
      <c r="D4481" s="6">
        <v>-528812</v>
      </c>
      <c r="E4481" s="6">
        <v>-271629</v>
      </c>
      <c r="F4481" s="7">
        <v>4.649</v>
      </c>
      <c r="G4481" s="7">
        <v>6.2850000000000001</v>
      </c>
      <c r="H4481" s="7">
        <v>5.835</v>
      </c>
      <c r="I4481" s="7">
        <v>5.2050000000000001</v>
      </c>
      <c r="J4481" s="7">
        <v>4.0979999999999999</v>
      </c>
      <c r="K4481" s="7">
        <v>3.129</v>
      </c>
      <c r="L4481" s="7">
        <v>2.6070000000000002</v>
      </c>
      <c r="M4481" s="7">
        <v>2.9079999999999999</v>
      </c>
      <c r="N4481" s="7">
        <v>3.76</v>
      </c>
      <c r="O4481" s="7">
        <v>4.008</v>
      </c>
      <c r="P4481" s="7">
        <v>5.165</v>
      </c>
      <c r="Q4481" s="7">
        <v>6.19</v>
      </c>
      <c r="R4481" s="7">
        <v>6.5960000000000001</v>
      </c>
      <c r="S4481" s="7">
        <f t="shared" si="69"/>
        <v>4.6488333333333332</v>
      </c>
    </row>
    <row r="4482" spans="1:19">
      <c r="A4482" s="5" t="str">
        <f>B4482&amp;"-"&amp;COUNTIF($B$2:B4482,B4482)</f>
        <v>SANTA CATARINA-66</v>
      </c>
      <c r="B4482" s="5" t="s">
        <v>2939</v>
      </c>
      <c r="C4482" s="5" t="s">
        <v>2975</v>
      </c>
      <c r="D4482" s="6">
        <v>-513354</v>
      </c>
      <c r="E4482" s="6">
        <v>-276332</v>
      </c>
      <c r="F4482" s="7">
        <v>4.5270000000000001</v>
      </c>
      <c r="G4482" s="7">
        <v>6.141</v>
      </c>
      <c r="H4482" s="7">
        <v>5.6559999999999997</v>
      </c>
      <c r="I4482" s="7">
        <v>4.9039999999999999</v>
      </c>
      <c r="J4482" s="7">
        <v>4.03</v>
      </c>
      <c r="K4482" s="7">
        <v>3.0059999999999998</v>
      </c>
      <c r="L4482" s="7">
        <v>2.605</v>
      </c>
      <c r="M4482" s="7">
        <v>2.8959999999999999</v>
      </c>
      <c r="N4482" s="7">
        <v>3.7069999999999999</v>
      </c>
      <c r="O4482" s="7">
        <v>3.9169999999999998</v>
      </c>
      <c r="P4482" s="7">
        <v>4.9189999999999996</v>
      </c>
      <c r="Q4482" s="7">
        <v>6.13</v>
      </c>
      <c r="R4482" s="7">
        <v>6.4130000000000003</v>
      </c>
      <c r="S4482" s="7">
        <f t="shared" si="69"/>
        <v>4.5270000000000001</v>
      </c>
    </row>
    <row r="4483" spans="1:19">
      <c r="A4483" s="5" t="str">
        <f>B4483&amp;"-"&amp;COUNTIF($B$2:B4483,B4483)</f>
        <v>SANTA CATARINA-67</v>
      </c>
      <c r="B4483" s="5" t="s">
        <v>2939</v>
      </c>
      <c r="C4483" s="5" t="s">
        <v>2976</v>
      </c>
      <c r="D4483" s="6">
        <v>-508677</v>
      </c>
      <c r="E4483" s="6">
        <v>-277947</v>
      </c>
      <c r="F4483" s="7">
        <v>4.3929999999999998</v>
      </c>
      <c r="G4483" s="7">
        <v>5.9539999999999997</v>
      </c>
      <c r="H4483" s="7">
        <v>5.5449999999999999</v>
      </c>
      <c r="I4483" s="7">
        <v>4.7809999999999997</v>
      </c>
      <c r="J4483" s="7">
        <v>3.8879999999999999</v>
      </c>
      <c r="K4483" s="7">
        <v>2.9169999999999998</v>
      </c>
      <c r="L4483" s="7">
        <v>2.5150000000000001</v>
      </c>
      <c r="M4483" s="7">
        <v>2.79</v>
      </c>
      <c r="N4483" s="7">
        <v>3.613</v>
      </c>
      <c r="O4483" s="7">
        <v>3.8279999999999998</v>
      </c>
      <c r="P4483" s="7">
        <v>4.7160000000000002</v>
      </c>
      <c r="Q4483" s="7">
        <v>5.92</v>
      </c>
      <c r="R4483" s="7">
        <v>6.2539999999999996</v>
      </c>
      <c r="S4483" s="7">
        <f t="shared" ref="S4483:S4546" si="70">(G4483+H4483+I4483+J4483+K4483+L4483+M4483+N4483+O4483+P4483+Q4483+R4483)/12</f>
        <v>4.393416666666667</v>
      </c>
    </row>
    <row r="4484" spans="1:19">
      <c r="A4484" s="5" t="str">
        <f>B4484&amp;"-"&amp;COUNTIF($B$2:B4484,B4484)</f>
        <v>SANTA CATARINA-68</v>
      </c>
      <c r="B4484" s="5" t="s">
        <v>2939</v>
      </c>
      <c r="C4484" s="5" t="s">
        <v>4198</v>
      </c>
      <c r="D4484" s="6">
        <v>-495543</v>
      </c>
      <c r="E4484" s="6">
        <v>-27591</v>
      </c>
      <c r="F4484" s="7">
        <v>4.1760000000000002</v>
      </c>
      <c r="G4484" s="7">
        <v>5.7789999999999999</v>
      </c>
      <c r="H4484" s="7">
        <v>5.4320000000000004</v>
      </c>
      <c r="I4484" s="7">
        <v>4.6459999999999999</v>
      </c>
      <c r="J4484" s="7">
        <v>3.7530000000000001</v>
      </c>
      <c r="K4484" s="7">
        <v>2.9220000000000002</v>
      </c>
      <c r="L4484" s="7">
        <v>2.4169999999999998</v>
      </c>
      <c r="M4484" s="7">
        <v>2.6269999999999998</v>
      </c>
      <c r="N4484" s="7">
        <v>3.3940000000000001</v>
      </c>
      <c r="O4484" s="7">
        <v>3.55</v>
      </c>
      <c r="P4484" s="7">
        <v>4.2009999999999996</v>
      </c>
      <c r="Q4484" s="7">
        <v>5.4720000000000004</v>
      </c>
      <c r="R4484" s="7">
        <v>5.9189999999999996</v>
      </c>
      <c r="S4484" s="7">
        <f t="shared" si="70"/>
        <v>4.1759999999999993</v>
      </c>
    </row>
    <row r="4485" spans="1:19">
      <c r="A4485" s="5" t="str">
        <f>B4485&amp;"-"&amp;COUNTIF($B$2:B4485,B4485)</f>
        <v>SANTA CATARINA-69</v>
      </c>
      <c r="B4485" s="5" t="s">
        <v>2939</v>
      </c>
      <c r="C4485" s="5" t="s">
        <v>5219</v>
      </c>
      <c r="D4485" s="6">
        <v>-526156</v>
      </c>
      <c r="E4485" s="6">
        <v>-271009</v>
      </c>
      <c r="F4485" s="7">
        <v>4.6210000000000004</v>
      </c>
      <c r="G4485" s="7">
        <v>6.1790000000000003</v>
      </c>
      <c r="H4485" s="7">
        <v>5.71</v>
      </c>
      <c r="I4485" s="7">
        <v>5.0979999999999999</v>
      </c>
      <c r="J4485" s="7">
        <v>4.0750000000000002</v>
      </c>
      <c r="K4485" s="7">
        <v>3.149</v>
      </c>
      <c r="L4485" s="7">
        <v>2.6619999999999999</v>
      </c>
      <c r="M4485" s="7">
        <v>2.9470000000000001</v>
      </c>
      <c r="N4485" s="7">
        <v>3.794</v>
      </c>
      <c r="O4485" s="7">
        <v>4.0359999999999996</v>
      </c>
      <c r="P4485" s="7">
        <v>5.1470000000000002</v>
      </c>
      <c r="Q4485" s="7">
        <v>6.181</v>
      </c>
      <c r="R4485" s="7">
        <v>6.476</v>
      </c>
      <c r="S4485" s="7">
        <f t="shared" si="70"/>
        <v>4.6211666666666664</v>
      </c>
    </row>
    <row r="4486" spans="1:19">
      <c r="A4486" s="5" t="str">
        <f>B4486&amp;"-"&amp;COUNTIF($B$2:B4486,B4486)</f>
        <v>SANTA CATARINA-70</v>
      </c>
      <c r="B4486" s="5" t="s">
        <v>2939</v>
      </c>
      <c r="C4486" s="5" t="s">
        <v>2977</v>
      </c>
      <c r="D4486" s="6">
        <v>-49334</v>
      </c>
      <c r="E4486" s="6">
        <v>-285991</v>
      </c>
      <c r="F4486" s="7">
        <v>4.1109999999999998</v>
      </c>
      <c r="G4486" s="7">
        <v>5.4930000000000003</v>
      </c>
      <c r="H4486" s="7">
        <v>5.0999999999999996</v>
      </c>
      <c r="I4486" s="7">
        <v>4.4249999999999998</v>
      </c>
      <c r="J4486" s="7">
        <v>3.7530000000000001</v>
      </c>
      <c r="K4486" s="7">
        <v>2.9449999999999998</v>
      </c>
      <c r="L4486" s="7">
        <v>2.4870000000000001</v>
      </c>
      <c r="M4486" s="7">
        <v>2.7069999999999999</v>
      </c>
      <c r="N4486" s="7">
        <v>3.427</v>
      </c>
      <c r="O4486" s="7">
        <v>3.484</v>
      </c>
      <c r="P4486" s="7">
        <v>4.2240000000000002</v>
      </c>
      <c r="Q4486" s="7">
        <v>5.5209999999999999</v>
      </c>
      <c r="R4486" s="7">
        <v>5.7709999999999999</v>
      </c>
      <c r="S4486" s="7">
        <f t="shared" si="70"/>
        <v>4.1114166666666669</v>
      </c>
    </row>
    <row r="4487" spans="1:19">
      <c r="A4487" s="5" t="str">
        <f>B4487&amp;"-"&amp;COUNTIF($B$2:B4487,B4487)</f>
        <v>SANTA CATARINA-71</v>
      </c>
      <c r="B4487" s="5" t="s">
        <v>2939</v>
      </c>
      <c r="C4487" s="5" t="s">
        <v>5220</v>
      </c>
      <c r="D4487" s="6">
        <v>-520264</v>
      </c>
      <c r="E4487" s="6">
        <v>-272339</v>
      </c>
      <c r="F4487" s="7">
        <v>4.57</v>
      </c>
      <c r="G4487" s="7">
        <v>6.1059999999999999</v>
      </c>
      <c r="H4487" s="7">
        <v>5.6070000000000002</v>
      </c>
      <c r="I4487" s="7">
        <v>5.0570000000000004</v>
      </c>
      <c r="J4487" s="7">
        <v>4.0609999999999999</v>
      </c>
      <c r="K4487" s="7">
        <v>3.109</v>
      </c>
      <c r="L4487" s="7">
        <v>2.6469999999999998</v>
      </c>
      <c r="M4487" s="7">
        <v>2.9209999999999998</v>
      </c>
      <c r="N4487" s="7">
        <v>3.79</v>
      </c>
      <c r="O4487" s="7">
        <v>4.016</v>
      </c>
      <c r="P4487" s="7">
        <v>5.0129999999999999</v>
      </c>
      <c r="Q4487" s="7">
        <v>6.1340000000000003</v>
      </c>
      <c r="R4487" s="7">
        <v>6.3789999999999996</v>
      </c>
      <c r="S4487" s="7">
        <f t="shared" si="70"/>
        <v>4.5699999999999994</v>
      </c>
    </row>
    <row r="4488" spans="1:19">
      <c r="A4488" s="5" t="str">
        <f>B4488&amp;"-"&amp;COUNTIF($B$2:B4488,B4488)</f>
        <v>SANTA CATARINA-72</v>
      </c>
      <c r="B4488" s="5" t="s">
        <v>2939</v>
      </c>
      <c r="C4488" s="5" t="s">
        <v>2978</v>
      </c>
      <c r="D4488" s="6">
        <v>-52606</v>
      </c>
      <c r="E4488" s="6">
        <v>-269849</v>
      </c>
      <c r="F4488" s="7">
        <v>4.6500000000000004</v>
      </c>
      <c r="G4488" s="7">
        <v>6.2460000000000004</v>
      </c>
      <c r="H4488" s="7">
        <v>5.7389999999999999</v>
      </c>
      <c r="I4488" s="7">
        <v>5.1479999999999997</v>
      </c>
      <c r="J4488" s="7">
        <v>4.1159999999999997</v>
      </c>
      <c r="K4488" s="7">
        <v>3.1520000000000001</v>
      </c>
      <c r="L4488" s="7">
        <v>2.6960000000000002</v>
      </c>
      <c r="M4488" s="7">
        <v>2.9590000000000001</v>
      </c>
      <c r="N4488" s="7">
        <v>3.8180000000000001</v>
      </c>
      <c r="O4488" s="7">
        <v>4.056</v>
      </c>
      <c r="P4488" s="7">
        <v>5.1609999999999996</v>
      </c>
      <c r="Q4488" s="7">
        <v>6.1989999999999998</v>
      </c>
      <c r="R4488" s="7">
        <v>6.5060000000000002</v>
      </c>
      <c r="S4488" s="7">
        <f t="shared" si="70"/>
        <v>4.6496666666666666</v>
      </c>
    </row>
    <row r="4489" spans="1:19">
      <c r="A4489" s="5" t="str">
        <f>B4489&amp;"-"&amp;COUNTIF($B$2:B4489,B4489)</f>
        <v>SANTA CATARINA-73</v>
      </c>
      <c r="B4489" s="5" t="s">
        <v>2939</v>
      </c>
      <c r="C4489" s="5" t="s">
        <v>2979</v>
      </c>
      <c r="D4489" s="6">
        <v>-527016</v>
      </c>
      <c r="E4489" s="6">
        <v>-269062</v>
      </c>
      <c r="F4489" s="7">
        <v>4.6589999999999998</v>
      </c>
      <c r="G4489" s="7">
        <v>6.2480000000000002</v>
      </c>
      <c r="H4489" s="7">
        <v>5.7729999999999997</v>
      </c>
      <c r="I4489" s="7">
        <v>5.1959999999999997</v>
      </c>
      <c r="J4489" s="7">
        <v>4.1310000000000002</v>
      </c>
      <c r="K4489" s="7">
        <v>3.1829999999999998</v>
      </c>
      <c r="L4489" s="7">
        <v>2.6789999999999998</v>
      </c>
      <c r="M4489" s="7">
        <v>2.948</v>
      </c>
      <c r="N4489" s="7">
        <v>3.843</v>
      </c>
      <c r="O4489" s="7">
        <v>4.0730000000000004</v>
      </c>
      <c r="P4489" s="7">
        <v>5.1769999999999996</v>
      </c>
      <c r="Q4489" s="7">
        <v>6.194</v>
      </c>
      <c r="R4489" s="7">
        <v>6.4649999999999999</v>
      </c>
      <c r="S4489" s="7">
        <f t="shared" si="70"/>
        <v>4.6591666666666667</v>
      </c>
    </row>
    <row r="4490" spans="1:19">
      <c r="A4490" s="5" t="str">
        <f>B4490&amp;"-"&amp;COUNTIF($B$2:B4490,B4490)</f>
        <v>SANTA CATARINA-74</v>
      </c>
      <c r="B4490" s="5" t="s">
        <v>2939</v>
      </c>
      <c r="C4490" s="5" t="s">
        <v>2980</v>
      </c>
      <c r="D4490" s="6">
        <v>-526698</v>
      </c>
      <c r="E4490" s="6">
        <v>-265115</v>
      </c>
      <c r="F4490" s="7">
        <v>4.6390000000000002</v>
      </c>
      <c r="G4490" s="7">
        <v>6.149</v>
      </c>
      <c r="H4490" s="7">
        <v>5.6619999999999999</v>
      </c>
      <c r="I4490" s="7">
        <v>5.0860000000000003</v>
      </c>
      <c r="J4490" s="7">
        <v>4.149</v>
      </c>
      <c r="K4490" s="7">
        <v>3.2240000000000002</v>
      </c>
      <c r="L4490" s="7">
        <v>2.7410000000000001</v>
      </c>
      <c r="M4490" s="7">
        <v>3.0459999999999998</v>
      </c>
      <c r="N4490" s="7">
        <v>3.952</v>
      </c>
      <c r="O4490" s="7">
        <v>4.1559999999999997</v>
      </c>
      <c r="P4490" s="7">
        <v>5.1159999999999997</v>
      </c>
      <c r="Q4490" s="7">
        <v>6.0910000000000002</v>
      </c>
      <c r="R4490" s="7">
        <v>6.2939999999999996</v>
      </c>
      <c r="S4490" s="7">
        <f t="shared" si="70"/>
        <v>4.6388333333333334</v>
      </c>
    </row>
    <row r="4491" spans="1:19">
      <c r="A4491" s="5" t="str">
        <f>B4491&amp;"-"&amp;COUNTIF($B$2:B4491,B4491)</f>
        <v>SANTA CATARINA-75</v>
      </c>
      <c r="B4491" s="5" t="s">
        <v>2939</v>
      </c>
      <c r="C4491" s="5" t="s">
        <v>2981</v>
      </c>
      <c r="D4491" s="6">
        <v>-503619</v>
      </c>
      <c r="E4491" s="6">
        <v>-275882</v>
      </c>
      <c r="F4491" s="7">
        <v>4.2119999999999997</v>
      </c>
      <c r="G4491" s="7">
        <v>5.673</v>
      </c>
      <c r="H4491" s="7">
        <v>5.3940000000000001</v>
      </c>
      <c r="I4491" s="7">
        <v>4.6340000000000003</v>
      </c>
      <c r="J4491" s="7">
        <v>3.718</v>
      </c>
      <c r="K4491" s="7">
        <v>2.8679999999999999</v>
      </c>
      <c r="L4491" s="7">
        <v>2.4569999999999999</v>
      </c>
      <c r="M4491" s="7">
        <v>2.673</v>
      </c>
      <c r="N4491" s="7">
        <v>3.4769999999999999</v>
      </c>
      <c r="O4491" s="7">
        <v>3.6640000000000001</v>
      </c>
      <c r="P4491" s="7">
        <v>4.3920000000000003</v>
      </c>
      <c r="Q4491" s="7">
        <v>5.6189999999999998</v>
      </c>
      <c r="R4491" s="7">
        <v>5.9690000000000003</v>
      </c>
      <c r="S4491" s="7">
        <f t="shared" si="70"/>
        <v>4.2115</v>
      </c>
    </row>
    <row r="4492" spans="1:19">
      <c r="A4492" s="5" t="str">
        <f>B4492&amp;"-"&amp;COUNTIF($B$2:B4492,B4492)</f>
        <v>SANTA CATARINA-76</v>
      </c>
      <c r="B4492" s="5" t="s">
        <v>2939</v>
      </c>
      <c r="C4492" s="5" t="s">
        <v>5745</v>
      </c>
      <c r="D4492" s="6">
        <v>-492464</v>
      </c>
      <c r="E4492" s="6">
        <v>-264251</v>
      </c>
      <c r="F4492" s="7">
        <v>3.948</v>
      </c>
      <c r="G4492" s="7">
        <v>5.1710000000000003</v>
      </c>
      <c r="H4492" s="7">
        <v>4.9489999999999998</v>
      </c>
      <c r="I4492" s="7">
        <v>4.4080000000000004</v>
      </c>
      <c r="J4492" s="7">
        <v>3.605</v>
      </c>
      <c r="K4492" s="7">
        <v>2.9550000000000001</v>
      </c>
      <c r="L4492" s="7">
        <v>2.5070000000000001</v>
      </c>
      <c r="M4492" s="7">
        <v>2.6789999999999998</v>
      </c>
      <c r="N4492" s="7">
        <v>3.4689999999999999</v>
      </c>
      <c r="O4492" s="7">
        <v>3.4049999999999998</v>
      </c>
      <c r="P4492" s="7">
        <v>3.9630000000000001</v>
      </c>
      <c r="Q4492" s="7">
        <v>4.9619999999999997</v>
      </c>
      <c r="R4492" s="7">
        <v>5.3109999999999999</v>
      </c>
      <c r="S4492" s="7">
        <f t="shared" si="70"/>
        <v>3.9486666666666674</v>
      </c>
    </row>
    <row r="4493" spans="1:19">
      <c r="A4493" s="5" t="str">
        <f>B4493&amp;"-"&amp;COUNTIF($B$2:B4493,B4493)</f>
        <v>SANTA CATARINA-77</v>
      </c>
      <c r="B4493" s="5" t="s">
        <v>2939</v>
      </c>
      <c r="C4493" s="5" t="s">
        <v>4879</v>
      </c>
      <c r="D4493" s="6">
        <v>-493733</v>
      </c>
      <c r="E4493" s="6">
        <v>-286728</v>
      </c>
      <c r="F4493" s="7">
        <v>4.1829999999999998</v>
      </c>
      <c r="G4493" s="7">
        <v>5.6589999999999998</v>
      </c>
      <c r="H4493" s="7">
        <v>5.234</v>
      </c>
      <c r="I4493" s="7">
        <v>4.4980000000000002</v>
      </c>
      <c r="J4493" s="7">
        <v>3.7879999999999998</v>
      </c>
      <c r="K4493" s="7">
        <v>2.98</v>
      </c>
      <c r="L4493" s="7">
        <v>2.4910000000000001</v>
      </c>
      <c r="M4493" s="7">
        <v>2.7040000000000002</v>
      </c>
      <c r="N4493" s="7">
        <v>3.4249999999999998</v>
      </c>
      <c r="O4493" s="7">
        <v>3.5379999999999998</v>
      </c>
      <c r="P4493" s="7">
        <v>4.32</v>
      </c>
      <c r="Q4493" s="7">
        <v>5.6470000000000002</v>
      </c>
      <c r="R4493" s="7">
        <v>5.9139999999999997</v>
      </c>
      <c r="S4493" s="7">
        <f t="shared" si="70"/>
        <v>4.1831666666666667</v>
      </c>
    </row>
    <row r="4494" spans="1:19">
      <c r="A4494" s="5" t="str">
        <f>B4494&amp;"-"&amp;COUNTIF($B$2:B4494,B4494)</f>
        <v>SANTA CATARINA-78</v>
      </c>
      <c r="B4494" s="5" t="s">
        <v>2939</v>
      </c>
      <c r="C4494" s="5" t="s">
        <v>5405</v>
      </c>
      <c r="D4494" s="6">
        <v>-531666</v>
      </c>
      <c r="E4494" s="6">
        <v>-268955</v>
      </c>
      <c r="F4494" s="7">
        <v>4.6100000000000003</v>
      </c>
      <c r="G4494" s="7">
        <v>6.2110000000000003</v>
      </c>
      <c r="H4494" s="7">
        <v>5.7389999999999999</v>
      </c>
      <c r="I4494" s="7">
        <v>5.0620000000000003</v>
      </c>
      <c r="J4494" s="7">
        <v>4.1219999999999999</v>
      </c>
      <c r="K4494" s="7">
        <v>3.16</v>
      </c>
      <c r="L4494" s="7">
        <v>2.65</v>
      </c>
      <c r="M4494" s="7">
        <v>2.9529999999999998</v>
      </c>
      <c r="N4494" s="7">
        <v>3.8119999999999998</v>
      </c>
      <c r="O4494" s="7">
        <v>4.0570000000000004</v>
      </c>
      <c r="P4494" s="7">
        <v>5.1020000000000003</v>
      </c>
      <c r="Q4494" s="7">
        <v>6.0529999999999999</v>
      </c>
      <c r="R4494" s="7">
        <v>6.4050000000000002</v>
      </c>
      <c r="S4494" s="7">
        <f t="shared" si="70"/>
        <v>4.6104999999999992</v>
      </c>
    </row>
    <row r="4495" spans="1:19">
      <c r="A4495" s="5" t="str">
        <f>B4495&amp;"-"&amp;COUNTIF($B$2:B4495,B4495)</f>
        <v>SANTA CATARINA-79</v>
      </c>
      <c r="B4495" s="5" t="s">
        <v>2939</v>
      </c>
      <c r="C4495" s="5" t="s">
        <v>2982</v>
      </c>
      <c r="D4495" s="6">
        <v>-530899</v>
      </c>
      <c r="E4495" s="6">
        <v>-269714</v>
      </c>
      <c r="F4495" s="7">
        <v>4.6100000000000003</v>
      </c>
      <c r="G4495" s="7">
        <v>6.2050000000000001</v>
      </c>
      <c r="H4495" s="7">
        <v>5.718</v>
      </c>
      <c r="I4495" s="7">
        <v>5.0819999999999999</v>
      </c>
      <c r="J4495" s="7">
        <v>4.0869999999999997</v>
      </c>
      <c r="K4495" s="7">
        <v>3.1259999999999999</v>
      </c>
      <c r="L4495" s="7">
        <v>2.629</v>
      </c>
      <c r="M4495" s="7">
        <v>2.9249999999999998</v>
      </c>
      <c r="N4495" s="7">
        <v>3.79</v>
      </c>
      <c r="O4495" s="7">
        <v>4.0389999999999997</v>
      </c>
      <c r="P4495" s="7">
        <v>5.14</v>
      </c>
      <c r="Q4495" s="7">
        <v>6.0970000000000004</v>
      </c>
      <c r="R4495" s="7">
        <v>6.4790000000000001</v>
      </c>
      <c r="S4495" s="7">
        <f t="shared" si="70"/>
        <v>4.6097500000000009</v>
      </c>
    </row>
    <row r="4496" spans="1:19">
      <c r="A4496" s="5" t="str">
        <f>B4496&amp;"-"&amp;COUNTIF($B$2:B4496,B4496)</f>
        <v>SANTA CATARINA-80</v>
      </c>
      <c r="B4496" s="5" t="s">
        <v>2939</v>
      </c>
      <c r="C4496" s="5" t="s">
        <v>2983</v>
      </c>
      <c r="D4496" s="6">
        <v>-505821</v>
      </c>
      <c r="E4496" s="6">
        <v>-272829</v>
      </c>
      <c r="F4496" s="7">
        <v>4.3129999999999997</v>
      </c>
      <c r="G4496" s="7">
        <v>5.6749999999999998</v>
      </c>
      <c r="H4496" s="7">
        <v>5.3520000000000003</v>
      </c>
      <c r="I4496" s="7">
        <v>4.6749999999999998</v>
      </c>
      <c r="J4496" s="7">
        <v>3.8279999999999998</v>
      </c>
      <c r="K4496" s="7">
        <v>2.9239999999999999</v>
      </c>
      <c r="L4496" s="7">
        <v>2.6040000000000001</v>
      </c>
      <c r="M4496" s="7">
        <v>2.819</v>
      </c>
      <c r="N4496" s="7">
        <v>3.6949999999999998</v>
      </c>
      <c r="O4496" s="7">
        <v>3.8180000000000001</v>
      </c>
      <c r="P4496" s="7">
        <v>4.569</v>
      </c>
      <c r="Q4496" s="7">
        <v>5.7640000000000002</v>
      </c>
      <c r="R4496" s="7">
        <v>6.0359999999999996</v>
      </c>
      <c r="S4496" s="7">
        <f t="shared" si="70"/>
        <v>4.3132500000000009</v>
      </c>
    </row>
    <row r="4497" spans="1:19">
      <c r="A4497" s="5" t="str">
        <f>B4497&amp;"-"&amp;COUNTIF($B$2:B4497,B4497)</f>
        <v>SANTA CATARINA-81</v>
      </c>
      <c r="B4497" s="5" t="s">
        <v>2939</v>
      </c>
      <c r="C4497" s="5" t="s">
        <v>2984</v>
      </c>
      <c r="D4497" s="6">
        <v>-535038</v>
      </c>
      <c r="E4497" s="6">
        <v>-268274</v>
      </c>
      <c r="F4497" s="7">
        <v>4.6310000000000002</v>
      </c>
      <c r="G4497" s="7">
        <v>6.32</v>
      </c>
      <c r="H4497" s="7">
        <v>5.7640000000000002</v>
      </c>
      <c r="I4497" s="7">
        <v>5.069</v>
      </c>
      <c r="J4497" s="7">
        <v>4.0910000000000002</v>
      </c>
      <c r="K4497" s="7">
        <v>3.1619999999999999</v>
      </c>
      <c r="L4497" s="7">
        <v>2.68</v>
      </c>
      <c r="M4497" s="7">
        <v>2.9769999999999999</v>
      </c>
      <c r="N4497" s="7">
        <v>3.823</v>
      </c>
      <c r="O4497" s="7">
        <v>4.0949999999999998</v>
      </c>
      <c r="P4497" s="7">
        <v>5.1459999999999999</v>
      </c>
      <c r="Q4497" s="7">
        <v>6.0179999999999998</v>
      </c>
      <c r="R4497" s="7">
        <v>6.431</v>
      </c>
      <c r="S4497" s="7">
        <f t="shared" si="70"/>
        <v>4.6313333333333331</v>
      </c>
    </row>
    <row r="4498" spans="1:19">
      <c r="A4498" s="5" t="str">
        <f>B4498&amp;"-"&amp;COUNTIF($B$2:B4498,B4498)</f>
        <v>SANTA CATARINA-82</v>
      </c>
      <c r="B4498" s="5" t="s">
        <v>2939</v>
      </c>
      <c r="C4498" s="5" t="s">
        <v>2985</v>
      </c>
      <c r="D4498" s="6">
        <v>-536356</v>
      </c>
      <c r="E4498" s="6">
        <v>-262652</v>
      </c>
      <c r="F4498" s="7">
        <v>4.6920000000000002</v>
      </c>
      <c r="G4498" s="7">
        <v>6.3369999999999997</v>
      </c>
      <c r="H4498" s="7">
        <v>5.8120000000000003</v>
      </c>
      <c r="I4498" s="7">
        <v>5.1719999999999997</v>
      </c>
      <c r="J4498" s="7">
        <v>4.1360000000000001</v>
      </c>
      <c r="K4498" s="7">
        <v>3.214</v>
      </c>
      <c r="L4498" s="7">
        <v>2.7629999999999999</v>
      </c>
      <c r="M4498" s="7">
        <v>3.052</v>
      </c>
      <c r="N4498" s="7">
        <v>3.964</v>
      </c>
      <c r="O4498" s="7">
        <v>4.2249999999999996</v>
      </c>
      <c r="P4498" s="7">
        <v>5.2149999999999999</v>
      </c>
      <c r="Q4498" s="7">
        <v>6.0439999999999996</v>
      </c>
      <c r="R4498" s="7">
        <v>6.3630000000000004</v>
      </c>
      <c r="S4498" s="7">
        <f t="shared" si="70"/>
        <v>4.6914166666666661</v>
      </c>
    </row>
    <row r="4499" spans="1:19">
      <c r="A4499" s="5" t="str">
        <f>B4499&amp;"-"&amp;COUNTIF($B$2:B4499,B4499)</f>
        <v>SANTA CATARINA-83</v>
      </c>
      <c r="B4499" s="5" t="s">
        <v>2939</v>
      </c>
      <c r="C4499" s="5" t="s">
        <v>2986</v>
      </c>
      <c r="D4499" s="6">
        <v>-497266</v>
      </c>
      <c r="E4499" s="6">
        <v>-269815</v>
      </c>
      <c r="F4499" s="7">
        <v>4.0350000000000001</v>
      </c>
      <c r="G4499" s="7">
        <v>5.4480000000000004</v>
      </c>
      <c r="H4499" s="7">
        <v>5.1870000000000003</v>
      </c>
      <c r="I4499" s="7">
        <v>4.5599999999999996</v>
      </c>
      <c r="J4499" s="7">
        <v>3.61</v>
      </c>
      <c r="K4499" s="7">
        <v>2.859</v>
      </c>
      <c r="L4499" s="7">
        <v>2.3330000000000002</v>
      </c>
      <c r="M4499" s="7">
        <v>2.5430000000000001</v>
      </c>
      <c r="N4499" s="7">
        <v>3.363</v>
      </c>
      <c r="O4499" s="7">
        <v>3.4969999999999999</v>
      </c>
      <c r="P4499" s="7">
        <v>4.1070000000000002</v>
      </c>
      <c r="Q4499" s="7">
        <v>5.3150000000000004</v>
      </c>
      <c r="R4499" s="7">
        <v>5.6</v>
      </c>
      <c r="S4499" s="7">
        <f t="shared" si="70"/>
        <v>4.0351666666666661</v>
      </c>
    </row>
    <row r="4500" spans="1:19">
      <c r="A4500" s="5" t="str">
        <f>B4500&amp;"-"&amp;COUNTIF($B$2:B4500,B4500)</f>
        <v>SANTA CATARINA-84</v>
      </c>
      <c r="B4500" s="5" t="s">
        <v>2939</v>
      </c>
      <c r="C4500" s="5" t="s">
        <v>2987</v>
      </c>
      <c r="D4500" s="6">
        <v>-494799</v>
      </c>
      <c r="E4500" s="6">
        <v>-267178</v>
      </c>
      <c r="F4500" s="7">
        <v>3.9180000000000001</v>
      </c>
      <c r="G4500" s="7">
        <v>5.1479999999999997</v>
      </c>
      <c r="H4500" s="7">
        <v>4.8310000000000004</v>
      </c>
      <c r="I4500" s="7">
        <v>4.3550000000000004</v>
      </c>
      <c r="J4500" s="7">
        <v>3.544</v>
      </c>
      <c r="K4500" s="7">
        <v>2.9119999999999999</v>
      </c>
      <c r="L4500" s="7">
        <v>2.5030000000000001</v>
      </c>
      <c r="M4500" s="7">
        <v>2.6619999999999999</v>
      </c>
      <c r="N4500" s="7">
        <v>3.4649999999999999</v>
      </c>
      <c r="O4500" s="7">
        <v>3.4180000000000001</v>
      </c>
      <c r="P4500" s="7">
        <v>3.9449999999999998</v>
      </c>
      <c r="Q4500" s="7">
        <v>4.9820000000000002</v>
      </c>
      <c r="R4500" s="7">
        <v>5.2480000000000002</v>
      </c>
      <c r="S4500" s="7">
        <f t="shared" si="70"/>
        <v>3.9177499999999998</v>
      </c>
    </row>
    <row r="4501" spans="1:19">
      <c r="A4501" s="5" t="str">
        <f>B4501&amp;"-"&amp;COUNTIF($B$2:B4501,B4501)</f>
        <v>SANTA CATARINA-85</v>
      </c>
      <c r="B4501" s="5" t="s">
        <v>2939</v>
      </c>
      <c r="C4501" s="5" t="s">
        <v>381</v>
      </c>
      <c r="D4501" s="6">
        <v>-52559</v>
      </c>
      <c r="E4501" s="6">
        <v>-267229</v>
      </c>
      <c r="F4501" s="7">
        <v>4.6500000000000004</v>
      </c>
      <c r="G4501" s="7">
        <v>6.2590000000000003</v>
      </c>
      <c r="H4501" s="7">
        <v>5.6740000000000004</v>
      </c>
      <c r="I4501" s="7">
        <v>5.1449999999999996</v>
      </c>
      <c r="J4501" s="7">
        <v>4.1500000000000004</v>
      </c>
      <c r="K4501" s="7">
        <v>3.202</v>
      </c>
      <c r="L4501" s="7">
        <v>2.7109999999999999</v>
      </c>
      <c r="M4501" s="7">
        <v>2.9849999999999999</v>
      </c>
      <c r="N4501" s="7">
        <v>3.895</v>
      </c>
      <c r="O4501" s="7">
        <v>4.1180000000000003</v>
      </c>
      <c r="P4501" s="7">
        <v>5.1269999999999998</v>
      </c>
      <c r="Q4501" s="7">
        <v>6.1740000000000004</v>
      </c>
      <c r="R4501" s="7">
        <v>6.3579999999999997</v>
      </c>
      <c r="S4501" s="7">
        <f t="shared" si="70"/>
        <v>4.6498333333333335</v>
      </c>
    </row>
    <row r="4502" spans="1:19">
      <c r="A4502" s="5" t="str">
        <f>B4502&amp;"-"&amp;COUNTIF($B$2:B4502,B4502)</f>
        <v>SANTA CATARINA-86</v>
      </c>
      <c r="B4502" s="5" t="s">
        <v>2939</v>
      </c>
      <c r="C4502" s="5" t="s">
        <v>2988</v>
      </c>
      <c r="D4502" s="6">
        <v>-496435</v>
      </c>
      <c r="E4502" s="6">
        <v>-289874</v>
      </c>
      <c r="F4502" s="7">
        <v>4.1849999999999996</v>
      </c>
      <c r="G4502" s="7">
        <v>5.6390000000000002</v>
      </c>
      <c r="H4502" s="7">
        <v>5.3079999999999998</v>
      </c>
      <c r="I4502" s="7">
        <v>4.5419999999999998</v>
      </c>
      <c r="J4502" s="7">
        <v>3.8330000000000002</v>
      </c>
      <c r="K4502" s="7">
        <v>2.9710000000000001</v>
      </c>
      <c r="L4502" s="7">
        <v>2.444</v>
      </c>
      <c r="M4502" s="7">
        <v>2.6880000000000002</v>
      </c>
      <c r="N4502" s="7">
        <v>3.3959999999999999</v>
      </c>
      <c r="O4502" s="7">
        <v>3.504</v>
      </c>
      <c r="P4502" s="7">
        <v>4.2949999999999999</v>
      </c>
      <c r="Q4502" s="7">
        <v>5.641</v>
      </c>
      <c r="R4502" s="7">
        <v>5.9550000000000001</v>
      </c>
      <c r="S4502" s="7">
        <f t="shared" si="70"/>
        <v>4.1846666666666659</v>
      </c>
    </row>
    <row r="4503" spans="1:19">
      <c r="A4503" s="5" t="str">
        <f>B4503&amp;"-"&amp;COUNTIF($B$2:B4503,B4503)</f>
        <v>SANTA CATARINA-87</v>
      </c>
      <c r="B4503" s="5" t="s">
        <v>2939</v>
      </c>
      <c r="C4503" s="5" t="s">
        <v>2989</v>
      </c>
      <c r="D4503" s="6">
        <v>-514434</v>
      </c>
      <c r="E4503" s="6">
        <v>-272748</v>
      </c>
      <c r="F4503" s="7">
        <v>4.5730000000000004</v>
      </c>
      <c r="G4503" s="7">
        <v>6.09</v>
      </c>
      <c r="H4503" s="7">
        <v>5.585</v>
      </c>
      <c r="I4503" s="7">
        <v>5.048</v>
      </c>
      <c r="J4503" s="7">
        <v>4.1239999999999997</v>
      </c>
      <c r="K4503" s="7">
        <v>3.0710000000000002</v>
      </c>
      <c r="L4503" s="7">
        <v>2.6739999999999999</v>
      </c>
      <c r="M4503" s="7">
        <v>2.915</v>
      </c>
      <c r="N4503" s="7">
        <v>3.766</v>
      </c>
      <c r="O4503" s="7">
        <v>4.0209999999999999</v>
      </c>
      <c r="P4503" s="7">
        <v>4.9930000000000003</v>
      </c>
      <c r="Q4503" s="7">
        <v>6.1740000000000004</v>
      </c>
      <c r="R4503" s="7">
        <v>6.4180000000000001</v>
      </c>
      <c r="S4503" s="7">
        <f t="shared" si="70"/>
        <v>4.5732499999999998</v>
      </c>
    </row>
    <row r="4504" spans="1:19">
      <c r="A4504" s="5" t="str">
        <f>B4504&amp;"-"&amp;COUNTIF($B$2:B4504,B4504)</f>
        <v>SANTA CATARINA-88</v>
      </c>
      <c r="B4504" s="5" t="s">
        <v>2939</v>
      </c>
      <c r="C4504" s="5" t="s">
        <v>2990</v>
      </c>
      <c r="D4504" s="6">
        <v>-522601</v>
      </c>
      <c r="E4504" s="6">
        <v>-268456</v>
      </c>
      <c r="F4504" s="7">
        <v>4.5960000000000001</v>
      </c>
      <c r="G4504" s="7">
        <v>6.2110000000000003</v>
      </c>
      <c r="H4504" s="7">
        <v>5.5369999999999999</v>
      </c>
      <c r="I4504" s="7">
        <v>5.0250000000000004</v>
      </c>
      <c r="J4504" s="7">
        <v>4.0670000000000002</v>
      </c>
      <c r="K4504" s="7">
        <v>3.1789999999999998</v>
      </c>
      <c r="L4504" s="7">
        <v>2.74</v>
      </c>
      <c r="M4504" s="7">
        <v>2.996</v>
      </c>
      <c r="N4504" s="7">
        <v>3.867</v>
      </c>
      <c r="O4504" s="7">
        <v>4.0910000000000002</v>
      </c>
      <c r="P4504" s="7">
        <v>5.0940000000000003</v>
      </c>
      <c r="Q4504" s="7">
        <v>6.04</v>
      </c>
      <c r="R4504" s="7">
        <v>6.3040000000000003</v>
      </c>
      <c r="S4504" s="7">
        <f t="shared" si="70"/>
        <v>4.5959166666666667</v>
      </c>
    </row>
    <row r="4505" spans="1:19">
      <c r="A4505" s="5" t="str">
        <f>B4505&amp;"-"&amp;COUNTIF($B$2:B4505,B4505)</f>
        <v>SANTA CATARINA-89</v>
      </c>
      <c r="B4505" s="5" t="s">
        <v>2939</v>
      </c>
      <c r="C4505" s="5" t="s">
        <v>4199</v>
      </c>
      <c r="D4505" s="6">
        <v>-533481</v>
      </c>
      <c r="E4505" s="6">
        <v>-267779</v>
      </c>
      <c r="F4505" s="7">
        <v>4.6280000000000001</v>
      </c>
      <c r="G4505" s="7">
        <v>6.2869999999999999</v>
      </c>
      <c r="H4505" s="7">
        <v>5.8049999999999997</v>
      </c>
      <c r="I4505" s="7">
        <v>5.141</v>
      </c>
      <c r="J4505" s="7">
        <v>4.0830000000000002</v>
      </c>
      <c r="K4505" s="7">
        <v>3.161</v>
      </c>
      <c r="L4505" s="7">
        <v>2.621</v>
      </c>
      <c r="M4505" s="7">
        <v>2.93</v>
      </c>
      <c r="N4505" s="7">
        <v>3.794</v>
      </c>
      <c r="O4505" s="7">
        <v>4.0650000000000004</v>
      </c>
      <c r="P4505" s="7">
        <v>5.1429999999999998</v>
      </c>
      <c r="Q4505" s="7">
        <v>6.0880000000000001</v>
      </c>
      <c r="R4505" s="7">
        <v>6.4139999999999997</v>
      </c>
      <c r="S4505" s="7">
        <f t="shared" si="70"/>
        <v>4.6276666666666664</v>
      </c>
    </row>
    <row r="4506" spans="1:19">
      <c r="A4506" s="5" t="str">
        <f>B4506&amp;"-"&amp;COUNTIF($B$2:B4506,B4506)</f>
        <v>SANTA CATARINA-90</v>
      </c>
      <c r="B4506" s="5" t="s">
        <v>2939</v>
      </c>
      <c r="C4506" s="5" t="s">
        <v>5221</v>
      </c>
      <c r="D4506" s="6">
        <v>-485485</v>
      </c>
      <c r="E4506" s="6">
        <v>-275955</v>
      </c>
      <c r="F4506" s="7">
        <v>4.2510000000000003</v>
      </c>
      <c r="G4506" s="7">
        <v>5.8680000000000003</v>
      </c>
      <c r="H4506" s="7">
        <v>5.4530000000000003</v>
      </c>
      <c r="I4506" s="7">
        <v>4.7140000000000004</v>
      </c>
      <c r="J4506" s="7">
        <v>3.7730000000000001</v>
      </c>
      <c r="K4506" s="7">
        <v>3.0510000000000002</v>
      </c>
      <c r="L4506" s="7">
        <v>2.573</v>
      </c>
      <c r="M4506" s="7">
        <v>2.6989999999999998</v>
      </c>
      <c r="N4506" s="7">
        <v>3.407</v>
      </c>
      <c r="O4506" s="7">
        <v>3.5590000000000002</v>
      </c>
      <c r="P4506" s="7">
        <v>4.3639999999999999</v>
      </c>
      <c r="Q4506" s="7">
        <v>5.5369999999999999</v>
      </c>
      <c r="R4506" s="7">
        <v>6.0110000000000001</v>
      </c>
      <c r="S4506" s="7">
        <f t="shared" si="70"/>
        <v>4.25075</v>
      </c>
    </row>
    <row r="4507" spans="1:19">
      <c r="A4507" s="5" t="str">
        <f>B4507&amp;"-"&amp;COUNTIF($B$2:B4507,B4507)</f>
        <v>SANTA CATARINA-91</v>
      </c>
      <c r="B4507" s="5" t="s">
        <v>2939</v>
      </c>
      <c r="C4507" s="5" t="s">
        <v>2991</v>
      </c>
      <c r="D4507" s="6">
        <v>-527951</v>
      </c>
      <c r="E4507" s="6">
        <v>-266457</v>
      </c>
      <c r="F4507" s="7">
        <v>4.6230000000000002</v>
      </c>
      <c r="G4507" s="7">
        <v>6.1630000000000003</v>
      </c>
      <c r="H4507" s="7">
        <v>5.6269999999999998</v>
      </c>
      <c r="I4507" s="7">
        <v>5.0999999999999996</v>
      </c>
      <c r="J4507" s="7">
        <v>4.1239999999999997</v>
      </c>
      <c r="K4507" s="7">
        <v>3.1829999999999998</v>
      </c>
      <c r="L4507" s="7">
        <v>2.722</v>
      </c>
      <c r="M4507" s="7">
        <v>3.0150000000000001</v>
      </c>
      <c r="N4507" s="7">
        <v>3.9119999999999999</v>
      </c>
      <c r="O4507" s="7">
        <v>4.1470000000000002</v>
      </c>
      <c r="P4507" s="7">
        <v>5.1150000000000002</v>
      </c>
      <c r="Q4507" s="7">
        <v>6.077</v>
      </c>
      <c r="R4507" s="7">
        <v>6.2889999999999997</v>
      </c>
      <c r="S4507" s="7">
        <f t="shared" si="70"/>
        <v>4.6228333333333333</v>
      </c>
    </row>
    <row r="4508" spans="1:19">
      <c r="A4508" s="5" t="str">
        <f>B4508&amp;"-"&amp;COUNTIF($B$2:B4508,B4508)</f>
        <v>SANTA CATARINA-92</v>
      </c>
      <c r="B4508" s="5" t="s">
        <v>2939</v>
      </c>
      <c r="C4508" s="5" t="s">
        <v>2992</v>
      </c>
      <c r="D4508" s="6">
        <v>-494789</v>
      </c>
      <c r="E4508" s="6">
        <v>-287458</v>
      </c>
      <c r="F4508" s="7">
        <v>4.1079999999999997</v>
      </c>
      <c r="G4508" s="7">
        <v>5.4820000000000002</v>
      </c>
      <c r="H4508" s="7">
        <v>5.1040000000000001</v>
      </c>
      <c r="I4508" s="7">
        <v>4.431</v>
      </c>
      <c r="J4508" s="7">
        <v>3.746</v>
      </c>
      <c r="K4508" s="7">
        <v>2.9550000000000001</v>
      </c>
      <c r="L4508" s="7">
        <v>2.4769999999999999</v>
      </c>
      <c r="M4508" s="7">
        <v>2.7040000000000002</v>
      </c>
      <c r="N4508" s="7">
        <v>3.411</v>
      </c>
      <c r="O4508" s="7">
        <v>3.4860000000000002</v>
      </c>
      <c r="P4508" s="7">
        <v>4.2110000000000003</v>
      </c>
      <c r="Q4508" s="7">
        <v>5.5229999999999997</v>
      </c>
      <c r="R4508" s="7">
        <v>5.7629999999999999</v>
      </c>
      <c r="S4508" s="7">
        <f t="shared" si="70"/>
        <v>4.1077500000000002</v>
      </c>
    </row>
    <row r="4509" spans="1:19">
      <c r="A4509" s="5" t="str">
        <f>B4509&amp;"-"&amp;COUNTIF($B$2:B4509,B4509)</f>
        <v>SANTA CATARINA-93</v>
      </c>
      <c r="B4509" s="5" t="s">
        <v>2939</v>
      </c>
      <c r="C4509" s="5" t="s">
        <v>2993</v>
      </c>
      <c r="D4509" s="6">
        <v>-509204</v>
      </c>
      <c r="E4509" s="6">
        <v>-270238</v>
      </c>
      <c r="F4509" s="7">
        <v>4.3559999999999999</v>
      </c>
      <c r="G4509" s="7">
        <v>5.6820000000000004</v>
      </c>
      <c r="H4509" s="7">
        <v>5.282</v>
      </c>
      <c r="I4509" s="7">
        <v>4.7809999999999997</v>
      </c>
      <c r="J4509" s="7">
        <v>3.863</v>
      </c>
      <c r="K4509" s="7">
        <v>2.992</v>
      </c>
      <c r="L4509" s="7">
        <v>2.6469999999999998</v>
      </c>
      <c r="M4509" s="7">
        <v>2.8940000000000001</v>
      </c>
      <c r="N4509" s="7">
        <v>3.7669999999999999</v>
      </c>
      <c r="O4509" s="7">
        <v>3.9049999999999998</v>
      </c>
      <c r="P4509" s="7">
        <v>4.6769999999999996</v>
      </c>
      <c r="Q4509" s="7">
        <v>5.7850000000000001</v>
      </c>
      <c r="R4509" s="7">
        <v>5.9960000000000004</v>
      </c>
      <c r="S4509" s="7">
        <f t="shared" si="70"/>
        <v>4.3559166666666664</v>
      </c>
    </row>
    <row r="4510" spans="1:19">
      <c r="A4510" s="5" t="str">
        <f>B4510&amp;"-"&amp;COUNTIF($B$2:B4510,B4510)</f>
        <v>SANTA CATARINA-94</v>
      </c>
      <c r="B4510" s="5" t="s">
        <v>2939</v>
      </c>
      <c r="C4510" s="5" t="s">
        <v>4491</v>
      </c>
      <c r="D4510" s="6">
        <v>-508081</v>
      </c>
      <c r="E4510" s="6">
        <v>-271755</v>
      </c>
      <c r="F4510" s="7">
        <v>4.3529999999999998</v>
      </c>
      <c r="G4510" s="7">
        <v>5.6760000000000002</v>
      </c>
      <c r="H4510" s="7">
        <v>5.3570000000000002</v>
      </c>
      <c r="I4510" s="7">
        <v>4.74</v>
      </c>
      <c r="J4510" s="7">
        <v>3.8530000000000002</v>
      </c>
      <c r="K4510" s="7">
        <v>2.9729999999999999</v>
      </c>
      <c r="L4510" s="7">
        <v>2.6190000000000002</v>
      </c>
      <c r="M4510" s="7">
        <v>2.879</v>
      </c>
      <c r="N4510" s="7">
        <v>3.7410000000000001</v>
      </c>
      <c r="O4510" s="7">
        <v>3.8769999999999998</v>
      </c>
      <c r="P4510" s="7">
        <v>4.657</v>
      </c>
      <c r="Q4510" s="7">
        <v>5.7990000000000004</v>
      </c>
      <c r="R4510" s="7">
        <v>6.0650000000000004</v>
      </c>
      <c r="S4510" s="7">
        <f t="shared" si="70"/>
        <v>4.3529999999999998</v>
      </c>
    </row>
    <row r="4511" spans="1:19">
      <c r="A4511" s="5" t="str">
        <f>B4511&amp;"-"&amp;COUNTIF($B$2:B4511,B4511)</f>
        <v>SANTA CATARINA-95</v>
      </c>
      <c r="B4511" s="5" t="s">
        <v>2939</v>
      </c>
      <c r="C4511" s="5" t="s">
        <v>4200</v>
      </c>
      <c r="D4511" s="6">
        <v>-52688</v>
      </c>
      <c r="E4511" s="6">
        <v>-264554</v>
      </c>
      <c r="F4511" s="7">
        <v>4.6390000000000002</v>
      </c>
      <c r="G4511" s="7">
        <v>6.149</v>
      </c>
      <c r="H4511" s="7">
        <v>5.6619999999999999</v>
      </c>
      <c r="I4511" s="7">
        <v>5.0860000000000003</v>
      </c>
      <c r="J4511" s="7">
        <v>4.149</v>
      </c>
      <c r="K4511" s="7">
        <v>3.2240000000000002</v>
      </c>
      <c r="L4511" s="7">
        <v>2.7410000000000001</v>
      </c>
      <c r="M4511" s="7">
        <v>3.0459999999999998</v>
      </c>
      <c r="N4511" s="7">
        <v>3.952</v>
      </c>
      <c r="O4511" s="7">
        <v>4.1559999999999997</v>
      </c>
      <c r="P4511" s="7">
        <v>5.1159999999999997</v>
      </c>
      <c r="Q4511" s="7">
        <v>6.0910000000000002</v>
      </c>
      <c r="R4511" s="7">
        <v>6.2939999999999996</v>
      </c>
      <c r="S4511" s="7">
        <f t="shared" si="70"/>
        <v>4.6388333333333334</v>
      </c>
    </row>
    <row r="4512" spans="1:19">
      <c r="A4512" s="5" t="str">
        <f>B4512&amp;"-"&amp;COUNTIF($B$2:B4512,B4512)</f>
        <v>SANTA CATARINA-96</v>
      </c>
      <c r="B4512" s="5" t="s">
        <v>2939</v>
      </c>
      <c r="C4512" s="5" t="s">
        <v>2994</v>
      </c>
      <c r="D4512" s="6">
        <v>-486236</v>
      </c>
      <c r="E4512" s="6">
        <v>-280285</v>
      </c>
      <c r="F4512" s="7">
        <v>4.1390000000000002</v>
      </c>
      <c r="G4512" s="7">
        <v>5.6360000000000001</v>
      </c>
      <c r="H4512" s="7">
        <v>5.165</v>
      </c>
      <c r="I4512" s="7">
        <v>4.4710000000000001</v>
      </c>
      <c r="J4512" s="7">
        <v>3.67</v>
      </c>
      <c r="K4512" s="7">
        <v>3.0089999999999999</v>
      </c>
      <c r="L4512" s="7">
        <v>2.5390000000000001</v>
      </c>
      <c r="M4512" s="7">
        <v>2.7149999999999999</v>
      </c>
      <c r="N4512" s="7">
        <v>3.4430000000000001</v>
      </c>
      <c r="O4512" s="7">
        <v>3.55</v>
      </c>
      <c r="P4512" s="7">
        <v>4.1989999999999998</v>
      </c>
      <c r="Q4512" s="7">
        <v>5.4450000000000003</v>
      </c>
      <c r="R4512" s="7">
        <v>5.8259999999999996</v>
      </c>
      <c r="S4512" s="7">
        <f t="shared" si="70"/>
        <v>4.1390000000000002</v>
      </c>
    </row>
    <row r="4513" spans="1:19">
      <c r="A4513" s="5" t="str">
        <f>B4513&amp;"-"&amp;COUNTIF($B$2:B4513,B4513)</f>
        <v>SANTA CATARINA-97</v>
      </c>
      <c r="B4513" s="5" t="s">
        <v>2939</v>
      </c>
      <c r="C4513" s="5" t="s">
        <v>2995</v>
      </c>
      <c r="D4513" s="6">
        <v>-488524</v>
      </c>
      <c r="E4513" s="6">
        <v>-260297</v>
      </c>
      <c r="F4513" s="7">
        <v>3.5939999999999999</v>
      </c>
      <c r="G4513" s="7">
        <v>4.7140000000000004</v>
      </c>
      <c r="H4513" s="7">
        <v>4.5339999999999998</v>
      </c>
      <c r="I4513" s="7">
        <v>3.9550000000000001</v>
      </c>
      <c r="J4513" s="7">
        <v>3.327</v>
      </c>
      <c r="K4513" s="7">
        <v>2.8439999999999999</v>
      </c>
      <c r="L4513" s="7">
        <v>2.4359999999999999</v>
      </c>
      <c r="M4513" s="7">
        <v>2.528</v>
      </c>
      <c r="N4513" s="7">
        <v>3.238</v>
      </c>
      <c r="O4513" s="7">
        <v>3.0659999999999998</v>
      </c>
      <c r="P4513" s="7">
        <v>3.4569999999999999</v>
      </c>
      <c r="Q4513" s="7">
        <v>4.351</v>
      </c>
      <c r="R4513" s="7">
        <v>4.6829999999999998</v>
      </c>
      <c r="S4513" s="7">
        <f t="shared" si="70"/>
        <v>3.5944166666666661</v>
      </c>
    </row>
    <row r="4514" spans="1:19">
      <c r="A4514" s="5" t="str">
        <f>B4514&amp;"-"&amp;COUNTIF($B$2:B4514,B4514)</f>
        <v>SANTA CATARINA-98</v>
      </c>
      <c r="B4514" s="5" t="s">
        <v>2939</v>
      </c>
      <c r="C4514" s="5" t="s">
        <v>2996</v>
      </c>
      <c r="D4514" s="6">
        <v>-489539</v>
      </c>
      <c r="E4514" s="6">
        <v>-269341</v>
      </c>
      <c r="F4514" s="7">
        <v>3.9670000000000001</v>
      </c>
      <c r="G4514" s="7">
        <v>5.4249999999999998</v>
      </c>
      <c r="H4514" s="7">
        <v>5.1779999999999999</v>
      </c>
      <c r="I4514" s="7">
        <v>4.492</v>
      </c>
      <c r="J4514" s="7">
        <v>3.6269999999999998</v>
      </c>
      <c r="K4514" s="7">
        <v>2.9929999999999999</v>
      </c>
      <c r="L4514" s="7">
        <v>2.464</v>
      </c>
      <c r="M4514" s="7">
        <v>2.61</v>
      </c>
      <c r="N4514" s="7">
        <v>3.2240000000000002</v>
      </c>
      <c r="O4514" s="7">
        <v>3.3559999999999999</v>
      </c>
      <c r="P4514" s="7">
        <v>3.782</v>
      </c>
      <c r="Q4514" s="7">
        <v>4.9930000000000003</v>
      </c>
      <c r="R4514" s="7">
        <v>5.4550000000000001</v>
      </c>
      <c r="S4514" s="7">
        <f t="shared" si="70"/>
        <v>3.9665833333333329</v>
      </c>
    </row>
    <row r="4515" spans="1:19">
      <c r="A4515" s="5" t="str">
        <f>B4515&amp;"-"&amp;COUNTIF($B$2:B4515,B4515)</f>
        <v>SANTA CATARINA-99</v>
      </c>
      <c r="B4515" s="5" t="s">
        <v>2939</v>
      </c>
      <c r="C4515" s="5" t="s">
        <v>2997</v>
      </c>
      <c r="D4515" s="6">
        <v>-48558</v>
      </c>
      <c r="E4515" s="6">
        <v>-273176</v>
      </c>
      <c r="F4515" s="7">
        <v>4.2480000000000002</v>
      </c>
      <c r="G4515" s="7">
        <v>5.8719999999999999</v>
      </c>
      <c r="H4515" s="7">
        <v>5.5309999999999997</v>
      </c>
      <c r="I4515" s="7">
        <v>4.7439999999999998</v>
      </c>
      <c r="J4515" s="7">
        <v>3.7850000000000001</v>
      </c>
      <c r="K4515" s="7">
        <v>3.0710000000000002</v>
      </c>
      <c r="L4515" s="7">
        <v>2.5579999999999998</v>
      </c>
      <c r="M4515" s="7">
        <v>2.7069999999999999</v>
      </c>
      <c r="N4515" s="7">
        <v>3.3719999999999999</v>
      </c>
      <c r="O4515" s="7">
        <v>3.593</v>
      </c>
      <c r="P4515" s="7">
        <v>4.3029999999999999</v>
      </c>
      <c r="Q4515" s="7">
        <v>5.5339999999999998</v>
      </c>
      <c r="R4515" s="7">
        <v>5.9020000000000001</v>
      </c>
      <c r="S4515" s="7">
        <f t="shared" si="70"/>
        <v>4.2476666666666665</v>
      </c>
    </row>
    <row r="4516" spans="1:19">
      <c r="A4516" s="5" t="str">
        <f>B4516&amp;"-"&amp;COUNTIF($B$2:B4516,B4516)</f>
        <v>SANTA CATARINA-100</v>
      </c>
      <c r="B4516" s="5" t="s">
        <v>2939</v>
      </c>
      <c r="C4516" s="5" t="s">
        <v>5746</v>
      </c>
      <c r="D4516" s="6">
        <v>-492256</v>
      </c>
      <c r="E4516" s="6">
        <v>-281814</v>
      </c>
      <c r="F4516" s="7">
        <v>4.1029999999999998</v>
      </c>
      <c r="G4516" s="7">
        <v>5.4669999999999996</v>
      </c>
      <c r="H4516" s="7">
        <v>5.0490000000000004</v>
      </c>
      <c r="I4516" s="7">
        <v>4.4240000000000004</v>
      </c>
      <c r="J4516" s="7">
        <v>3.7389999999999999</v>
      </c>
      <c r="K4516" s="7">
        <v>2.9350000000000001</v>
      </c>
      <c r="L4516" s="7">
        <v>2.5430000000000001</v>
      </c>
      <c r="M4516" s="7">
        <v>2.734</v>
      </c>
      <c r="N4516" s="7">
        <v>3.468</v>
      </c>
      <c r="O4516" s="7">
        <v>3.552</v>
      </c>
      <c r="P4516" s="7">
        <v>4.2</v>
      </c>
      <c r="Q4516" s="7">
        <v>5.4530000000000003</v>
      </c>
      <c r="R4516" s="7">
        <v>5.6740000000000004</v>
      </c>
      <c r="S4516" s="7">
        <f t="shared" si="70"/>
        <v>4.1031666666666675</v>
      </c>
    </row>
    <row r="4517" spans="1:19">
      <c r="A4517" s="5" t="str">
        <f>B4517&amp;"-"&amp;COUNTIF($B$2:B4517,B4517)</f>
        <v>SANTA CATARINA-101</v>
      </c>
      <c r="B4517" s="5" t="s">
        <v>2939</v>
      </c>
      <c r="C4517" s="5" t="s">
        <v>2998</v>
      </c>
      <c r="D4517" s="6">
        <v>-490431</v>
      </c>
      <c r="E4517" s="6">
        <v>-283212</v>
      </c>
      <c r="F4517" s="7">
        <v>4.2489999999999997</v>
      </c>
      <c r="G4517" s="7">
        <v>5.7640000000000002</v>
      </c>
      <c r="H4517" s="7">
        <v>5.3010000000000002</v>
      </c>
      <c r="I4517" s="7">
        <v>4.5339999999999998</v>
      </c>
      <c r="J4517" s="7">
        <v>3.8079999999999998</v>
      </c>
      <c r="K4517" s="7">
        <v>2.9910000000000001</v>
      </c>
      <c r="L4517" s="7">
        <v>2.5409999999999999</v>
      </c>
      <c r="M4517" s="7">
        <v>2.75</v>
      </c>
      <c r="N4517" s="7">
        <v>3.5019999999999998</v>
      </c>
      <c r="O4517" s="7">
        <v>3.6179999999999999</v>
      </c>
      <c r="P4517" s="7">
        <v>4.4249999999999998</v>
      </c>
      <c r="Q4517" s="7">
        <v>5.7089999999999996</v>
      </c>
      <c r="R4517" s="7">
        <v>6.0410000000000004</v>
      </c>
      <c r="S4517" s="7">
        <f t="shared" si="70"/>
        <v>4.2486666666666659</v>
      </c>
    </row>
    <row r="4518" spans="1:19">
      <c r="A4518" s="5" t="str">
        <f>B4518&amp;"-"&amp;COUNTIF($B$2:B4518,B4518)</f>
        <v>SANTA CATARINA-102</v>
      </c>
      <c r="B4518" s="5" t="s">
        <v>2939</v>
      </c>
      <c r="C4518" s="5" t="s">
        <v>2999</v>
      </c>
      <c r="D4518" s="6">
        <v>-489809</v>
      </c>
      <c r="E4518" s="6">
        <v>-270813</v>
      </c>
      <c r="F4518" s="7">
        <v>3.9870000000000001</v>
      </c>
      <c r="G4518" s="7">
        <v>5.4459999999999997</v>
      </c>
      <c r="H4518" s="7">
        <v>5.23</v>
      </c>
      <c r="I4518" s="7">
        <v>4.5369999999999999</v>
      </c>
      <c r="J4518" s="7">
        <v>3.6110000000000002</v>
      </c>
      <c r="K4518" s="7">
        <v>2.996</v>
      </c>
      <c r="L4518" s="7">
        <v>2.4689999999999999</v>
      </c>
      <c r="M4518" s="7">
        <v>2.6280000000000001</v>
      </c>
      <c r="N4518" s="7">
        <v>3.2410000000000001</v>
      </c>
      <c r="O4518" s="7">
        <v>3.36</v>
      </c>
      <c r="P4518" s="7">
        <v>3.839</v>
      </c>
      <c r="Q4518" s="7">
        <v>4.9880000000000004</v>
      </c>
      <c r="R4518" s="7">
        <v>5.4980000000000002</v>
      </c>
      <c r="S4518" s="7">
        <f t="shared" si="70"/>
        <v>3.9869166666666662</v>
      </c>
    </row>
    <row r="4519" spans="1:19">
      <c r="A4519" s="5" t="str">
        <f>B4519&amp;"-"&amp;COUNTIF($B$2:B4519,B4519)</f>
        <v>SANTA CATARINA-103</v>
      </c>
      <c r="B4519" s="5" t="s">
        <v>2939</v>
      </c>
      <c r="C4519" s="5" t="s">
        <v>1343</v>
      </c>
      <c r="D4519" s="6">
        <v>-535248</v>
      </c>
      <c r="E4519" s="6">
        <v>-266047</v>
      </c>
      <c r="F4519" s="7">
        <v>4.6509999999999998</v>
      </c>
      <c r="G4519" s="7">
        <v>6.3150000000000004</v>
      </c>
      <c r="H4519" s="7">
        <v>5.7329999999999997</v>
      </c>
      <c r="I4519" s="7">
        <v>5.1120000000000001</v>
      </c>
      <c r="J4519" s="7">
        <v>4.1159999999999997</v>
      </c>
      <c r="K4519" s="7">
        <v>3.19</v>
      </c>
      <c r="L4519" s="7">
        <v>2.7120000000000002</v>
      </c>
      <c r="M4519" s="7">
        <v>2.9820000000000002</v>
      </c>
      <c r="N4519" s="7">
        <v>3.871</v>
      </c>
      <c r="O4519" s="7">
        <v>4.1660000000000004</v>
      </c>
      <c r="P4519" s="7">
        <v>5.1740000000000004</v>
      </c>
      <c r="Q4519" s="7">
        <v>6.0430000000000001</v>
      </c>
      <c r="R4519" s="7">
        <v>6.399</v>
      </c>
      <c r="S4519" s="7">
        <f t="shared" si="70"/>
        <v>4.6510833333333332</v>
      </c>
    </row>
    <row r="4520" spans="1:19">
      <c r="A4520" s="5" t="str">
        <f>B4520&amp;"-"&amp;COUNTIF($B$2:B4520,B4520)</f>
        <v>SANTA CATARINA-104</v>
      </c>
      <c r="B4520" s="5" t="s">
        <v>2939</v>
      </c>
      <c r="C4520" s="5" t="s">
        <v>3000</v>
      </c>
      <c r="D4520" s="6">
        <v>-490031</v>
      </c>
      <c r="E4520" s="6">
        <v>-264692</v>
      </c>
      <c r="F4520" s="7">
        <v>3.9239999999999999</v>
      </c>
      <c r="G4520" s="7">
        <v>5.26</v>
      </c>
      <c r="H4520" s="7">
        <v>5.048</v>
      </c>
      <c r="I4520" s="7">
        <v>4.4290000000000003</v>
      </c>
      <c r="J4520" s="7">
        <v>3.6269999999999998</v>
      </c>
      <c r="K4520" s="7">
        <v>2.9849999999999999</v>
      </c>
      <c r="L4520" s="7">
        <v>2.4820000000000002</v>
      </c>
      <c r="M4520" s="7">
        <v>2.5859999999999999</v>
      </c>
      <c r="N4520" s="7">
        <v>3.2789999999999999</v>
      </c>
      <c r="O4520" s="7">
        <v>3.32</v>
      </c>
      <c r="P4520" s="7">
        <v>3.8439999999999999</v>
      </c>
      <c r="Q4520" s="7">
        <v>4.9210000000000003</v>
      </c>
      <c r="R4520" s="7">
        <v>5.3</v>
      </c>
      <c r="S4520" s="7">
        <f t="shared" si="70"/>
        <v>3.9234166666666663</v>
      </c>
    </row>
    <row r="4521" spans="1:19">
      <c r="A4521" s="5" t="str">
        <f>B4521&amp;"-"&amp;COUNTIF($B$2:B4521,B4521)</f>
        <v>SANTA CATARINA-105</v>
      </c>
      <c r="B4521" s="5" t="s">
        <v>2939</v>
      </c>
      <c r="C4521" s="5" t="s">
        <v>5747</v>
      </c>
      <c r="D4521" s="5" t="s">
        <v>3001</v>
      </c>
      <c r="E4521" s="6">
        <v>-263863</v>
      </c>
      <c r="F4521" s="7">
        <v>4.6719999999999997</v>
      </c>
      <c r="G4521" s="7">
        <v>6.274</v>
      </c>
      <c r="H4521" s="7">
        <v>5.7729999999999997</v>
      </c>
      <c r="I4521" s="7">
        <v>5.1150000000000002</v>
      </c>
      <c r="J4521" s="7">
        <v>4.1319999999999997</v>
      </c>
      <c r="K4521" s="7">
        <v>3.2280000000000002</v>
      </c>
      <c r="L4521" s="7">
        <v>2.762</v>
      </c>
      <c r="M4521" s="7">
        <v>3.0529999999999999</v>
      </c>
      <c r="N4521" s="7">
        <v>3.9460000000000002</v>
      </c>
      <c r="O4521" s="7">
        <v>4.2119999999999997</v>
      </c>
      <c r="P4521" s="7">
        <v>5.1769999999999996</v>
      </c>
      <c r="Q4521" s="7">
        <v>6.0149999999999997</v>
      </c>
      <c r="R4521" s="7">
        <v>6.375</v>
      </c>
      <c r="S4521" s="7">
        <f t="shared" si="70"/>
        <v>4.6718333333333337</v>
      </c>
    </row>
    <row r="4522" spans="1:19">
      <c r="A4522" s="5" t="str">
        <f>B4522&amp;"-"&amp;COUNTIF($B$2:B4522,B4522)</f>
        <v>SANTA CATARINA-106</v>
      </c>
      <c r="B4522" s="5" t="s">
        <v>2939</v>
      </c>
      <c r="C4522" s="5" t="s">
        <v>4880</v>
      </c>
      <c r="D4522" s="6">
        <v>-527891</v>
      </c>
      <c r="E4522" s="6">
        <v>-271346</v>
      </c>
      <c r="F4522" s="7">
        <v>4.6310000000000002</v>
      </c>
      <c r="G4522" s="7">
        <v>6.2160000000000002</v>
      </c>
      <c r="H4522" s="7">
        <v>5.7480000000000002</v>
      </c>
      <c r="I4522" s="7">
        <v>5.1529999999999996</v>
      </c>
      <c r="J4522" s="7">
        <v>4.0999999999999996</v>
      </c>
      <c r="K4522" s="7">
        <v>3.145</v>
      </c>
      <c r="L4522" s="7">
        <v>2.66</v>
      </c>
      <c r="M4522" s="7">
        <v>2.9470000000000001</v>
      </c>
      <c r="N4522" s="7">
        <v>3.786</v>
      </c>
      <c r="O4522" s="7">
        <v>4.0220000000000002</v>
      </c>
      <c r="P4522" s="7">
        <v>5.1360000000000001</v>
      </c>
      <c r="Q4522" s="7">
        <v>6.1520000000000001</v>
      </c>
      <c r="R4522" s="7">
        <v>6.5110000000000001</v>
      </c>
      <c r="S4522" s="7">
        <f t="shared" si="70"/>
        <v>4.6313333333333331</v>
      </c>
    </row>
    <row r="4523" spans="1:19">
      <c r="A4523" s="5" t="str">
        <f>B4523&amp;"-"&amp;COUNTIF($B$2:B4523,B4523)</f>
        <v>SANTA CATARINA-107</v>
      </c>
      <c r="B4523" s="5" t="s">
        <v>2939</v>
      </c>
      <c r="C4523" s="5" t="s">
        <v>3002</v>
      </c>
      <c r="D4523" s="6">
        <v>-514922</v>
      </c>
      <c r="E4523" s="6">
        <v>-271908</v>
      </c>
      <c r="F4523" s="7">
        <v>4.5330000000000004</v>
      </c>
      <c r="G4523" s="7">
        <v>5.9219999999999997</v>
      </c>
      <c r="H4523" s="7">
        <v>5.532</v>
      </c>
      <c r="I4523" s="7">
        <v>5.0119999999999996</v>
      </c>
      <c r="J4523" s="7">
        <v>4.0869999999999997</v>
      </c>
      <c r="K4523" s="7">
        <v>3.0609999999999999</v>
      </c>
      <c r="L4523" s="7">
        <v>2.6669999999999998</v>
      </c>
      <c r="M4523" s="7">
        <v>2.903</v>
      </c>
      <c r="N4523" s="7">
        <v>3.7829999999999999</v>
      </c>
      <c r="O4523" s="7">
        <v>4.0199999999999996</v>
      </c>
      <c r="P4523" s="7">
        <v>4.9580000000000002</v>
      </c>
      <c r="Q4523" s="7">
        <v>6.1529999999999996</v>
      </c>
      <c r="R4523" s="7">
        <v>6.2990000000000004</v>
      </c>
      <c r="S4523" s="7">
        <f t="shared" si="70"/>
        <v>4.5330833333333329</v>
      </c>
    </row>
    <row r="4524" spans="1:19">
      <c r="A4524" s="5" t="str">
        <f>B4524&amp;"-"&amp;COUNTIF($B$2:B4524,B4524)</f>
        <v>SANTA CATARINA-108</v>
      </c>
      <c r="B4524" s="5" t="s">
        <v>2939</v>
      </c>
      <c r="C4524" s="5" t="s">
        <v>4773</v>
      </c>
      <c r="D4524" s="6">
        <v>-493091</v>
      </c>
      <c r="E4524" s="6">
        <v>-287137</v>
      </c>
      <c r="F4524" s="7">
        <v>4.1829999999999998</v>
      </c>
      <c r="G4524" s="7">
        <v>5.6589999999999998</v>
      </c>
      <c r="H4524" s="7">
        <v>5.234</v>
      </c>
      <c r="I4524" s="7">
        <v>4.4980000000000002</v>
      </c>
      <c r="J4524" s="7">
        <v>3.7879999999999998</v>
      </c>
      <c r="K4524" s="7">
        <v>2.98</v>
      </c>
      <c r="L4524" s="7">
        <v>2.4910000000000001</v>
      </c>
      <c r="M4524" s="7">
        <v>2.7040000000000002</v>
      </c>
      <c r="N4524" s="7">
        <v>3.4249999999999998</v>
      </c>
      <c r="O4524" s="7">
        <v>3.5379999999999998</v>
      </c>
      <c r="P4524" s="7">
        <v>4.32</v>
      </c>
      <c r="Q4524" s="7">
        <v>5.6470000000000002</v>
      </c>
      <c r="R4524" s="7">
        <v>5.9139999999999997</v>
      </c>
      <c r="S4524" s="7">
        <f t="shared" si="70"/>
        <v>4.1831666666666667</v>
      </c>
    </row>
    <row r="4525" spans="1:19">
      <c r="A4525" s="5" t="str">
        <f>B4525&amp;"-"&amp;COUNTIF($B$2:B4525,B4525)</f>
        <v>SANTA CATARINA-109</v>
      </c>
      <c r="B4525" s="5" t="s">
        <v>2939</v>
      </c>
      <c r="C4525" s="5" t="s">
        <v>3003</v>
      </c>
      <c r="D4525" s="6">
        <v>-512356</v>
      </c>
      <c r="E4525" s="6">
        <v>-271851</v>
      </c>
      <c r="F4525" s="7">
        <v>4.4930000000000003</v>
      </c>
      <c r="G4525" s="7">
        <v>5.9359999999999999</v>
      </c>
      <c r="H4525" s="7">
        <v>5.5229999999999997</v>
      </c>
      <c r="I4525" s="7">
        <v>4.9560000000000004</v>
      </c>
      <c r="J4525" s="7">
        <v>4.0199999999999996</v>
      </c>
      <c r="K4525" s="7">
        <v>3.0350000000000001</v>
      </c>
      <c r="L4525" s="7">
        <v>2.6629999999999998</v>
      </c>
      <c r="M4525" s="7">
        <v>2.8780000000000001</v>
      </c>
      <c r="N4525" s="7">
        <v>3.7759999999999998</v>
      </c>
      <c r="O4525" s="7">
        <v>3.9649999999999999</v>
      </c>
      <c r="P4525" s="7">
        <v>4.8680000000000003</v>
      </c>
      <c r="Q4525" s="7">
        <v>6.03</v>
      </c>
      <c r="R4525" s="7">
        <v>6.2590000000000003</v>
      </c>
      <c r="S4525" s="7">
        <f t="shared" si="70"/>
        <v>4.4924166666666663</v>
      </c>
    </row>
    <row r="4526" spans="1:19">
      <c r="A4526" s="5" t="str">
        <f>B4526&amp;"-"&amp;COUNTIF($B$2:B4526,B4526)</f>
        <v>SANTA CATARINA-110</v>
      </c>
      <c r="B4526" s="5" t="s">
        <v>2939</v>
      </c>
      <c r="C4526" s="5" t="s">
        <v>4492</v>
      </c>
      <c r="D4526" s="6">
        <v>-513685</v>
      </c>
      <c r="E4526" s="6">
        <v>-270886</v>
      </c>
      <c r="F4526" s="7">
        <v>4.4960000000000004</v>
      </c>
      <c r="G4526" s="7">
        <v>5.8890000000000002</v>
      </c>
      <c r="H4526" s="7">
        <v>5.47</v>
      </c>
      <c r="I4526" s="7">
        <v>4.9720000000000004</v>
      </c>
      <c r="J4526" s="7">
        <v>4.0229999999999997</v>
      </c>
      <c r="K4526" s="7">
        <v>3.0619999999999998</v>
      </c>
      <c r="L4526" s="7">
        <v>2.6760000000000002</v>
      </c>
      <c r="M4526" s="7">
        <v>2.8780000000000001</v>
      </c>
      <c r="N4526" s="7">
        <v>3.7759999999999998</v>
      </c>
      <c r="O4526" s="7">
        <v>4.0069999999999997</v>
      </c>
      <c r="P4526" s="7">
        <v>4.899</v>
      </c>
      <c r="Q4526" s="7">
        <v>6.0659999999999998</v>
      </c>
      <c r="R4526" s="7">
        <v>6.2370000000000001</v>
      </c>
      <c r="S4526" s="7">
        <f t="shared" si="70"/>
        <v>4.4962499999999999</v>
      </c>
    </row>
    <row r="4527" spans="1:19">
      <c r="A4527" s="5" t="str">
        <f>B4527&amp;"-"&amp;COUNTIF($B$2:B4527,B4527)</f>
        <v>SANTA CATARINA-111</v>
      </c>
      <c r="B4527" s="5" t="s">
        <v>2939</v>
      </c>
      <c r="C4527" s="5" t="s">
        <v>3004</v>
      </c>
      <c r="D4527" s="6">
        <v>-495197</v>
      </c>
      <c r="E4527" s="6">
        <v>-270551</v>
      </c>
      <c r="F4527" s="7">
        <v>4.0830000000000002</v>
      </c>
      <c r="G4527" s="7">
        <v>5.5759999999999996</v>
      </c>
      <c r="H4527" s="7">
        <v>5.2919999999999998</v>
      </c>
      <c r="I4527" s="7">
        <v>4.6449999999999996</v>
      </c>
      <c r="J4527" s="7">
        <v>3.68</v>
      </c>
      <c r="K4527" s="7">
        <v>2.903</v>
      </c>
      <c r="L4527" s="7">
        <v>2.355</v>
      </c>
      <c r="M4527" s="7">
        <v>2.5609999999999999</v>
      </c>
      <c r="N4527" s="7">
        <v>3.3330000000000002</v>
      </c>
      <c r="O4527" s="7">
        <v>3.4950000000000001</v>
      </c>
      <c r="P4527" s="7">
        <v>4.1040000000000001</v>
      </c>
      <c r="Q4527" s="7">
        <v>5.37</v>
      </c>
      <c r="R4527" s="7">
        <v>5.6769999999999996</v>
      </c>
      <c r="S4527" s="7">
        <f t="shared" si="70"/>
        <v>4.082583333333333</v>
      </c>
    </row>
    <row r="4528" spans="1:19">
      <c r="A4528" s="5" t="str">
        <f>B4528&amp;"-"&amp;COUNTIF($B$2:B4528,B4528)</f>
        <v>SANTA CATARINA-112</v>
      </c>
      <c r="B4528" s="5" t="s">
        <v>2939</v>
      </c>
      <c r="C4528" s="5" t="s">
        <v>3005</v>
      </c>
      <c r="D4528" s="6">
        <v>-488255</v>
      </c>
      <c r="E4528" s="6">
        <v>-269028</v>
      </c>
      <c r="F4528" s="7">
        <v>3.9790000000000001</v>
      </c>
      <c r="G4528" s="7">
        <v>5.4569999999999999</v>
      </c>
      <c r="H4528" s="7">
        <v>5.19</v>
      </c>
      <c r="I4528" s="7">
        <v>4.4980000000000002</v>
      </c>
      <c r="J4528" s="7">
        <v>3.6190000000000002</v>
      </c>
      <c r="K4528" s="7">
        <v>2.9910000000000001</v>
      </c>
      <c r="L4528" s="7">
        <v>2.4790000000000001</v>
      </c>
      <c r="M4528" s="7">
        <v>2.6190000000000002</v>
      </c>
      <c r="N4528" s="7">
        <v>3.2280000000000002</v>
      </c>
      <c r="O4528" s="7">
        <v>3.3540000000000001</v>
      </c>
      <c r="P4528" s="7">
        <v>3.8460000000000001</v>
      </c>
      <c r="Q4528" s="7">
        <v>5.0179999999999998</v>
      </c>
      <c r="R4528" s="7">
        <v>5.4509999999999996</v>
      </c>
      <c r="S4528" s="7">
        <f t="shared" si="70"/>
        <v>3.9791666666666674</v>
      </c>
    </row>
    <row r="4529" spans="1:19">
      <c r="A4529" s="5" t="str">
        <f>B4529&amp;"-"&amp;COUNTIF($B$2:B4529,B4529)</f>
        <v>SANTA CATARINA-113</v>
      </c>
      <c r="B4529" s="5" t="s">
        <v>2939</v>
      </c>
      <c r="C4529" s="5" t="s">
        <v>3006</v>
      </c>
      <c r="D4529" s="6">
        <v>-488174</v>
      </c>
      <c r="E4529" s="6">
        <v>-283344</v>
      </c>
      <c r="F4529" s="7">
        <v>4.2309999999999999</v>
      </c>
      <c r="G4529" s="7">
        <v>5.77</v>
      </c>
      <c r="H4529" s="7">
        <v>5.3319999999999999</v>
      </c>
      <c r="I4529" s="7">
        <v>4.5439999999999996</v>
      </c>
      <c r="J4529" s="7">
        <v>3.7519999999999998</v>
      </c>
      <c r="K4529" s="7">
        <v>2.98</v>
      </c>
      <c r="L4529" s="7">
        <v>2.5099999999999998</v>
      </c>
      <c r="M4529" s="7">
        <v>2.7320000000000002</v>
      </c>
      <c r="N4529" s="7">
        <v>3.464</v>
      </c>
      <c r="O4529" s="7">
        <v>3.5870000000000002</v>
      </c>
      <c r="P4529" s="7">
        <v>4.3449999999999998</v>
      </c>
      <c r="Q4529" s="7">
        <v>5.68</v>
      </c>
      <c r="R4529" s="7">
        <v>6.0819999999999999</v>
      </c>
      <c r="S4529" s="7">
        <f t="shared" si="70"/>
        <v>4.2314999999999996</v>
      </c>
    </row>
    <row r="4530" spans="1:19">
      <c r="A4530" s="5" t="str">
        <f>B4530&amp;"-"&amp;COUNTIF($B$2:B4530,B4530)</f>
        <v>SANTA CATARINA-114</v>
      </c>
      <c r="B4530" s="5" t="s">
        <v>2939</v>
      </c>
      <c r="C4530" s="5" t="s">
        <v>3007</v>
      </c>
      <c r="D4530" s="6">
        <v>-486663</v>
      </c>
      <c r="E4530" s="6">
        <v>-282289</v>
      </c>
      <c r="F4530" s="7">
        <v>4.3099999999999996</v>
      </c>
      <c r="G4530" s="7">
        <v>5.9489999999999998</v>
      </c>
      <c r="H4530" s="7">
        <v>5.4550000000000001</v>
      </c>
      <c r="I4530" s="7">
        <v>4.7030000000000003</v>
      </c>
      <c r="J4530" s="7">
        <v>3.7850000000000001</v>
      </c>
      <c r="K4530" s="7">
        <v>3.0339999999999998</v>
      </c>
      <c r="L4530" s="7">
        <v>2.532</v>
      </c>
      <c r="M4530" s="7">
        <v>2.7480000000000002</v>
      </c>
      <c r="N4530" s="7">
        <v>3.44</v>
      </c>
      <c r="O4530" s="7">
        <v>3.6520000000000001</v>
      </c>
      <c r="P4530" s="7">
        <v>4.4509999999999996</v>
      </c>
      <c r="Q4530" s="7">
        <v>5.7839999999999998</v>
      </c>
      <c r="R4530" s="7">
        <v>6.1840000000000002</v>
      </c>
      <c r="S4530" s="7">
        <f t="shared" si="70"/>
        <v>4.3097500000000002</v>
      </c>
    </row>
    <row r="4531" spans="1:19">
      <c r="A4531" s="5" t="str">
        <f>B4531&amp;"-"&amp;COUNTIF($B$2:B4531,B4531)</f>
        <v>SANTA CATARINA-115</v>
      </c>
      <c r="B4531" s="5" t="s">
        <v>2939</v>
      </c>
      <c r="C4531" s="5" t="s">
        <v>3008</v>
      </c>
      <c r="D4531" s="6">
        <v>-494222</v>
      </c>
      <c r="E4531" s="6">
        <v>-274913</v>
      </c>
      <c r="F4531" s="7">
        <v>4.1020000000000003</v>
      </c>
      <c r="G4531" s="7">
        <v>5.6710000000000003</v>
      </c>
      <c r="H4531" s="7">
        <v>5.28</v>
      </c>
      <c r="I4531" s="7">
        <v>4.5620000000000003</v>
      </c>
      <c r="J4531" s="7">
        <v>3.6869999999999998</v>
      </c>
      <c r="K4531" s="7">
        <v>2.9020000000000001</v>
      </c>
      <c r="L4531" s="7">
        <v>2.3959999999999999</v>
      </c>
      <c r="M4531" s="7">
        <v>2.6160000000000001</v>
      </c>
      <c r="N4531" s="7">
        <v>3.3809999999999998</v>
      </c>
      <c r="O4531" s="7">
        <v>3.5190000000000001</v>
      </c>
      <c r="P4531" s="7">
        <v>4.0830000000000002</v>
      </c>
      <c r="Q4531" s="7">
        <v>5.391</v>
      </c>
      <c r="R4531" s="7">
        <v>5.7320000000000002</v>
      </c>
      <c r="S4531" s="7">
        <f t="shared" si="70"/>
        <v>4.1016666666666666</v>
      </c>
    </row>
    <row r="4532" spans="1:19">
      <c r="A4532" s="5" t="str">
        <f>B4532&amp;"-"&amp;COUNTIF($B$2:B4532,B4532)</f>
        <v>SANTA CATARINA-116</v>
      </c>
      <c r="B4532" s="5" t="s">
        <v>2939</v>
      </c>
      <c r="C4532" s="5" t="s">
        <v>3009</v>
      </c>
      <c r="D4532" s="6">
        <v>-492358</v>
      </c>
      <c r="E4532" s="6">
        <v>-268997</v>
      </c>
      <c r="F4532" s="7">
        <v>4.0259999999999998</v>
      </c>
      <c r="G4532" s="7">
        <v>5.516</v>
      </c>
      <c r="H4532" s="7">
        <v>5.2069999999999999</v>
      </c>
      <c r="I4532" s="7">
        <v>4.577</v>
      </c>
      <c r="J4532" s="7">
        <v>3.7189999999999999</v>
      </c>
      <c r="K4532" s="7">
        <v>3.0139999999999998</v>
      </c>
      <c r="L4532" s="7">
        <v>2.4780000000000002</v>
      </c>
      <c r="M4532" s="7">
        <v>2.617</v>
      </c>
      <c r="N4532" s="7">
        <v>3.3119999999999998</v>
      </c>
      <c r="O4532" s="7">
        <v>3.3940000000000001</v>
      </c>
      <c r="P4532" s="7">
        <v>3.883</v>
      </c>
      <c r="Q4532" s="7">
        <v>5.0999999999999996</v>
      </c>
      <c r="R4532" s="7">
        <v>5.49</v>
      </c>
      <c r="S4532" s="7">
        <f t="shared" si="70"/>
        <v>4.0255833333333344</v>
      </c>
    </row>
    <row r="4533" spans="1:19">
      <c r="A4533" s="5" t="str">
        <f>B4533&amp;"-"&amp;COUNTIF($B$2:B4533,B4533)</f>
        <v>SANTA CATARINA-117</v>
      </c>
      <c r="B4533" s="5" t="s">
        <v>2939</v>
      </c>
      <c r="C4533" s="5" t="s">
        <v>5331</v>
      </c>
      <c r="D4533" s="6">
        <v>-512447</v>
      </c>
      <c r="E4533" s="6">
        <v>-270024</v>
      </c>
      <c r="F4533" s="7">
        <v>4.4119999999999999</v>
      </c>
      <c r="G4533" s="7">
        <v>5.7569999999999997</v>
      </c>
      <c r="H4533" s="7">
        <v>5.3529999999999998</v>
      </c>
      <c r="I4533" s="7">
        <v>4.8449999999999998</v>
      </c>
      <c r="J4533" s="7">
        <v>3.944</v>
      </c>
      <c r="K4533" s="7">
        <v>3.0150000000000001</v>
      </c>
      <c r="L4533" s="7">
        <v>2.6480000000000001</v>
      </c>
      <c r="M4533" s="7">
        <v>2.8929999999999998</v>
      </c>
      <c r="N4533" s="7">
        <v>3.782</v>
      </c>
      <c r="O4533" s="7">
        <v>3.9590000000000001</v>
      </c>
      <c r="P4533" s="7">
        <v>4.766</v>
      </c>
      <c r="Q4533" s="7">
        <v>5.8979999999999997</v>
      </c>
      <c r="R4533" s="7">
        <v>6.0869999999999997</v>
      </c>
      <c r="S4533" s="7">
        <f t="shared" si="70"/>
        <v>4.4122500000000002</v>
      </c>
    </row>
    <row r="4534" spans="1:19">
      <c r="A4534" s="5" t="str">
        <f>B4534&amp;"-"&amp;COUNTIF($B$2:B4534,B4534)</f>
        <v>SANTA CATARINA-118</v>
      </c>
      <c r="B4534" s="5" t="s">
        <v>2939</v>
      </c>
      <c r="C4534" s="5" t="s">
        <v>3010</v>
      </c>
      <c r="D4534" s="6">
        <v>-517762</v>
      </c>
      <c r="E4534" s="6">
        <v>-274043</v>
      </c>
      <c r="F4534" s="7">
        <v>4.5940000000000003</v>
      </c>
      <c r="G4534" s="7">
        <v>6.1609999999999996</v>
      </c>
      <c r="H4534" s="7">
        <v>5.6769999999999996</v>
      </c>
      <c r="I4534" s="7">
        <v>5.0869999999999997</v>
      </c>
      <c r="J4534" s="7">
        <v>4.0819999999999999</v>
      </c>
      <c r="K4534" s="7">
        <v>3.0779999999999998</v>
      </c>
      <c r="L4534" s="7">
        <v>2.6179999999999999</v>
      </c>
      <c r="M4534" s="7">
        <v>2.919</v>
      </c>
      <c r="N4534" s="7">
        <v>3.742</v>
      </c>
      <c r="O4534" s="7">
        <v>3.984</v>
      </c>
      <c r="P4534" s="7">
        <v>5.0410000000000004</v>
      </c>
      <c r="Q4534" s="7">
        <v>6.2359999999999998</v>
      </c>
      <c r="R4534" s="7">
        <v>6.5060000000000002</v>
      </c>
      <c r="S4534" s="7">
        <f t="shared" si="70"/>
        <v>4.5942499999999997</v>
      </c>
    </row>
    <row r="4535" spans="1:19">
      <c r="A4535" s="5" t="str">
        <f>B4535&amp;"-"&amp;COUNTIF($B$2:B4535,B4535)</f>
        <v>SANTA CATARINA-119</v>
      </c>
      <c r="B4535" s="5" t="s">
        <v>2939</v>
      </c>
      <c r="C4535" s="5" t="s">
        <v>5406</v>
      </c>
      <c r="D4535" s="6">
        <v>-535359</v>
      </c>
      <c r="E4535" s="6">
        <v>-269859</v>
      </c>
      <c r="F4535" s="7">
        <v>4.6210000000000004</v>
      </c>
      <c r="G4535" s="7">
        <v>6.3330000000000002</v>
      </c>
      <c r="H4535" s="7">
        <v>5.7910000000000004</v>
      </c>
      <c r="I4535" s="7">
        <v>5.0830000000000002</v>
      </c>
      <c r="J4535" s="7">
        <v>4.0789999999999997</v>
      </c>
      <c r="K4535" s="7">
        <v>3.1160000000000001</v>
      </c>
      <c r="L4535" s="7">
        <v>2.629</v>
      </c>
      <c r="M4535" s="7">
        <v>2.9220000000000002</v>
      </c>
      <c r="N4535" s="7">
        <v>3.7759999999999998</v>
      </c>
      <c r="O4535" s="7">
        <v>4.0490000000000004</v>
      </c>
      <c r="P4535" s="7">
        <v>5.1360000000000001</v>
      </c>
      <c r="Q4535" s="7">
        <v>6.1029999999999998</v>
      </c>
      <c r="R4535" s="7">
        <v>6.4429999999999996</v>
      </c>
      <c r="S4535" s="7">
        <f t="shared" si="70"/>
        <v>4.621666666666667</v>
      </c>
    </row>
    <row r="4536" spans="1:19">
      <c r="A4536" s="5" t="str">
        <f>B4536&amp;"-"&amp;COUNTIF($B$2:B4536,B4536)</f>
        <v>SANTA CATARINA-120</v>
      </c>
      <c r="B4536" s="5" t="s">
        <v>2939</v>
      </c>
      <c r="C4536" s="5" t="s">
        <v>4774</v>
      </c>
      <c r="D4536" s="6">
        <v>-524571</v>
      </c>
      <c r="E4536" s="6">
        <v>-266325</v>
      </c>
      <c r="F4536" s="7">
        <v>4.6219999999999999</v>
      </c>
      <c r="G4536" s="7">
        <v>6.173</v>
      </c>
      <c r="H4536" s="7">
        <v>5.6079999999999997</v>
      </c>
      <c r="I4536" s="7">
        <v>5.04</v>
      </c>
      <c r="J4536" s="7">
        <v>4.0960000000000001</v>
      </c>
      <c r="K4536" s="7">
        <v>3.2029999999999998</v>
      </c>
      <c r="L4536" s="7">
        <v>2.7530000000000001</v>
      </c>
      <c r="M4536" s="7">
        <v>3.012</v>
      </c>
      <c r="N4536" s="7">
        <v>3.915</v>
      </c>
      <c r="O4536" s="7">
        <v>4.133</v>
      </c>
      <c r="P4536" s="7">
        <v>5.085</v>
      </c>
      <c r="Q4536" s="7">
        <v>6.1029999999999998</v>
      </c>
      <c r="R4536" s="7">
        <v>6.3470000000000004</v>
      </c>
      <c r="S4536" s="7">
        <f t="shared" si="70"/>
        <v>4.6223333333333336</v>
      </c>
    </row>
    <row r="4537" spans="1:19">
      <c r="A4537" s="5" t="str">
        <f>B4537&amp;"-"&amp;COUNTIF($B$2:B4537,B4537)</f>
        <v>SANTA CATARINA-121</v>
      </c>
      <c r="B4537" s="5" t="s">
        <v>2939</v>
      </c>
      <c r="C4537" s="5" t="s">
        <v>3011</v>
      </c>
      <c r="D4537" s="6">
        <v>-521343</v>
      </c>
      <c r="E4537" s="6">
        <v>-270762</v>
      </c>
      <c r="F4537" s="7">
        <v>4.5430000000000001</v>
      </c>
      <c r="G4537" s="7">
        <v>6.0490000000000004</v>
      </c>
      <c r="H4537" s="7">
        <v>5.4850000000000003</v>
      </c>
      <c r="I4537" s="7">
        <v>5.024</v>
      </c>
      <c r="J4537" s="7">
        <v>4.0449999999999999</v>
      </c>
      <c r="K4537" s="7">
        <v>3.1070000000000002</v>
      </c>
      <c r="L4537" s="7">
        <v>2.66</v>
      </c>
      <c r="M4537" s="7">
        <v>2.9279999999999999</v>
      </c>
      <c r="N4537" s="7">
        <v>3.8170000000000002</v>
      </c>
      <c r="O4537" s="7">
        <v>4.0149999999999997</v>
      </c>
      <c r="P4537" s="7">
        <v>4.9960000000000004</v>
      </c>
      <c r="Q4537" s="7">
        <v>6.0789999999999997</v>
      </c>
      <c r="R4537" s="7">
        <v>6.3159999999999998</v>
      </c>
      <c r="S4537" s="7">
        <f t="shared" si="70"/>
        <v>4.5434166666666673</v>
      </c>
    </row>
    <row r="4538" spans="1:19">
      <c r="A4538" s="5" t="str">
        <f>B4538&amp;"-"&amp;COUNTIF($B$2:B4538,B4538)</f>
        <v>SANTA CATARINA-122</v>
      </c>
      <c r="B4538" s="5" t="s">
        <v>2939</v>
      </c>
      <c r="C4538" s="5" t="s">
        <v>3012</v>
      </c>
      <c r="D4538" s="6">
        <v>-532771</v>
      </c>
      <c r="E4538" s="6">
        <v>-26822</v>
      </c>
      <c r="F4538" s="7">
        <v>4.6360000000000001</v>
      </c>
      <c r="G4538" s="7">
        <v>6.25</v>
      </c>
      <c r="H4538" s="7">
        <v>5.8129999999999997</v>
      </c>
      <c r="I4538" s="7">
        <v>5.12</v>
      </c>
      <c r="J4538" s="7">
        <v>4.1689999999999996</v>
      </c>
      <c r="K4538" s="7">
        <v>3.1680000000000001</v>
      </c>
      <c r="L4538" s="7">
        <v>2.6680000000000001</v>
      </c>
      <c r="M4538" s="7">
        <v>2.9580000000000002</v>
      </c>
      <c r="N4538" s="7">
        <v>3.8069999999999999</v>
      </c>
      <c r="O4538" s="7">
        <v>4.085</v>
      </c>
      <c r="P4538" s="7">
        <v>5.125</v>
      </c>
      <c r="Q4538" s="7">
        <v>6.069</v>
      </c>
      <c r="R4538" s="7">
        <v>6.3970000000000002</v>
      </c>
      <c r="S4538" s="7">
        <f t="shared" si="70"/>
        <v>4.6357500000000007</v>
      </c>
    </row>
    <row r="4539" spans="1:19">
      <c r="A4539" s="5" t="str">
        <f>B4539&amp;"-"&amp;COUNTIF($B$2:B4539,B4539)</f>
        <v>SANTA CATARINA-123</v>
      </c>
      <c r="B4539" s="5" t="s">
        <v>2939</v>
      </c>
      <c r="C4539" s="5" t="s">
        <v>3013</v>
      </c>
      <c r="D4539" s="6">
        <v>-519016</v>
      </c>
      <c r="E4539" s="6">
        <v>-270292</v>
      </c>
      <c r="F4539" s="7">
        <v>4.516</v>
      </c>
      <c r="G4539" s="7">
        <v>5.89</v>
      </c>
      <c r="H4539" s="7">
        <v>5.4429999999999996</v>
      </c>
      <c r="I4539" s="7">
        <v>4.9459999999999997</v>
      </c>
      <c r="J4539" s="7">
        <v>4.07</v>
      </c>
      <c r="K4539" s="7">
        <v>3.1070000000000002</v>
      </c>
      <c r="L4539" s="7">
        <v>2.7069999999999999</v>
      </c>
      <c r="M4539" s="7">
        <v>2.9630000000000001</v>
      </c>
      <c r="N4539" s="7">
        <v>3.8330000000000002</v>
      </c>
      <c r="O4539" s="7">
        <v>4.05</v>
      </c>
      <c r="P4539" s="7">
        <v>4.97</v>
      </c>
      <c r="Q4539" s="7">
        <v>6.0049999999999999</v>
      </c>
      <c r="R4539" s="7">
        <v>6.2030000000000003</v>
      </c>
      <c r="S4539" s="7">
        <f t="shared" si="70"/>
        <v>4.5155833333333328</v>
      </c>
    </row>
    <row r="4540" spans="1:19">
      <c r="A4540" s="5" t="str">
        <f>B4540&amp;"-"&amp;COUNTIF($B$2:B4540,B4540)</f>
        <v>SANTA CATARINA-124</v>
      </c>
      <c r="B4540" s="5" t="s">
        <v>2939</v>
      </c>
      <c r="C4540" s="5" t="s">
        <v>2006</v>
      </c>
      <c r="D4540" s="6">
        <v>-52896</v>
      </c>
      <c r="E4540" s="6">
        <v>-266543</v>
      </c>
      <c r="F4540" s="7">
        <v>4.6210000000000004</v>
      </c>
      <c r="G4540" s="7">
        <v>6.1760000000000002</v>
      </c>
      <c r="H4540" s="7">
        <v>5.6470000000000002</v>
      </c>
      <c r="I4540" s="7">
        <v>5.1130000000000004</v>
      </c>
      <c r="J4540" s="7">
        <v>4.117</v>
      </c>
      <c r="K4540" s="7">
        <v>3.16</v>
      </c>
      <c r="L4540" s="7">
        <v>2.673</v>
      </c>
      <c r="M4540" s="7">
        <v>3.016</v>
      </c>
      <c r="N4540" s="7">
        <v>3.8759999999999999</v>
      </c>
      <c r="O4540" s="7">
        <v>4.1100000000000003</v>
      </c>
      <c r="P4540" s="7">
        <v>5.109</v>
      </c>
      <c r="Q4540" s="7">
        <v>6.0949999999999998</v>
      </c>
      <c r="R4540" s="7">
        <v>6.3579999999999997</v>
      </c>
      <c r="S4540" s="7">
        <f t="shared" si="70"/>
        <v>4.6208333333333327</v>
      </c>
    </row>
    <row r="4541" spans="1:19">
      <c r="A4541" s="5" t="str">
        <f>B4541&amp;"-"&amp;COUNTIF($B$2:B4541,B4541)</f>
        <v>SANTA CATARINA-125</v>
      </c>
      <c r="B4541" s="5" t="s">
        <v>2939</v>
      </c>
      <c r="C4541" s="5" t="s">
        <v>5222</v>
      </c>
      <c r="D4541" s="6">
        <v>-507961</v>
      </c>
      <c r="E4541" s="6">
        <v>-262425</v>
      </c>
      <c r="F4541" s="7">
        <v>4.0549999999999997</v>
      </c>
      <c r="G4541" s="7">
        <v>5.3</v>
      </c>
      <c r="H4541" s="7">
        <v>4.9989999999999997</v>
      </c>
      <c r="I4541" s="7">
        <v>4.4909999999999997</v>
      </c>
      <c r="J4541" s="7">
        <v>3.5169999999999999</v>
      </c>
      <c r="K4541" s="7">
        <v>2.798</v>
      </c>
      <c r="L4541" s="7">
        <v>2.3820000000000001</v>
      </c>
      <c r="M4541" s="7">
        <v>2.617</v>
      </c>
      <c r="N4541" s="7">
        <v>3.6040000000000001</v>
      </c>
      <c r="O4541" s="7">
        <v>3.7709999999999999</v>
      </c>
      <c r="P4541" s="7">
        <v>4.3289999999999997</v>
      </c>
      <c r="Q4541" s="7">
        <v>5.3419999999999996</v>
      </c>
      <c r="R4541" s="7">
        <v>5.5140000000000002</v>
      </c>
      <c r="S4541" s="7">
        <f t="shared" si="70"/>
        <v>4.0553333333333335</v>
      </c>
    </row>
    <row r="4542" spans="1:19">
      <c r="A4542" s="5" t="str">
        <f>B4542&amp;"-"&amp;COUNTIF($B$2:B4542,B4542)</f>
        <v>SANTA CATARINA-126</v>
      </c>
      <c r="B4542" s="5" t="s">
        <v>2939</v>
      </c>
      <c r="C4542" s="5" t="s">
        <v>5748</v>
      </c>
      <c r="D4542" s="6">
        <v>-523336</v>
      </c>
      <c r="E4542" s="6">
        <v>-272769</v>
      </c>
      <c r="F4542" s="7">
        <v>4.5990000000000002</v>
      </c>
      <c r="G4542" s="7">
        <v>6.3</v>
      </c>
      <c r="H4542" s="7">
        <v>5.8410000000000002</v>
      </c>
      <c r="I4542" s="7">
        <v>5.1340000000000003</v>
      </c>
      <c r="J4542" s="7">
        <v>4.0030000000000001</v>
      </c>
      <c r="K4542" s="7">
        <v>3.0409999999999999</v>
      </c>
      <c r="L4542" s="7">
        <v>2.4820000000000002</v>
      </c>
      <c r="M4542" s="7">
        <v>2.8130000000000002</v>
      </c>
      <c r="N4542" s="7">
        <v>3.694</v>
      </c>
      <c r="O4542" s="7">
        <v>3.9769999999999999</v>
      </c>
      <c r="P4542" s="7">
        <v>5.085</v>
      </c>
      <c r="Q4542" s="7">
        <v>6.2359999999999998</v>
      </c>
      <c r="R4542" s="7">
        <v>6.5819999999999999</v>
      </c>
      <c r="S4542" s="7">
        <f t="shared" si="70"/>
        <v>4.5989999999999993</v>
      </c>
    </row>
    <row r="4543" spans="1:19">
      <c r="A4543" s="5" t="str">
        <f>B4543&amp;"-"&amp;COUNTIF($B$2:B4543,B4543)</f>
        <v>SANTA CATARINA-127</v>
      </c>
      <c r="B4543" s="5" t="s">
        <v>2939</v>
      </c>
      <c r="C4543" s="5" t="s">
        <v>5223</v>
      </c>
      <c r="D4543" s="6">
        <v>-499096</v>
      </c>
      <c r="E4543" s="6">
        <v>-263395</v>
      </c>
      <c r="F4543" s="7">
        <v>4.1349999999999998</v>
      </c>
      <c r="G4543" s="7">
        <v>5.4290000000000003</v>
      </c>
      <c r="H4543" s="7">
        <v>5.0670000000000002</v>
      </c>
      <c r="I4543" s="7">
        <v>4.5650000000000004</v>
      </c>
      <c r="J4543" s="7">
        <v>3.5840000000000001</v>
      </c>
      <c r="K4543" s="7">
        <v>2.9159999999999999</v>
      </c>
      <c r="L4543" s="7">
        <v>2.4950000000000001</v>
      </c>
      <c r="M4543" s="7">
        <v>2.7690000000000001</v>
      </c>
      <c r="N4543" s="7">
        <v>3.6970000000000001</v>
      </c>
      <c r="O4543" s="7">
        <v>3.76</v>
      </c>
      <c r="P4543" s="7">
        <v>4.3819999999999997</v>
      </c>
      <c r="Q4543" s="7">
        <v>5.3239999999999998</v>
      </c>
      <c r="R4543" s="7">
        <v>5.63</v>
      </c>
      <c r="S4543" s="7">
        <f t="shared" si="70"/>
        <v>4.1348333333333338</v>
      </c>
    </row>
    <row r="4544" spans="1:19">
      <c r="A4544" s="5" t="str">
        <f>B4544&amp;"-"&amp;COUNTIF($B$2:B4544,B4544)</f>
        <v>SANTA CATARINA-128</v>
      </c>
      <c r="B4544" s="5" t="s">
        <v>2939</v>
      </c>
      <c r="C4544" s="5" t="s">
        <v>3014</v>
      </c>
      <c r="D4544" s="6">
        <v>-486709</v>
      </c>
      <c r="E4544" s="6">
        <v>-269106</v>
      </c>
      <c r="F4544" s="7">
        <v>4.1479999999999997</v>
      </c>
      <c r="G4544" s="7">
        <v>5.7380000000000004</v>
      </c>
      <c r="H4544" s="7">
        <v>5.4349999999999996</v>
      </c>
      <c r="I4544" s="7">
        <v>4.6479999999999997</v>
      </c>
      <c r="J4544" s="7">
        <v>3.6930000000000001</v>
      </c>
      <c r="K4544" s="7">
        <v>3.016</v>
      </c>
      <c r="L4544" s="7">
        <v>2.5099999999999998</v>
      </c>
      <c r="M4544" s="7">
        <v>2.6259999999999999</v>
      </c>
      <c r="N4544" s="7">
        <v>3.2559999999999998</v>
      </c>
      <c r="O4544" s="7">
        <v>3.5049999999999999</v>
      </c>
      <c r="P4544" s="7">
        <v>4.2130000000000001</v>
      </c>
      <c r="Q4544" s="7">
        <v>5.3680000000000003</v>
      </c>
      <c r="R4544" s="7">
        <v>5.774</v>
      </c>
      <c r="S4544" s="7">
        <f t="shared" si="70"/>
        <v>4.1485000000000003</v>
      </c>
    </row>
    <row r="4545" spans="1:19">
      <c r="A4545" s="5" t="str">
        <f>B4545&amp;"-"&amp;COUNTIF($B$2:B4545,B4545)</f>
        <v>SANTA CATARINA-129</v>
      </c>
      <c r="B4545" s="5" t="s">
        <v>2939</v>
      </c>
      <c r="C4545" s="5" t="s">
        <v>3015</v>
      </c>
      <c r="D4545" s="6">
        <v>-486165</v>
      </c>
      <c r="E4545" s="6">
        <v>-270866</v>
      </c>
      <c r="F4545" s="7">
        <v>4.0439999999999996</v>
      </c>
      <c r="G4545" s="7">
        <v>5.5270000000000001</v>
      </c>
      <c r="H4545" s="7">
        <v>5.274</v>
      </c>
      <c r="I4545" s="7">
        <v>4.5179999999999998</v>
      </c>
      <c r="J4545" s="7">
        <v>3.64</v>
      </c>
      <c r="K4545" s="7">
        <v>3.0009999999999999</v>
      </c>
      <c r="L4545" s="7">
        <v>2.496</v>
      </c>
      <c r="M4545" s="7">
        <v>2.6459999999999999</v>
      </c>
      <c r="N4545" s="7">
        <v>3.2589999999999999</v>
      </c>
      <c r="O4545" s="7">
        <v>3.444</v>
      </c>
      <c r="P4545" s="7">
        <v>3.9820000000000002</v>
      </c>
      <c r="Q4545" s="7">
        <v>5.1609999999999996</v>
      </c>
      <c r="R4545" s="7">
        <v>5.5830000000000002</v>
      </c>
      <c r="S4545" s="7">
        <f t="shared" si="70"/>
        <v>4.0442499999999999</v>
      </c>
    </row>
    <row r="4546" spans="1:19">
      <c r="A4546" s="5" t="str">
        <f>B4546&amp;"-"&amp;COUNTIF($B$2:B4546,B4546)</f>
        <v>SANTA CATARINA-130</v>
      </c>
      <c r="B4546" s="5" t="s">
        <v>2939</v>
      </c>
      <c r="C4546" s="5" t="s">
        <v>262</v>
      </c>
      <c r="D4546" s="6">
        <v>-537171</v>
      </c>
      <c r="E4546" s="6">
        <v>-271663</v>
      </c>
      <c r="F4546" s="7">
        <v>4.625</v>
      </c>
      <c r="G4546" s="7">
        <v>6.407</v>
      </c>
      <c r="H4546" s="7">
        <v>5.867</v>
      </c>
      <c r="I4546" s="7">
        <v>5.1520000000000001</v>
      </c>
      <c r="J4546" s="7">
        <v>4.0250000000000004</v>
      </c>
      <c r="K4546" s="7">
        <v>3.093</v>
      </c>
      <c r="L4546" s="7">
        <v>2.5150000000000001</v>
      </c>
      <c r="M4546" s="7">
        <v>2.8570000000000002</v>
      </c>
      <c r="N4546" s="7">
        <v>3.7109999999999999</v>
      </c>
      <c r="O4546" s="7">
        <v>3.9980000000000002</v>
      </c>
      <c r="P4546" s="7">
        <v>5.1660000000000004</v>
      </c>
      <c r="Q4546" s="7">
        <v>6.1580000000000004</v>
      </c>
      <c r="R4546" s="7">
        <v>6.5519999999999996</v>
      </c>
      <c r="S4546" s="7">
        <f t="shared" si="70"/>
        <v>4.6250833333333334</v>
      </c>
    </row>
    <row r="4547" spans="1:19">
      <c r="A4547" s="5" t="str">
        <f>B4547&amp;"-"&amp;COUNTIF($B$2:B4547,B4547)</f>
        <v>SANTA CATARINA-131</v>
      </c>
      <c r="B4547" s="5" t="s">
        <v>2939</v>
      </c>
      <c r="C4547" s="5" t="s">
        <v>5749</v>
      </c>
      <c r="D4547" s="6">
        <v>-486186</v>
      </c>
      <c r="E4547" s="6">
        <v>-261162</v>
      </c>
      <c r="F4547" s="7">
        <v>3.8959999999999999</v>
      </c>
      <c r="G4547" s="7">
        <v>5.3029999999999999</v>
      </c>
      <c r="H4547" s="7">
        <v>5.1029999999999998</v>
      </c>
      <c r="I4547" s="7">
        <v>4.3970000000000002</v>
      </c>
      <c r="J4547" s="7">
        <v>3.68</v>
      </c>
      <c r="K4547" s="7">
        <v>2.9780000000000002</v>
      </c>
      <c r="L4547" s="7">
        <v>2.4710000000000001</v>
      </c>
      <c r="M4547" s="7">
        <v>2.5030000000000001</v>
      </c>
      <c r="N4547" s="7">
        <v>3.1720000000000002</v>
      </c>
      <c r="O4547" s="7">
        <v>3.2349999999999999</v>
      </c>
      <c r="P4547" s="7">
        <v>3.82</v>
      </c>
      <c r="Q4547" s="7">
        <v>4.8129999999999997</v>
      </c>
      <c r="R4547" s="7">
        <v>5.2720000000000002</v>
      </c>
      <c r="S4547" s="7">
        <f t="shared" ref="S4547:S4610" si="71">(G4547+H4547+I4547+J4547+K4547+L4547+M4547+N4547+O4547+P4547+Q4547+R4547)/12</f>
        <v>3.8955833333333341</v>
      </c>
    </row>
    <row r="4548" spans="1:19">
      <c r="A4548" s="5" t="str">
        <f>B4548&amp;"-"&amp;COUNTIF($B$2:B4548,B4548)</f>
        <v>SANTA CATARINA-132</v>
      </c>
      <c r="B4548" s="5" t="s">
        <v>2939</v>
      </c>
      <c r="C4548" s="5" t="s">
        <v>3016</v>
      </c>
      <c r="D4548" s="6">
        <v>-495996</v>
      </c>
      <c r="E4548" s="6">
        <v>-274173</v>
      </c>
      <c r="F4548" s="7">
        <v>4.1020000000000003</v>
      </c>
      <c r="G4548" s="7">
        <v>5.6619999999999999</v>
      </c>
      <c r="H4548" s="7">
        <v>5.3479999999999999</v>
      </c>
      <c r="I4548" s="7">
        <v>4.633</v>
      </c>
      <c r="J4548" s="7">
        <v>3.65</v>
      </c>
      <c r="K4548" s="7">
        <v>2.8650000000000002</v>
      </c>
      <c r="L4548" s="7">
        <v>2.343</v>
      </c>
      <c r="M4548" s="7">
        <v>2.54</v>
      </c>
      <c r="N4548" s="7">
        <v>3.3330000000000002</v>
      </c>
      <c r="O4548" s="7">
        <v>3.5169999999999999</v>
      </c>
      <c r="P4548" s="7">
        <v>4.1289999999999996</v>
      </c>
      <c r="Q4548" s="7">
        <v>5.4189999999999996</v>
      </c>
      <c r="R4548" s="7">
        <v>5.7850000000000001</v>
      </c>
      <c r="S4548" s="7">
        <f t="shared" si="71"/>
        <v>4.1020000000000003</v>
      </c>
    </row>
    <row r="4549" spans="1:19">
      <c r="A4549" s="5" t="str">
        <f>B4549&amp;"-"&amp;COUNTIF($B$2:B4549,B4549)</f>
        <v>SANTA CATARINA-133</v>
      </c>
      <c r="B4549" s="5" t="s">
        <v>2939</v>
      </c>
      <c r="C4549" s="5" t="s">
        <v>5750</v>
      </c>
      <c r="D4549" s="6">
        <v>-517365</v>
      </c>
      <c r="E4549" s="6">
        <v>-271741</v>
      </c>
      <c r="F4549" s="7">
        <v>4.53</v>
      </c>
      <c r="G4549" s="7">
        <v>5.9509999999999996</v>
      </c>
      <c r="H4549" s="7">
        <v>5.5090000000000003</v>
      </c>
      <c r="I4549" s="7">
        <v>4.9980000000000002</v>
      </c>
      <c r="J4549" s="7">
        <v>4.0330000000000004</v>
      </c>
      <c r="K4549" s="7">
        <v>3.0990000000000002</v>
      </c>
      <c r="L4549" s="7">
        <v>2.6669999999999998</v>
      </c>
      <c r="M4549" s="7">
        <v>2.9449999999999998</v>
      </c>
      <c r="N4549" s="7">
        <v>3.77</v>
      </c>
      <c r="O4549" s="7">
        <v>4.0339999999999998</v>
      </c>
      <c r="P4549" s="7">
        <v>4.96</v>
      </c>
      <c r="Q4549" s="7">
        <v>6.1109999999999998</v>
      </c>
      <c r="R4549" s="7">
        <v>6.2880000000000003</v>
      </c>
      <c r="S4549" s="7">
        <f t="shared" si="71"/>
        <v>4.5304166666666674</v>
      </c>
    </row>
    <row r="4550" spans="1:19">
      <c r="A4550" s="5" t="str">
        <f>B4550&amp;"-"&amp;COUNTIF($B$2:B4550,B4550)</f>
        <v>SANTA CATARINA-134</v>
      </c>
      <c r="B4550" s="5" t="s">
        <v>2939</v>
      </c>
      <c r="C4550" s="5" t="s">
        <v>3017</v>
      </c>
      <c r="D4550" s="6">
        <v>-497628</v>
      </c>
      <c r="E4550" s="6">
        <v>-289966</v>
      </c>
      <c r="F4550" s="7">
        <v>4.0919999999999996</v>
      </c>
      <c r="G4550" s="7">
        <v>5.468</v>
      </c>
      <c r="H4550" s="7">
        <v>5.1479999999999997</v>
      </c>
      <c r="I4550" s="7">
        <v>4.42</v>
      </c>
      <c r="J4550" s="7">
        <v>3.7719999999999998</v>
      </c>
      <c r="K4550" s="7">
        <v>2.9260000000000002</v>
      </c>
      <c r="L4550" s="7">
        <v>2.4369999999999998</v>
      </c>
      <c r="M4550" s="7">
        <v>2.68</v>
      </c>
      <c r="N4550" s="7">
        <v>3.3839999999999999</v>
      </c>
      <c r="O4550" s="7">
        <v>3.476</v>
      </c>
      <c r="P4550" s="7">
        <v>4.17</v>
      </c>
      <c r="Q4550" s="7">
        <v>5.4820000000000002</v>
      </c>
      <c r="R4550" s="7">
        <v>5.7359999999999998</v>
      </c>
      <c r="S4550" s="7">
        <f t="shared" si="71"/>
        <v>4.0915833333333333</v>
      </c>
    </row>
    <row r="4551" spans="1:19">
      <c r="A4551" s="5" t="str">
        <f>B4551&amp;"-"&amp;COUNTIF($B$2:B4551,B4551)</f>
        <v>SANTA CATARINA-135</v>
      </c>
      <c r="B4551" s="5" t="s">
        <v>2939</v>
      </c>
      <c r="C4551" s="5" t="s">
        <v>3018</v>
      </c>
      <c r="D4551" s="5" t="s">
        <v>3019</v>
      </c>
      <c r="E4551" s="6">
        <v>-286151</v>
      </c>
      <c r="F4551" s="7">
        <v>4.2699999999999996</v>
      </c>
      <c r="G4551" s="7">
        <v>5.9119999999999999</v>
      </c>
      <c r="H4551" s="7">
        <v>5.3920000000000003</v>
      </c>
      <c r="I4551" s="7">
        <v>4.5730000000000004</v>
      </c>
      <c r="J4551" s="7">
        <v>3.7930000000000001</v>
      </c>
      <c r="K4551" s="7">
        <v>3.0070000000000001</v>
      </c>
      <c r="L4551" s="7">
        <v>2.4969999999999999</v>
      </c>
      <c r="M4551" s="7">
        <v>2.7210000000000001</v>
      </c>
      <c r="N4551" s="7">
        <v>3.4449999999999998</v>
      </c>
      <c r="O4551" s="7">
        <v>3.5750000000000002</v>
      </c>
      <c r="P4551" s="7">
        <v>4.4130000000000003</v>
      </c>
      <c r="Q4551" s="7">
        <v>5.766</v>
      </c>
      <c r="R4551" s="7">
        <v>6.1459999999999999</v>
      </c>
      <c r="S4551" s="7">
        <f t="shared" si="71"/>
        <v>4.2700000000000005</v>
      </c>
    </row>
    <row r="4552" spans="1:19">
      <c r="A4552" s="5" t="str">
        <f>B4552&amp;"-"&amp;COUNTIF($B$2:B4552,B4552)</f>
        <v>SANTA CATARINA-136</v>
      </c>
      <c r="B4552" s="5" t="s">
        <v>2939</v>
      </c>
      <c r="C4552" s="5" t="s">
        <v>5751</v>
      </c>
      <c r="D4552" s="6">
        <v>-490717</v>
      </c>
      <c r="E4552" s="6">
        <v>-264856</v>
      </c>
      <c r="F4552" s="7">
        <v>3.9239999999999999</v>
      </c>
      <c r="G4552" s="7">
        <v>5.26</v>
      </c>
      <c r="H4552" s="7">
        <v>5.048</v>
      </c>
      <c r="I4552" s="7">
        <v>4.4290000000000003</v>
      </c>
      <c r="J4552" s="7">
        <v>3.6269999999999998</v>
      </c>
      <c r="K4552" s="7">
        <v>2.9849999999999999</v>
      </c>
      <c r="L4552" s="7">
        <v>2.4820000000000002</v>
      </c>
      <c r="M4552" s="7">
        <v>2.5859999999999999</v>
      </c>
      <c r="N4552" s="7">
        <v>3.2789999999999999</v>
      </c>
      <c r="O4552" s="7">
        <v>3.32</v>
      </c>
      <c r="P4552" s="7">
        <v>3.8439999999999999</v>
      </c>
      <c r="Q4552" s="7">
        <v>4.9210000000000003</v>
      </c>
      <c r="R4552" s="7">
        <v>5.3</v>
      </c>
      <c r="S4552" s="7">
        <f t="shared" si="71"/>
        <v>3.9234166666666663</v>
      </c>
    </row>
    <row r="4553" spans="1:19">
      <c r="A4553" s="5" t="str">
        <f>B4553&amp;"-"&amp;COUNTIF($B$2:B4553,B4553)</f>
        <v>SANTA CATARINA-137</v>
      </c>
      <c r="B4553" s="5" t="s">
        <v>2939</v>
      </c>
      <c r="C4553" s="5" t="s">
        <v>5224</v>
      </c>
      <c r="D4553" s="6">
        <v>-52863</v>
      </c>
      <c r="E4553" s="6">
        <v>-267196</v>
      </c>
      <c r="F4553" s="7">
        <v>4.6210000000000004</v>
      </c>
      <c r="G4553" s="7">
        <v>6.1760000000000002</v>
      </c>
      <c r="H4553" s="7">
        <v>5.6470000000000002</v>
      </c>
      <c r="I4553" s="7">
        <v>5.1130000000000004</v>
      </c>
      <c r="J4553" s="7">
        <v>4.117</v>
      </c>
      <c r="K4553" s="7">
        <v>3.16</v>
      </c>
      <c r="L4553" s="7">
        <v>2.673</v>
      </c>
      <c r="M4553" s="7">
        <v>3.016</v>
      </c>
      <c r="N4553" s="7">
        <v>3.8759999999999999</v>
      </c>
      <c r="O4553" s="7">
        <v>4.1100000000000003</v>
      </c>
      <c r="P4553" s="7">
        <v>5.109</v>
      </c>
      <c r="Q4553" s="7">
        <v>6.0949999999999998</v>
      </c>
      <c r="R4553" s="7">
        <v>6.3579999999999997</v>
      </c>
      <c r="S4553" s="7">
        <f t="shared" si="71"/>
        <v>4.6208333333333327</v>
      </c>
    </row>
    <row r="4554" spans="1:19">
      <c r="A4554" s="5" t="str">
        <f>B4554&amp;"-"&amp;COUNTIF($B$2:B4554,B4554)</f>
        <v>SANTA CATARINA-138</v>
      </c>
      <c r="B4554" s="5" t="s">
        <v>2939</v>
      </c>
      <c r="C4554" s="5" t="s">
        <v>4775</v>
      </c>
      <c r="D4554" s="6">
        <v>-515112</v>
      </c>
      <c r="E4554" s="6">
        <v>-271726</v>
      </c>
      <c r="F4554" s="7">
        <v>4.5140000000000002</v>
      </c>
      <c r="G4554" s="7">
        <v>5.9139999999999997</v>
      </c>
      <c r="H4554" s="7">
        <v>5.4589999999999996</v>
      </c>
      <c r="I4554" s="7">
        <v>4.9960000000000004</v>
      </c>
      <c r="J4554" s="7">
        <v>4.0519999999999996</v>
      </c>
      <c r="K4554" s="7">
        <v>3.069</v>
      </c>
      <c r="L4554" s="7">
        <v>2.653</v>
      </c>
      <c r="M4554" s="7">
        <v>2.915</v>
      </c>
      <c r="N4554" s="7">
        <v>3.782</v>
      </c>
      <c r="O4554" s="7">
        <v>4.024</v>
      </c>
      <c r="P4554" s="7">
        <v>4.9349999999999996</v>
      </c>
      <c r="Q4554" s="7">
        <v>6.1150000000000002</v>
      </c>
      <c r="R4554" s="7">
        <v>6.25</v>
      </c>
      <c r="S4554" s="7">
        <f t="shared" si="71"/>
        <v>4.5136666666666665</v>
      </c>
    </row>
    <row r="4555" spans="1:19">
      <c r="A4555" s="5" t="str">
        <f>B4555&amp;"-"&amp;COUNTIF($B$2:B4555,B4555)</f>
        <v>SANTA CATARINA-139</v>
      </c>
      <c r="B4555" s="5" t="s">
        <v>2939</v>
      </c>
      <c r="C4555" s="5" t="s">
        <v>3020</v>
      </c>
      <c r="D4555" s="6">
        <v>-488491</v>
      </c>
      <c r="E4555" s="6">
        <v>-26305</v>
      </c>
      <c r="F4555" s="7">
        <v>3.7869999999999999</v>
      </c>
      <c r="G4555" s="7">
        <v>5.0460000000000003</v>
      </c>
      <c r="H4555" s="7">
        <v>4.8440000000000003</v>
      </c>
      <c r="I4555" s="7">
        <v>4.2409999999999997</v>
      </c>
      <c r="J4555" s="7">
        <v>3.5190000000000001</v>
      </c>
      <c r="K4555" s="7">
        <v>2.9260000000000002</v>
      </c>
      <c r="L4555" s="7">
        <v>2.4489999999999998</v>
      </c>
      <c r="M4555" s="7">
        <v>2.5169999999999999</v>
      </c>
      <c r="N4555" s="7">
        <v>3.1840000000000002</v>
      </c>
      <c r="O4555" s="7">
        <v>3.198</v>
      </c>
      <c r="P4555" s="7">
        <v>3.7120000000000002</v>
      </c>
      <c r="Q4555" s="7">
        <v>4.7370000000000001</v>
      </c>
      <c r="R4555" s="7">
        <v>5.0709999999999997</v>
      </c>
      <c r="S4555" s="7">
        <f t="shared" si="71"/>
        <v>3.7870000000000004</v>
      </c>
    </row>
    <row r="4556" spans="1:19">
      <c r="A4556" s="5" t="str">
        <f>B4556&amp;"-"&amp;COUNTIF($B$2:B4556,B4556)</f>
        <v>SANTA CATARINA-140</v>
      </c>
      <c r="B4556" s="5" t="s">
        <v>2939</v>
      </c>
      <c r="C4556" s="5" t="s">
        <v>4493</v>
      </c>
      <c r="D4556" s="6">
        <v>-496291</v>
      </c>
      <c r="E4556" s="6">
        <v>-26957</v>
      </c>
      <c r="F4556" s="7">
        <v>4.0529999999999999</v>
      </c>
      <c r="G4556" s="7">
        <v>5.4980000000000002</v>
      </c>
      <c r="H4556" s="7">
        <v>5.2220000000000004</v>
      </c>
      <c r="I4556" s="7">
        <v>4.5890000000000004</v>
      </c>
      <c r="J4556" s="7">
        <v>3.6280000000000001</v>
      </c>
      <c r="K4556" s="7">
        <v>2.863</v>
      </c>
      <c r="L4556" s="7">
        <v>2.339</v>
      </c>
      <c r="M4556" s="7">
        <v>2.5430000000000001</v>
      </c>
      <c r="N4556" s="7">
        <v>3.355</v>
      </c>
      <c r="O4556" s="7">
        <v>3.5009999999999999</v>
      </c>
      <c r="P4556" s="7">
        <v>4.1260000000000003</v>
      </c>
      <c r="Q4556" s="7">
        <v>5.3310000000000004</v>
      </c>
      <c r="R4556" s="7">
        <v>5.6459999999999999</v>
      </c>
      <c r="S4556" s="7">
        <f t="shared" si="71"/>
        <v>4.0534166666666662</v>
      </c>
    </row>
    <row r="4557" spans="1:19">
      <c r="A4557" s="5" t="str">
        <f>B4557&amp;"-"&amp;COUNTIF($B$2:B4557,B4557)</f>
        <v>SANTA CATARINA-141</v>
      </c>
      <c r="B4557" s="5" t="s">
        <v>2939</v>
      </c>
      <c r="C4557" s="5" t="s">
        <v>5752</v>
      </c>
      <c r="D4557" s="6">
        <v>-527302</v>
      </c>
      <c r="E4557" s="6">
        <v>-263955</v>
      </c>
      <c r="F4557" s="7">
        <v>4.6500000000000004</v>
      </c>
      <c r="G4557" s="7">
        <v>6.1589999999999998</v>
      </c>
      <c r="H4557" s="7">
        <v>5.6390000000000002</v>
      </c>
      <c r="I4557" s="7">
        <v>5.0739999999999998</v>
      </c>
      <c r="J4557" s="7">
        <v>4.1520000000000001</v>
      </c>
      <c r="K4557" s="7">
        <v>3.2290000000000001</v>
      </c>
      <c r="L4557" s="7">
        <v>2.79</v>
      </c>
      <c r="M4557" s="7">
        <v>3.069</v>
      </c>
      <c r="N4557" s="7">
        <v>4</v>
      </c>
      <c r="O4557" s="7">
        <v>4.1840000000000002</v>
      </c>
      <c r="P4557" s="7">
        <v>5.1189999999999998</v>
      </c>
      <c r="Q4557" s="7">
        <v>6.0890000000000004</v>
      </c>
      <c r="R4557" s="7">
        <v>6.2869999999999999</v>
      </c>
      <c r="S4557" s="7">
        <f t="shared" si="71"/>
        <v>4.6492499999999994</v>
      </c>
    </row>
    <row r="4558" spans="1:19">
      <c r="A4558" s="5" t="str">
        <f>B4558&amp;"-"&amp;COUNTIF($B$2:B4558,B4558)</f>
        <v>SANTA CATARINA-142</v>
      </c>
      <c r="B4558" s="5" t="s">
        <v>2939</v>
      </c>
      <c r="C4558" s="5" t="s">
        <v>5225</v>
      </c>
      <c r="D4558" s="6">
        <v>-515581</v>
      </c>
      <c r="E4558" s="6">
        <v>-272584</v>
      </c>
      <c r="F4558" s="7">
        <v>4.5789999999999997</v>
      </c>
      <c r="G4558" s="7">
        <v>6.0720000000000001</v>
      </c>
      <c r="H4558" s="7">
        <v>5.6180000000000003</v>
      </c>
      <c r="I4558" s="7">
        <v>5.0739999999999998</v>
      </c>
      <c r="J4558" s="7">
        <v>4.0979999999999999</v>
      </c>
      <c r="K4558" s="7">
        <v>3.0739999999999998</v>
      </c>
      <c r="L4558" s="7">
        <v>2.6589999999999998</v>
      </c>
      <c r="M4558" s="7">
        <v>2.9350000000000001</v>
      </c>
      <c r="N4558" s="7">
        <v>3.746</v>
      </c>
      <c r="O4558" s="7">
        <v>4.0419999999999998</v>
      </c>
      <c r="P4558" s="7">
        <v>5.01</v>
      </c>
      <c r="Q4558" s="7">
        <v>6.2009999999999996</v>
      </c>
      <c r="R4558" s="7">
        <v>6.42</v>
      </c>
      <c r="S4558" s="7">
        <f t="shared" si="71"/>
        <v>4.5790833333333332</v>
      </c>
    </row>
    <row r="4559" spans="1:19">
      <c r="A4559" s="5" t="str">
        <f>B4559&amp;"-"&amp;COUNTIF($B$2:B4559,B4559)</f>
        <v>SANTA CATARINA-143</v>
      </c>
      <c r="B4559" s="5" t="s">
        <v>2939</v>
      </c>
      <c r="C4559" s="5" t="s">
        <v>3021</v>
      </c>
      <c r="D4559" s="6">
        <v>-503263</v>
      </c>
      <c r="E4559" s="6">
        <v>-278154</v>
      </c>
      <c r="F4559" s="7">
        <v>4.2270000000000003</v>
      </c>
      <c r="G4559" s="7">
        <v>5.7510000000000003</v>
      </c>
      <c r="H4559" s="7">
        <v>5.4480000000000004</v>
      </c>
      <c r="I4559" s="7">
        <v>4.6029999999999998</v>
      </c>
      <c r="J4559" s="7">
        <v>3.7269999999999999</v>
      </c>
      <c r="K4559" s="7">
        <v>2.8540000000000001</v>
      </c>
      <c r="L4559" s="7">
        <v>2.4470000000000001</v>
      </c>
      <c r="M4559" s="7">
        <v>2.6909999999999998</v>
      </c>
      <c r="N4559" s="7">
        <v>3.4969999999999999</v>
      </c>
      <c r="O4559" s="7">
        <v>3.6760000000000002</v>
      </c>
      <c r="P4559" s="7">
        <v>4.4139999999999997</v>
      </c>
      <c r="Q4559" s="7">
        <v>5.6369999999999996</v>
      </c>
      <c r="R4559" s="7">
        <v>5.9770000000000003</v>
      </c>
      <c r="S4559" s="7">
        <f t="shared" si="71"/>
        <v>4.2268333333333326</v>
      </c>
    </row>
    <row r="4560" spans="1:19">
      <c r="A4560" s="5" t="str">
        <f>B4560&amp;"-"&amp;COUNTIF($B$2:B4560,B4560)</f>
        <v>SANTA CATARINA-144</v>
      </c>
      <c r="B4560" s="5" t="s">
        <v>2939</v>
      </c>
      <c r="C4560" s="5" t="s">
        <v>3022</v>
      </c>
      <c r="D4560" s="6">
        <v>-487777</v>
      </c>
      <c r="E4560" s="6">
        <v>-284848</v>
      </c>
      <c r="F4560" s="7">
        <v>4.4379999999999997</v>
      </c>
      <c r="G4560" s="7">
        <v>6.21</v>
      </c>
      <c r="H4560" s="7">
        <v>5.6420000000000003</v>
      </c>
      <c r="I4560" s="7">
        <v>4.8179999999999996</v>
      </c>
      <c r="J4560" s="7">
        <v>3.8879999999999999</v>
      </c>
      <c r="K4560" s="7">
        <v>3.0510000000000002</v>
      </c>
      <c r="L4560" s="7">
        <v>2.5310000000000001</v>
      </c>
      <c r="M4560" s="7">
        <v>2.7490000000000001</v>
      </c>
      <c r="N4560" s="7">
        <v>3.4470000000000001</v>
      </c>
      <c r="O4560" s="7">
        <v>3.7029999999999998</v>
      </c>
      <c r="P4560" s="7">
        <v>4.6710000000000003</v>
      </c>
      <c r="Q4560" s="7">
        <v>6.0590000000000002</v>
      </c>
      <c r="R4560" s="7">
        <v>6.4809999999999999</v>
      </c>
      <c r="S4560" s="7">
        <f t="shared" si="71"/>
        <v>4.4375</v>
      </c>
    </row>
    <row r="4561" spans="1:19">
      <c r="A4561" s="5" t="str">
        <f>B4561&amp;"-"&amp;COUNTIF($B$2:B4561,B4561)</f>
        <v>SANTA CATARINA-145</v>
      </c>
      <c r="B4561" s="5" t="s">
        <v>2939</v>
      </c>
      <c r="C4561" s="5" t="s">
        <v>3023</v>
      </c>
      <c r="D4561" s="6">
        <v>-525652</v>
      </c>
      <c r="E4561" s="6">
        <v>-268581</v>
      </c>
      <c r="F4561" s="7">
        <v>4.6550000000000002</v>
      </c>
      <c r="G4561" s="7">
        <v>6.2670000000000003</v>
      </c>
      <c r="H4561" s="7">
        <v>5.734</v>
      </c>
      <c r="I4561" s="7">
        <v>5.1740000000000004</v>
      </c>
      <c r="J4561" s="7">
        <v>4.1479999999999997</v>
      </c>
      <c r="K4561" s="7">
        <v>3.1680000000000001</v>
      </c>
      <c r="L4561" s="7">
        <v>2.6989999999999998</v>
      </c>
      <c r="M4561" s="7">
        <v>2.9790000000000001</v>
      </c>
      <c r="N4561" s="7">
        <v>3.8460000000000001</v>
      </c>
      <c r="O4561" s="7">
        <v>4.0730000000000004</v>
      </c>
      <c r="P4561" s="7">
        <v>5.1420000000000003</v>
      </c>
      <c r="Q4561" s="7">
        <v>6.1840000000000002</v>
      </c>
      <c r="R4561" s="7">
        <v>6.44</v>
      </c>
      <c r="S4561" s="7">
        <f t="shared" si="71"/>
        <v>4.6544999999999996</v>
      </c>
    </row>
    <row r="4562" spans="1:19">
      <c r="A4562" s="5" t="str">
        <f>B4562&amp;"-"&amp;COUNTIF($B$2:B4562,B4562)</f>
        <v>SANTA CATARINA-146</v>
      </c>
      <c r="B4562" s="5" t="s">
        <v>2939</v>
      </c>
      <c r="C4562" s="5" t="s">
        <v>3024</v>
      </c>
      <c r="D4562" s="6">
        <v>-497336</v>
      </c>
      <c r="E4562" s="6">
        <v>-272178</v>
      </c>
      <c r="F4562" s="7">
        <v>4.0659999999999998</v>
      </c>
      <c r="G4562" s="7">
        <v>5.55</v>
      </c>
      <c r="H4562" s="7">
        <v>5.2510000000000003</v>
      </c>
      <c r="I4562" s="7">
        <v>4.6079999999999997</v>
      </c>
      <c r="J4562" s="7">
        <v>3.6389999999999998</v>
      </c>
      <c r="K4562" s="7">
        <v>2.8479999999999999</v>
      </c>
      <c r="L4562" s="7">
        <v>2.3010000000000002</v>
      </c>
      <c r="M4562" s="7">
        <v>2.4790000000000001</v>
      </c>
      <c r="N4562" s="7">
        <v>3.3170000000000002</v>
      </c>
      <c r="O4562" s="7">
        <v>3.5059999999999998</v>
      </c>
      <c r="P4562" s="7">
        <v>4.1440000000000001</v>
      </c>
      <c r="Q4562" s="7">
        <v>5.4139999999999997</v>
      </c>
      <c r="R4562" s="7">
        <v>5.7329999999999997</v>
      </c>
      <c r="S4562" s="7">
        <f t="shared" si="71"/>
        <v>4.065833333333333</v>
      </c>
    </row>
    <row r="4563" spans="1:19">
      <c r="A4563" s="5" t="str">
        <f>B4563&amp;"-"&amp;COUNTIF($B$2:B4563,B4563)</f>
        <v>SANTA CATARINA-147</v>
      </c>
      <c r="B4563" s="5" t="s">
        <v>2939</v>
      </c>
      <c r="C4563" s="5" t="s">
        <v>3025</v>
      </c>
      <c r="D4563" s="6">
        <v>-494039</v>
      </c>
      <c r="E4563" s="6">
        <v>-283864</v>
      </c>
      <c r="F4563" s="7">
        <v>3.96</v>
      </c>
      <c r="G4563" s="7">
        <v>5.1559999999999997</v>
      </c>
      <c r="H4563" s="7">
        <v>4.8040000000000003</v>
      </c>
      <c r="I4563" s="7">
        <v>4.2130000000000001</v>
      </c>
      <c r="J4563" s="7">
        <v>3.6379999999999999</v>
      </c>
      <c r="K4563" s="7">
        <v>2.8679999999999999</v>
      </c>
      <c r="L4563" s="7">
        <v>2.508</v>
      </c>
      <c r="M4563" s="7">
        <v>2.6949999999999998</v>
      </c>
      <c r="N4563" s="7">
        <v>3.4239999999999999</v>
      </c>
      <c r="O4563" s="7">
        <v>3.4529999999999998</v>
      </c>
      <c r="P4563" s="7">
        <v>4.0369999999999999</v>
      </c>
      <c r="Q4563" s="7">
        <v>5.24</v>
      </c>
      <c r="R4563" s="7">
        <v>5.4829999999999997</v>
      </c>
      <c r="S4563" s="7">
        <f t="shared" si="71"/>
        <v>3.9599166666666665</v>
      </c>
    </row>
    <row r="4564" spans="1:19">
      <c r="A4564" s="5" t="str">
        <f>B4564&amp;"-"&amp;COUNTIF($B$2:B4564,B4564)</f>
        <v>SANTA CATARINA-148</v>
      </c>
      <c r="B4564" s="5" t="s">
        <v>2939</v>
      </c>
      <c r="C4564" s="5" t="s">
        <v>4494</v>
      </c>
      <c r="D4564" s="6">
        <v>-506925</v>
      </c>
      <c r="E4564" s="6">
        <v>-269285</v>
      </c>
      <c r="F4564" s="7">
        <v>4.2839999999999998</v>
      </c>
      <c r="G4564" s="7">
        <v>5.5010000000000003</v>
      </c>
      <c r="H4564" s="7">
        <v>5.2140000000000004</v>
      </c>
      <c r="I4564" s="7">
        <v>4.6289999999999996</v>
      </c>
      <c r="J4564" s="7">
        <v>3.8090000000000002</v>
      </c>
      <c r="K4564" s="7">
        <v>2.956</v>
      </c>
      <c r="L4564" s="7">
        <v>2.649</v>
      </c>
      <c r="M4564" s="7">
        <v>2.8919999999999999</v>
      </c>
      <c r="N4564" s="7">
        <v>3.7730000000000001</v>
      </c>
      <c r="O4564" s="7">
        <v>3.8959999999999999</v>
      </c>
      <c r="P4564" s="7">
        <v>4.5750000000000002</v>
      </c>
      <c r="Q4564" s="7">
        <v>5.6459999999999999</v>
      </c>
      <c r="R4564" s="7">
        <v>5.86</v>
      </c>
      <c r="S4564" s="7">
        <f t="shared" si="71"/>
        <v>4.2833333333333332</v>
      </c>
    </row>
    <row r="4565" spans="1:19">
      <c r="A4565" s="5" t="str">
        <f>B4565&amp;"-"&amp;COUNTIF($B$2:B4565,B4565)</f>
        <v>SANTA CATARINA-149</v>
      </c>
      <c r="B4565" s="5" t="s">
        <v>2939</v>
      </c>
      <c r="C4565" s="5" t="s">
        <v>3026</v>
      </c>
      <c r="D4565" s="6">
        <v>-492793</v>
      </c>
      <c r="E4565" s="6">
        <v>-275086</v>
      </c>
      <c r="F4565" s="7">
        <v>4.0579999999999998</v>
      </c>
      <c r="G4565" s="7">
        <v>5.5140000000000002</v>
      </c>
      <c r="H4565" s="7">
        <v>5.2050000000000001</v>
      </c>
      <c r="I4565" s="7">
        <v>4.484</v>
      </c>
      <c r="J4565" s="7">
        <v>3.6779999999999999</v>
      </c>
      <c r="K4565" s="7">
        <v>2.9369999999999998</v>
      </c>
      <c r="L4565" s="7">
        <v>2.46</v>
      </c>
      <c r="M4565" s="7">
        <v>2.6429999999999998</v>
      </c>
      <c r="N4565" s="7">
        <v>3.3879999999999999</v>
      </c>
      <c r="O4565" s="7">
        <v>3.48</v>
      </c>
      <c r="P4565" s="7">
        <v>4.0119999999999996</v>
      </c>
      <c r="Q4565" s="7">
        <v>5.27</v>
      </c>
      <c r="R4565" s="7">
        <v>5.63</v>
      </c>
      <c r="S4565" s="7">
        <f t="shared" si="71"/>
        <v>4.058416666666667</v>
      </c>
    </row>
    <row r="4566" spans="1:19">
      <c r="A4566" s="5" t="str">
        <f>B4566&amp;"-"&amp;COUNTIF($B$2:B4566,B4566)</f>
        <v>SANTA CATARINA-150</v>
      </c>
      <c r="B4566" s="5" t="s">
        <v>2939</v>
      </c>
      <c r="C4566" s="5" t="s">
        <v>5226</v>
      </c>
      <c r="D4566" s="6">
        <v>-520833</v>
      </c>
      <c r="E4566" s="6">
        <v>-270512</v>
      </c>
      <c r="F4566" s="7">
        <v>4.5289999999999999</v>
      </c>
      <c r="G4566" s="7">
        <v>5.95</v>
      </c>
      <c r="H4566" s="7">
        <v>5.5190000000000001</v>
      </c>
      <c r="I4566" s="7">
        <v>4.9850000000000003</v>
      </c>
      <c r="J4566" s="7">
        <v>4.0549999999999997</v>
      </c>
      <c r="K4566" s="7">
        <v>3.0960000000000001</v>
      </c>
      <c r="L4566" s="7">
        <v>2.6680000000000001</v>
      </c>
      <c r="M4566" s="7">
        <v>2.9409999999999998</v>
      </c>
      <c r="N4566" s="7">
        <v>3.8010000000000002</v>
      </c>
      <c r="O4566" s="7">
        <v>4.0149999999999997</v>
      </c>
      <c r="P4566" s="7">
        <v>4.9850000000000003</v>
      </c>
      <c r="Q4566" s="7">
        <v>6.0640000000000001</v>
      </c>
      <c r="R4566" s="7">
        <v>6.2670000000000003</v>
      </c>
      <c r="S4566" s="7">
        <f t="shared" si="71"/>
        <v>4.5288333333333339</v>
      </c>
    </row>
    <row r="4567" spans="1:19">
      <c r="A4567" s="5" t="str">
        <f>B4567&amp;"-"&amp;COUNTIF($B$2:B4567,B4567)</f>
        <v>SANTA CATARINA-151</v>
      </c>
      <c r="B4567" s="5" t="s">
        <v>2939</v>
      </c>
      <c r="C4567" s="5" t="s">
        <v>3027</v>
      </c>
      <c r="D4567" s="6">
        <v>-495355</v>
      </c>
      <c r="E4567" s="6">
        <v>-271688</v>
      </c>
      <c r="F4567" s="7">
        <v>4.0789999999999997</v>
      </c>
      <c r="G4567" s="7">
        <v>5.6020000000000003</v>
      </c>
      <c r="H4567" s="7">
        <v>5.2679999999999998</v>
      </c>
      <c r="I4567" s="7">
        <v>4.6219999999999999</v>
      </c>
      <c r="J4567" s="7">
        <v>3.6739999999999999</v>
      </c>
      <c r="K4567" s="7">
        <v>2.8940000000000001</v>
      </c>
      <c r="L4567" s="7">
        <v>2.3679999999999999</v>
      </c>
      <c r="M4567" s="7">
        <v>2.5579999999999998</v>
      </c>
      <c r="N4567" s="7">
        <v>3.3380000000000001</v>
      </c>
      <c r="O4567" s="7">
        <v>3.4969999999999999</v>
      </c>
      <c r="P4567" s="7">
        <v>4.0949999999999998</v>
      </c>
      <c r="Q4567" s="7">
        <v>5.36</v>
      </c>
      <c r="R4567" s="7">
        <v>5.6769999999999996</v>
      </c>
      <c r="S4567" s="7">
        <f t="shared" si="71"/>
        <v>4.079416666666666</v>
      </c>
    </row>
    <row r="4568" spans="1:19">
      <c r="A4568" s="5" t="str">
        <f>B4568&amp;"-"&amp;COUNTIF($B$2:B4568,B4568)</f>
        <v>SANTA CATARINA-152</v>
      </c>
      <c r="B4568" s="5" t="s">
        <v>2939</v>
      </c>
      <c r="C4568" s="5" t="s">
        <v>3028</v>
      </c>
      <c r="D4568" s="6">
        <v>-489327</v>
      </c>
      <c r="E4568" s="6">
        <v>-267156</v>
      </c>
      <c r="F4568" s="7">
        <v>3.927</v>
      </c>
      <c r="G4568" s="7">
        <v>5.3339999999999996</v>
      </c>
      <c r="H4568" s="7">
        <v>5.1310000000000002</v>
      </c>
      <c r="I4568" s="7">
        <v>4.47</v>
      </c>
      <c r="J4568" s="7">
        <v>3.6179999999999999</v>
      </c>
      <c r="K4568" s="7">
        <v>2.996</v>
      </c>
      <c r="L4568" s="7">
        <v>2.48</v>
      </c>
      <c r="M4568" s="7">
        <v>2.593</v>
      </c>
      <c r="N4568" s="7">
        <v>3.2130000000000001</v>
      </c>
      <c r="O4568" s="7">
        <v>3.298</v>
      </c>
      <c r="P4568" s="7">
        <v>3.7589999999999999</v>
      </c>
      <c r="Q4568" s="7">
        <v>4.8979999999999997</v>
      </c>
      <c r="R4568" s="7">
        <v>5.3369999999999997</v>
      </c>
      <c r="S4568" s="7">
        <f t="shared" si="71"/>
        <v>3.9272499999999995</v>
      </c>
    </row>
    <row r="4569" spans="1:19">
      <c r="A4569" s="5" t="str">
        <f>B4569&amp;"-"&amp;COUNTIF($B$2:B4569,B4569)</f>
        <v>SANTA CATARINA-153</v>
      </c>
      <c r="B4569" s="5" t="s">
        <v>2939</v>
      </c>
      <c r="C4569" s="5" t="s">
        <v>3029</v>
      </c>
      <c r="D4569" s="6">
        <v>-514687</v>
      </c>
      <c r="E4569" s="6">
        <v>-271308</v>
      </c>
      <c r="F4569" s="7">
        <v>4.4880000000000004</v>
      </c>
      <c r="G4569" s="7">
        <v>5.8259999999999996</v>
      </c>
      <c r="H4569" s="7">
        <v>5.4530000000000003</v>
      </c>
      <c r="I4569" s="7">
        <v>4.9630000000000001</v>
      </c>
      <c r="J4569" s="7">
        <v>4.032</v>
      </c>
      <c r="K4569" s="7">
        <v>3.0649999999999999</v>
      </c>
      <c r="L4569" s="7">
        <v>2.68</v>
      </c>
      <c r="M4569" s="7">
        <v>2.899</v>
      </c>
      <c r="N4569" s="7">
        <v>3.7770000000000001</v>
      </c>
      <c r="O4569" s="7">
        <v>4.0259999999999998</v>
      </c>
      <c r="P4569" s="7">
        <v>4.899</v>
      </c>
      <c r="Q4569" s="7">
        <v>6.0419999999999998</v>
      </c>
      <c r="R4569" s="7">
        <v>6.2</v>
      </c>
      <c r="S4569" s="7">
        <f t="shared" si="71"/>
        <v>4.488500000000001</v>
      </c>
    </row>
    <row r="4570" spans="1:19">
      <c r="A4570" s="5" t="str">
        <f>B4570&amp;"-"&amp;COUNTIF($B$2:B4570,B4570)</f>
        <v>SANTA CATARINA-154</v>
      </c>
      <c r="B4570" s="5" t="s">
        <v>2939</v>
      </c>
      <c r="C4570" s="5" t="s">
        <v>3030</v>
      </c>
      <c r="D4570" s="6">
        <v>-51371</v>
      </c>
      <c r="E4570" s="6">
        <v>-268557</v>
      </c>
      <c r="F4570" s="7">
        <v>4.4000000000000004</v>
      </c>
      <c r="G4570" s="7">
        <v>5.69</v>
      </c>
      <c r="H4570" s="7">
        <v>5.25</v>
      </c>
      <c r="I4570" s="7">
        <v>4.8019999999999996</v>
      </c>
      <c r="J4570" s="7">
        <v>3.9329999999999998</v>
      </c>
      <c r="K4570" s="7">
        <v>3.016</v>
      </c>
      <c r="L4570" s="7">
        <v>2.7</v>
      </c>
      <c r="M4570" s="7">
        <v>2.9249999999999998</v>
      </c>
      <c r="N4570" s="7">
        <v>3.8330000000000002</v>
      </c>
      <c r="O4570" s="7">
        <v>3.9950000000000001</v>
      </c>
      <c r="P4570" s="7">
        <v>4.7919999999999998</v>
      </c>
      <c r="Q4570" s="7">
        <v>5.8449999999999998</v>
      </c>
      <c r="R4570" s="7">
        <v>6.02</v>
      </c>
      <c r="S4570" s="7">
        <f t="shared" si="71"/>
        <v>4.4000833333333338</v>
      </c>
    </row>
    <row r="4571" spans="1:19">
      <c r="A4571" s="5" t="str">
        <f>B4571&amp;"-"&amp;COUNTIF($B$2:B4571,B4571)</f>
        <v>SANTA CATARINA-155</v>
      </c>
      <c r="B4571" s="5" t="s">
        <v>2939</v>
      </c>
      <c r="C4571" s="5" t="s">
        <v>3031</v>
      </c>
      <c r="D4571" s="6">
        <v>-498091</v>
      </c>
      <c r="E4571" s="6">
        <v>-261164</v>
      </c>
      <c r="F4571" s="7">
        <v>4.1520000000000001</v>
      </c>
      <c r="G4571" s="7">
        <v>5.4809999999999999</v>
      </c>
      <c r="H4571" s="7">
        <v>5.15</v>
      </c>
      <c r="I4571" s="7">
        <v>4.5540000000000003</v>
      </c>
      <c r="J4571" s="7">
        <v>3.633</v>
      </c>
      <c r="K4571" s="7">
        <v>2.891</v>
      </c>
      <c r="L4571" s="7">
        <v>2.4969999999999999</v>
      </c>
      <c r="M4571" s="7">
        <v>2.746</v>
      </c>
      <c r="N4571" s="7">
        <v>3.7330000000000001</v>
      </c>
      <c r="O4571" s="7">
        <v>3.7869999999999999</v>
      </c>
      <c r="P4571" s="7">
        <v>4.4180000000000001</v>
      </c>
      <c r="Q4571" s="7">
        <v>5.3049999999999997</v>
      </c>
      <c r="R4571" s="7">
        <v>5.6289999999999996</v>
      </c>
      <c r="S4571" s="7">
        <f t="shared" si="71"/>
        <v>4.1520000000000001</v>
      </c>
    </row>
    <row r="4572" spans="1:19">
      <c r="A4572" s="5" t="str">
        <f>B4572&amp;"-"&amp;COUNTIF($B$2:B4572,B4572)</f>
        <v>SANTA CATARINA-156</v>
      </c>
      <c r="B4572" s="5" t="s">
        <v>2939</v>
      </c>
      <c r="C4572" s="5" t="s">
        <v>3032</v>
      </c>
      <c r="D4572" s="6">
        <v>-489492</v>
      </c>
      <c r="E4572" s="6">
        <v>-274197</v>
      </c>
      <c r="F4572" s="7">
        <v>4.0259999999999998</v>
      </c>
      <c r="G4572" s="7">
        <v>5.4470000000000001</v>
      </c>
      <c r="H4572" s="7">
        <v>5.2709999999999999</v>
      </c>
      <c r="I4572" s="7">
        <v>4.5380000000000003</v>
      </c>
      <c r="J4572" s="7">
        <v>3.6459999999999999</v>
      </c>
      <c r="K4572" s="7">
        <v>2.996</v>
      </c>
      <c r="L4572" s="7">
        <v>2.5019999999999998</v>
      </c>
      <c r="M4572" s="7">
        <v>2.6429999999999998</v>
      </c>
      <c r="N4572" s="7">
        <v>3.33</v>
      </c>
      <c r="O4572" s="7">
        <v>3.3980000000000001</v>
      </c>
      <c r="P4572" s="7">
        <v>3.8769999999999998</v>
      </c>
      <c r="Q4572" s="7">
        <v>5.1040000000000001</v>
      </c>
      <c r="R4572" s="7">
        <v>5.56</v>
      </c>
      <c r="S4572" s="7">
        <f t="shared" si="71"/>
        <v>4.0260000000000007</v>
      </c>
    </row>
    <row r="4573" spans="1:19">
      <c r="A4573" s="5" t="str">
        <f>B4573&amp;"-"&amp;COUNTIF($B$2:B4573,B4573)</f>
        <v>SANTA CATARINA-157</v>
      </c>
      <c r="B4573" s="5" t="s">
        <v>2939</v>
      </c>
      <c r="C4573" s="5" t="s">
        <v>3033</v>
      </c>
      <c r="D4573" s="6">
        <v>-50327</v>
      </c>
      <c r="E4573" s="6">
        <v>-263714</v>
      </c>
      <c r="F4573" s="7">
        <v>4.085</v>
      </c>
      <c r="G4573" s="7">
        <v>5.415</v>
      </c>
      <c r="H4573" s="7">
        <v>5.0439999999999996</v>
      </c>
      <c r="I4573" s="7">
        <v>4.5359999999999996</v>
      </c>
      <c r="J4573" s="7">
        <v>3.5369999999999999</v>
      </c>
      <c r="K4573" s="7">
        <v>2.85</v>
      </c>
      <c r="L4573" s="7">
        <v>2.4329999999999998</v>
      </c>
      <c r="M4573" s="7">
        <v>2.6709999999999998</v>
      </c>
      <c r="N4573" s="7">
        <v>3.62</v>
      </c>
      <c r="O4573" s="7">
        <v>3.72</v>
      </c>
      <c r="P4573" s="7">
        <v>4.2839999999999998</v>
      </c>
      <c r="Q4573" s="7">
        <v>5.3419999999999996</v>
      </c>
      <c r="R4573" s="7">
        <v>5.5679999999999996</v>
      </c>
      <c r="S4573" s="7">
        <f t="shared" si="71"/>
        <v>4.085</v>
      </c>
    </row>
    <row r="4574" spans="1:19">
      <c r="A4574" s="5" t="str">
        <f>B4574&amp;"-"&amp;COUNTIF($B$2:B4574,B4574)</f>
        <v>SANTA CATARINA-158</v>
      </c>
      <c r="B4574" s="5" t="s">
        <v>2939</v>
      </c>
      <c r="C4574" s="5" t="s">
        <v>5753</v>
      </c>
      <c r="D4574" s="6">
        <v>-49461</v>
      </c>
      <c r="E4574" s="6">
        <v>-288468</v>
      </c>
      <c r="F4574" s="7">
        <v>4.2190000000000003</v>
      </c>
      <c r="G4574" s="7">
        <v>5.7880000000000003</v>
      </c>
      <c r="H4574" s="7">
        <v>5.3220000000000001</v>
      </c>
      <c r="I4574" s="7">
        <v>4.5540000000000003</v>
      </c>
      <c r="J4574" s="7">
        <v>3.8250000000000002</v>
      </c>
      <c r="K4574" s="7">
        <v>2.9990000000000001</v>
      </c>
      <c r="L4574" s="7">
        <v>2.4609999999999999</v>
      </c>
      <c r="M4574" s="7">
        <v>2.698</v>
      </c>
      <c r="N4574" s="7">
        <v>3.4159999999999999</v>
      </c>
      <c r="O4574" s="7">
        <v>3.5409999999999999</v>
      </c>
      <c r="P4574" s="7">
        <v>4.3410000000000002</v>
      </c>
      <c r="Q4574" s="7">
        <v>5.7060000000000004</v>
      </c>
      <c r="R4574" s="7">
        <v>5.9770000000000003</v>
      </c>
      <c r="S4574" s="7">
        <f t="shared" si="71"/>
        <v>4.2190000000000003</v>
      </c>
    </row>
    <row r="4575" spans="1:19">
      <c r="A4575" s="5" t="str">
        <f>B4575&amp;"-"&amp;COUNTIF($B$2:B4575,B4575)</f>
        <v>SANTA CATARINA-159</v>
      </c>
      <c r="B4575" s="5" t="s">
        <v>2939</v>
      </c>
      <c r="C4575" s="5" t="s">
        <v>149</v>
      </c>
      <c r="D4575" s="6">
        <v>-531742</v>
      </c>
      <c r="E4575" s="6">
        <v>-26767</v>
      </c>
      <c r="F4575" s="7">
        <v>4.617</v>
      </c>
      <c r="G4575" s="7">
        <v>6.2149999999999999</v>
      </c>
      <c r="H4575" s="7">
        <v>5.7480000000000002</v>
      </c>
      <c r="I4575" s="7">
        <v>5.0670000000000002</v>
      </c>
      <c r="J4575" s="7">
        <v>4.1280000000000001</v>
      </c>
      <c r="K4575" s="7">
        <v>3.173</v>
      </c>
      <c r="L4575" s="7">
        <v>2.6640000000000001</v>
      </c>
      <c r="M4575" s="7">
        <v>2.97</v>
      </c>
      <c r="N4575" s="7">
        <v>3.8260000000000001</v>
      </c>
      <c r="O4575" s="7">
        <v>4.0839999999999996</v>
      </c>
      <c r="P4575" s="7">
        <v>5.1050000000000004</v>
      </c>
      <c r="Q4575" s="7">
        <v>6.0490000000000004</v>
      </c>
      <c r="R4575" s="7">
        <v>6.38</v>
      </c>
      <c r="S4575" s="7">
        <f t="shared" si="71"/>
        <v>4.6174166666666672</v>
      </c>
    </row>
    <row r="4576" spans="1:19">
      <c r="A4576" s="5" t="str">
        <f>B4576&amp;"-"&amp;COUNTIF($B$2:B4576,B4576)</f>
        <v>SANTA CATARINA-160</v>
      </c>
      <c r="B4576" s="5" t="s">
        <v>2939</v>
      </c>
      <c r="C4576" s="5" t="s">
        <v>3034</v>
      </c>
      <c r="D4576" s="6">
        <v>-526269</v>
      </c>
      <c r="E4576" s="6">
        <v>-268028</v>
      </c>
      <c r="F4576" s="7">
        <v>4.6660000000000004</v>
      </c>
      <c r="G4576" s="7">
        <v>6.3170000000000002</v>
      </c>
      <c r="H4576" s="7">
        <v>5.75</v>
      </c>
      <c r="I4576" s="7">
        <v>5.2110000000000003</v>
      </c>
      <c r="J4576" s="7">
        <v>4.18</v>
      </c>
      <c r="K4576" s="7">
        <v>3.169</v>
      </c>
      <c r="L4576" s="7">
        <v>2.69</v>
      </c>
      <c r="M4576" s="7">
        <v>2.9609999999999999</v>
      </c>
      <c r="N4576" s="7">
        <v>3.8530000000000002</v>
      </c>
      <c r="O4576" s="7">
        <v>4.0919999999999996</v>
      </c>
      <c r="P4576" s="7">
        <v>5.1379999999999999</v>
      </c>
      <c r="Q4576" s="7">
        <v>6.2069999999999999</v>
      </c>
      <c r="R4576" s="7">
        <v>6.4260000000000002</v>
      </c>
      <c r="S4576" s="7">
        <f t="shared" si="71"/>
        <v>4.6661666666666664</v>
      </c>
    </row>
    <row r="4577" spans="1:19">
      <c r="A4577" s="5" t="str">
        <f>B4577&amp;"-"&amp;COUNTIF($B$2:B4577,B4577)</f>
        <v>SANTA CATARINA-161</v>
      </c>
      <c r="B4577" s="5" t="s">
        <v>2939</v>
      </c>
      <c r="C4577" s="5" t="s">
        <v>1870</v>
      </c>
      <c r="D4577" s="6">
        <v>-490058</v>
      </c>
      <c r="E4577" s="6">
        <v>-266113</v>
      </c>
      <c r="F4577" s="7">
        <v>3.9249999999999998</v>
      </c>
      <c r="G4577" s="7">
        <v>5.2560000000000002</v>
      </c>
      <c r="H4577" s="7">
        <v>5.093</v>
      </c>
      <c r="I4577" s="7">
        <v>4.4480000000000004</v>
      </c>
      <c r="J4577" s="7">
        <v>3.6030000000000002</v>
      </c>
      <c r="K4577" s="7">
        <v>2.97</v>
      </c>
      <c r="L4577" s="7">
        <v>2.484</v>
      </c>
      <c r="M4577" s="7">
        <v>2.5939999999999999</v>
      </c>
      <c r="N4577" s="7">
        <v>3.262</v>
      </c>
      <c r="O4577" s="7">
        <v>3.31</v>
      </c>
      <c r="P4577" s="7">
        <v>3.8319999999999999</v>
      </c>
      <c r="Q4577" s="7">
        <v>4.9189999999999996</v>
      </c>
      <c r="R4577" s="7">
        <v>5.3339999999999996</v>
      </c>
      <c r="S4577" s="7">
        <f t="shared" si="71"/>
        <v>3.925416666666667</v>
      </c>
    </row>
    <row r="4578" spans="1:19">
      <c r="A4578" s="5" t="str">
        <f>B4578&amp;"-"&amp;COUNTIF($B$2:B4578,B4578)</f>
        <v>SANTA CATARINA-162</v>
      </c>
      <c r="B4578" s="5" t="s">
        <v>2939</v>
      </c>
      <c r="C4578" s="5" t="s">
        <v>3035</v>
      </c>
      <c r="D4578" s="6">
        <v>-511505</v>
      </c>
      <c r="E4578" s="6">
        <v>-264713</v>
      </c>
      <c r="F4578" s="7">
        <v>4.2039999999999997</v>
      </c>
      <c r="G4578" s="7">
        <v>5.4139999999999997</v>
      </c>
      <c r="H4578" s="7">
        <v>5.1280000000000001</v>
      </c>
      <c r="I4578" s="7">
        <v>4.5910000000000002</v>
      </c>
      <c r="J4578" s="7">
        <v>3.6669999999999998</v>
      </c>
      <c r="K4578" s="7">
        <v>2.944</v>
      </c>
      <c r="L4578" s="7">
        <v>2.5630000000000002</v>
      </c>
      <c r="M4578" s="7">
        <v>2.8159999999999998</v>
      </c>
      <c r="N4578" s="7">
        <v>3.7789999999999999</v>
      </c>
      <c r="O4578" s="7">
        <v>3.863</v>
      </c>
      <c r="P4578" s="7">
        <v>4.5090000000000003</v>
      </c>
      <c r="Q4578" s="7">
        <v>5.4720000000000004</v>
      </c>
      <c r="R4578" s="7">
        <v>5.6989999999999998</v>
      </c>
      <c r="S4578" s="7">
        <f t="shared" si="71"/>
        <v>4.2037499999999994</v>
      </c>
    </row>
    <row r="4579" spans="1:19">
      <c r="A4579" s="5" t="str">
        <f>B4579&amp;"-"&amp;COUNTIF($B$2:B4579,B4579)</f>
        <v>SANTA CATARINA-163</v>
      </c>
      <c r="B4579" s="5" t="s">
        <v>2939</v>
      </c>
      <c r="C4579" s="5" t="s">
        <v>3036</v>
      </c>
      <c r="D4579" s="6">
        <v>-496383</v>
      </c>
      <c r="E4579" s="6">
        <v>-288249</v>
      </c>
      <c r="F4579" s="7">
        <v>4.0469999999999997</v>
      </c>
      <c r="G4579" s="7">
        <v>5.4219999999999997</v>
      </c>
      <c r="H4579" s="7">
        <v>5.0679999999999996</v>
      </c>
      <c r="I4579" s="7">
        <v>4.3410000000000002</v>
      </c>
      <c r="J4579" s="7">
        <v>3.726</v>
      </c>
      <c r="K4579" s="7">
        <v>2.9169999999999998</v>
      </c>
      <c r="L4579" s="7">
        <v>2.4380000000000002</v>
      </c>
      <c r="M4579" s="7">
        <v>2.6869999999999998</v>
      </c>
      <c r="N4579" s="7">
        <v>3.3730000000000002</v>
      </c>
      <c r="O4579" s="7">
        <v>3.4350000000000001</v>
      </c>
      <c r="P4579" s="7">
        <v>4.1059999999999999</v>
      </c>
      <c r="Q4579" s="7">
        <v>5.4119999999999999</v>
      </c>
      <c r="R4579" s="7">
        <v>5.6369999999999996</v>
      </c>
      <c r="S4579" s="7">
        <f t="shared" si="71"/>
        <v>4.0468333333333328</v>
      </c>
    </row>
    <row r="4580" spans="1:19">
      <c r="A4580" s="5" t="str">
        <f>B4580&amp;"-"&amp;COUNTIF($B$2:B4580,B4580)</f>
        <v>SANTA CATARINA-164</v>
      </c>
      <c r="B4580" s="5" t="s">
        <v>2939</v>
      </c>
      <c r="C4580" s="5" t="s">
        <v>3037</v>
      </c>
      <c r="D4580" s="6">
        <v>-500688</v>
      </c>
      <c r="E4580" s="6">
        <v>-272011</v>
      </c>
      <c r="F4580" s="7">
        <v>4.01</v>
      </c>
      <c r="G4580" s="7">
        <v>5.4359999999999999</v>
      </c>
      <c r="H4580" s="7">
        <v>5.1749999999999998</v>
      </c>
      <c r="I4580" s="7">
        <v>4.53</v>
      </c>
      <c r="J4580" s="7">
        <v>3.613</v>
      </c>
      <c r="K4580" s="7">
        <v>2.851</v>
      </c>
      <c r="L4580" s="7">
        <v>2.323</v>
      </c>
      <c r="M4580" s="7">
        <v>2.4929999999999999</v>
      </c>
      <c r="N4580" s="7">
        <v>3.3140000000000001</v>
      </c>
      <c r="O4580" s="7">
        <v>3.4449999999999998</v>
      </c>
      <c r="P4580" s="7">
        <v>4.01</v>
      </c>
      <c r="Q4580" s="7">
        <v>5.3310000000000004</v>
      </c>
      <c r="R4580" s="7">
        <v>5.6040000000000001</v>
      </c>
      <c r="S4580" s="7">
        <f t="shared" si="71"/>
        <v>4.010416666666667</v>
      </c>
    </row>
    <row r="4581" spans="1:19">
      <c r="A4581" s="5" t="str">
        <f>B4581&amp;"-"&amp;COUNTIF($B$2:B4581,B4581)</f>
        <v>SANTA CATARINA-165</v>
      </c>
      <c r="B4581" s="5" t="s">
        <v>2939</v>
      </c>
      <c r="C4581" s="5" t="s">
        <v>3038</v>
      </c>
      <c r="D4581" s="6">
        <v>-530404</v>
      </c>
      <c r="E4581" s="6">
        <v>-267734</v>
      </c>
      <c r="F4581" s="7">
        <v>4.5949999999999998</v>
      </c>
      <c r="G4581" s="7">
        <v>6.1959999999999997</v>
      </c>
      <c r="H4581" s="7">
        <v>5.6779999999999999</v>
      </c>
      <c r="I4581" s="7">
        <v>5.0490000000000004</v>
      </c>
      <c r="J4581" s="7">
        <v>4.0709999999999997</v>
      </c>
      <c r="K4581" s="7">
        <v>3.1509999999999998</v>
      </c>
      <c r="L4581" s="7">
        <v>2.637</v>
      </c>
      <c r="M4581" s="7">
        <v>2.9769999999999999</v>
      </c>
      <c r="N4581" s="7">
        <v>3.831</v>
      </c>
      <c r="O4581" s="7">
        <v>4.0709999999999997</v>
      </c>
      <c r="P4581" s="7">
        <v>5.09</v>
      </c>
      <c r="Q4581" s="7">
        <v>6.01</v>
      </c>
      <c r="R4581" s="7">
        <v>6.3739999999999997</v>
      </c>
      <c r="S4581" s="7">
        <f t="shared" si="71"/>
        <v>4.5945833333333335</v>
      </c>
    </row>
    <row r="4582" spans="1:19">
      <c r="A4582" s="5" t="str">
        <f>B4582&amp;"-"&amp;COUNTIF($B$2:B4582,B4582)</f>
        <v>SANTA CATARINA-166</v>
      </c>
      <c r="B4582" s="5" t="s">
        <v>2939</v>
      </c>
      <c r="C4582" s="5" t="s">
        <v>3039</v>
      </c>
      <c r="D4582" s="6">
        <v>-534036</v>
      </c>
      <c r="E4582" s="6">
        <v>-271013</v>
      </c>
      <c r="F4582" s="7">
        <v>4.6059999999999999</v>
      </c>
      <c r="G4582" s="7">
        <v>6.3209999999999997</v>
      </c>
      <c r="H4582" s="7">
        <v>5.7830000000000004</v>
      </c>
      <c r="I4582" s="7">
        <v>5.1020000000000003</v>
      </c>
      <c r="J4582" s="7">
        <v>4.0149999999999997</v>
      </c>
      <c r="K4582" s="7">
        <v>3.073</v>
      </c>
      <c r="L4582" s="7">
        <v>2.5649999999999999</v>
      </c>
      <c r="M4582" s="7">
        <v>2.8679999999999999</v>
      </c>
      <c r="N4582" s="7">
        <v>3.7370000000000001</v>
      </c>
      <c r="O4582" s="7">
        <v>4.0190000000000001</v>
      </c>
      <c r="P4582" s="7">
        <v>5.1390000000000002</v>
      </c>
      <c r="Q4582" s="7">
        <v>6.1639999999999997</v>
      </c>
      <c r="R4582" s="7">
        <v>6.4870000000000001</v>
      </c>
      <c r="S4582" s="7">
        <f t="shared" si="71"/>
        <v>4.6060833333333333</v>
      </c>
    </row>
    <row r="4583" spans="1:19">
      <c r="A4583" s="5" t="str">
        <f>B4583&amp;"-"&amp;COUNTIF($B$2:B4583,B4583)</f>
        <v>SANTA CATARINA-167</v>
      </c>
      <c r="B4583" s="5" t="s">
        <v>2939</v>
      </c>
      <c r="C4583" s="5" t="s">
        <v>3040</v>
      </c>
      <c r="D4583" s="6">
        <v>-509812</v>
      </c>
      <c r="E4583" s="6">
        <v>-272244</v>
      </c>
      <c r="F4583" s="7">
        <v>4.3739999999999997</v>
      </c>
      <c r="G4583" s="7">
        <v>5.734</v>
      </c>
      <c r="H4583" s="7">
        <v>5.3780000000000001</v>
      </c>
      <c r="I4583" s="7">
        <v>4.7699999999999996</v>
      </c>
      <c r="J4583" s="7">
        <v>3.88</v>
      </c>
      <c r="K4583" s="7">
        <v>2.984</v>
      </c>
      <c r="L4583" s="7">
        <v>2.6240000000000001</v>
      </c>
      <c r="M4583" s="7">
        <v>2.8860000000000001</v>
      </c>
      <c r="N4583" s="7">
        <v>3.7360000000000002</v>
      </c>
      <c r="O4583" s="7">
        <v>3.875</v>
      </c>
      <c r="P4583" s="7">
        <v>4.6989999999999998</v>
      </c>
      <c r="Q4583" s="7">
        <v>5.8369999999999997</v>
      </c>
      <c r="R4583" s="7">
        <v>6.085</v>
      </c>
      <c r="S4583" s="7">
        <f t="shared" si="71"/>
        <v>4.3740000000000006</v>
      </c>
    </row>
    <row r="4584" spans="1:19">
      <c r="A4584" s="5" t="str">
        <f>B4584&amp;"-"&amp;COUNTIF($B$2:B4584,B4584)</f>
        <v>SANTA CATARINA-168</v>
      </c>
      <c r="B4584" s="5" t="s">
        <v>2939</v>
      </c>
      <c r="C4584" s="5" t="s">
        <v>3041</v>
      </c>
      <c r="D4584" s="6">
        <v>-502332</v>
      </c>
      <c r="E4584" s="6">
        <v>-264615</v>
      </c>
      <c r="F4584" s="7">
        <v>4.085</v>
      </c>
      <c r="G4584" s="7">
        <v>5.42</v>
      </c>
      <c r="H4584" s="7">
        <v>5.0609999999999999</v>
      </c>
      <c r="I4584" s="7">
        <v>4.5439999999999996</v>
      </c>
      <c r="J4584" s="7">
        <v>3.5680000000000001</v>
      </c>
      <c r="K4584" s="7">
        <v>2.8580000000000001</v>
      </c>
      <c r="L4584" s="7">
        <v>2.444</v>
      </c>
      <c r="M4584" s="7">
        <v>2.6850000000000001</v>
      </c>
      <c r="N4584" s="7">
        <v>3.5920000000000001</v>
      </c>
      <c r="O4584" s="7">
        <v>3.7069999999999999</v>
      </c>
      <c r="P4584" s="7">
        <v>4.266</v>
      </c>
      <c r="Q4584" s="7">
        <v>5.3479999999999999</v>
      </c>
      <c r="R4584" s="7">
        <v>5.532</v>
      </c>
      <c r="S4584" s="7">
        <f t="shared" si="71"/>
        <v>4.0854166666666663</v>
      </c>
    </row>
    <row r="4585" spans="1:19">
      <c r="A4585" s="5" t="str">
        <f>B4585&amp;"-"&amp;COUNTIF($B$2:B4585,B4585)</f>
        <v>SANTA CATARINA-169</v>
      </c>
      <c r="B4585" s="5" t="s">
        <v>2939</v>
      </c>
      <c r="C4585" s="5" t="s">
        <v>4776</v>
      </c>
      <c r="D4585" s="6">
        <v>-492174</v>
      </c>
      <c r="E4585" s="6">
        <v>-286516</v>
      </c>
      <c r="F4585" s="7">
        <v>4.2569999999999997</v>
      </c>
      <c r="G4585" s="7">
        <v>5.8570000000000002</v>
      </c>
      <c r="H4585" s="7">
        <v>5.3760000000000003</v>
      </c>
      <c r="I4585" s="7">
        <v>4.5599999999999996</v>
      </c>
      <c r="J4585" s="7">
        <v>3.8220000000000001</v>
      </c>
      <c r="K4585" s="7">
        <v>2.996</v>
      </c>
      <c r="L4585" s="7">
        <v>2.4990000000000001</v>
      </c>
      <c r="M4585" s="7">
        <v>2.7080000000000002</v>
      </c>
      <c r="N4585" s="7">
        <v>3.4319999999999999</v>
      </c>
      <c r="O4585" s="7">
        <v>3.569</v>
      </c>
      <c r="P4585" s="7">
        <v>4.4119999999999999</v>
      </c>
      <c r="Q4585" s="7">
        <v>5.7679999999999998</v>
      </c>
      <c r="R4585" s="7">
        <v>6.0860000000000003</v>
      </c>
      <c r="S4585" s="7">
        <f t="shared" si="71"/>
        <v>4.2570833333333331</v>
      </c>
    </row>
    <row r="4586" spans="1:19">
      <c r="A4586" s="5" t="str">
        <f>B4586&amp;"-"&amp;COUNTIF($B$2:B4586,B4586)</f>
        <v>SANTA CATARINA-170</v>
      </c>
      <c r="B4586" s="5" t="s">
        <v>2939</v>
      </c>
      <c r="C4586" s="5" t="s">
        <v>3042</v>
      </c>
      <c r="D4586" s="6">
        <v>-497218</v>
      </c>
      <c r="E4586" s="6">
        <v>-288011</v>
      </c>
      <c r="F4586" s="7">
        <v>3.95</v>
      </c>
      <c r="G4586" s="7">
        <v>5.2</v>
      </c>
      <c r="H4586" s="7">
        <v>4.915</v>
      </c>
      <c r="I4586" s="7">
        <v>4.2519999999999998</v>
      </c>
      <c r="J4586" s="7">
        <v>3.6659999999999999</v>
      </c>
      <c r="K4586" s="7">
        <v>2.8730000000000002</v>
      </c>
      <c r="L4586" s="7">
        <v>2.4319999999999999</v>
      </c>
      <c r="M4586" s="7">
        <v>2.6720000000000002</v>
      </c>
      <c r="N4586" s="7">
        <v>3.3620000000000001</v>
      </c>
      <c r="O4586" s="7">
        <v>3.367</v>
      </c>
      <c r="P4586" s="7">
        <v>3.9740000000000002</v>
      </c>
      <c r="Q4586" s="7">
        <v>5.2380000000000004</v>
      </c>
      <c r="R4586" s="7">
        <v>5.4459999999999997</v>
      </c>
      <c r="S4586" s="7">
        <f t="shared" si="71"/>
        <v>3.9497499999999994</v>
      </c>
    </row>
    <row r="4587" spans="1:19">
      <c r="A4587" s="5" t="str">
        <f>B4587&amp;"-"&amp;COUNTIF($B$2:B4587,B4587)</f>
        <v>SANTA CATARINA-171</v>
      </c>
      <c r="B4587" s="5" t="s">
        <v>2939</v>
      </c>
      <c r="C4587" s="5" t="s">
        <v>3043</v>
      </c>
      <c r="D4587" s="6">
        <v>-48655</v>
      </c>
      <c r="E4587" s="6">
        <v>-268948</v>
      </c>
      <c r="F4587" s="7">
        <v>4.1479999999999997</v>
      </c>
      <c r="G4587" s="7">
        <v>5.7380000000000004</v>
      </c>
      <c r="H4587" s="7">
        <v>5.4349999999999996</v>
      </c>
      <c r="I4587" s="7">
        <v>4.6479999999999997</v>
      </c>
      <c r="J4587" s="7">
        <v>3.6930000000000001</v>
      </c>
      <c r="K4587" s="7">
        <v>3.016</v>
      </c>
      <c r="L4587" s="7">
        <v>2.5099999999999998</v>
      </c>
      <c r="M4587" s="7">
        <v>2.6259999999999999</v>
      </c>
      <c r="N4587" s="7">
        <v>3.2559999999999998</v>
      </c>
      <c r="O4587" s="7">
        <v>3.5049999999999999</v>
      </c>
      <c r="P4587" s="7">
        <v>4.2130000000000001</v>
      </c>
      <c r="Q4587" s="7">
        <v>5.3680000000000003</v>
      </c>
      <c r="R4587" s="7">
        <v>5.774</v>
      </c>
      <c r="S4587" s="7">
        <f t="shared" si="71"/>
        <v>4.1485000000000003</v>
      </c>
    </row>
    <row r="4588" spans="1:19">
      <c r="A4588" s="5" t="str">
        <f>B4588&amp;"-"&amp;COUNTIF($B$2:B4588,B4588)</f>
        <v>SANTA CATARINA-172</v>
      </c>
      <c r="B4588" s="5" t="s">
        <v>2939</v>
      </c>
      <c r="C4588" s="5" t="s">
        <v>3044</v>
      </c>
      <c r="D4588" s="6">
        <v>-52907</v>
      </c>
      <c r="E4588" s="6">
        <v>-268986</v>
      </c>
      <c r="F4588" s="7">
        <v>4.6100000000000003</v>
      </c>
      <c r="G4588" s="7">
        <v>6.173</v>
      </c>
      <c r="H4588" s="7">
        <v>5.6929999999999996</v>
      </c>
      <c r="I4588" s="7">
        <v>5.1210000000000004</v>
      </c>
      <c r="J4588" s="7">
        <v>4.1120000000000001</v>
      </c>
      <c r="K4588" s="7">
        <v>3.141</v>
      </c>
      <c r="L4588" s="7">
        <v>2.637</v>
      </c>
      <c r="M4588" s="7">
        <v>2.9249999999999998</v>
      </c>
      <c r="N4588" s="7">
        <v>3.8079999999999998</v>
      </c>
      <c r="O4588" s="7">
        <v>4.0410000000000004</v>
      </c>
      <c r="P4588" s="7">
        <v>5.1360000000000001</v>
      </c>
      <c r="Q4588" s="7">
        <v>6.1159999999999997</v>
      </c>
      <c r="R4588" s="7">
        <v>6.4219999999999997</v>
      </c>
      <c r="S4588" s="7">
        <f t="shared" si="71"/>
        <v>4.6104166666666666</v>
      </c>
    </row>
    <row r="4589" spans="1:19">
      <c r="A4589" s="5" t="str">
        <f>B4589&amp;"-"&amp;COUNTIF($B$2:B4589,B4589)</f>
        <v>SANTA CATARINA-173</v>
      </c>
      <c r="B4589" s="5" t="s">
        <v>2939</v>
      </c>
      <c r="C4589" s="5" t="s">
        <v>3045</v>
      </c>
      <c r="D4589" s="6">
        <v>-528145</v>
      </c>
      <c r="E4589" s="6">
        <v>-269433</v>
      </c>
      <c r="F4589" s="7">
        <v>4.641</v>
      </c>
      <c r="G4589" s="7">
        <v>6.2229999999999999</v>
      </c>
      <c r="H4589" s="7">
        <v>5.7469999999999999</v>
      </c>
      <c r="I4589" s="7">
        <v>5.1680000000000001</v>
      </c>
      <c r="J4589" s="7">
        <v>4.1379999999999999</v>
      </c>
      <c r="K4589" s="7">
        <v>3.1579999999999999</v>
      </c>
      <c r="L4589" s="7">
        <v>2.6560000000000001</v>
      </c>
      <c r="M4589" s="7">
        <v>2.9409999999999998</v>
      </c>
      <c r="N4589" s="7">
        <v>3.8210000000000002</v>
      </c>
      <c r="O4589" s="7">
        <v>4.0609999999999999</v>
      </c>
      <c r="P4589" s="7">
        <v>5.1529999999999996</v>
      </c>
      <c r="Q4589" s="7">
        <v>6.1580000000000004</v>
      </c>
      <c r="R4589" s="7">
        <v>6.4660000000000002</v>
      </c>
      <c r="S4589" s="7">
        <f t="shared" si="71"/>
        <v>4.6408333333333331</v>
      </c>
    </row>
    <row r="4590" spans="1:19">
      <c r="A4590" s="5" t="str">
        <f>B4590&amp;"-"&amp;COUNTIF($B$2:B4590,B4590)</f>
        <v>SANTA CATARINA-174</v>
      </c>
      <c r="B4590" s="5" t="s">
        <v>2939</v>
      </c>
      <c r="C4590" s="5" t="s">
        <v>3046</v>
      </c>
      <c r="D4590" s="6">
        <v>-489303</v>
      </c>
      <c r="E4590" s="6">
        <v>-272785</v>
      </c>
      <c r="F4590" s="7">
        <v>4.0129999999999999</v>
      </c>
      <c r="G4590" s="7">
        <v>5.4509999999999996</v>
      </c>
      <c r="H4590" s="7">
        <v>5.2539999999999996</v>
      </c>
      <c r="I4590" s="7">
        <v>4.5590000000000002</v>
      </c>
      <c r="J4590" s="7">
        <v>3.6440000000000001</v>
      </c>
      <c r="K4590" s="7">
        <v>3.008</v>
      </c>
      <c r="L4590" s="7">
        <v>2.4940000000000002</v>
      </c>
      <c r="M4590" s="7">
        <v>2.63</v>
      </c>
      <c r="N4590" s="7">
        <v>3.3050000000000002</v>
      </c>
      <c r="O4590" s="7">
        <v>3.3690000000000002</v>
      </c>
      <c r="P4590" s="7">
        <v>3.8439999999999999</v>
      </c>
      <c r="Q4590" s="7">
        <v>5.0590000000000002</v>
      </c>
      <c r="R4590" s="7">
        <v>5.5369999999999999</v>
      </c>
      <c r="S4590" s="7">
        <f t="shared" si="71"/>
        <v>4.012833333333333</v>
      </c>
    </row>
    <row r="4591" spans="1:19">
      <c r="A4591" s="5" t="str">
        <f>B4591&amp;"-"&amp;COUNTIF($B$2:B4591,B4591)</f>
        <v>SANTA CATARINA-175</v>
      </c>
      <c r="B4591" s="5" t="s">
        <v>2939</v>
      </c>
      <c r="C4591" s="5" t="s">
        <v>842</v>
      </c>
      <c r="D4591" s="6">
        <v>-49506</v>
      </c>
      <c r="E4591" s="6">
        <v>-286343</v>
      </c>
      <c r="F4591" s="7">
        <v>3.9449999999999998</v>
      </c>
      <c r="G4591" s="7">
        <v>5.0730000000000004</v>
      </c>
      <c r="H4591" s="7">
        <v>4.8360000000000003</v>
      </c>
      <c r="I4591" s="7">
        <v>4.2050000000000001</v>
      </c>
      <c r="J4591" s="7">
        <v>3.5990000000000002</v>
      </c>
      <c r="K4591" s="7">
        <v>2.8849999999999998</v>
      </c>
      <c r="L4591" s="7">
        <v>2.4710000000000001</v>
      </c>
      <c r="M4591" s="7">
        <v>2.681</v>
      </c>
      <c r="N4591" s="7">
        <v>3.3860000000000001</v>
      </c>
      <c r="O4591" s="7">
        <v>3.3809999999999998</v>
      </c>
      <c r="P4591" s="7">
        <v>4.0330000000000004</v>
      </c>
      <c r="Q4591" s="7">
        <v>5.2619999999999996</v>
      </c>
      <c r="R4591" s="7">
        <v>5.5250000000000004</v>
      </c>
      <c r="S4591" s="7">
        <f t="shared" si="71"/>
        <v>3.9447499999999995</v>
      </c>
    </row>
    <row r="4592" spans="1:19">
      <c r="A4592" s="5" t="str">
        <f>B4592&amp;"-"&amp;COUNTIF($B$2:B4592,B4592)</f>
        <v>SANTA CATARINA-176</v>
      </c>
      <c r="B4592" s="5" t="s">
        <v>2939</v>
      </c>
      <c r="C4592" s="5" t="s">
        <v>481</v>
      </c>
      <c r="D4592" s="6">
        <v>-528286</v>
      </c>
      <c r="E4592" s="6">
        <v>-264447</v>
      </c>
      <c r="F4592" s="7">
        <v>4.6399999999999997</v>
      </c>
      <c r="G4592" s="7">
        <v>6.1319999999999997</v>
      </c>
      <c r="H4592" s="7">
        <v>5.6619999999999999</v>
      </c>
      <c r="I4592" s="7">
        <v>5.0720000000000001</v>
      </c>
      <c r="J4592" s="7">
        <v>4.1369999999999996</v>
      </c>
      <c r="K4592" s="7">
        <v>3.2280000000000002</v>
      </c>
      <c r="L4592" s="7">
        <v>2.7690000000000001</v>
      </c>
      <c r="M4592" s="7">
        <v>3.0710000000000002</v>
      </c>
      <c r="N4592" s="7">
        <v>3.9870000000000001</v>
      </c>
      <c r="O4592" s="7">
        <v>4.1959999999999997</v>
      </c>
      <c r="P4592" s="7">
        <v>5.1100000000000003</v>
      </c>
      <c r="Q4592" s="7">
        <v>6.0449999999999999</v>
      </c>
      <c r="R4592" s="7">
        <v>6.2679999999999998</v>
      </c>
      <c r="S4592" s="7">
        <f t="shared" si="71"/>
        <v>4.6397500000000003</v>
      </c>
    </row>
    <row r="4593" spans="1:19">
      <c r="A4593" s="5" t="str">
        <f>B4593&amp;"-"&amp;COUNTIF($B$2:B4593,B4593)</f>
        <v>SANTA CATARINA-177</v>
      </c>
      <c r="B4593" s="5" t="s">
        <v>2939</v>
      </c>
      <c r="C4593" s="5" t="s">
        <v>3047</v>
      </c>
      <c r="D4593" s="6">
        <v>-492991</v>
      </c>
      <c r="E4593" s="6">
        <v>-283492</v>
      </c>
      <c r="F4593" s="7">
        <v>4.0439999999999996</v>
      </c>
      <c r="G4593" s="7">
        <v>5.28</v>
      </c>
      <c r="H4593" s="7">
        <v>4.931</v>
      </c>
      <c r="I4593" s="7">
        <v>4.3319999999999999</v>
      </c>
      <c r="J4593" s="7">
        <v>3.706</v>
      </c>
      <c r="K4593" s="7">
        <v>2.915</v>
      </c>
      <c r="L4593" s="7">
        <v>2.512</v>
      </c>
      <c r="M4593" s="7">
        <v>2.7080000000000002</v>
      </c>
      <c r="N4593" s="7">
        <v>3.4580000000000002</v>
      </c>
      <c r="O4593" s="7">
        <v>3.536</v>
      </c>
      <c r="P4593" s="7">
        <v>4.16</v>
      </c>
      <c r="Q4593" s="7">
        <v>5.3949999999999996</v>
      </c>
      <c r="R4593" s="7">
        <v>5.601</v>
      </c>
      <c r="S4593" s="7">
        <f t="shared" si="71"/>
        <v>4.0444999999999993</v>
      </c>
    </row>
    <row r="4594" spans="1:19">
      <c r="A4594" s="5" t="str">
        <f>B4594&amp;"-"&amp;COUNTIF($B$2:B4594,B4594)</f>
        <v>SANTA CATARINA-178</v>
      </c>
      <c r="B4594" s="5" t="s">
        <v>2939</v>
      </c>
      <c r="C4594" s="5" t="s">
        <v>3048</v>
      </c>
      <c r="D4594" s="6">
        <v>-501235</v>
      </c>
      <c r="E4594" s="6">
        <v>-274794</v>
      </c>
      <c r="F4594" s="7">
        <v>4.0999999999999996</v>
      </c>
      <c r="G4594" s="7">
        <v>5.5430000000000001</v>
      </c>
      <c r="H4594" s="7">
        <v>5.2480000000000002</v>
      </c>
      <c r="I4594" s="7">
        <v>4.5270000000000001</v>
      </c>
      <c r="J4594" s="7">
        <v>3.6629999999999998</v>
      </c>
      <c r="K4594" s="7">
        <v>2.85</v>
      </c>
      <c r="L4594" s="7">
        <v>2.4049999999999998</v>
      </c>
      <c r="M4594" s="7">
        <v>2.6419999999999999</v>
      </c>
      <c r="N4594" s="7">
        <v>3.4049999999999998</v>
      </c>
      <c r="O4594" s="7">
        <v>3.556</v>
      </c>
      <c r="P4594" s="7">
        <v>4.1349999999999998</v>
      </c>
      <c r="Q4594" s="7">
        <v>5.4630000000000001</v>
      </c>
      <c r="R4594" s="7">
        <v>5.7670000000000003</v>
      </c>
      <c r="S4594" s="7">
        <f t="shared" si="71"/>
        <v>4.1003333333333343</v>
      </c>
    </row>
    <row r="4595" spans="1:19">
      <c r="A4595" s="5" t="str">
        <f>B4595&amp;"-"&amp;COUNTIF($B$2:B4595,B4595)</f>
        <v>SANTA CATARINA-179</v>
      </c>
      <c r="B4595" s="5" t="s">
        <v>2939</v>
      </c>
      <c r="C4595" s="5" t="s">
        <v>3049</v>
      </c>
      <c r="D4595" s="6">
        <v>-516198</v>
      </c>
      <c r="E4595" s="6">
        <v>-273384</v>
      </c>
      <c r="F4595" s="7">
        <v>4.5609999999999999</v>
      </c>
      <c r="G4595" s="7">
        <v>6.0490000000000004</v>
      </c>
      <c r="H4595" s="7">
        <v>5.5839999999999996</v>
      </c>
      <c r="I4595" s="7">
        <v>5.048</v>
      </c>
      <c r="J4595" s="7">
        <v>4.0650000000000004</v>
      </c>
      <c r="K4595" s="7">
        <v>3.0779999999999998</v>
      </c>
      <c r="L4595" s="7">
        <v>2.6339999999999999</v>
      </c>
      <c r="M4595" s="7">
        <v>2.931</v>
      </c>
      <c r="N4595" s="7">
        <v>3.7519999999999998</v>
      </c>
      <c r="O4595" s="7">
        <v>4.0199999999999996</v>
      </c>
      <c r="P4595" s="7">
        <v>4.9809999999999999</v>
      </c>
      <c r="Q4595" s="7">
        <v>6.1719999999999997</v>
      </c>
      <c r="R4595" s="7">
        <v>6.4139999999999997</v>
      </c>
      <c r="S4595" s="7">
        <f t="shared" si="71"/>
        <v>4.5606666666666671</v>
      </c>
    </row>
    <row r="4596" spans="1:19">
      <c r="A4596" s="5" t="str">
        <f>B4596&amp;"-"&amp;COUNTIF($B$2:B4596,B4596)</f>
        <v>SANTA CATARINA-180</v>
      </c>
      <c r="B4596" s="5" t="s">
        <v>2939</v>
      </c>
      <c r="C4596" s="5" t="s">
        <v>3050</v>
      </c>
      <c r="D4596" s="6">
        <v>-523113</v>
      </c>
      <c r="E4596" s="6">
        <v>-266925</v>
      </c>
      <c r="F4596" s="7">
        <v>4.6120000000000001</v>
      </c>
      <c r="G4596" s="7">
        <v>6.1950000000000003</v>
      </c>
      <c r="H4596" s="7">
        <v>5.5490000000000004</v>
      </c>
      <c r="I4596" s="7">
        <v>5.016</v>
      </c>
      <c r="J4596" s="7">
        <v>4.1189999999999998</v>
      </c>
      <c r="K4596" s="7">
        <v>3.2050000000000001</v>
      </c>
      <c r="L4596" s="7">
        <v>2.754</v>
      </c>
      <c r="M4596" s="7">
        <v>3.0190000000000001</v>
      </c>
      <c r="N4596" s="7">
        <v>3.9039999999999999</v>
      </c>
      <c r="O4596" s="7">
        <v>4.1210000000000004</v>
      </c>
      <c r="P4596" s="7">
        <v>5.0960000000000001</v>
      </c>
      <c r="Q4596" s="7">
        <v>6.0880000000000001</v>
      </c>
      <c r="R4596" s="7">
        <v>6.2830000000000004</v>
      </c>
      <c r="S4596" s="7">
        <f t="shared" si="71"/>
        <v>4.6124166666666664</v>
      </c>
    </row>
    <row r="4597" spans="1:19">
      <c r="A4597" s="5" t="str">
        <f>B4597&amp;"-"&amp;COUNTIF($B$2:B4597,B4597)</f>
        <v>SANTA CATARINA-181</v>
      </c>
      <c r="B4597" s="5" t="s">
        <v>2939</v>
      </c>
      <c r="C4597" s="5" t="s">
        <v>3051</v>
      </c>
      <c r="D4597" s="6">
        <v>-52498</v>
      </c>
      <c r="E4597" s="6">
        <v>-272546</v>
      </c>
      <c r="F4597" s="7">
        <v>4.5979999999999999</v>
      </c>
      <c r="G4597" s="7">
        <v>6.23</v>
      </c>
      <c r="H4597" s="7">
        <v>5.7779999999999996</v>
      </c>
      <c r="I4597" s="7">
        <v>5.1369999999999996</v>
      </c>
      <c r="J4597" s="7">
        <v>4.0730000000000004</v>
      </c>
      <c r="K4597" s="7">
        <v>3.036</v>
      </c>
      <c r="L4597" s="7">
        <v>2.476</v>
      </c>
      <c r="M4597" s="7">
        <v>2.8159999999999998</v>
      </c>
      <c r="N4597" s="7">
        <v>3.718</v>
      </c>
      <c r="O4597" s="7">
        <v>3.988</v>
      </c>
      <c r="P4597" s="7">
        <v>5.1150000000000002</v>
      </c>
      <c r="Q4597" s="7">
        <v>6.2359999999999998</v>
      </c>
      <c r="R4597" s="7">
        <v>6.5720000000000001</v>
      </c>
      <c r="S4597" s="7">
        <f t="shared" si="71"/>
        <v>4.5979166666666664</v>
      </c>
    </row>
    <row r="4598" spans="1:19">
      <c r="A4598" s="5" t="str">
        <f>B4598&amp;"-"&amp;COUNTIF($B$2:B4598,B4598)</f>
        <v>SANTA CATARINA-182</v>
      </c>
      <c r="B4598" s="5" t="s">
        <v>2939</v>
      </c>
      <c r="C4598" s="5" t="s">
        <v>3052</v>
      </c>
      <c r="D4598" s="6">
        <v>-501014</v>
      </c>
      <c r="E4598" s="6">
        <v>-279217</v>
      </c>
      <c r="F4598" s="7">
        <v>4.2880000000000003</v>
      </c>
      <c r="G4598" s="7">
        <v>5.77</v>
      </c>
      <c r="H4598" s="7">
        <v>5.3979999999999997</v>
      </c>
      <c r="I4598" s="7">
        <v>4.6820000000000004</v>
      </c>
      <c r="J4598" s="7">
        <v>3.7839999999999998</v>
      </c>
      <c r="K4598" s="7">
        <v>2.895</v>
      </c>
      <c r="L4598" s="7">
        <v>2.5030000000000001</v>
      </c>
      <c r="M4598" s="7">
        <v>2.7610000000000001</v>
      </c>
      <c r="N4598" s="7">
        <v>3.5430000000000001</v>
      </c>
      <c r="O4598" s="7">
        <v>3.762</v>
      </c>
      <c r="P4598" s="7">
        <v>4.5289999999999999</v>
      </c>
      <c r="Q4598" s="7">
        <v>5.7789999999999999</v>
      </c>
      <c r="R4598" s="7">
        <v>6.048</v>
      </c>
      <c r="S4598" s="7">
        <f t="shared" si="71"/>
        <v>4.2878333333333325</v>
      </c>
    </row>
    <row r="4599" spans="1:19">
      <c r="A4599" s="5" t="str">
        <f>B4599&amp;"-"&amp;COUNTIF($B$2:B4599,B4599)</f>
        <v>SANTA CATARINA-183</v>
      </c>
      <c r="B4599" s="5" t="s">
        <v>2939</v>
      </c>
      <c r="C4599" s="5" t="s">
        <v>4777</v>
      </c>
      <c r="D4599" s="6">
        <v>-486701</v>
      </c>
      <c r="E4599" s="6">
        <v>-27646</v>
      </c>
      <c r="F4599" s="7">
        <v>4.1559999999999997</v>
      </c>
      <c r="G4599" s="7">
        <v>5.7329999999999997</v>
      </c>
      <c r="H4599" s="7">
        <v>5.3520000000000003</v>
      </c>
      <c r="I4599" s="7">
        <v>4.5730000000000004</v>
      </c>
      <c r="J4599" s="7">
        <v>3.7330000000000001</v>
      </c>
      <c r="K4599" s="7">
        <v>3.03</v>
      </c>
      <c r="L4599" s="7">
        <v>2.544</v>
      </c>
      <c r="M4599" s="7">
        <v>2.6789999999999998</v>
      </c>
      <c r="N4599" s="7">
        <v>3.3889999999999998</v>
      </c>
      <c r="O4599" s="7">
        <v>3.464</v>
      </c>
      <c r="P4599" s="7">
        <v>4.149</v>
      </c>
      <c r="Q4599" s="7">
        <v>5.38</v>
      </c>
      <c r="R4599" s="7">
        <v>5.8440000000000003</v>
      </c>
      <c r="S4599" s="7">
        <f t="shared" si="71"/>
        <v>4.1558333333333337</v>
      </c>
    </row>
    <row r="4600" spans="1:19">
      <c r="A4600" s="5" t="str">
        <f>B4600&amp;"-"&amp;COUNTIF($B$2:B4600,B4600)</f>
        <v>SANTA CATARINA-184</v>
      </c>
      <c r="B4600" s="5" t="s">
        <v>2939</v>
      </c>
      <c r="C4600" s="5" t="s">
        <v>3053</v>
      </c>
      <c r="D4600" s="6">
        <v>-532775</v>
      </c>
      <c r="E4600" s="6">
        <v>-263475</v>
      </c>
      <c r="F4600" s="7">
        <v>4.66</v>
      </c>
      <c r="G4600" s="7">
        <v>6.2160000000000002</v>
      </c>
      <c r="H4600" s="7">
        <v>5.6680000000000001</v>
      </c>
      <c r="I4600" s="7">
        <v>5.109</v>
      </c>
      <c r="J4600" s="7">
        <v>4.141</v>
      </c>
      <c r="K4600" s="7">
        <v>3.2370000000000001</v>
      </c>
      <c r="L4600" s="7">
        <v>2.7589999999999999</v>
      </c>
      <c r="M4600" s="7">
        <v>3.0720000000000001</v>
      </c>
      <c r="N4600" s="7">
        <v>4.0049999999999999</v>
      </c>
      <c r="O4600" s="7">
        <v>4.2450000000000001</v>
      </c>
      <c r="P4600" s="7">
        <v>5.165</v>
      </c>
      <c r="Q4600" s="7">
        <v>6.0229999999999997</v>
      </c>
      <c r="R4600" s="7">
        <v>6.2830000000000004</v>
      </c>
      <c r="S4600" s="7">
        <f t="shared" si="71"/>
        <v>4.6602500000000004</v>
      </c>
    </row>
    <row r="4601" spans="1:19">
      <c r="A4601" s="5" t="str">
        <f>B4601&amp;"-"&amp;COUNTIF($B$2:B4601,B4601)</f>
        <v>SANTA CATARINA-185</v>
      </c>
      <c r="B4601" s="5" t="s">
        <v>2939</v>
      </c>
      <c r="C4601" s="5" t="s">
        <v>2065</v>
      </c>
      <c r="D4601" s="6">
        <v>-501582</v>
      </c>
      <c r="E4601" s="6">
        <v>-275835</v>
      </c>
      <c r="F4601" s="7">
        <v>4.1180000000000003</v>
      </c>
      <c r="G4601" s="7">
        <v>5.6210000000000004</v>
      </c>
      <c r="H4601" s="7">
        <v>5.3040000000000003</v>
      </c>
      <c r="I4601" s="7">
        <v>4.4930000000000003</v>
      </c>
      <c r="J4601" s="7">
        <v>3.6459999999999999</v>
      </c>
      <c r="K4601" s="7">
        <v>2.8450000000000002</v>
      </c>
      <c r="L4601" s="7">
        <v>2.391</v>
      </c>
      <c r="M4601" s="7">
        <v>2.649</v>
      </c>
      <c r="N4601" s="7">
        <v>3.4049999999999998</v>
      </c>
      <c r="O4601" s="7">
        <v>3.5710000000000002</v>
      </c>
      <c r="P4601" s="7">
        <v>4.1890000000000001</v>
      </c>
      <c r="Q4601" s="7">
        <v>5.48</v>
      </c>
      <c r="R4601" s="7">
        <v>5.8259999999999996</v>
      </c>
      <c r="S4601" s="7">
        <f t="shared" si="71"/>
        <v>4.1183333333333332</v>
      </c>
    </row>
    <row r="4602" spans="1:19">
      <c r="A4602" s="5" t="str">
        <f>B4602&amp;"-"&amp;COUNTIF($B$2:B4602,B4602)</f>
        <v>SANTA CATARINA-186</v>
      </c>
      <c r="B4602" s="5" t="s">
        <v>2939</v>
      </c>
      <c r="C4602" s="5" t="s">
        <v>3054</v>
      </c>
      <c r="D4602" s="6">
        <v>-531591</v>
      </c>
      <c r="E4602" s="6">
        <v>-270707</v>
      </c>
      <c r="F4602" s="7">
        <v>4.6150000000000002</v>
      </c>
      <c r="G4602" s="7">
        <v>6.2439999999999998</v>
      </c>
      <c r="H4602" s="7">
        <v>5.8090000000000002</v>
      </c>
      <c r="I4602" s="7">
        <v>5.1120000000000001</v>
      </c>
      <c r="J4602" s="7">
        <v>4.0650000000000004</v>
      </c>
      <c r="K4602" s="7">
        <v>3.0990000000000002</v>
      </c>
      <c r="L4602" s="7">
        <v>2.589</v>
      </c>
      <c r="M4602" s="7">
        <v>2.91</v>
      </c>
      <c r="N4602" s="7">
        <v>3.7679999999999998</v>
      </c>
      <c r="O4602" s="7">
        <v>4.0060000000000002</v>
      </c>
      <c r="P4602" s="7">
        <v>5.1269999999999998</v>
      </c>
      <c r="Q4602" s="7">
        <v>6.13</v>
      </c>
      <c r="R4602" s="7">
        <v>6.516</v>
      </c>
      <c r="S4602" s="7">
        <f t="shared" si="71"/>
        <v>4.614583333333333</v>
      </c>
    </row>
    <row r="4603" spans="1:19">
      <c r="A4603" s="5" t="str">
        <f>B4603&amp;"-"&amp;COUNTIF($B$2:B4603,B4603)</f>
        <v>SANTA CATARINA-187</v>
      </c>
      <c r="B4603" s="5" t="s">
        <v>2939</v>
      </c>
      <c r="C4603" s="5" t="s">
        <v>3055</v>
      </c>
      <c r="D4603" s="6">
        <v>-501395</v>
      </c>
      <c r="E4603" s="6">
        <v>-264085</v>
      </c>
      <c r="F4603" s="7">
        <v>4.0750000000000002</v>
      </c>
      <c r="G4603" s="7">
        <v>5.3319999999999999</v>
      </c>
      <c r="H4603" s="7">
        <v>5.0350000000000001</v>
      </c>
      <c r="I4603" s="7">
        <v>4.4980000000000002</v>
      </c>
      <c r="J4603" s="7">
        <v>3.5329999999999999</v>
      </c>
      <c r="K4603" s="7">
        <v>2.859</v>
      </c>
      <c r="L4603" s="7">
        <v>2.4569999999999999</v>
      </c>
      <c r="M4603" s="7">
        <v>2.6749999999999998</v>
      </c>
      <c r="N4603" s="7">
        <v>3.633</v>
      </c>
      <c r="O4603" s="7">
        <v>3.7330000000000001</v>
      </c>
      <c r="P4603" s="7">
        <v>4.3040000000000003</v>
      </c>
      <c r="Q4603" s="7">
        <v>5.3029999999999999</v>
      </c>
      <c r="R4603" s="7">
        <v>5.5369999999999999</v>
      </c>
      <c r="S4603" s="7">
        <f t="shared" si="71"/>
        <v>4.0749166666666667</v>
      </c>
    </row>
    <row r="4604" spans="1:19">
      <c r="A4604" s="5" t="str">
        <f>B4604&amp;"-"&amp;COUNTIF($B$2:B4604,B4604)</f>
        <v>SANTA CATARINA-188</v>
      </c>
      <c r="B4604" s="5" t="s">
        <v>2939</v>
      </c>
      <c r="C4604" s="5" t="s">
        <v>3056</v>
      </c>
      <c r="D4604" s="6">
        <v>-536721</v>
      </c>
      <c r="E4604" s="6">
        <v>-266205</v>
      </c>
      <c r="F4604" s="7">
        <v>4.6440000000000001</v>
      </c>
      <c r="G4604" s="7">
        <v>6.3079999999999998</v>
      </c>
      <c r="H4604" s="7">
        <v>5.7889999999999997</v>
      </c>
      <c r="I4604" s="7">
        <v>5.1159999999999997</v>
      </c>
      <c r="J4604" s="7">
        <v>4.0990000000000002</v>
      </c>
      <c r="K4604" s="7">
        <v>3.173</v>
      </c>
      <c r="L4604" s="7">
        <v>2.7160000000000002</v>
      </c>
      <c r="M4604" s="7">
        <v>2.98</v>
      </c>
      <c r="N4604" s="7">
        <v>3.8580000000000001</v>
      </c>
      <c r="O4604" s="7">
        <v>4.1379999999999999</v>
      </c>
      <c r="P4604" s="7">
        <v>5.1459999999999999</v>
      </c>
      <c r="Q4604" s="7">
        <v>6.0339999999999998</v>
      </c>
      <c r="R4604" s="7">
        <v>6.3769999999999998</v>
      </c>
      <c r="S4604" s="7">
        <f t="shared" si="71"/>
        <v>4.6444999999999999</v>
      </c>
    </row>
    <row r="4605" spans="1:19">
      <c r="A4605" s="5" t="str">
        <f>B4605&amp;"-"&amp;COUNTIF($B$2:B4605,B4605)</f>
        <v>SANTA CATARINA-189</v>
      </c>
      <c r="B4605" s="5" t="s">
        <v>2939</v>
      </c>
      <c r="C4605" s="5" t="s">
        <v>3057</v>
      </c>
      <c r="D4605" s="6">
        <v>-497226</v>
      </c>
      <c r="E4605" s="6">
        <v>-293104</v>
      </c>
      <c r="F4605" s="7">
        <v>4.2320000000000002</v>
      </c>
      <c r="G4605" s="7">
        <v>5.85</v>
      </c>
      <c r="H4605" s="7">
        <v>5.4219999999999997</v>
      </c>
      <c r="I4605" s="7">
        <v>4.5810000000000004</v>
      </c>
      <c r="J4605" s="7">
        <v>3.839</v>
      </c>
      <c r="K4605" s="7">
        <v>2.964</v>
      </c>
      <c r="L4605" s="7">
        <v>2.444</v>
      </c>
      <c r="M4605" s="7">
        <v>2.6579999999999999</v>
      </c>
      <c r="N4605" s="7">
        <v>3.3359999999999999</v>
      </c>
      <c r="O4605" s="7">
        <v>3.5249999999999999</v>
      </c>
      <c r="P4605" s="7">
        <v>4.3419999999999996</v>
      </c>
      <c r="Q4605" s="7">
        <v>5.7350000000000003</v>
      </c>
      <c r="R4605" s="7">
        <v>6.0819999999999999</v>
      </c>
      <c r="S4605" s="7">
        <f t="shared" si="71"/>
        <v>4.2314999999999996</v>
      </c>
    </row>
    <row r="4606" spans="1:19">
      <c r="A4606" s="5" t="str">
        <f>B4606&amp;"-"&amp;COUNTIF($B$2:B4606,B4606)</f>
        <v>SANTA CATARINA-190</v>
      </c>
      <c r="B4606" s="5" t="s">
        <v>2939</v>
      </c>
      <c r="C4606" s="5" t="s">
        <v>3058</v>
      </c>
      <c r="D4606" s="6">
        <v>-520572</v>
      </c>
      <c r="E4606" s="6">
        <v>-267834</v>
      </c>
      <c r="F4606" s="7">
        <v>4.5730000000000004</v>
      </c>
      <c r="G4606" s="7">
        <v>5.9790000000000001</v>
      </c>
      <c r="H4606" s="7">
        <v>5.5019999999999998</v>
      </c>
      <c r="I4606" s="7">
        <v>5.0419999999999998</v>
      </c>
      <c r="J4606" s="7">
        <v>4.0940000000000003</v>
      </c>
      <c r="K4606" s="7">
        <v>3.149</v>
      </c>
      <c r="L4606" s="7">
        <v>2.742</v>
      </c>
      <c r="M4606" s="7">
        <v>3.0110000000000001</v>
      </c>
      <c r="N4606" s="7">
        <v>3.883</v>
      </c>
      <c r="O4606" s="7">
        <v>4.1029999999999998</v>
      </c>
      <c r="P4606" s="7">
        <v>5.0590000000000002</v>
      </c>
      <c r="Q4606" s="7">
        <v>6.0439999999999996</v>
      </c>
      <c r="R4606" s="7">
        <v>6.27</v>
      </c>
      <c r="S4606" s="7">
        <f t="shared" si="71"/>
        <v>4.5731666666666664</v>
      </c>
    </row>
    <row r="4607" spans="1:19">
      <c r="A4607" s="5" t="str">
        <f>B4607&amp;"-"&amp;COUNTIF($B$2:B4607,B4607)</f>
        <v>SANTA CATARINA-191</v>
      </c>
      <c r="B4607" s="5" t="s">
        <v>2939</v>
      </c>
      <c r="C4607" s="5" t="s">
        <v>3059</v>
      </c>
      <c r="D4607" s="6">
        <v>-486727</v>
      </c>
      <c r="E4607" s="6">
        <v>-279606</v>
      </c>
      <c r="F4607" s="7">
        <v>4.1390000000000002</v>
      </c>
      <c r="G4607" s="7">
        <v>5.6360000000000001</v>
      </c>
      <c r="H4607" s="7">
        <v>5.165</v>
      </c>
      <c r="I4607" s="7">
        <v>4.4710000000000001</v>
      </c>
      <c r="J4607" s="7">
        <v>3.67</v>
      </c>
      <c r="K4607" s="7">
        <v>3.0089999999999999</v>
      </c>
      <c r="L4607" s="7">
        <v>2.5390000000000001</v>
      </c>
      <c r="M4607" s="7">
        <v>2.7149999999999999</v>
      </c>
      <c r="N4607" s="7">
        <v>3.4430000000000001</v>
      </c>
      <c r="O4607" s="7">
        <v>3.55</v>
      </c>
      <c r="P4607" s="7">
        <v>4.1989999999999998</v>
      </c>
      <c r="Q4607" s="7">
        <v>5.4450000000000003</v>
      </c>
      <c r="R4607" s="7">
        <v>5.8259999999999996</v>
      </c>
      <c r="S4607" s="7">
        <f t="shared" si="71"/>
        <v>4.1390000000000002</v>
      </c>
    </row>
    <row r="4608" spans="1:19">
      <c r="A4608" s="5" t="str">
        <f>B4608&amp;"-"&amp;COUNTIF($B$2:B4608,B4608)</f>
        <v>SANTA CATARINA-192</v>
      </c>
      <c r="B4608" s="5" t="s">
        <v>2939</v>
      </c>
      <c r="C4608" s="5" t="s">
        <v>3060</v>
      </c>
      <c r="D4608" s="6">
        <v>-491953</v>
      </c>
      <c r="E4608" s="6">
        <v>-284343</v>
      </c>
      <c r="F4608" s="7">
        <v>4.2210000000000001</v>
      </c>
      <c r="G4608" s="7">
        <v>5.6890000000000001</v>
      </c>
      <c r="H4608" s="7">
        <v>5.2770000000000001</v>
      </c>
      <c r="I4608" s="7">
        <v>4.5460000000000003</v>
      </c>
      <c r="J4608" s="7">
        <v>3.7850000000000001</v>
      </c>
      <c r="K4608" s="7">
        <v>2.9689999999999999</v>
      </c>
      <c r="L4608" s="7">
        <v>2.5270000000000001</v>
      </c>
      <c r="M4608" s="7">
        <v>2.7290000000000001</v>
      </c>
      <c r="N4608" s="7">
        <v>3.484</v>
      </c>
      <c r="O4608" s="7">
        <v>3.5960000000000001</v>
      </c>
      <c r="P4608" s="7">
        <v>4.3890000000000002</v>
      </c>
      <c r="Q4608" s="7">
        <v>5.6660000000000004</v>
      </c>
      <c r="R4608" s="7">
        <v>5.992</v>
      </c>
      <c r="S4608" s="7">
        <f t="shared" si="71"/>
        <v>4.2207500000000007</v>
      </c>
    </row>
    <row r="4609" spans="1:19">
      <c r="A4609" s="5" t="str">
        <f>B4609&amp;"-"&amp;COUNTIF($B$2:B4609,B4609)</f>
        <v>SANTA CATARINA-193</v>
      </c>
      <c r="B4609" s="5" t="s">
        <v>2939</v>
      </c>
      <c r="C4609" s="5" t="s">
        <v>3061</v>
      </c>
      <c r="D4609" s="6">
        <v>-486469</v>
      </c>
      <c r="E4609" s="6">
        <v>-267759</v>
      </c>
      <c r="F4609" s="7">
        <v>4.157</v>
      </c>
      <c r="G4609" s="7">
        <v>5.7350000000000003</v>
      </c>
      <c r="H4609" s="7">
        <v>5.4359999999999999</v>
      </c>
      <c r="I4609" s="7">
        <v>4.6689999999999996</v>
      </c>
      <c r="J4609" s="7">
        <v>3.6819999999999999</v>
      </c>
      <c r="K4609" s="7">
        <v>3.0270000000000001</v>
      </c>
      <c r="L4609" s="7">
        <v>2.52</v>
      </c>
      <c r="M4609" s="7">
        <v>2.617</v>
      </c>
      <c r="N4609" s="7">
        <v>3.2629999999999999</v>
      </c>
      <c r="O4609" s="7">
        <v>3.5009999999999999</v>
      </c>
      <c r="P4609" s="7">
        <v>4.2489999999999997</v>
      </c>
      <c r="Q4609" s="7">
        <v>5.4050000000000002</v>
      </c>
      <c r="R4609" s="7">
        <v>5.7859999999999996</v>
      </c>
      <c r="S4609" s="7">
        <f t="shared" si="71"/>
        <v>4.1574999999999998</v>
      </c>
    </row>
    <row r="4610" spans="1:19">
      <c r="A4610" s="5" t="str">
        <f>B4610&amp;"-"&amp;COUNTIF($B$2:B4610,B4610)</f>
        <v>SANTA CATARINA-194</v>
      </c>
      <c r="B4610" s="5" t="s">
        <v>2939</v>
      </c>
      <c r="C4610" s="5" t="s">
        <v>3062</v>
      </c>
      <c r="D4610" s="6">
        <v>-519022</v>
      </c>
      <c r="E4610" s="6">
        <v>-273759</v>
      </c>
      <c r="F4610" s="7">
        <v>4.6040000000000001</v>
      </c>
      <c r="G4610" s="7">
        <v>6.3090000000000002</v>
      </c>
      <c r="H4610" s="7">
        <v>5.7359999999999998</v>
      </c>
      <c r="I4610" s="7">
        <v>5.1079999999999997</v>
      </c>
      <c r="J4610" s="7">
        <v>4.0430000000000001</v>
      </c>
      <c r="K4610" s="7">
        <v>3.069</v>
      </c>
      <c r="L4610" s="7">
        <v>2.5289999999999999</v>
      </c>
      <c r="M4610" s="7">
        <v>2.8580000000000001</v>
      </c>
      <c r="N4610" s="7">
        <v>3.7189999999999999</v>
      </c>
      <c r="O4610" s="7">
        <v>3.9729999999999999</v>
      </c>
      <c r="P4610" s="7">
        <v>5.0659999999999998</v>
      </c>
      <c r="Q4610" s="7">
        <v>6.2619999999999996</v>
      </c>
      <c r="R4610" s="7">
        <v>6.58</v>
      </c>
      <c r="S4610" s="7">
        <f t="shared" si="71"/>
        <v>4.6043333333333329</v>
      </c>
    </row>
    <row r="4611" spans="1:19">
      <c r="A4611" s="5" t="str">
        <f>B4611&amp;"-"&amp;COUNTIF($B$2:B4611,B4611)</f>
        <v>SANTA CATARINA-195</v>
      </c>
      <c r="B4611" s="5" t="s">
        <v>2939</v>
      </c>
      <c r="C4611" s="5" t="s">
        <v>3063</v>
      </c>
      <c r="D4611" s="6">
        <v>-488764</v>
      </c>
      <c r="E4611" s="6">
        <v>-28382</v>
      </c>
      <c r="F4611" s="7">
        <v>4.2930000000000001</v>
      </c>
      <c r="G4611" s="7">
        <v>5.9139999999999997</v>
      </c>
      <c r="H4611" s="7">
        <v>5.423</v>
      </c>
      <c r="I4611" s="7">
        <v>4.6319999999999997</v>
      </c>
      <c r="J4611" s="7">
        <v>3.8050000000000002</v>
      </c>
      <c r="K4611" s="7">
        <v>3.0019999999999998</v>
      </c>
      <c r="L4611" s="7">
        <v>2.5129999999999999</v>
      </c>
      <c r="M4611" s="7">
        <v>2.7360000000000002</v>
      </c>
      <c r="N4611" s="7">
        <v>3.4510000000000001</v>
      </c>
      <c r="O4611" s="7">
        <v>3.6150000000000002</v>
      </c>
      <c r="P4611" s="7">
        <v>4.4459999999999997</v>
      </c>
      <c r="Q4611" s="7">
        <v>5.7930000000000001</v>
      </c>
      <c r="R4611" s="7">
        <v>6.1820000000000004</v>
      </c>
      <c r="S4611" s="7">
        <f t="shared" ref="S4611:S4674" si="72">(G4611+H4611+I4611+J4611+K4611+L4611+M4611+N4611+O4611+P4611+Q4611+R4611)/12</f>
        <v>4.2926666666666664</v>
      </c>
    </row>
    <row r="4612" spans="1:19">
      <c r="A4612" s="5" t="str">
        <f>B4612&amp;"-"&amp;COUNTIF($B$2:B4612,B4612)</f>
        <v>SANTA CATARINA-196</v>
      </c>
      <c r="B4612" s="5" t="s">
        <v>2939</v>
      </c>
      <c r="C4612" s="5" t="s">
        <v>5002</v>
      </c>
      <c r="D4612" s="6">
        <v>-496942</v>
      </c>
      <c r="E4612" s="6">
        <v>-275351</v>
      </c>
      <c r="F4612" s="7">
        <v>4.1319999999999997</v>
      </c>
      <c r="G4612" s="7">
        <v>5.6909999999999998</v>
      </c>
      <c r="H4612" s="7">
        <v>5.37</v>
      </c>
      <c r="I4612" s="7">
        <v>4.6660000000000004</v>
      </c>
      <c r="J4612" s="7">
        <v>3.6989999999999998</v>
      </c>
      <c r="K4612" s="7">
        <v>2.8969999999999998</v>
      </c>
      <c r="L4612" s="7">
        <v>2.3940000000000001</v>
      </c>
      <c r="M4612" s="7">
        <v>2.5760000000000001</v>
      </c>
      <c r="N4612" s="7">
        <v>3.3650000000000002</v>
      </c>
      <c r="O4612" s="7">
        <v>3.528</v>
      </c>
      <c r="P4612" s="7">
        <v>4.1529999999999996</v>
      </c>
      <c r="Q4612" s="7">
        <v>5.4550000000000001</v>
      </c>
      <c r="R4612" s="7">
        <v>5.7960000000000003</v>
      </c>
      <c r="S4612" s="7">
        <f t="shared" si="72"/>
        <v>4.1324999999999994</v>
      </c>
    </row>
    <row r="4613" spans="1:19">
      <c r="A4613" s="5" t="str">
        <f>B4613&amp;"-"&amp;COUNTIF($B$2:B4613,B4613)</f>
        <v>SANTA CATARINA-197</v>
      </c>
      <c r="B4613" s="5" t="s">
        <v>2939</v>
      </c>
      <c r="C4613" s="5" t="s">
        <v>3064</v>
      </c>
      <c r="D4613" s="6">
        <v>-529917</v>
      </c>
      <c r="E4613" s="5" t="s">
        <v>3065</v>
      </c>
      <c r="F4613" s="7">
        <v>4.601</v>
      </c>
      <c r="G4613" s="7">
        <v>6.1420000000000003</v>
      </c>
      <c r="H4613" s="7">
        <v>5.6459999999999999</v>
      </c>
      <c r="I4613" s="7">
        <v>5.1100000000000003</v>
      </c>
      <c r="J4613" s="7">
        <v>4.0990000000000002</v>
      </c>
      <c r="K4613" s="7">
        <v>3.1509999999999998</v>
      </c>
      <c r="L4613" s="7">
        <v>2.633</v>
      </c>
      <c r="M4613" s="7">
        <v>2.9540000000000002</v>
      </c>
      <c r="N4613" s="7">
        <v>3.8340000000000001</v>
      </c>
      <c r="O4613" s="7">
        <v>4.0720000000000001</v>
      </c>
      <c r="P4613" s="7">
        <v>5.1050000000000004</v>
      </c>
      <c r="Q4613" s="7">
        <v>6.0860000000000003</v>
      </c>
      <c r="R4613" s="7">
        <v>6.375</v>
      </c>
      <c r="S4613" s="7">
        <f t="shared" si="72"/>
        <v>4.6005833333333337</v>
      </c>
    </row>
    <row r="4614" spans="1:19">
      <c r="A4614" s="5" t="str">
        <f>B4614&amp;"-"&amp;COUNTIF($B$2:B4614,B4614)</f>
        <v>SANTA CATARINA-198</v>
      </c>
      <c r="B4614" s="5" t="s">
        <v>2939</v>
      </c>
      <c r="C4614" s="5" t="s">
        <v>3066</v>
      </c>
      <c r="D4614" s="6">
        <v>-512298</v>
      </c>
      <c r="E4614" s="6">
        <v>-270449</v>
      </c>
      <c r="F4614" s="7">
        <v>4.4119999999999999</v>
      </c>
      <c r="G4614" s="7">
        <v>5.7569999999999997</v>
      </c>
      <c r="H4614" s="7">
        <v>5.3529999999999998</v>
      </c>
      <c r="I4614" s="7">
        <v>4.8449999999999998</v>
      </c>
      <c r="J4614" s="7">
        <v>3.944</v>
      </c>
      <c r="K4614" s="7">
        <v>3.0150000000000001</v>
      </c>
      <c r="L4614" s="7">
        <v>2.6480000000000001</v>
      </c>
      <c r="M4614" s="7">
        <v>2.8929999999999998</v>
      </c>
      <c r="N4614" s="7">
        <v>3.782</v>
      </c>
      <c r="O4614" s="7">
        <v>3.9590000000000001</v>
      </c>
      <c r="P4614" s="7">
        <v>4.766</v>
      </c>
      <c r="Q4614" s="7">
        <v>5.8979999999999997</v>
      </c>
      <c r="R4614" s="7">
        <v>6.0869999999999997</v>
      </c>
      <c r="S4614" s="7">
        <f t="shared" si="72"/>
        <v>4.4122500000000002</v>
      </c>
    </row>
    <row r="4615" spans="1:19">
      <c r="A4615" s="5" t="str">
        <f>B4615&amp;"-"&amp;COUNTIF($B$2:B4615,B4615)</f>
        <v>SANTA CATARINA-199</v>
      </c>
      <c r="B4615" s="5" t="s">
        <v>2939</v>
      </c>
      <c r="C4615" s="5" t="s">
        <v>3067</v>
      </c>
      <c r="D4615" s="6">
        <v>-517673</v>
      </c>
      <c r="E4615" s="6">
        <v>-274247</v>
      </c>
      <c r="F4615" s="7">
        <v>4.5940000000000003</v>
      </c>
      <c r="G4615" s="7">
        <v>6.1609999999999996</v>
      </c>
      <c r="H4615" s="7">
        <v>5.6769999999999996</v>
      </c>
      <c r="I4615" s="7">
        <v>5.0869999999999997</v>
      </c>
      <c r="J4615" s="7">
        <v>4.0819999999999999</v>
      </c>
      <c r="K4615" s="7">
        <v>3.0779999999999998</v>
      </c>
      <c r="L4615" s="7">
        <v>2.6179999999999999</v>
      </c>
      <c r="M4615" s="7">
        <v>2.919</v>
      </c>
      <c r="N4615" s="7">
        <v>3.742</v>
      </c>
      <c r="O4615" s="7">
        <v>3.984</v>
      </c>
      <c r="P4615" s="7">
        <v>5.0410000000000004</v>
      </c>
      <c r="Q4615" s="7">
        <v>6.2359999999999998</v>
      </c>
      <c r="R4615" s="7">
        <v>6.5060000000000002</v>
      </c>
      <c r="S4615" s="7">
        <f t="shared" si="72"/>
        <v>4.5942499999999997</v>
      </c>
    </row>
    <row r="4616" spans="1:19">
      <c r="A4616" s="5" t="str">
        <f>B4616&amp;"-"&amp;COUNTIF($B$2:B4616,B4616)</f>
        <v>SANTA CATARINA-200</v>
      </c>
      <c r="B4616" s="5" t="s">
        <v>2939</v>
      </c>
      <c r="C4616" s="5" t="s">
        <v>3068</v>
      </c>
      <c r="D4616" s="6">
        <v>-528674</v>
      </c>
      <c r="E4616" s="6">
        <v>-270709</v>
      </c>
      <c r="F4616" s="7">
        <v>4.6449999999999996</v>
      </c>
      <c r="G4616" s="7">
        <v>6.2450000000000001</v>
      </c>
      <c r="H4616" s="7">
        <v>5.8140000000000001</v>
      </c>
      <c r="I4616" s="7">
        <v>5.2069999999999999</v>
      </c>
      <c r="J4616" s="7">
        <v>4.1130000000000004</v>
      </c>
      <c r="K4616" s="7">
        <v>3.1240000000000001</v>
      </c>
      <c r="L4616" s="7">
        <v>2.629</v>
      </c>
      <c r="M4616" s="7">
        <v>2.9119999999999999</v>
      </c>
      <c r="N4616" s="7">
        <v>3.7759999999999998</v>
      </c>
      <c r="O4616" s="7">
        <v>4.0069999999999997</v>
      </c>
      <c r="P4616" s="7">
        <v>5.1509999999999998</v>
      </c>
      <c r="Q4616" s="7">
        <v>6.1950000000000003</v>
      </c>
      <c r="R4616" s="7">
        <v>6.5659999999999998</v>
      </c>
      <c r="S4616" s="7">
        <f t="shared" si="72"/>
        <v>4.6449166666666661</v>
      </c>
    </row>
    <row r="4617" spans="1:19">
      <c r="A4617" s="5" t="str">
        <f>B4617&amp;"-"&amp;COUNTIF($B$2:B4617,B4617)</f>
        <v>SANTA CATARINA-201</v>
      </c>
      <c r="B4617" s="5" t="s">
        <v>2939</v>
      </c>
      <c r="C4617" s="5" t="s">
        <v>3069</v>
      </c>
      <c r="D4617" s="6">
        <v>-491789</v>
      </c>
      <c r="E4617" s="6">
        <v>-267388</v>
      </c>
      <c r="F4617" s="7">
        <v>3.88</v>
      </c>
      <c r="G4617" s="7">
        <v>5.2610000000000001</v>
      </c>
      <c r="H4617" s="7">
        <v>5.01</v>
      </c>
      <c r="I4617" s="7">
        <v>4.399</v>
      </c>
      <c r="J4617" s="7">
        <v>3.5760000000000001</v>
      </c>
      <c r="K4617" s="7">
        <v>2.9390000000000001</v>
      </c>
      <c r="L4617" s="7">
        <v>2.4369999999999998</v>
      </c>
      <c r="M4617" s="7">
        <v>2.5750000000000002</v>
      </c>
      <c r="N4617" s="7">
        <v>3.2410000000000001</v>
      </c>
      <c r="O4617" s="7">
        <v>3.2669999999999999</v>
      </c>
      <c r="P4617" s="7">
        <v>3.714</v>
      </c>
      <c r="Q4617" s="7">
        <v>4.8620000000000001</v>
      </c>
      <c r="R4617" s="7">
        <v>5.2750000000000004</v>
      </c>
      <c r="S4617" s="7">
        <f t="shared" si="72"/>
        <v>3.879666666666667</v>
      </c>
    </row>
    <row r="4618" spans="1:19">
      <c r="A4618" s="5" t="str">
        <f>B4618&amp;"-"&amp;COUNTIF($B$2:B4618,B4618)</f>
        <v>SANTA CATARINA-202</v>
      </c>
      <c r="B4618" s="5" t="s">
        <v>2939</v>
      </c>
      <c r="C4618" s="5" t="s">
        <v>3070</v>
      </c>
      <c r="D4618" s="6">
        <v>-503768</v>
      </c>
      <c r="E4618" s="6">
        <v>-27484</v>
      </c>
      <c r="F4618" s="7">
        <v>4.2229999999999999</v>
      </c>
      <c r="G4618" s="7">
        <v>5.6470000000000002</v>
      </c>
      <c r="H4618" s="7">
        <v>5.2939999999999996</v>
      </c>
      <c r="I4618" s="7">
        <v>4.6420000000000003</v>
      </c>
      <c r="J4618" s="7">
        <v>3.7389999999999999</v>
      </c>
      <c r="K4618" s="7">
        <v>2.8940000000000001</v>
      </c>
      <c r="L4618" s="7">
        <v>2.5059999999999998</v>
      </c>
      <c r="M4618" s="7">
        <v>2.7029999999999998</v>
      </c>
      <c r="N4618" s="7">
        <v>3.55</v>
      </c>
      <c r="O4618" s="7">
        <v>3.7069999999999999</v>
      </c>
      <c r="P4618" s="7">
        <v>4.3929999999999998</v>
      </c>
      <c r="Q4618" s="7">
        <v>5.6429999999999998</v>
      </c>
      <c r="R4618" s="7">
        <v>5.95</v>
      </c>
      <c r="S4618" s="7">
        <f t="shared" si="72"/>
        <v>4.2223333333333342</v>
      </c>
    </row>
    <row r="4619" spans="1:19">
      <c r="A4619" s="5" t="str">
        <f>B4619&amp;"-"&amp;COUNTIF($B$2:B4619,B4619)</f>
        <v>SANTA CATARINA-203</v>
      </c>
      <c r="B4619" s="5" t="s">
        <v>2939</v>
      </c>
      <c r="C4619" s="5" t="s">
        <v>3071</v>
      </c>
      <c r="D4619" s="6">
        <v>-504664</v>
      </c>
      <c r="E4619" s="6">
        <v>-271596</v>
      </c>
      <c r="F4619" s="7">
        <v>4.26</v>
      </c>
      <c r="G4619" s="7">
        <v>5.5529999999999999</v>
      </c>
      <c r="H4619" s="7">
        <v>5.2990000000000004</v>
      </c>
      <c r="I4619" s="7">
        <v>4.6109999999999998</v>
      </c>
      <c r="J4619" s="7">
        <v>3.7749999999999999</v>
      </c>
      <c r="K4619" s="7">
        <v>2.93</v>
      </c>
      <c r="L4619" s="7">
        <v>2.593</v>
      </c>
      <c r="M4619" s="7">
        <v>2.8069999999999999</v>
      </c>
      <c r="N4619" s="7">
        <v>3.68</v>
      </c>
      <c r="O4619" s="7">
        <v>3.782</v>
      </c>
      <c r="P4619" s="7">
        <v>4.49</v>
      </c>
      <c r="Q4619" s="7">
        <v>5.68</v>
      </c>
      <c r="R4619" s="7">
        <v>5.9180000000000001</v>
      </c>
      <c r="S4619" s="7">
        <f t="shared" si="72"/>
        <v>4.2598333333333338</v>
      </c>
    </row>
    <row r="4620" spans="1:19">
      <c r="A4620" s="5" t="str">
        <f>B4620&amp;"-"&amp;COUNTIF($B$2:B4620,B4620)</f>
        <v>SANTA CATARINA-204</v>
      </c>
      <c r="B4620" s="5" t="s">
        <v>2939</v>
      </c>
      <c r="C4620" s="5" t="s">
        <v>3072</v>
      </c>
      <c r="D4620" s="6">
        <v>-520117</v>
      </c>
      <c r="E4620" s="6">
        <v>-268738</v>
      </c>
      <c r="F4620" s="7">
        <v>4.5460000000000003</v>
      </c>
      <c r="G4620" s="7">
        <v>5.9589999999999996</v>
      </c>
      <c r="H4620" s="7">
        <v>5.47</v>
      </c>
      <c r="I4620" s="7">
        <v>5.0060000000000002</v>
      </c>
      <c r="J4620" s="7">
        <v>4.0880000000000001</v>
      </c>
      <c r="K4620" s="7">
        <v>3.133</v>
      </c>
      <c r="L4620" s="7">
        <v>2.7210000000000001</v>
      </c>
      <c r="M4620" s="7">
        <v>2.9889999999999999</v>
      </c>
      <c r="N4620" s="7">
        <v>3.859</v>
      </c>
      <c r="O4620" s="7">
        <v>4.069</v>
      </c>
      <c r="P4620" s="7">
        <v>5.0140000000000002</v>
      </c>
      <c r="Q4620" s="7">
        <v>6.0149999999999997</v>
      </c>
      <c r="R4620" s="7">
        <v>6.2279999999999998</v>
      </c>
      <c r="S4620" s="7">
        <f t="shared" si="72"/>
        <v>4.5459166666666677</v>
      </c>
    </row>
    <row r="4621" spans="1:19">
      <c r="A4621" s="5" t="str">
        <f>B4621&amp;"-"&amp;COUNTIF($B$2:B4621,B4621)</f>
        <v>SANTA CATARINA-205</v>
      </c>
      <c r="B4621" s="5" t="s">
        <v>2939</v>
      </c>
      <c r="C4621" s="5" t="s">
        <v>3073</v>
      </c>
      <c r="D4621" s="6">
        <v>-485473</v>
      </c>
      <c r="E4621" s="6">
        <v>-271591</v>
      </c>
      <c r="F4621" s="7">
        <v>4.2110000000000003</v>
      </c>
      <c r="G4621" s="7">
        <v>5.8280000000000003</v>
      </c>
      <c r="H4621" s="7">
        <v>5.4710000000000001</v>
      </c>
      <c r="I4621" s="7">
        <v>4.7069999999999999</v>
      </c>
      <c r="J4621" s="7">
        <v>3.7480000000000002</v>
      </c>
      <c r="K4621" s="7">
        <v>3.0510000000000002</v>
      </c>
      <c r="L4621" s="7">
        <v>2.5430000000000001</v>
      </c>
      <c r="M4621" s="7">
        <v>2.694</v>
      </c>
      <c r="N4621" s="7">
        <v>3.3450000000000002</v>
      </c>
      <c r="O4621" s="7">
        <v>3.55</v>
      </c>
      <c r="P4621" s="7">
        <v>4.2670000000000003</v>
      </c>
      <c r="Q4621" s="7">
        <v>5.4690000000000003</v>
      </c>
      <c r="R4621" s="7">
        <v>5.86</v>
      </c>
      <c r="S4621" s="7">
        <f t="shared" si="72"/>
        <v>4.2110833333333337</v>
      </c>
    </row>
    <row r="4622" spans="1:19">
      <c r="A4622" s="5" t="str">
        <f>B4622&amp;"-"&amp;COUNTIF($B$2:B4622,B4622)</f>
        <v>SANTA CATARINA-206</v>
      </c>
      <c r="B4622" s="5" t="s">
        <v>2939</v>
      </c>
      <c r="C4622" s="5" t="s">
        <v>4201</v>
      </c>
      <c r="D4622" s="6">
        <v>-510763</v>
      </c>
      <c r="E4622" s="6">
        <v>-262455</v>
      </c>
      <c r="F4622" s="7">
        <v>4.1440000000000001</v>
      </c>
      <c r="G4622" s="7">
        <v>5.4649999999999999</v>
      </c>
      <c r="H4622" s="7">
        <v>5.0869999999999997</v>
      </c>
      <c r="I4622" s="7">
        <v>4.5750000000000002</v>
      </c>
      <c r="J4622" s="7">
        <v>3.5779999999999998</v>
      </c>
      <c r="K4622" s="7">
        <v>2.8769999999999998</v>
      </c>
      <c r="L4622" s="7">
        <v>2.4289999999999998</v>
      </c>
      <c r="M4622" s="7">
        <v>2.6469999999999998</v>
      </c>
      <c r="N4622" s="7">
        <v>3.6829999999999998</v>
      </c>
      <c r="O4622" s="7">
        <v>3.8210000000000002</v>
      </c>
      <c r="P4622" s="7">
        <v>4.4749999999999996</v>
      </c>
      <c r="Q4622" s="7">
        <v>5.4480000000000004</v>
      </c>
      <c r="R4622" s="7">
        <v>5.6420000000000003</v>
      </c>
      <c r="S4622" s="7">
        <f t="shared" si="72"/>
        <v>4.1439166666666667</v>
      </c>
    </row>
    <row r="4623" spans="1:19">
      <c r="A4623" s="5" t="str">
        <f>B4623&amp;"-"&amp;COUNTIF($B$2:B4623,B4623)</f>
        <v>SANTA CATARINA-207</v>
      </c>
      <c r="B4623" s="5" t="s">
        <v>2939</v>
      </c>
      <c r="C4623" s="5" t="s">
        <v>3074</v>
      </c>
      <c r="D4623" s="6">
        <v>-499305</v>
      </c>
      <c r="E4623" s="6">
        <v>-272572</v>
      </c>
      <c r="F4623" s="7">
        <v>4.0430000000000001</v>
      </c>
      <c r="G4623" s="7">
        <v>5.5170000000000003</v>
      </c>
      <c r="H4623" s="7">
        <v>5.28</v>
      </c>
      <c r="I4623" s="7">
        <v>4.5529999999999999</v>
      </c>
      <c r="J4623" s="7">
        <v>3.6080000000000001</v>
      </c>
      <c r="K4623" s="7">
        <v>2.8540000000000001</v>
      </c>
      <c r="L4623" s="7">
        <v>2.3180000000000001</v>
      </c>
      <c r="M4623" s="7">
        <v>2.5219999999999998</v>
      </c>
      <c r="N4623" s="7">
        <v>3.278</v>
      </c>
      <c r="O4623" s="7">
        <v>3.4780000000000002</v>
      </c>
      <c r="P4623" s="7">
        <v>4.0839999999999996</v>
      </c>
      <c r="Q4623" s="7">
        <v>5.3520000000000003</v>
      </c>
      <c r="R4623" s="7">
        <v>5.673</v>
      </c>
      <c r="S4623" s="7">
        <f t="shared" si="72"/>
        <v>4.0430833333333345</v>
      </c>
    </row>
    <row r="4624" spans="1:19">
      <c r="A4624" s="5" t="str">
        <f>B4624&amp;"-"&amp;COUNTIF($B$2:B4624,B4624)</f>
        <v>SANTA CATARINA-208</v>
      </c>
      <c r="B4624" s="5" t="s">
        <v>2939</v>
      </c>
      <c r="C4624" s="5" t="s">
        <v>3075</v>
      </c>
      <c r="D4624" s="6">
        <v>-499499</v>
      </c>
      <c r="E4624" s="6">
        <v>-291969</v>
      </c>
      <c r="F4624" s="7">
        <v>3.9390000000000001</v>
      </c>
      <c r="G4624" s="7">
        <v>5.1749999999999998</v>
      </c>
      <c r="H4624" s="7">
        <v>4.867</v>
      </c>
      <c r="I4624" s="7">
        <v>4.1980000000000004</v>
      </c>
      <c r="J4624" s="7">
        <v>3.6709999999999998</v>
      </c>
      <c r="K4624" s="7">
        <v>2.8540000000000001</v>
      </c>
      <c r="L4624" s="7">
        <v>2.4220000000000002</v>
      </c>
      <c r="M4624" s="7">
        <v>2.6579999999999999</v>
      </c>
      <c r="N4624" s="7">
        <v>3.347</v>
      </c>
      <c r="O4624" s="7">
        <v>3.379</v>
      </c>
      <c r="P4624" s="7">
        <v>3.9950000000000001</v>
      </c>
      <c r="Q4624" s="7">
        <v>5.2380000000000004</v>
      </c>
      <c r="R4624" s="7">
        <v>5.4630000000000001</v>
      </c>
      <c r="S4624" s="7">
        <f t="shared" si="72"/>
        <v>3.9389166666666671</v>
      </c>
    </row>
    <row r="4625" spans="1:19">
      <c r="A4625" s="5" t="str">
        <f>B4625&amp;"-"&amp;COUNTIF($B$2:B4625,B4625)</f>
        <v>SANTA CATARINA-209</v>
      </c>
      <c r="B4625" s="5" t="s">
        <v>2939</v>
      </c>
      <c r="C4625" s="5" t="s">
        <v>3076</v>
      </c>
      <c r="D4625" s="6">
        <v>-518038</v>
      </c>
      <c r="E4625" s="6">
        <v>-272253</v>
      </c>
      <c r="F4625" s="7">
        <v>4.532</v>
      </c>
      <c r="G4625" s="7">
        <v>5.9340000000000002</v>
      </c>
      <c r="H4625" s="7">
        <v>5.5330000000000004</v>
      </c>
      <c r="I4625" s="7">
        <v>4.9829999999999997</v>
      </c>
      <c r="J4625" s="7">
        <v>4.04</v>
      </c>
      <c r="K4625" s="7">
        <v>3.0920000000000001</v>
      </c>
      <c r="L4625" s="7">
        <v>2.6709999999999998</v>
      </c>
      <c r="M4625" s="7">
        <v>2.944</v>
      </c>
      <c r="N4625" s="7">
        <v>3.782</v>
      </c>
      <c r="O4625" s="7">
        <v>4.024</v>
      </c>
      <c r="P4625" s="7">
        <v>4.9669999999999996</v>
      </c>
      <c r="Q4625" s="7">
        <v>6.11</v>
      </c>
      <c r="R4625" s="7">
        <v>6.306</v>
      </c>
      <c r="S4625" s="7">
        <f t="shared" si="72"/>
        <v>4.532166666666666</v>
      </c>
    </row>
    <row r="4626" spans="1:19">
      <c r="A4626" s="5" t="str">
        <f>B4626&amp;"-"&amp;COUNTIF($B$2:B4626,B4626)</f>
        <v>SANTA CATARINA-210</v>
      </c>
      <c r="B4626" s="5" t="s">
        <v>2939</v>
      </c>
      <c r="C4626" s="5" t="s">
        <v>4881</v>
      </c>
      <c r="D4626" s="6">
        <v>-49619</v>
      </c>
      <c r="E4626" s="6">
        <v>-270443</v>
      </c>
      <c r="F4626" s="7">
        <v>4.0529999999999999</v>
      </c>
      <c r="G4626" s="7">
        <v>5.4980000000000002</v>
      </c>
      <c r="H4626" s="7">
        <v>5.2220000000000004</v>
      </c>
      <c r="I4626" s="7">
        <v>4.5890000000000004</v>
      </c>
      <c r="J4626" s="7">
        <v>3.6280000000000001</v>
      </c>
      <c r="K4626" s="7">
        <v>2.863</v>
      </c>
      <c r="L4626" s="7">
        <v>2.339</v>
      </c>
      <c r="M4626" s="7">
        <v>2.5430000000000001</v>
      </c>
      <c r="N4626" s="7">
        <v>3.355</v>
      </c>
      <c r="O4626" s="7">
        <v>3.5009999999999999</v>
      </c>
      <c r="P4626" s="7">
        <v>4.1260000000000003</v>
      </c>
      <c r="Q4626" s="7">
        <v>5.3310000000000004</v>
      </c>
      <c r="R4626" s="7">
        <v>5.6459999999999999</v>
      </c>
      <c r="S4626" s="7">
        <f t="shared" si="72"/>
        <v>4.0534166666666662</v>
      </c>
    </row>
    <row r="4627" spans="1:19">
      <c r="A4627" s="5" t="str">
        <f>B4627&amp;"-"&amp;COUNTIF($B$2:B4627,B4627)</f>
        <v>SANTA CATARINA-211</v>
      </c>
      <c r="B4627" s="5" t="s">
        <v>2939</v>
      </c>
      <c r="C4627" s="5" t="s">
        <v>3077</v>
      </c>
      <c r="D4627" s="6">
        <v>-493894</v>
      </c>
      <c r="E4627" s="6">
        <v>-272773</v>
      </c>
      <c r="F4627" s="7">
        <v>4.0199999999999996</v>
      </c>
      <c r="G4627" s="7">
        <v>5.4790000000000001</v>
      </c>
      <c r="H4627" s="7">
        <v>5.1509999999999998</v>
      </c>
      <c r="I4627" s="7">
        <v>4.4969999999999999</v>
      </c>
      <c r="J4627" s="7">
        <v>3.653</v>
      </c>
      <c r="K4627" s="7">
        <v>2.9079999999999999</v>
      </c>
      <c r="L4627" s="7">
        <v>2.4180000000000001</v>
      </c>
      <c r="M4627" s="7">
        <v>2.6019999999999999</v>
      </c>
      <c r="N4627" s="7">
        <v>3.3559999999999999</v>
      </c>
      <c r="O4627" s="7">
        <v>3.4329999999999998</v>
      </c>
      <c r="P4627" s="7">
        <v>3.9769999999999999</v>
      </c>
      <c r="Q4627" s="7">
        <v>5.2149999999999999</v>
      </c>
      <c r="R4627" s="7">
        <v>5.5439999999999996</v>
      </c>
      <c r="S4627" s="7">
        <f t="shared" si="72"/>
        <v>4.0194166666666655</v>
      </c>
    </row>
    <row r="4628" spans="1:19">
      <c r="A4628" s="5" t="str">
        <f>B4628&amp;"-"&amp;COUNTIF($B$2:B4628,B4628)</f>
        <v>SANTA CATARINA-212</v>
      </c>
      <c r="B4628" s="5" t="s">
        <v>2939</v>
      </c>
      <c r="C4628" s="5" t="s">
        <v>3078</v>
      </c>
      <c r="D4628" s="6">
        <v>-535999</v>
      </c>
      <c r="E4628" s="6">
        <v>-264446</v>
      </c>
      <c r="F4628" s="7">
        <v>4.68</v>
      </c>
      <c r="G4628" s="7">
        <v>6.3179999999999996</v>
      </c>
      <c r="H4628" s="7">
        <v>5.83</v>
      </c>
      <c r="I4628" s="7">
        <v>5.1459999999999999</v>
      </c>
      <c r="J4628" s="7">
        <v>4.1260000000000003</v>
      </c>
      <c r="K4628" s="7">
        <v>3.2120000000000002</v>
      </c>
      <c r="L4628" s="7">
        <v>2.7549999999999999</v>
      </c>
      <c r="M4628" s="7">
        <v>3.0289999999999999</v>
      </c>
      <c r="N4628" s="7">
        <v>3.915</v>
      </c>
      <c r="O4628" s="7">
        <v>4.2089999999999996</v>
      </c>
      <c r="P4628" s="7">
        <v>5.1970000000000001</v>
      </c>
      <c r="Q4628" s="7">
        <v>6.0510000000000002</v>
      </c>
      <c r="R4628" s="7">
        <v>6.3789999999999996</v>
      </c>
      <c r="S4628" s="7">
        <f t="shared" si="72"/>
        <v>4.6805833333333338</v>
      </c>
    </row>
    <row r="4629" spans="1:19">
      <c r="A4629" s="5" t="str">
        <f>B4629&amp;"-"&amp;COUNTIF($B$2:B4629,B4629)</f>
        <v>SANTA CATARINA-213</v>
      </c>
      <c r="B4629" s="5" t="s">
        <v>2939</v>
      </c>
      <c r="C4629" s="5" t="s">
        <v>3079</v>
      </c>
      <c r="D4629" s="6">
        <v>-527244</v>
      </c>
      <c r="E4629" s="6">
        <v>-267269</v>
      </c>
      <c r="F4629" s="7">
        <v>4.6079999999999997</v>
      </c>
      <c r="G4629" s="7">
        <v>6.1260000000000003</v>
      </c>
      <c r="H4629" s="7">
        <v>5.6109999999999998</v>
      </c>
      <c r="I4629" s="7">
        <v>5.0979999999999999</v>
      </c>
      <c r="J4629" s="7">
        <v>4.101</v>
      </c>
      <c r="K4629" s="7">
        <v>3.1659999999999999</v>
      </c>
      <c r="L4629" s="7">
        <v>2.6909999999999998</v>
      </c>
      <c r="M4629" s="7">
        <v>2.9870000000000001</v>
      </c>
      <c r="N4629" s="7">
        <v>3.8780000000000001</v>
      </c>
      <c r="O4629" s="7">
        <v>4.1070000000000002</v>
      </c>
      <c r="P4629" s="7">
        <v>5.0940000000000003</v>
      </c>
      <c r="Q4629" s="7">
        <v>6.1</v>
      </c>
      <c r="R4629" s="7">
        <v>6.34</v>
      </c>
      <c r="S4629" s="7">
        <f t="shared" si="72"/>
        <v>4.6082500000000008</v>
      </c>
    </row>
    <row r="4630" spans="1:19">
      <c r="A4630" s="5" t="str">
        <f>B4630&amp;"-"&amp;COUNTIF($B$2:B4630,B4630)</f>
        <v>SANTA CATARINA-214</v>
      </c>
      <c r="B4630" s="5" t="s">
        <v>2939</v>
      </c>
      <c r="C4630" s="5" t="s">
        <v>3080</v>
      </c>
      <c r="D4630" s="6">
        <v>-490196</v>
      </c>
      <c r="E4630" s="6">
        <v>-276732</v>
      </c>
      <c r="F4630" s="7">
        <v>4.0069999999999997</v>
      </c>
      <c r="G4630" s="7">
        <v>5.33</v>
      </c>
      <c r="H4630" s="7">
        <v>5.0460000000000003</v>
      </c>
      <c r="I4630" s="7">
        <v>4.3780000000000001</v>
      </c>
      <c r="J4630" s="7">
        <v>3.6440000000000001</v>
      </c>
      <c r="K4630" s="7">
        <v>2.9289999999999998</v>
      </c>
      <c r="L4630" s="7">
        <v>2.54</v>
      </c>
      <c r="M4630" s="7">
        <v>2.665</v>
      </c>
      <c r="N4630" s="7">
        <v>3.3959999999999999</v>
      </c>
      <c r="O4630" s="7">
        <v>3.4380000000000002</v>
      </c>
      <c r="P4630" s="7">
        <v>3.996</v>
      </c>
      <c r="Q4630" s="7">
        <v>5.1879999999999997</v>
      </c>
      <c r="R4630" s="7">
        <v>5.5350000000000001</v>
      </c>
      <c r="S4630" s="7">
        <f t="shared" si="72"/>
        <v>4.007083333333334</v>
      </c>
    </row>
    <row r="4631" spans="1:19">
      <c r="A4631" s="5" t="str">
        <f>B4631&amp;"-"&amp;COUNTIF($B$2:B4631,B4631)</f>
        <v>SANTA CATARINA-215</v>
      </c>
      <c r="B4631" s="5" t="s">
        <v>2939</v>
      </c>
      <c r="C4631" s="5" t="s">
        <v>3081</v>
      </c>
      <c r="D4631" s="6">
        <v>-510679</v>
      </c>
      <c r="E4631" s="6">
        <v>-268951</v>
      </c>
      <c r="F4631" s="7">
        <v>4.3440000000000003</v>
      </c>
      <c r="G4631" s="7">
        <v>5.6470000000000002</v>
      </c>
      <c r="H4631" s="7">
        <v>5.2439999999999998</v>
      </c>
      <c r="I4631" s="7">
        <v>4.774</v>
      </c>
      <c r="J4631" s="7">
        <v>3.8650000000000002</v>
      </c>
      <c r="K4631" s="7">
        <v>2.9929999999999999</v>
      </c>
      <c r="L4631" s="7">
        <v>2.6309999999999998</v>
      </c>
      <c r="M4631" s="7">
        <v>2.887</v>
      </c>
      <c r="N4631" s="7">
        <v>3.7829999999999999</v>
      </c>
      <c r="O4631" s="7">
        <v>3.9060000000000001</v>
      </c>
      <c r="P4631" s="7">
        <v>4.6779999999999999</v>
      </c>
      <c r="Q4631" s="7">
        <v>5.76</v>
      </c>
      <c r="R4631" s="7">
        <v>5.9610000000000003</v>
      </c>
      <c r="S4631" s="7">
        <f t="shared" si="72"/>
        <v>4.3440833333333329</v>
      </c>
    </row>
    <row r="4632" spans="1:19">
      <c r="A4632" s="5" t="str">
        <f>B4632&amp;"-"&amp;COUNTIF($B$2:B4632,B4632)</f>
        <v>SANTA CATARINA-216</v>
      </c>
      <c r="B4632" s="5" t="s">
        <v>2939</v>
      </c>
      <c r="C4632" s="5" t="s">
        <v>3082</v>
      </c>
      <c r="D4632" s="6">
        <v>-501365</v>
      </c>
      <c r="E4632" s="6">
        <v>-269457</v>
      </c>
      <c r="F4632" s="7">
        <v>3.9750000000000001</v>
      </c>
      <c r="G4632" s="7">
        <v>5.22</v>
      </c>
      <c r="H4632" s="7">
        <v>4.9329999999999998</v>
      </c>
      <c r="I4632" s="7">
        <v>4.4130000000000003</v>
      </c>
      <c r="J4632" s="7">
        <v>3.5569999999999999</v>
      </c>
      <c r="K4632" s="7">
        <v>2.8610000000000002</v>
      </c>
      <c r="L4632" s="7">
        <v>2.41</v>
      </c>
      <c r="M4632" s="7">
        <v>2.6389999999999998</v>
      </c>
      <c r="N4632" s="7">
        <v>3.48</v>
      </c>
      <c r="O4632" s="7">
        <v>3.556</v>
      </c>
      <c r="P4632" s="7">
        <v>4.0229999999999997</v>
      </c>
      <c r="Q4632" s="7">
        <v>5.2140000000000004</v>
      </c>
      <c r="R4632" s="7">
        <v>5.3979999999999997</v>
      </c>
      <c r="S4632" s="7">
        <f t="shared" si="72"/>
        <v>3.9753333333333329</v>
      </c>
    </row>
    <row r="4633" spans="1:19">
      <c r="A4633" s="5" t="str">
        <f>B4633&amp;"-"&amp;COUNTIF($B$2:B4633,B4633)</f>
        <v>SANTA CATARINA-217</v>
      </c>
      <c r="B4633" s="5" t="s">
        <v>2939</v>
      </c>
      <c r="C4633" s="5" t="s">
        <v>3083</v>
      </c>
      <c r="D4633" s="6">
        <v>-497993</v>
      </c>
      <c r="E4633" s="6">
        <v>-271956</v>
      </c>
      <c r="F4633" s="7">
        <v>4.07</v>
      </c>
      <c r="G4633" s="7">
        <v>5.5620000000000003</v>
      </c>
      <c r="H4633" s="7">
        <v>5.2389999999999999</v>
      </c>
      <c r="I4633" s="7">
        <v>4.6390000000000002</v>
      </c>
      <c r="J4633" s="7">
        <v>3.6579999999999999</v>
      </c>
      <c r="K4633" s="7">
        <v>2.8559999999999999</v>
      </c>
      <c r="L4633" s="7">
        <v>2.3119999999999998</v>
      </c>
      <c r="M4633" s="7">
        <v>2.456</v>
      </c>
      <c r="N4633" s="7">
        <v>3.3119999999999998</v>
      </c>
      <c r="O4633" s="7">
        <v>3.5190000000000001</v>
      </c>
      <c r="P4633" s="7">
        <v>4.1369999999999996</v>
      </c>
      <c r="Q4633" s="7">
        <v>5.4119999999999999</v>
      </c>
      <c r="R4633" s="7">
        <v>5.7370000000000001</v>
      </c>
      <c r="S4633" s="7">
        <f t="shared" si="72"/>
        <v>4.0699166666666668</v>
      </c>
    </row>
    <row r="4634" spans="1:19">
      <c r="A4634" s="5" t="str">
        <f>B4634&amp;"-"&amp;COUNTIF($B$2:B4634,B4634)</f>
        <v>SANTA CATARINA-218</v>
      </c>
      <c r="B4634" s="5" t="s">
        <v>2939</v>
      </c>
      <c r="C4634" s="5" t="s">
        <v>3084</v>
      </c>
      <c r="D4634" s="6">
        <v>-496434</v>
      </c>
      <c r="E4634" s="6">
        <v>-272161</v>
      </c>
      <c r="F4634" s="7">
        <v>4.0679999999999996</v>
      </c>
      <c r="G4634" s="7">
        <v>5.5650000000000004</v>
      </c>
      <c r="H4634" s="7">
        <v>5.25</v>
      </c>
      <c r="I4634" s="7">
        <v>4.5890000000000004</v>
      </c>
      <c r="J4634" s="7">
        <v>3.6469999999999998</v>
      </c>
      <c r="K4634" s="7">
        <v>2.859</v>
      </c>
      <c r="L4634" s="7">
        <v>2.331</v>
      </c>
      <c r="M4634" s="7">
        <v>2.5179999999999998</v>
      </c>
      <c r="N4634" s="7">
        <v>3.3359999999999999</v>
      </c>
      <c r="O4634" s="7">
        <v>3.5049999999999999</v>
      </c>
      <c r="P4634" s="7">
        <v>4.1109999999999998</v>
      </c>
      <c r="Q4634" s="7">
        <v>5.3810000000000002</v>
      </c>
      <c r="R4634" s="7">
        <v>5.7190000000000003</v>
      </c>
      <c r="S4634" s="7">
        <f t="shared" si="72"/>
        <v>4.0675833333333333</v>
      </c>
    </row>
    <row r="4635" spans="1:19">
      <c r="A4635" s="5" t="str">
        <f>B4635&amp;"-"&amp;COUNTIF($B$2:B4635,B4635)</f>
        <v>SANTA CATARINA-219</v>
      </c>
      <c r="B4635" s="5" t="s">
        <v>2939</v>
      </c>
      <c r="C4635" s="5" t="s">
        <v>3085</v>
      </c>
      <c r="D4635" s="6">
        <v>-492723</v>
      </c>
      <c r="E4635" s="6">
        <v>-267403</v>
      </c>
      <c r="F4635" s="7">
        <v>3.8730000000000002</v>
      </c>
      <c r="G4635" s="7">
        <v>5.2050000000000001</v>
      </c>
      <c r="H4635" s="7">
        <v>4.9370000000000003</v>
      </c>
      <c r="I4635" s="7">
        <v>4.3479999999999999</v>
      </c>
      <c r="J4635" s="7">
        <v>3.5680000000000001</v>
      </c>
      <c r="K4635" s="7">
        <v>2.93</v>
      </c>
      <c r="L4635" s="7">
        <v>2.4460000000000002</v>
      </c>
      <c r="M4635" s="7">
        <v>2.593</v>
      </c>
      <c r="N4635" s="7">
        <v>3.3140000000000001</v>
      </c>
      <c r="O4635" s="7">
        <v>3.2810000000000001</v>
      </c>
      <c r="P4635" s="7">
        <v>3.7549999999999999</v>
      </c>
      <c r="Q4635" s="7">
        <v>4.8630000000000004</v>
      </c>
      <c r="R4635" s="7">
        <v>5.234</v>
      </c>
      <c r="S4635" s="7">
        <f t="shared" si="72"/>
        <v>3.8728333333333338</v>
      </c>
    </row>
    <row r="4636" spans="1:19">
      <c r="A4636" s="5" t="str">
        <f>B4636&amp;"-"&amp;COUNTIF($B$2:B4636,B4636)</f>
        <v>SANTA CATARINA-220</v>
      </c>
      <c r="B4636" s="5" t="s">
        <v>2939</v>
      </c>
      <c r="C4636" s="5" t="s">
        <v>3086</v>
      </c>
      <c r="D4636" s="6">
        <v>-491072</v>
      </c>
      <c r="E4636" s="6">
        <v>-281249</v>
      </c>
      <c r="F4636" s="7">
        <v>4.1719999999999997</v>
      </c>
      <c r="G4636" s="7">
        <v>5.5460000000000003</v>
      </c>
      <c r="H4636" s="7">
        <v>5.2060000000000004</v>
      </c>
      <c r="I4636" s="7">
        <v>4.5190000000000001</v>
      </c>
      <c r="J4636" s="7">
        <v>3.79</v>
      </c>
      <c r="K4636" s="7">
        <v>2.9449999999999998</v>
      </c>
      <c r="L4636" s="7">
        <v>2.548</v>
      </c>
      <c r="M4636" s="7">
        <v>2.7570000000000001</v>
      </c>
      <c r="N4636" s="7">
        <v>3.5</v>
      </c>
      <c r="O4636" s="7">
        <v>3.5779999999999998</v>
      </c>
      <c r="P4636" s="7">
        <v>4.3040000000000003</v>
      </c>
      <c r="Q4636" s="7">
        <v>5.5549999999999997</v>
      </c>
      <c r="R4636" s="7">
        <v>5.8179999999999996</v>
      </c>
      <c r="S4636" s="7">
        <f t="shared" si="72"/>
        <v>4.1721666666666666</v>
      </c>
    </row>
    <row r="4637" spans="1:19">
      <c r="A4637" s="5" t="str">
        <f>B4637&amp;"-"&amp;COUNTIF($B$2:B4637,B4637)</f>
        <v>SANTA CATARINA-221</v>
      </c>
      <c r="B4637" s="5" t="s">
        <v>2939</v>
      </c>
      <c r="C4637" s="5" t="s">
        <v>3087</v>
      </c>
      <c r="D4637" s="6">
        <v>-495182</v>
      </c>
      <c r="E4637" s="6">
        <v>-262596</v>
      </c>
      <c r="F4637" s="7">
        <v>4.085</v>
      </c>
      <c r="G4637" s="7">
        <v>5.327</v>
      </c>
      <c r="H4637" s="7">
        <v>5.0679999999999996</v>
      </c>
      <c r="I4637" s="7">
        <v>4.4779999999999998</v>
      </c>
      <c r="J4637" s="7">
        <v>3.6</v>
      </c>
      <c r="K4637" s="7">
        <v>2.9020000000000001</v>
      </c>
      <c r="L4637" s="7">
        <v>2.5059999999999998</v>
      </c>
      <c r="M4637" s="7">
        <v>2.76</v>
      </c>
      <c r="N4637" s="7">
        <v>3.6640000000000001</v>
      </c>
      <c r="O4637" s="7">
        <v>3.702</v>
      </c>
      <c r="P4637" s="7">
        <v>4.2969999999999997</v>
      </c>
      <c r="Q4637" s="7">
        <v>5.1769999999999996</v>
      </c>
      <c r="R4637" s="7">
        <v>5.5430000000000001</v>
      </c>
      <c r="S4637" s="7">
        <f t="shared" si="72"/>
        <v>4.0853333333333328</v>
      </c>
    </row>
    <row r="4638" spans="1:19">
      <c r="A4638" s="5" t="str">
        <f>B4638&amp;"-"&amp;COUNTIF($B$2:B4638,B4638)</f>
        <v>SANTA CATARINA-222</v>
      </c>
      <c r="B4638" s="5" t="s">
        <v>2939</v>
      </c>
      <c r="C4638" s="5" t="s">
        <v>3088</v>
      </c>
      <c r="D4638" s="6">
        <v>-497758</v>
      </c>
      <c r="E4638" s="6">
        <v>-278597</v>
      </c>
      <c r="F4638" s="7">
        <v>4.1820000000000004</v>
      </c>
      <c r="G4638" s="7">
        <v>5.6459999999999999</v>
      </c>
      <c r="H4638" s="7">
        <v>5.3410000000000002</v>
      </c>
      <c r="I4638" s="7">
        <v>4.5529999999999999</v>
      </c>
      <c r="J4638" s="7">
        <v>3.7589999999999999</v>
      </c>
      <c r="K4638" s="7">
        <v>2.9169999999999998</v>
      </c>
      <c r="L4638" s="7">
        <v>2.4940000000000002</v>
      </c>
      <c r="M4638" s="7">
        <v>2.7</v>
      </c>
      <c r="N4638" s="7">
        <v>3.4780000000000002</v>
      </c>
      <c r="O4638" s="7">
        <v>3.6379999999999999</v>
      </c>
      <c r="P4638" s="7">
        <v>4.2720000000000002</v>
      </c>
      <c r="Q4638" s="7">
        <v>5.53</v>
      </c>
      <c r="R4638" s="7">
        <v>5.8540000000000001</v>
      </c>
      <c r="S4638" s="7">
        <f t="shared" si="72"/>
        <v>4.1818333333333335</v>
      </c>
    </row>
    <row r="4639" spans="1:19">
      <c r="A4639" s="5" t="str">
        <f>B4639&amp;"-"&amp;COUNTIF($B$2:B4639,B4639)</f>
        <v>SANTA CATARINA-223</v>
      </c>
      <c r="B4639" s="5" t="s">
        <v>2939</v>
      </c>
      <c r="C4639" s="5" t="s">
        <v>3089</v>
      </c>
      <c r="D4639" s="6">
        <v>-533269</v>
      </c>
      <c r="E4639" s="6">
        <v>-270658</v>
      </c>
      <c r="F4639" s="7">
        <v>4.6189999999999998</v>
      </c>
      <c r="G4639" s="7">
        <v>6.3769999999999998</v>
      </c>
      <c r="H4639" s="7">
        <v>5.8410000000000002</v>
      </c>
      <c r="I4639" s="7">
        <v>5.1589999999999998</v>
      </c>
      <c r="J4639" s="7">
        <v>4.016</v>
      </c>
      <c r="K4639" s="7">
        <v>3.0590000000000002</v>
      </c>
      <c r="L4639" s="7">
        <v>2.5550000000000002</v>
      </c>
      <c r="M4639" s="7">
        <v>2.863</v>
      </c>
      <c r="N4639" s="7">
        <v>3.7250000000000001</v>
      </c>
      <c r="O4639" s="7">
        <v>4</v>
      </c>
      <c r="P4639" s="7">
        <v>5.1440000000000001</v>
      </c>
      <c r="Q4639" s="7">
        <v>6.1669999999999998</v>
      </c>
      <c r="R4639" s="7">
        <v>6.5259999999999998</v>
      </c>
      <c r="S4639" s="7">
        <f t="shared" si="72"/>
        <v>4.6193333333333335</v>
      </c>
    </row>
    <row r="4640" spans="1:19">
      <c r="A4640" s="5" t="str">
        <f>B4640&amp;"-"&amp;COUNTIF($B$2:B4640,B4640)</f>
        <v>SANTA CATARINA-224</v>
      </c>
      <c r="B4640" s="5" t="s">
        <v>2939</v>
      </c>
      <c r="C4640" s="5" t="s">
        <v>3090</v>
      </c>
      <c r="D4640" s="6">
        <v>-493653</v>
      </c>
      <c r="E4640" s="6">
        <v>-269248</v>
      </c>
      <c r="F4640" s="7">
        <v>3.952</v>
      </c>
      <c r="G4640" s="7">
        <v>5.34</v>
      </c>
      <c r="H4640" s="7">
        <v>5.0810000000000004</v>
      </c>
      <c r="I4640" s="7">
        <v>4.4820000000000002</v>
      </c>
      <c r="J4640" s="7">
        <v>3.63</v>
      </c>
      <c r="K4640" s="7">
        <v>2.9649999999999999</v>
      </c>
      <c r="L4640" s="7">
        <v>2.4510000000000001</v>
      </c>
      <c r="M4640" s="7">
        <v>2.5870000000000002</v>
      </c>
      <c r="N4640" s="7">
        <v>3.3079999999999998</v>
      </c>
      <c r="O4640" s="7">
        <v>3.3450000000000002</v>
      </c>
      <c r="P4640" s="7">
        <v>3.8210000000000002</v>
      </c>
      <c r="Q4640" s="7">
        <v>5.03</v>
      </c>
      <c r="R4640" s="7">
        <v>5.38</v>
      </c>
      <c r="S4640" s="7">
        <f t="shared" si="72"/>
        <v>3.9516666666666667</v>
      </c>
    </row>
    <row r="4641" spans="1:19">
      <c r="A4641" s="5" t="str">
        <f>B4641&amp;"-"&amp;COUNTIF($B$2:B4641,B4641)</f>
        <v>SANTA CATARINA-225</v>
      </c>
      <c r="B4641" s="5" t="s">
        <v>2939</v>
      </c>
      <c r="C4641" s="5" t="s">
        <v>5020</v>
      </c>
      <c r="D4641" s="6">
        <v>-533176</v>
      </c>
      <c r="E4641" s="6">
        <v>-266814</v>
      </c>
      <c r="F4641" s="7">
        <v>4.6369999999999996</v>
      </c>
      <c r="G4641" s="7">
        <v>6.3159999999999998</v>
      </c>
      <c r="H4641" s="7">
        <v>5.8040000000000003</v>
      </c>
      <c r="I4641" s="7">
        <v>5.1360000000000001</v>
      </c>
      <c r="J4641" s="7">
        <v>4.1050000000000004</v>
      </c>
      <c r="K4641" s="7">
        <v>3.1829999999999998</v>
      </c>
      <c r="L4641" s="7">
        <v>2.6480000000000001</v>
      </c>
      <c r="M4641" s="7">
        <v>2.9329999999999998</v>
      </c>
      <c r="N4641" s="7">
        <v>3.8130000000000002</v>
      </c>
      <c r="O4641" s="7">
        <v>4.0880000000000001</v>
      </c>
      <c r="P4641" s="7">
        <v>5.1310000000000002</v>
      </c>
      <c r="Q4641" s="7">
        <v>6.0880000000000001</v>
      </c>
      <c r="R4641" s="7">
        <v>6.407</v>
      </c>
      <c r="S4641" s="7">
        <f t="shared" si="72"/>
        <v>4.637666666666667</v>
      </c>
    </row>
    <row r="4642" spans="1:19">
      <c r="A4642" s="5" t="str">
        <f>B4642&amp;"-"&amp;COUNTIF($B$2:B4642,B4642)</f>
        <v>SANTA CATARINA-226</v>
      </c>
      <c r="B4642" s="5" t="s">
        <v>2939</v>
      </c>
      <c r="C4642" s="5" t="s">
        <v>4202</v>
      </c>
      <c r="D4642" s="6">
        <v>-493835</v>
      </c>
      <c r="E4642" s="5" t="s">
        <v>3091</v>
      </c>
      <c r="F4642" s="7">
        <v>4.0640000000000001</v>
      </c>
      <c r="G4642" s="7">
        <v>5.28</v>
      </c>
      <c r="H4642" s="7">
        <v>4.9889999999999999</v>
      </c>
      <c r="I4642" s="7">
        <v>4.4020000000000001</v>
      </c>
      <c r="J4642" s="7">
        <v>3.617</v>
      </c>
      <c r="K4642" s="7">
        <v>2.9420000000000002</v>
      </c>
      <c r="L4642" s="7">
        <v>2.5760000000000001</v>
      </c>
      <c r="M4642" s="7">
        <v>2.7869999999999999</v>
      </c>
      <c r="N4642" s="7">
        <v>3.6789999999999998</v>
      </c>
      <c r="O4642" s="7">
        <v>3.7069999999999999</v>
      </c>
      <c r="P4642" s="7">
        <v>4.2439999999999998</v>
      </c>
      <c r="Q4642" s="7">
        <v>5.0979999999999999</v>
      </c>
      <c r="R4642" s="7">
        <v>5.45</v>
      </c>
      <c r="S4642" s="7">
        <f t="shared" si="72"/>
        <v>4.0642500000000004</v>
      </c>
    </row>
    <row r="4643" spans="1:19">
      <c r="A4643" s="5" t="str">
        <f>B4643&amp;"-"&amp;COUNTIF($B$2:B4643,B4643)</f>
        <v>SANTA CATARINA-227</v>
      </c>
      <c r="B4643" s="5" t="s">
        <v>2939</v>
      </c>
      <c r="C4643" s="5" t="s">
        <v>4203</v>
      </c>
      <c r="D4643" s="6">
        <v>-529691</v>
      </c>
      <c r="E4643" s="6">
        <v>-264744</v>
      </c>
      <c r="F4643" s="7">
        <v>4.6239999999999997</v>
      </c>
      <c r="G4643" s="7">
        <v>6.16</v>
      </c>
      <c r="H4643" s="7">
        <v>5.6689999999999996</v>
      </c>
      <c r="I4643" s="7">
        <v>5.0750000000000002</v>
      </c>
      <c r="J4643" s="7">
        <v>4.12</v>
      </c>
      <c r="K4643" s="7">
        <v>3.1909999999999998</v>
      </c>
      <c r="L4643" s="7">
        <v>2.7330000000000001</v>
      </c>
      <c r="M4643" s="7">
        <v>3.02</v>
      </c>
      <c r="N4643" s="7">
        <v>3.9430000000000001</v>
      </c>
      <c r="O4643" s="7">
        <v>4.1520000000000001</v>
      </c>
      <c r="P4643" s="7">
        <v>5.0999999999999996</v>
      </c>
      <c r="Q4643" s="7">
        <v>6.0380000000000003</v>
      </c>
      <c r="R4643" s="7">
        <v>6.2880000000000003</v>
      </c>
      <c r="S4643" s="7">
        <f t="shared" si="72"/>
        <v>4.624083333333334</v>
      </c>
    </row>
    <row r="4644" spans="1:19">
      <c r="A4644" s="5" t="str">
        <f>B4644&amp;"-"&amp;COUNTIF($B$2:B4644,B4644)</f>
        <v>SANTA CATARINA-228</v>
      </c>
      <c r="B4644" s="5" t="s">
        <v>2939</v>
      </c>
      <c r="C4644" s="5" t="s">
        <v>5754</v>
      </c>
      <c r="D4644" s="6">
        <v>-48933</v>
      </c>
      <c r="E4644" s="6">
        <v>-279014</v>
      </c>
      <c r="F4644" s="7">
        <v>4.024</v>
      </c>
      <c r="G4644" s="7">
        <v>5.3659999999999997</v>
      </c>
      <c r="H4644" s="7">
        <v>5.0170000000000003</v>
      </c>
      <c r="I4644" s="7">
        <v>4.3499999999999996</v>
      </c>
      <c r="J4644" s="7">
        <v>3.63</v>
      </c>
      <c r="K4644" s="7">
        <v>2.927</v>
      </c>
      <c r="L4644" s="7">
        <v>2.5499999999999998</v>
      </c>
      <c r="M4644" s="7">
        <v>2.722</v>
      </c>
      <c r="N4644" s="7">
        <v>3.4</v>
      </c>
      <c r="O4644" s="7">
        <v>3.4470000000000001</v>
      </c>
      <c r="P4644" s="7">
        <v>4.0599999999999996</v>
      </c>
      <c r="Q4644" s="7">
        <v>5.2430000000000003</v>
      </c>
      <c r="R4644" s="7">
        <v>5.58</v>
      </c>
      <c r="S4644" s="7">
        <f t="shared" si="72"/>
        <v>4.0243333333333338</v>
      </c>
    </row>
    <row r="4645" spans="1:19">
      <c r="A4645" s="5" t="str">
        <f>B4645&amp;"-"&amp;COUNTIF($B$2:B4645,B4645)</f>
        <v>SANTA CATARINA-229</v>
      </c>
      <c r="B4645" s="5" t="s">
        <v>2939</v>
      </c>
      <c r="C4645" s="5" t="s">
        <v>4204</v>
      </c>
      <c r="D4645" s="6">
        <v>-530042</v>
      </c>
      <c r="E4645" s="6">
        <v>-270802</v>
      </c>
      <c r="F4645" s="7">
        <v>4.617</v>
      </c>
      <c r="G4645" s="7">
        <v>6.2460000000000004</v>
      </c>
      <c r="H4645" s="7">
        <v>5.7949999999999999</v>
      </c>
      <c r="I4645" s="7">
        <v>5.109</v>
      </c>
      <c r="J4645" s="7">
        <v>4.077</v>
      </c>
      <c r="K4645" s="7">
        <v>3.097</v>
      </c>
      <c r="L4645" s="7">
        <v>2.5939999999999999</v>
      </c>
      <c r="M4645" s="7">
        <v>2.895</v>
      </c>
      <c r="N4645" s="7">
        <v>3.746</v>
      </c>
      <c r="O4645" s="7">
        <v>4.016</v>
      </c>
      <c r="P4645" s="7">
        <v>5.1429999999999998</v>
      </c>
      <c r="Q4645" s="7">
        <v>6.16</v>
      </c>
      <c r="R4645" s="7">
        <v>6.52</v>
      </c>
      <c r="S4645" s="7">
        <f t="shared" si="72"/>
        <v>4.6164999999999994</v>
      </c>
    </row>
    <row r="4646" spans="1:19">
      <c r="A4646" s="5" t="str">
        <f>B4646&amp;"-"&amp;COUNTIF($B$2:B4646,B4646)</f>
        <v>SANTA CATARINA-230</v>
      </c>
      <c r="B4646" s="5" t="s">
        <v>2939</v>
      </c>
      <c r="C4646" s="5" t="s">
        <v>4205</v>
      </c>
      <c r="D4646" s="6">
        <v>-504392</v>
      </c>
      <c r="E4646" s="6">
        <v>-272671</v>
      </c>
      <c r="F4646" s="7">
        <v>4.2480000000000002</v>
      </c>
      <c r="G4646" s="7">
        <v>5.5620000000000003</v>
      </c>
      <c r="H4646" s="7">
        <v>5.3049999999999997</v>
      </c>
      <c r="I4646" s="7">
        <v>4.5819999999999999</v>
      </c>
      <c r="J4646" s="7">
        <v>3.7770000000000001</v>
      </c>
      <c r="K4646" s="7">
        <v>2.9079999999999999</v>
      </c>
      <c r="L4646" s="7">
        <v>2.5939999999999999</v>
      </c>
      <c r="M4646" s="7">
        <v>2.7669999999999999</v>
      </c>
      <c r="N4646" s="7">
        <v>3.681</v>
      </c>
      <c r="O4646" s="7">
        <v>3.7690000000000001</v>
      </c>
      <c r="P4646" s="7">
        <v>4.476</v>
      </c>
      <c r="Q4646" s="7">
        <v>5.6459999999999999</v>
      </c>
      <c r="R4646" s="7">
        <v>5.9130000000000003</v>
      </c>
      <c r="S4646" s="7">
        <f t="shared" si="72"/>
        <v>4.248333333333334</v>
      </c>
    </row>
    <row r="4647" spans="1:19">
      <c r="A4647" s="5" t="str">
        <f>B4647&amp;"-"&amp;COUNTIF($B$2:B4647,B4647)</f>
        <v>SANTA CATARINA-231</v>
      </c>
      <c r="B4647" s="5" t="s">
        <v>2939</v>
      </c>
      <c r="C4647" s="5" t="s">
        <v>3917</v>
      </c>
      <c r="D4647" s="6">
        <v>-525318</v>
      </c>
      <c r="E4647" s="6">
        <v>-265553</v>
      </c>
      <c r="F4647" s="7">
        <v>4.6289999999999996</v>
      </c>
      <c r="G4647" s="7">
        <v>6.1150000000000002</v>
      </c>
      <c r="H4647" s="7">
        <v>5.6369999999999996</v>
      </c>
      <c r="I4647" s="7">
        <v>5.0999999999999996</v>
      </c>
      <c r="J4647" s="7">
        <v>4.12</v>
      </c>
      <c r="K4647" s="7">
        <v>3.1949999999999998</v>
      </c>
      <c r="L4647" s="7">
        <v>2.734</v>
      </c>
      <c r="M4647" s="7">
        <v>3.0179999999999998</v>
      </c>
      <c r="N4647" s="7">
        <v>3.93</v>
      </c>
      <c r="O4647" s="7">
        <v>4.1459999999999999</v>
      </c>
      <c r="P4647" s="7">
        <v>5.1189999999999998</v>
      </c>
      <c r="Q4647" s="7">
        <v>6.0949999999999998</v>
      </c>
      <c r="R4647" s="7">
        <v>6.3380000000000001</v>
      </c>
      <c r="S4647" s="7">
        <f t="shared" si="72"/>
        <v>4.6289166666666661</v>
      </c>
    </row>
    <row r="4648" spans="1:19">
      <c r="A4648" s="5" t="str">
        <f>B4648&amp;"-"&amp;COUNTIF($B$2:B4648,B4648)</f>
        <v>SANTA CATARINA-232</v>
      </c>
      <c r="B4648" s="5" t="s">
        <v>2939</v>
      </c>
      <c r="C4648" s="5" t="s">
        <v>4206</v>
      </c>
      <c r="D4648" s="6">
        <v>-486348</v>
      </c>
      <c r="E4648" s="6">
        <v>-262584</v>
      </c>
      <c r="F4648" s="7">
        <v>3.92</v>
      </c>
      <c r="G4648" s="7">
        <v>5.2809999999999997</v>
      </c>
      <c r="H4648" s="7">
        <v>5.1429999999999998</v>
      </c>
      <c r="I4648" s="7">
        <v>4.4329999999999998</v>
      </c>
      <c r="J4648" s="7">
        <v>3.6440000000000001</v>
      </c>
      <c r="K4648" s="7">
        <v>2.99</v>
      </c>
      <c r="L4648" s="7">
        <v>2.4540000000000002</v>
      </c>
      <c r="M4648" s="7">
        <v>2.5070000000000001</v>
      </c>
      <c r="N4648" s="7">
        <v>3.16</v>
      </c>
      <c r="O4648" s="7">
        <v>3.2679999999999998</v>
      </c>
      <c r="P4648" s="7">
        <v>3.903</v>
      </c>
      <c r="Q4648" s="7">
        <v>4.9000000000000004</v>
      </c>
      <c r="R4648" s="7">
        <v>5.3540000000000001</v>
      </c>
      <c r="S4648" s="7">
        <f t="shared" si="72"/>
        <v>3.9197500000000001</v>
      </c>
    </row>
    <row r="4649" spans="1:19">
      <c r="A4649" s="5" t="str">
        <f>B4649&amp;"-"&amp;COUNTIF($B$2:B4649,B4649)</f>
        <v>SANTA CATARINA-233</v>
      </c>
      <c r="B4649" s="5" t="s">
        <v>2939</v>
      </c>
      <c r="C4649" s="5" t="s">
        <v>3966</v>
      </c>
      <c r="D4649" s="6">
        <v>-488478</v>
      </c>
      <c r="E4649" s="6">
        <v>-272777</v>
      </c>
      <c r="F4649" s="7">
        <v>4.0629999999999997</v>
      </c>
      <c r="G4649" s="7">
        <v>5.5229999999999997</v>
      </c>
      <c r="H4649" s="7">
        <v>5.3090000000000002</v>
      </c>
      <c r="I4649" s="7">
        <v>4.5590000000000002</v>
      </c>
      <c r="J4649" s="7">
        <v>3.6789999999999998</v>
      </c>
      <c r="K4649" s="7">
        <v>3.0409999999999999</v>
      </c>
      <c r="L4649" s="7">
        <v>2.5070000000000001</v>
      </c>
      <c r="M4649" s="7">
        <v>2.6589999999999998</v>
      </c>
      <c r="N4649" s="7">
        <v>3.327</v>
      </c>
      <c r="O4649" s="7">
        <v>3.448</v>
      </c>
      <c r="P4649" s="7">
        <v>3.9369999999999998</v>
      </c>
      <c r="Q4649" s="7">
        <v>5.1470000000000002</v>
      </c>
      <c r="R4649" s="7">
        <v>5.6219999999999999</v>
      </c>
      <c r="S4649" s="7">
        <f t="shared" si="72"/>
        <v>4.0631666666666666</v>
      </c>
    </row>
    <row r="4650" spans="1:19">
      <c r="A4650" s="5" t="str">
        <f>B4650&amp;"-"&amp;COUNTIF($B$2:B4650,B4650)</f>
        <v>SANTA CATARINA-234</v>
      </c>
      <c r="B4650" s="5" t="s">
        <v>2939</v>
      </c>
      <c r="C4650" s="5" t="s">
        <v>4882</v>
      </c>
      <c r="D4650" s="6">
        <v>-487687</v>
      </c>
      <c r="E4650" s="6">
        <v>-266218</v>
      </c>
      <c r="F4650" s="7">
        <v>4.0090000000000003</v>
      </c>
      <c r="G4650" s="7">
        <v>5.4640000000000004</v>
      </c>
      <c r="H4650" s="7">
        <v>5.266</v>
      </c>
      <c r="I4650" s="7">
        <v>4.5519999999999996</v>
      </c>
      <c r="J4650" s="7">
        <v>3.6949999999999998</v>
      </c>
      <c r="K4650" s="7">
        <v>2.9950000000000001</v>
      </c>
      <c r="L4650" s="7">
        <v>2.4590000000000001</v>
      </c>
      <c r="M4650" s="7">
        <v>2.57</v>
      </c>
      <c r="N4650" s="7">
        <v>3.1779999999999999</v>
      </c>
      <c r="O4650" s="7">
        <v>3.3690000000000002</v>
      </c>
      <c r="P4650" s="7">
        <v>3.9849999999999999</v>
      </c>
      <c r="Q4650" s="7">
        <v>5.0750000000000002</v>
      </c>
      <c r="R4650" s="7">
        <v>5.4969999999999999</v>
      </c>
      <c r="S4650" s="7">
        <f t="shared" si="72"/>
        <v>4.00875</v>
      </c>
    </row>
    <row r="4651" spans="1:19">
      <c r="A4651" s="5" t="str">
        <f>B4651&amp;"-"&amp;COUNTIF($B$2:B4651,B4651)</f>
        <v>SANTA CATARINA-235</v>
      </c>
      <c r="B4651" s="5" t="s">
        <v>2939</v>
      </c>
      <c r="C4651" s="5" t="s">
        <v>4207</v>
      </c>
      <c r="D4651" s="6">
        <v>-535981</v>
      </c>
      <c r="E4651" s="6">
        <v>-270988</v>
      </c>
      <c r="F4651" s="7">
        <v>4.6109999999999998</v>
      </c>
      <c r="G4651" s="7">
        <v>6.3150000000000004</v>
      </c>
      <c r="H4651" s="7">
        <v>5.7729999999999997</v>
      </c>
      <c r="I4651" s="7">
        <v>5.101</v>
      </c>
      <c r="J4651" s="7">
        <v>4.0279999999999996</v>
      </c>
      <c r="K4651" s="7">
        <v>3.1</v>
      </c>
      <c r="L4651" s="7">
        <v>2.5870000000000002</v>
      </c>
      <c r="M4651" s="7">
        <v>2.891</v>
      </c>
      <c r="N4651" s="7">
        <v>3.7519999999999998</v>
      </c>
      <c r="O4651" s="7">
        <v>4.0149999999999997</v>
      </c>
      <c r="P4651" s="7">
        <v>5.14</v>
      </c>
      <c r="Q4651" s="7">
        <v>6.1449999999999996</v>
      </c>
      <c r="R4651" s="7">
        <v>6.4809999999999999</v>
      </c>
      <c r="S4651" s="7">
        <f t="shared" si="72"/>
        <v>4.6106666666666678</v>
      </c>
    </row>
    <row r="4652" spans="1:19">
      <c r="A4652" s="5" t="str">
        <f>B4652&amp;"-"&amp;COUNTIF($B$2:B4652,B4652)</f>
        <v>SANTA CATARINA-236</v>
      </c>
      <c r="B4652" s="5" t="s">
        <v>2939</v>
      </c>
      <c r="C4652" s="5" t="s">
        <v>4208</v>
      </c>
      <c r="D4652" s="6">
        <v>-498036</v>
      </c>
      <c r="E4652" s="6">
        <v>-292191</v>
      </c>
      <c r="F4652" s="7">
        <v>4.0309999999999997</v>
      </c>
      <c r="G4652" s="7">
        <v>5.3289999999999997</v>
      </c>
      <c r="H4652" s="7">
        <v>5.0259999999999998</v>
      </c>
      <c r="I4652" s="7">
        <v>4.319</v>
      </c>
      <c r="J4652" s="7">
        <v>3.742</v>
      </c>
      <c r="K4652" s="7">
        <v>2.8879999999999999</v>
      </c>
      <c r="L4652" s="7">
        <v>2.4409999999999998</v>
      </c>
      <c r="M4652" s="7">
        <v>2.6869999999999998</v>
      </c>
      <c r="N4652" s="7">
        <v>3.3570000000000002</v>
      </c>
      <c r="O4652" s="7">
        <v>3.4609999999999999</v>
      </c>
      <c r="P4652" s="7">
        <v>4.1059999999999999</v>
      </c>
      <c r="Q4652" s="7">
        <v>5.3810000000000002</v>
      </c>
      <c r="R4652" s="7">
        <v>5.6369999999999996</v>
      </c>
      <c r="S4652" s="7">
        <f t="shared" si="72"/>
        <v>4.0311666666666666</v>
      </c>
    </row>
    <row r="4653" spans="1:19">
      <c r="A4653" s="5" t="str">
        <f>B4653&amp;"-"&amp;COUNTIF($B$2:B4653,B4653)</f>
        <v>SANTA CATARINA-237</v>
      </c>
      <c r="B4653" s="5" t="s">
        <v>2939</v>
      </c>
      <c r="C4653" s="5" t="s">
        <v>4209</v>
      </c>
      <c r="D4653" s="6">
        <v>-499462</v>
      </c>
      <c r="E4653" s="6">
        <v>-282892</v>
      </c>
      <c r="F4653" s="7">
        <v>4.4589999999999996</v>
      </c>
      <c r="G4653" s="7">
        <v>5.8470000000000004</v>
      </c>
      <c r="H4653" s="7">
        <v>5.4880000000000004</v>
      </c>
      <c r="I4653" s="7">
        <v>4.7910000000000004</v>
      </c>
      <c r="J4653" s="7">
        <v>3.9260000000000002</v>
      </c>
      <c r="K4653" s="7">
        <v>3.0110000000000001</v>
      </c>
      <c r="L4653" s="7">
        <v>2.613</v>
      </c>
      <c r="M4653" s="7">
        <v>2.88</v>
      </c>
      <c r="N4653" s="7">
        <v>3.6680000000000001</v>
      </c>
      <c r="O4653" s="7">
        <v>3.9060000000000001</v>
      </c>
      <c r="P4653" s="7">
        <v>4.8810000000000002</v>
      </c>
      <c r="Q4653" s="7">
        <v>6.0940000000000003</v>
      </c>
      <c r="R4653" s="7">
        <v>6.4009999999999998</v>
      </c>
      <c r="S4653" s="7">
        <f t="shared" si="72"/>
        <v>4.4588333333333336</v>
      </c>
    </row>
    <row r="4654" spans="1:19">
      <c r="A4654" s="5" t="str">
        <f>B4654&amp;"-"&amp;COUNTIF($B$2:B4654,B4654)</f>
        <v>SANTA CATARINA-238</v>
      </c>
      <c r="B4654" s="5" t="s">
        <v>2939</v>
      </c>
      <c r="C4654" s="5" t="s">
        <v>4495</v>
      </c>
      <c r="D4654" s="6">
        <v>-48616</v>
      </c>
      <c r="E4654" s="6">
        <v>-275904</v>
      </c>
      <c r="F4654" s="7">
        <v>4.1559999999999997</v>
      </c>
      <c r="G4654" s="7">
        <v>5.7329999999999997</v>
      </c>
      <c r="H4654" s="7">
        <v>5.3520000000000003</v>
      </c>
      <c r="I4654" s="7">
        <v>4.5730000000000004</v>
      </c>
      <c r="J4654" s="7">
        <v>3.7330000000000001</v>
      </c>
      <c r="K4654" s="7">
        <v>3.03</v>
      </c>
      <c r="L4654" s="7">
        <v>2.544</v>
      </c>
      <c r="M4654" s="7">
        <v>2.6789999999999998</v>
      </c>
      <c r="N4654" s="7">
        <v>3.3889999999999998</v>
      </c>
      <c r="O4654" s="7">
        <v>3.464</v>
      </c>
      <c r="P4654" s="7">
        <v>4.149</v>
      </c>
      <c r="Q4654" s="7">
        <v>5.38</v>
      </c>
      <c r="R4654" s="7">
        <v>5.8440000000000003</v>
      </c>
      <c r="S4654" s="7">
        <f t="shared" si="72"/>
        <v>4.1558333333333337</v>
      </c>
    </row>
    <row r="4655" spans="1:19">
      <c r="A4655" s="5" t="str">
        <f>B4655&amp;"-"&amp;COUNTIF($B$2:B4655,B4655)</f>
        <v>SANTA CATARINA-239</v>
      </c>
      <c r="B4655" s="5" t="s">
        <v>2939</v>
      </c>
      <c r="C4655" s="5" t="s">
        <v>4496</v>
      </c>
      <c r="D4655" s="6">
        <v>-534959</v>
      </c>
      <c r="E4655" s="6">
        <v>-264566</v>
      </c>
      <c r="F4655" s="7">
        <v>4.6520000000000001</v>
      </c>
      <c r="G4655" s="7">
        <v>6.2779999999999996</v>
      </c>
      <c r="H4655" s="7">
        <v>5.774</v>
      </c>
      <c r="I4655" s="7">
        <v>5.0860000000000003</v>
      </c>
      <c r="J4655" s="7">
        <v>4.1180000000000003</v>
      </c>
      <c r="K4655" s="7">
        <v>3.21</v>
      </c>
      <c r="L4655" s="7">
        <v>2.7309999999999999</v>
      </c>
      <c r="M4655" s="7">
        <v>3.0089999999999999</v>
      </c>
      <c r="N4655" s="7">
        <v>3.903</v>
      </c>
      <c r="O4655" s="7">
        <v>4.1740000000000004</v>
      </c>
      <c r="P4655" s="7">
        <v>5.149</v>
      </c>
      <c r="Q4655" s="7">
        <v>6.0350000000000001</v>
      </c>
      <c r="R4655" s="7">
        <v>6.3559999999999999</v>
      </c>
      <c r="S4655" s="7">
        <f t="shared" si="72"/>
        <v>4.6519166666666667</v>
      </c>
    </row>
    <row r="4656" spans="1:19">
      <c r="A4656" s="5" t="str">
        <f>B4656&amp;"-"&amp;COUNTIF($B$2:B4656,B4656)</f>
        <v>SANTA CATARINA-240</v>
      </c>
      <c r="B4656" s="5" t="s">
        <v>2939</v>
      </c>
      <c r="C4656" s="5" t="s">
        <v>4497</v>
      </c>
      <c r="D4656" s="6">
        <v>-505737</v>
      </c>
      <c r="E4656" s="6">
        <v>-276607</v>
      </c>
      <c r="F4656" s="7">
        <v>4.2990000000000004</v>
      </c>
      <c r="G4656" s="7">
        <v>5.7610000000000001</v>
      </c>
      <c r="H4656" s="7">
        <v>5.4279999999999999</v>
      </c>
      <c r="I4656" s="7">
        <v>4.6500000000000004</v>
      </c>
      <c r="J4656" s="7">
        <v>3.81</v>
      </c>
      <c r="K4656" s="7">
        <v>2.8860000000000001</v>
      </c>
      <c r="L4656" s="7">
        <v>2.5169999999999999</v>
      </c>
      <c r="M4656" s="7">
        <v>2.7610000000000001</v>
      </c>
      <c r="N4656" s="7">
        <v>3.589</v>
      </c>
      <c r="O4656" s="7">
        <v>3.7789999999999999</v>
      </c>
      <c r="P4656" s="7">
        <v>4.5540000000000003</v>
      </c>
      <c r="Q4656" s="7">
        <v>5.758</v>
      </c>
      <c r="R4656" s="7">
        <v>6.0970000000000004</v>
      </c>
      <c r="S4656" s="7">
        <f t="shared" si="72"/>
        <v>4.2991666666666672</v>
      </c>
    </row>
    <row r="4657" spans="1:19">
      <c r="A4657" s="5" t="str">
        <f>B4657&amp;"-"&amp;COUNTIF($B$2:B4657,B4657)</f>
        <v>SANTA CATARINA-241</v>
      </c>
      <c r="B4657" s="5" t="s">
        <v>2939</v>
      </c>
      <c r="C4657" s="5" t="s">
        <v>4778</v>
      </c>
      <c r="D4657" s="6">
        <v>-528503</v>
      </c>
      <c r="E4657" s="6">
        <v>-263561</v>
      </c>
      <c r="F4657" s="7">
        <v>4.6399999999999997</v>
      </c>
      <c r="G4657" s="7">
        <v>6.1319999999999997</v>
      </c>
      <c r="H4657" s="7">
        <v>5.6619999999999999</v>
      </c>
      <c r="I4657" s="7">
        <v>5.0720000000000001</v>
      </c>
      <c r="J4657" s="7">
        <v>4.1369999999999996</v>
      </c>
      <c r="K4657" s="7">
        <v>3.2280000000000002</v>
      </c>
      <c r="L4657" s="7">
        <v>2.7690000000000001</v>
      </c>
      <c r="M4657" s="7">
        <v>3.0710000000000002</v>
      </c>
      <c r="N4657" s="7">
        <v>3.9870000000000001</v>
      </c>
      <c r="O4657" s="7">
        <v>4.1959999999999997</v>
      </c>
      <c r="P4657" s="7">
        <v>5.1100000000000003</v>
      </c>
      <c r="Q4657" s="7">
        <v>6.0449999999999999</v>
      </c>
      <c r="R4657" s="7">
        <v>6.2679999999999998</v>
      </c>
      <c r="S4657" s="7">
        <f t="shared" si="72"/>
        <v>4.6397500000000003</v>
      </c>
    </row>
    <row r="4658" spans="1:19">
      <c r="A4658" s="5" t="str">
        <f>B4658&amp;"-"&amp;COUNTIF($B$2:B4658,B4658)</f>
        <v>SANTA CATARINA-242</v>
      </c>
      <c r="B4658" s="5" t="s">
        <v>2939</v>
      </c>
      <c r="C4658" s="5" t="s">
        <v>4210</v>
      </c>
      <c r="D4658" s="6">
        <v>-491811</v>
      </c>
      <c r="E4658" s="6">
        <v>-283149</v>
      </c>
      <c r="F4658" s="7">
        <v>4.2169999999999996</v>
      </c>
      <c r="G4658" s="7">
        <v>5.7009999999999996</v>
      </c>
      <c r="H4658" s="7">
        <v>5.2389999999999999</v>
      </c>
      <c r="I4658" s="7">
        <v>4.5220000000000002</v>
      </c>
      <c r="J4658" s="7">
        <v>3.7970000000000002</v>
      </c>
      <c r="K4658" s="7">
        <v>2.9729999999999999</v>
      </c>
      <c r="L4658" s="7">
        <v>2.528</v>
      </c>
      <c r="M4658" s="7">
        <v>2.7349999999999999</v>
      </c>
      <c r="N4658" s="7">
        <v>3.5009999999999999</v>
      </c>
      <c r="O4658" s="7">
        <v>3.6070000000000002</v>
      </c>
      <c r="P4658" s="7">
        <v>4.38</v>
      </c>
      <c r="Q4658" s="7">
        <v>5.649</v>
      </c>
      <c r="R4658" s="7">
        <v>5.976</v>
      </c>
      <c r="S4658" s="7">
        <f t="shared" si="72"/>
        <v>4.2173333333333334</v>
      </c>
    </row>
    <row r="4659" spans="1:19">
      <c r="A4659" s="5" t="str">
        <f>B4659&amp;"-"&amp;COUNTIF($B$2:B4659,B4659)</f>
        <v>SANTA CATARINA-243</v>
      </c>
      <c r="B4659" s="5" t="s">
        <v>2939</v>
      </c>
      <c r="C4659" s="5" t="s">
        <v>4179</v>
      </c>
      <c r="D4659" s="6">
        <v>-489872</v>
      </c>
      <c r="E4659" s="6">
        <v>-281614</v>
      </c>
      <c r="F4659" s="7">
        <v>4.2690000000000001</v>
      </c>
      <c r="G4659" s="7">
        <v>5.8150000000000004</v>
      </c>
      <c r="H4659" s="7">
        <v>5.3460000000000001</v>
      </c>
      <c r="I4659" s="7">
        <v>4.5789999999999997</v>
      </c>
      <c r="J4659" s="7">
        <v>3.82</v>
      </c>
      <c r="K4659" s="7">
        <v>3.0009999999999999</v>
      </c>
      <c r="L4659" s="7">
        <v>2.5680000000000001</v>
      </c>
      <c r="M4659" s="7">
        <v>2.77</v>
      </c>
      <c r="N4659" s="7">
        <v>3.5059999999999998</v>
      </c>
      <c r="O4659" s="7">
        <v>3.6320000000000001</v>
      </c>
      <c r="P4659" s="7">
        <v>4.431</v>
      </c>
      <c r="Q4659" s="7">
        <v>5.7119999999999997</v>
      </c>
      <c r="R4659" s="7">
        <v>6.0510000000000002</v>
      </c>
      <c r="S4659" s="7">
        <f t="shared" si="72"/>
        <v>4.2692500000000004</v>
      </c>
    </row>
    <row r="4660" spans="1:19">
      <c r="A4660" s="5" t="str">
        <f>B4660&amp;"-"&amp;COUNTIF($B$2:B4660,B4660)</f>
        <v>SANTA CATARINA-244</v>
      </c>
      <c r="B4660" s="5" t="s">
        <v>2939</v>
      </c>
      <c r="C4660" s="5" t="s">
        <v>4211</v>
      </c>
      <c r="D4660" s="6">
        <v>-532516</v>
      </c>
      <c r="E4660" s="6">
        <v>-266874</v>
      </c>
      <c r="F4660" s="7">
        <v>4.649</v>
      </c>
      <c r="G4660" s="7">
        <v>6.2869999999999999</v>
      </c>
      <c r="H4660" s="7">
        <v>5.7859999999999996</v>
      </c>
      <c r="I4660" s="7">
        <v>5.14</v>
      </c>
      <c r="J4660" s="7">
        <v>4.1399999999999997</v>
      </c>
      <c r="K4660" s="7">
        <v>3.1779999999999999</v>
      </c>
      <c r="L4660" s="7">
        <v>2.706</v>
      </c>
      <c r="M4660" s="7">
        <v>2.9660000000000002</v>
      </c>
      <c r="N4660" s="7">
        <v>3.8530000000000002</v>
      </c>
      <c r="O4660" s="7">
        <v>4.1120000000000001</v>
      </c>
      <c r="P4660" s="7">
        <v>5.12</v>
      </c>
      <c r="Q4660" s="7">
        <v>6.09</v>
      </c>
      <c r="R4660" s="7">
        <v>6.4130000000000003</v>
      </c>
      <c r="S4660" s="7">
        <f t="shared" si="72"/>
        <v>4.6492499999999994</v>
      </c>
    </row>
    <row r="4661" spans="1:19">
      <c r="A4661" s="5" t="str">
        <f>B4661&amp;"-"&amp;COUNTIF($B$2:B4661,B4661)</f>
        <v>SANTA CATARINA-245</v>
      </c>
      <c r="B4661" s="5" t="s">
        <v>2939</v>
      </c>
      <c r="C4661" s="5" t="s">
        <v>4212</v>
      </c>
      <c r="D4661" s="6">
        <v>-535167</v>
      </c>
      <c r="E4661" s="6">
        <v>-267247</v>
      </c>
      <c r="F4661" s="7">
        <v>4.6500000000000004</v>
      </c>
      <c r="G4661" s="7">
        <v>6.3490000000000002</v>
      </c>
      <c r="H4661" s="7">
        <v>5.7590000000000003</v>
      </c>
      <c r="I4661" s="7">
        <v>5.085</v>
      </c>
      <c r="J4661" s="7">
        <v>4.1070000000000002</v>
      </c>
      <c r="K4661" s="7">
        <v>3.1739999999999999</v>
      </c>
      <c r="L4661" s="7">
        <v>2.7189999999999999</v>
      </c>
      <c r="M4661" s="7">
        <v>2.9980000000000002</v>
      </c>
      <c r="N4661" s="7">
        <v>3.85</v>
      </c>
      <c r="O4661" s="7">
        <v>4.1260000000000003</v>
      </c>
      <c r="P4661" s="7">
        <v>5.1520000000000001</v>
      </c>
      <c r="Q4661" s="7">
        <v>6.04</v>
      </c>
      <c r="R4661" s="7">
        <v>6.4470000000000001</v>
      </c>
      <c r="S4661" s="7">
        <f t="shared" si="72"/>
        <v>4.6505000000000001</v>
      </c>
    </row>
    <row r="4662" spans="1:19">
      <c r="A4662" s="5" t="str">
        <f>B4662&amp;"-"&amp;COUNTIF($B$2:B4662,B4662)</f>
        <v>SANTA CATARINA-246</v>
      </c>
      <c r="B4662" s="5" t="s">
        <v>2939</v>
      </c>
      <c r="C4662" s="5" t="s">
        <v>5021</v>
      </c>
      <c r="D4662" s="6">
        <v>-488052</v>
      </c>
      <c r="E4662" s="6">
        <v>-27567</v>
      </c>
      <c r="F4662" s="7">
        <v>3.9809999999999999</v>
      </c>
      <c r="G4662" s="7">
        <v>5.3540000000000001</v>
      </c>
      <c r="H4662" s="7">
        <v>5.0439999999999996</v>
      </c>
      <c r="I4662" s="7">
        <v>4.4240000000000004</v>
      </c>
      <c r="J4662" s="7">
        <v>3.617</v>
      </c>
      <c r="K4662" s="7">
        <v>2.964</v>
      </c>
      <c r="L4662" s="7">
        <v>2.536</v>
      </c>
      <c r="M4662" s="7">
        <v>2.65</v>
      </c>
      <c r="N4662" s="7">
        <v>3.3570000000000002</v>
      </c>
      <c r="O4662" s="7">
        <v>3.371</v>
      </c>
      <c r="P4662" s="7">
        <v>3.887</v>
      </c>
      <c r="Q4662" s="7">
        <v>5.048</v>
      </c>
      <c r="R4662" s="7">
        <v>5.5179999999999998</v>
      </c>
      <c r="S4662" s="7">
        <f t="shared" si="72"/>
        <v>3.9808333333333334</v>
      </c>
    </row>
    <row r="4663" spans="1:19">
      <c r="A4663" s="5" t="str">
        <f>B4663&amp;"-"&amp;COUNTIF($B$2:B4663,B4663)</f>
        <v>SANTA CATARINA-247</v>
      </c>
      <c r="B4663" s="5" t="s">
        <v>2939</v>
      </c>
      <c r="C4663" s="5" t="s">
        <v>3092</v>
      </c>
      <c r="D4663" s="6">
        <v>-499992</v>
      </c>
      <c r="E4663" s="6">
        <v>-269803</v>
      </c>
      <c r="F4663" s="7">
        <v>3.9769999999999999</v>
      </c>
      <c r="G4663" s="7">
        <v>5.2649999999999997</v>
      </c>
      <c r="H4663" s="7">
        <v>5.0359999999999996</v>
      </c>
      <c r="I4663" s="7">
        <v>4.468</v>
      </c>
      <c r="J4663" s="7">
        <v>3.5649999999999999</v>
      </c>
      <c r="K4663" s="7">
        <v>2.831</v>
      </c>
      <c r="L4663" s="7">
        <v>2.3730000000000002</v>
      </c>
      <c r="M4663" s="7">
        <v>2.5720000000000001</v>
      </c>
      <c r="N4663" s="7">
        <v>3.3940000000000001</v>
      </c>
      <c r="O4663" s="7">
        <v>3.5019999999999998</v>
      </c>
      <c r="P4663" s="7">
        <v>4.0030000000000001</v>
      </c>
      <c r="Q4663" s="7">
        <v>5.2469999999999999</v>
      </c>
      <c r="R4663" s="7">
        <v>5.4690000000000003</v>
      </c>
      <c r="S4663" s="7">
        <f t="shared" si="72"/>
        <v>3.9770833333333333</v>
      </c>
    </row>
    <row r="4664" spans="1:19">
      <c r="A4664" s="5" t="str">
        <f>B4664&amp;"-"&amp;COUNTIF($B$2:B4664,B4664)</f>
        <v>SANTA CATARINA-248</v>
      </c>
      <c r="B4664" s="5" t="s">
        <v>2939</v>
      </c>
      <c r="C4664" s="5" t="s">
        <v>3093</v>
      </c>
      <c r="D4664" s="6">
        <v>-530582</v>
      </c>
      <c r="E4664" s="6">
        <v>-266054</v>
      </c>
      <c r="F4664" s="7">
        <v>4.5979999999999999</v>
      </c>
      <c r="G4664" s="7">
        <v>6.1459999999999999</v>
      </c>
      <c r="H4664" s="7">
        <v>5.6630000000000003</v>
      </c>
      <c r="I4664" s="7">
        <v>5.0460000000000003</v>
      </c>
      <c r="J4664" s="7">
        <v>4.0960000000000001</v>
      </c>
      <c r="K4664" s="7">
        <v>3.173</v>
      </c>
      <c r="L4664" s="7">
        <v>2.702</v>
      </c>
      <c r="M4664" s="7">
        <v>3.008</v>
      </c>
      <c r="N4664" s="7">
        <v>3.891</v>
      </c>
      <c r="O4664" s="7">
        <v>4.1239999999999997</v>
      </c>
      <c r="P4664" s="7">
        <v>5.0759999999999996</v>
      </c>
      <c r="Q4664" s="7">
        <v>5.9669999999999996</v>
      </c>
      <c r="R4664" s="7">
        <v>6.2850000000000001</v>
      </c>
      <c r="S4664" s="7">
        <f t="shared" si="72"/>
        <v>4.5980833333333342</v>
      </c>
    </row>
    <row r="4665" spans="1:19">
      <c r="A4665" s="5" t="str">
        <f>B4665&amp;"-"&amp;COUNTIF($B$2:B4665,B4665)</f>
        <v>SANTA CATARINA-249</v>
      </c>
      <c r="B4665" s="5" t="s">
        <v>2939</v>
      </c>
      <c r="C4665" s="5" t="s">
        <v>3094</v>
      </c>
      <c r="D4665" s="6">
        <v>-514048</v>
      </c>
      <c r="E4665" s="6">
        <v>-269035</v>
      </c>
      <c r="F4665" s="7">
        <v>4.4240000000000004</v>
      </c>
      <c r="G4665" s="7">
        <v>5.7009999999999996</v>
      </c>
      <c r="H4665" s="7">
        <v>5.2590000000000003</v>
      </c>
      <c r="I4665" s="7">
        <v>4.8159999999999998</v>
      </c>
      <c r="J4665" s="7">
        <v>3.9620000000000002</v>
      </c>
      <c r="K4665" s="7">
        <v>3.0390000000000001</v>
      </c>
      <c r="L4665" s="7">
        <v>2.7189999999999999</v>
      </c>
      <c r="M4665" s="7">
        <v>2.9420000000000002</v>
      </c>
      <c r="N4665" s="7">
        <v>3.8479999999999999</v>
      </c>
      <c r="O4665" s="7">
        <v>4.0359999999999996</v>
      </c>
      <c r="P4665" s="7">
        <v>4.8289999999999997</v>
      </c>
      <c r="Q4665" s="7">
        <v>5.8920000000000003</v>
      </c>
      <c r="R4665" s="7">
        <v>6.0419999999999998</v>
      </c>
      <c r="S4665" s="7">
        <f t="shared" si="72"/>
        <v>4.423750000000001</v>
      </c>
    </row>
    <row r="4666" spans="1:19">
      <c r="A4666" s="5" t="str">
        <f>B4666&amp;"-"&amp;COUNTIF($B$2:B4666,B4666)</f>
        <v>SANTA CATARINA-250</v>
      </c>
      <c r="B4666" s="5" t="s">
        <v>2939</v>
      </c>
      <c r="C4666" s="5" t="s">
        <v>4213</v>
      </c>
      <c r="D4666" s="6">
        <v>-491326</v>
      </c>
      <c r="E4666" s="6">
        <v>-286331</v>
      </c>
      <c r="F4666" s="7">
        <v>4.2279999999999998</v>
      </c>
      <c r="G4666" s="7">
        <v>5.7750000000000004</v>
      </c>
      <c r="H4666" s="7">
        <v>5.3179999999999996</v>
      </c>
      <c r="I4666" s="7">
        <v>4.5339999999999998</v>
      </c>
      <c r="J4666" s="7">
        <v>3.7890000000000001</v>
      </c>
      <c r="K4666" s="7">
        <v>2.9870000000000001</v>
      </c>
      <c r="L4666" s="7">
        <v>2.496</v>
      </c>
      <c r="M4666" s="7">
        <v>2.71</v>
      </c>
      <c r="N4666" s="7">
        <v>3.44</v>
      </c>
      <c r="O4666" s="7">
        <v>3.5379999999999998</v>
      </c>
      <c r="P4666" s="7">
        <v>4.3780000000000001</v>
      </c>
      <c r="Q4666" s="7">
        <v>5.7210000000000001</v>
      </c>
      <c r="R4666" s="7">
        <v>6.0529999999999999</v>
      </c>
      <c r="S4666" s="7">
        <f t="shared" si="72"/>
        <v>4.2282499999999992</v>
      </c>
    </row>
    <row r="4667" spans="1:19">
      <c r="A4667" s="5" t="str">
        <f>B4667&amp;"-"&amp;COUNTIF($B$2:B4667,B4667)</f>
        <v>SANTA CATARINA-251</v>
      </c>
      <c r="B4667" s="5" t="s">
        <v>2939</v>
      </c>
      <c r="C4667" s="5" t="s">
        <v>1903</v>
      </c>
      <c r="D4667" s="6">
        <v>-504256</v>
      </c>
      <c r="E4667" s="6">
        <v>-269597</v>
      </c>
      <c r="F4667" s="7">
        <v>4.2539999999999996</v>
      </c>
      <c r="G4667" s="7">
        <v>5.5060000000000002</v>
      </c>
      <c r="H4667" s="7">
        <v>5.2009999999999996</v>
      </c>
      <c r="I4667" s="7">
        <v>4.5910000000000002</v>
      </c>
      <c r="J4667" s="7">
        <v>3.7970000000000002</v>
      </c>
      <c r="K4667" s="7">
        <v>2.944</v>
      </c>
      <c r="L4667" s="7">
        <v>2.629</v>
      </c>
      <c r="M4667" s="7">
        <v>2.851</v>
      </c>
      <c r="N4667" s="7">
        <v>3.7530000000000001</v>
      </c>
      <c r="O4667" s="7">
        <v>3.8220000000000001</v>
      </c>
      <c r="P4667" s="7">
        <v>4.4989999999999997</v>
      </c>
      <c r="Q4667" s="7">
        <v>5.617</v>
      </c>
      <c r="R4667" s="7">
        <v>5.8360000000000003</v>
      </c>
      <c r="S4667" s="7">
        <f t="shared" si="72"/>
        <v>4.2538333333333336</v>
      </c>
    </row>
    <row r="4668" spans="1:19">
      <c r="A4668" s="5" t="str">
        <f>B4668&amp;"-"&amp;COUNTIF($B$2:B4668,B4668)</f>
        <v>SANTA CATARINA-252</v>
      </c>
      <c r="B4668" s="5" t="s">
        <v>2939</v>
      </c>
      <c r="C4668" s="5" t="s">
        <v>974</v>
      </c>
      <c r="D4668" s="6">
        <v>-536219</v>
      </c>
      <c r="E4668" s="6">
        <v>-269374</v>
      </c>
      <c r="F4668" s="7">
        <v>4.6029999999999998</v>
      </c>
      <c r="G4668" s="7">
        <v>6.2709999999999999</v>
      </c>
      <c r="H4668" s="7">
        <v>5.7789999999999999</v>
      </c>
      <c r="I4668" s="7">
        <v>5.0880000000000001</v>
      </c>
      <c r="J4668" s="7">
        <v>4.0590000000000002</v>
      </c>
      <c r="K4668" s="7">
        <v>3.1309999999999998</v>
      </c>
      <c r="L4668" s="7">
        <v>2.629</v>
      </c>
      <c r="M4668" s="7">
        <v>2.919</v>
      </c>
      <c r="N4668" s="7">
        <v>3.7719999999999998</v>
      </c>
      <c r="O4668" s="7">
        <v>4.0309999999999997</v>
      </c>
      <c r="P4668" s="7">
        <v>5.117</v>
      </c>
      <c r="Q4668" s="7">
        <v>6.0519999999999996</v>
      </c>
      <c r="R4668" s="7">
        <v>6.391</v>
      </c>
      <c r="S4668" s="7">
        <f t="shared" si="72"/>
        <v>4.6032500000000001</v>
      </c>
    </row>
    <row r="4669" spans="1:19">
      <c r="A4669" s="5" t="str">
        <f>B4669&amp;"-"&amp;COUNTIF($B$2:B4669,B4669)</f>
        <v>SANTA CATARINA-253</v>
      </c>
      <c r="B4669" s="5" t="s">
        <v>2939</v>
      </c>
      <c r="C4669" s="5" t="s">
        <v>3095</v>
      </c>
      <c r="D4669" s="6">
        <v>-491335</v>
      </c>
      <c r="E4669" s="6">
        <v>-280336</v>
      </c>
      <c r="F4669" s="7">
        <v>4.1260000000000003</v>
      </c>
      <c r="G4669" s="7">
        <v>5.4169999999999998</v>
      </c>
      <c r="H4669" s="7">
        <v>5.1079999999999997</v>
      </c>
      <c r="I4669" s="7">
        <v>4.4489999999999998</v>
      </c>
      <c r="J4669" s="7">
        <v>3.7410000000000001</v>
      </c>
      <c r="K4669" s="7">
        <v>2.931</v>
      </c>
      <c r="L4669" s="7">
        <v>2.5539999999999998</v>
      </c>
      <c r="M4669" s="7">
        <v>2.7509999999999999</v>
      </c>
      <c r="N4669" s="7">
        <v>3.5009999999999999</v>
      </c>
      <c r="O4669" s="7">
        <v>3.58</v>
      </c>
      <c r="P4669" s="7">
        <v>4.2480000000000002</v>
      </c>
      <c r="Q4669" s="7">
        <v>5.5010000000000003</v>
      </c>
      <c r="R4669" s="7">
        <v>5.7409999999999997</v>
      </c>
      <c r="S4669" s="7">
        <f t="shared" si="72"/>
        <v>4.1268333333333329</v>
      </c>
    </row>
    <row r="4670" spans="1:19">
      <c r="A4670" s="5" t="str">
        <f>B4670&amp;"-"&amp;COUNTIF($B$2:B4670,B4670)</f>
        <v>SANTA CATARINA-254</v>
      </c>
      <c r="B4670" s="5" t="s">
        <v>2939</v>
      </c>
      <c r="C4670" s="5" t="s">
        <v>3096</v>
      </c>
      <c r="D4670" s="6">
        <v>-497148</v>
      </c>
      <c r="E4670" s="6">
        <v>-291365</v>
      </c>
      <c r="F4670" s="7">
        <v>4.0979999999999999</v>
      </c>
      <c r="G4670" s="7">
        <v>5.52</v>
      </c>
      <c r="H4670" s="7">
        <v>5.1580000000000004</v>
      </c>
      <c r="I4670" s="7">
        <v>4.43</v>
      </c>
      <c r="J4670" s="7">
        <v>3.7850000000000001</v>
      </c>
      <c r="K4670" s="7">
        <v>2.9289999999999998</v>
      </c>
      <c r="L4670" s="7">
        <v>2.4350000000000001</v>
      </c>
      <c r="M4670" s="7">
        <v>2.673</v>
      </c>
      <c r="N4670" s="7">
        <v>3.36</v>
      </c>
      <c r="O4670" s="7">
        <v>3.4649999999999999</v>
      </c>
      <c r="P4670" s="7">
        <v>4.1639999999999997</v>
      </c>
      <c r="Q4670" s="7">
        <v>5.492</v>
      </c>
      <c r="R4670" s="7">
        <v>5.7679999999999998</v>
      </c>
      <c r="S4670" s="7">
        <f t="shared" si="72"/>
        <v>4.0982499999999993</v>
      </c>
    </row>
    <row r="4671" spans="1:19">
      <c r="A4671" s="5" t="str">
        <f>B4671&amp;"-"&amp;COUNTIF($B$2:B4671,B4671)</f>
        <v>SANTA CATARINA-255</v>
      </c>
      <c r="B4671" s="5" t="s">
        <v>2939</v>
      </c>
      <c r="C4671" s="5" t="s">
        <v>1064</v>
      </c>
      <c r="D4671" s="6">
        <v>-500094</v>
      </c>
      <c r="E4671" s="6">
        <v>-267818</v>
      </c>
      <c r="F4671" s="7">
        <v>4.0460000000000003</v>
      </c>
      <c r="G4671" s="7">
        <v>5.306</v>
      </c>
      <c r="H4671" s="7">
        <v>5.1130000000000004</v>
      </c>
      <c r="I4671" s="7">
        <v>4.5640000000000001</v>
      </c>
      <c r="J4671" s="7">
        <v>3.5720000000000001</v>
      </c>
      <c r="K4671" s="7">
        <v>2.8559999999999999</v>
      </c>
      <c r="L4671" s="7">
        <v>2.3969999999999998</v>
      </c>
      <c r="M4671" s="7">
        <v>2.6469999999999998</v>
      </c>
      <c r="N4671" s="7">
        <v>3.4990000000000001</v>
      </c>
      <c r="O4671" s="7">
        <v>3.5819999999999999</v>
      </c>
      <c r="P4671" s="7">
        <v>4.1580000000000004</v>
      </c>
      <c r="Q4671" s="7">
        <v>5.3289999999999997</v>
      </c>
      <c r="R4671" s="7">
        <v>5.5270000000000001</v>
      </c>
      <c r="S4671" s="7">
        <f t="shared" si="72"/>
        <v>4.0458333333333334</v>
      </c>
    </row>
    <row r="4672" spans="1:19">
      <c r="A4672" s="5" t="str">
        <f>B4672&amp;"-"&amp;COUNTIF($B$2:B4672,B4672)</f>
        <v>SANTA CATARINA-256</v>
      </c>
      <c r="B4672" s="5" t="s">
        <v>2939</v>
      </c>
      <c r="C4672" s="5" t="s">
        <v>3097</v>
      </c>
      <c r="D4672" s="6">
        <v>-532002</v>
      </c>
      <c r="E4672" s="6">
        <v>-266245</v>
      </c>
      <c r="F4672" s="7">
        <v>4.6289999999999996</v>
      </c>
      <c r="G4672" s="7">
        <v>6.181</v>
      </c>
      <c r="H4672" s="7">
        <v>5.7590000000000003</v>
      </c>
      <c r="I4672" s="7">
        <v>5.0919999999999996</v>
      </c>
      <c r="J4672" s="7">
        <v>4.1189999999999998</v>
      </c>
      <c r="K4672" s="7">
        <v>3.1960000000000002</v>
      </c>
      <c r="L4672" s="7">
        <v>2.7109999999999999</v>
      </c>
      <c r="M4672" s="7">
        <v>2.988</v>
      </c>
      <c r="N4672" s="7">
        <v>3.8730000000000002</v>
      </c>
      <c r="O4672" s="7">
        <v>4.1349999999999998</v>
      </c>
      <c r="P4672" s="7">
        <v>5.1040000000000001</v>
      </c>
      <c r="Q4672" s="7">
        <v>6.0609999999999999</v>
      </c>
      <c r="R4672" s="7">
        <v>6.327</v>
      </c>
      <c r="S4672" s="7">
        <f t="shared" si="72"/>
        <v>4.6288333333333327</v>
      </c>
    </row>
    <row r="4673" spans="1:19">
      <c r="A4673" s="5" t="str">
        <f>B4673&amp;"-"&amp;COUNTIF($B$2:B4673,B4673)</f>
        <v>SANTA CATARINA-257</v>
      </c>
      <c r="B4673" s="5" t="s">
        <v>2939</v>
      </c>
      <c r="C4673" s="5" t="s">
        <v>3098</v>
      </c>
      <c r="D4673" s="6">
        <v>-526763</v>
      </c>
      <c r="E4673" s="6">
        <v>-266357</v>
      </c>
      <c r="F4673" s="7">
        <v>4.6379999999999999</v>
      </c>
      <c r="G4673" s="7">
        <v>6.117</v>
      </c>
      <c r="H4673" s="7">
        <v>5.673</v>
      </c>
      <c r="I4673" s="7">
        <v>5.141</v>
      </c>
      <c r="J4673" s="7">
        <v>4.1379999999999999</v>
      </c>
      <c r="K4673" s="7">
        <v>3.1859999999999999</v>
      </c>
      <c r="L4673" s="7">
        <v>2.722</v>
      </c>
      <c r="M4673" s="7">
        <v>3.0190000000000001</v>
      </c>
      <c r="N4673" s="7">
        <v>3.9329999999999998</v>
      </c>
      <c r="O4673" s="7">
        <v>4.1429999999999998</v>
      </c>
      <c r="P4673" s="7">
        <v>5.1239999999999997</v>
      </c>
      <c r="Q4673" s="7">
        <v>6.1070000000000002</v>
      </c>
      <c r="R4673" s="7">
        <v>6.359</v>
      </c>
      <c r="S4673" s="7">
        <f t="shared" si="72"/>
        <v>4.6384999999999996</v>
      </c>
    </row>
    <row r="4674" spans="1:19">
      <c r="A4674" s="5" t="str">
        <f>B4674&amp;"-"&amp;COUNTIF($B$2:B4674,B4674)</f>
        <v>SANTA CATARINA-258</v>
      </c>
      <c r="B4674" s="5" t="s">
        <v>2939</v>
      </c>
      <c r="C4674" s="5" t="s">
        <v>3099</v>
      </c>
      <c r="D4674" s="6">
        <v>-487817</v>
      </c>
      <c r="E4674" s="6">
        <v>-276857</v>
      </c>
      <c r="F4674" s="7">
        <v>4.093</v>
      </c>
      <c r="G4674" s="7">
        <v>5.5060000000000002</v>
      </c>
      <c r="H4674" s="7">
        <v>5.2439999999999998</v>
      </c>
      <c r="I4674" s="7">
        <v>4.484</v>
      </c>
      <c r="J4674" s="7">
        <v>3.661</v>
      </c>
      <c r="K4674" s="7">
        <v>3.0139999999999998</v>
      </c>
      <c r="L4674" s="7">
        <v>2.573</v>
      </c>
      <c r="M4674" s="7">
        <v>2.6960000000000002</v>
      </c>
      <c r="N4674" s="7">
        <v>3.407</v>
      </c>
      <c r="O4674" s="7">
        <v>3.472</v>
      </c>
      <c r="P4674" s="7">
        <v>4.0860000000000003</v>
      </c>
      <c r="Q4674" s="7">
        <v>5.2759999999999998</v>
      </c>
      <c r="R4674" s="7">
        <v>5.6989999999999998</v>
      </c>
      <c r="S4674" s="7">
        <f t="shared" si="72"/>
        <v>4.093166666666666</v>
      </c>
    </row>
    <row r="4675" spans="1:19">
      <c r="A4675" s="5" t="str">
        <f>B4675&amp;"-"&amp;COUNTIF($B$2:B4675,B4675)</f>
        <v>SANTA CATARINA-259</v>
      </c>
      <c r="B4675" s="5" t="s">
        <v>2939</v>
      </c>
      <c r="C4675" s="5" t="s">
        <v>3100</v>
      </c>
      <c r="D4675" s="6">
        <v>-530026</v>
      </c>
      <c r="E4675" s="6">
        <v>-269321</v>
      </c>
      <c r="F4675" s="7">
        <v>4.6020000000000003</v>
      </c>
      <c r="G4675" s="7">
        <v>6.2149999999999999</v>
      </c>
      <c r="H4675" s="7">
        <v>5.7009999999999996</v>
      </c>
      <c r="I4675" s="7">
        <v>5.0620000000000003</v>
      </c>
      <c r="J4675" s="7">
        <v>4.0839999999999996</v>
      </c>
      <c r="K4675" s="7">
        <v>3.1440000000000001</v>
      </c>
      <c r="L4675" s="7">
        <v>2.6320000000000001</v>
      </c>
      <c r="M4675" s="7">
        <v>2.95</v>
      </c>
      <c r="N4675" s="7">
        <v>3.8050000000000002</v>
      </c>
      <c r="O4675" s="7">
        <v>4.0469999999999997</v>
      </c>
      <c r="P4675" s="7">
        <v>5.1050000000000004</v>
      </c>
      <c r="Q4675" s="7">
        <v>6.0519999999999996</v>
      </c>
      <c r="R4675" s="7">
        <v>6.4290000000000003</v>
      </c>
      <c r="S4675" s="7">
        <f t="shared" ref="S4675:S4738" si="73">(G4675+H4675+I4675+J4675+K4675+L4675+M4675+N4675+O4675+P4675+Q4675+R4675)/12</f>
        <v>4.6021666666666672</v>
      </c>
    </row>
    <row r="4676" spans="1:19">
      <c r="A4676" s="5" t="str">
        <f>B4676&amp;"-"&amp;COUNTIF($B$2:B4676,B4676)</f>
        <v>SANTA CATARINA-260</v>
      </c>
      <c r="B4676" s="5" t="s">
        <v>2939</v>
      </c>
      <c r="C4676" s="5" t="s">
        <v>3101</v>
      </c>
      <c r="D4676" s="6">
        <v>-490745</v>
      </c>
      <c r="E4676" s="6">
        <v>-264121</v>
      </c>
      <c r="F4676" s="7">
        <v>3.7869999999999999</v>
      </c>
      <c r="G4676" s="7">
        <v>5.0170000000000003</v>
      </c>
      <c r="H4676" s="7">
        <v>4.7910000000000004</v>
      </c>
      <c r="I4676" s="7">
        <v>4.2370000000000001</v>
      </c>
      <c r="J4676" s="7">
        <v>3.5230000000000001</v>
      </c>
      <c r="K4676" s="7">
        <v>2.9279999999999999</v>
      </c>
      <c r="L4676" s="7">
        <v>2.456</v>
      </c>
      <c r="M4676" s="7">
        <v>2.5630000000000002</v>
      </c>
      <c r="N4676" s="7">
        <v>3.2749999999999999</v>
      </c>
      <c r="O4676" s="7">
        <v>3.198</v>
      </c>
      <c r="P4676" s="7">
        <v>3.7040000000000002</v>
      </c>
      <c r="Q4676" s="7">
        <v>4.726</v>
      </c>
      <c r="R4676" s="7">
        <v>5.0220000000000002</v>
      </c>
      <c r="S4676" s="7">
        <f t="shared" si="73"/>
        <v>3.7866666666666666</v>
      </c>
    </row>
    <row r="4677" spans="1:19">
      <c r="A4677" s="5" t="str">
        <f>B4677&amp;"-"&amp;COUNTIF($B$2:B4677,B4677)</f>
        <v>SANTA CATARINA-261</v>
      </c>
      <c r="B4677" s="5" t="s">
        <v>2939</v>
      </c>
      <c r="C4677" s="5" t="s">
        <v>3102</v>
      </c>
      <c r="D4677" s="6">
        <v>-522995</v>
      </c>
      <c r="E4677" s="6">
        <v>-271569</v>
      </c>
      <c r="F4677" s="7">
        <v>4.5839999999999996</v>
      </c>
      <c r="G4677" s="7">
        <v>6.1890000000000001</v>
      </c>
      <c r="H4677" s="7">
        <v>5.7409999999999997</v>
      </c>
      <c r="I4677" s="7">
        <v>5.1050000000000004</v>
      </c>
      <c r="J4677" s="7">
        <v>4.0330000000000004</v>
      </c>
      <c r="K4677" s="7">
        <v>3.0830000000000002</v>
      </c>
      <c r="L4677" s="7">
        <v>2.548</v>
      </c>
      <c r="M4677" s="7">
        <v>2.8660000000000001</v>
      </c>
      <c r="N4677" s="7">
        <v>3.7549999999999999</v>
      </c>
      <c r="O4677" s="7">
        <v>4</v>
      </c>
      <c r="P4677" s="7">
        <v>5.0640000000000001</v>
      </c>
      <c r="Q4677" s="7">
        <v>6.1710000000000003</v>
      </c>
      <c r="R4677" s="7">
        <v>6.4569999999999999</v>
      </c>
      <c r="S4677" s="7">
        <f t="shared" si="73"/>
        <v>4.5843333333333343</v>
      </c>
    </row>
    <row r="4678" spans="1:19">
      <c r="A4678" s="5" t="str">
        <f>B4678&amp;"-"&amp;COUNTIF($B$2:B4678,B4678)</f>
        <v>SANTA CATARINA-262</v>
      </c>
      <c r="B4678" s="5" t="s">
        <v>2939</v>
      </c>
      <c r="C4678" s="5" t="s">
        <v>3103</v>
      </c>
      <c r="D4678" s="6">
        <v>-530413</v>
      </c>
      <c r="E4678" s="6">
        <v>-267234</v>
      </c>
      <c r="F4678" s="7">
        <v>4.6050000000000004</v>
      </c>
      <c r="G4678" s="7">
        <v>6.1379999999999999</v>
      </c>
      <c r="H4678" s="7">
        <v>5.65</v>
      </c>
      <c r="I4678" s="7">
        <v>5.0730000000000004</v>
      </c>
      <c r="J4678" s="7">
        <v>4.0940000000000003</v>
      </c>
      <c r="K4678" s="7">
        <v>3.1739999999999999</v>
      </c>
      <c r="L4678" s="7">
        <v>2.6840000000000002</v>
      </c>
      <c r="M4678" s="7">
        <v>2.9980000000000002</v>
      </c>
      <c r="N4678" s="7">
        <v>3.8530000000000002</v>
      </c>
      <c r="O4678" s="7">
        <v>4.1150000000000002</v>
      </c>
      <c r="P4678" s="7">
        <v>5.0960000000000001</v>
      </c>
      <c r="Q4678" s="7">
        <v>6.0389999999999997</v>
      </c>
      <c r="R4678" s="7">
        <v>6.3470000000000004</v>
      </c>
      <c r="S4678" s="7">
        <f t="shared" si="73"/>
        <v>4.6050833333333339</v>
      </c>
    </row>
    <row r="4679" spans="1:19">
      <c r="A4679" s="5" t="str">
        <f>B4679&amp;"-"&amp;COUNTIF($B$2:B4679,B4679)</f>
        <v>SANTA CATARINA-263</v>
      </c>
      <c r="B4679" s="5" t="s">
        <v>2939</v>
      </c>
      <c r="C4679" s="5" t="s">
        <v>5227</v>
      </c>
      <c r="D4679" s="6">
        <v>-494319</v>
      </c>
      <c r="E4679" s="6">
        <v>-28596</v>
      </c>
      <c r="F4679" s="7">
        <v>4.0090000000000003</v>
      </c>
      <c r="G4679" s="7">
        <v>5.2439999999999998</v>
      </c>
      <c r="H4679" s="7">
        <v>4.9210000000000003</v>
      </c>
      <c r="I4679" s="7">
        <v>4.3049999999999997</v>
      </c>
      <c r="J4679" s="7">
        <v>3.6989999999999998</v>
      </c>
      <c r="K4679" s="7">
        <v>2.9020000000000001</v>
      </c>
      <c r="L4679" s="7">
        <v>2.4649999999999999</v>
      </c>
      <c r="M4679" s="7">
        <v>2.6970000000000001</v>
      </c>
      <c r="N4679" s="7">
        <v>3.399</v>
      </c>
      <c r="O4679" s="7">
        <v>3.444</v>
      </c>
      <c r="P4679" s="7">
        <v>4.0979999999999999</v>
      </c>
      <c r="Q4679" s="7">
        <v>5.3650000000000002</v>
      </c>
      <c r="R4679" s="7">
        <v>5.5679999999999996</v>
      </c>
      <c r="S4679" s="7">
        <f t="shared" si="73"/>
        <v>4.0089166666666669</v>
      </c>
    </row>
    <row r="4680" spans="1:19">
      <c r="A4680" s="5" t="str">
        <f>B4680&amp;"-"&amp;COUNTIF($B$2:B4680,B4680)</f>
        <v>SANTA CATARINA-264</v>
      </c>
      <c r="B4680" s="5" t="s">
        <v>2939</v>
      </c>
      <c r="C4680" s="5" t="s">
        <v>3104</v>
      </c>
      <c r="D4680" s="6">
        <v>-496332</v>
      </c>
      <c r="E4680" s="6">
        <v>-291085</v>
      </c>
      <c r="F4680" s="7">
        <v>4.2160000000000002</v>
      </c>
      <c r="G4680" s="7">
        <v>5.7480000000000002</v>
      </c>
      <c r="H4680" s="7">
        <v>5.3620000000000001</v>
      </c>
      <c r="I4680" s="7">
        <v>4.5810000000000004</v>
      </c>
      <c r="J4680" s="7">
        <v>3.8410000000000002</v>
      </c>
      <c r="K4680" s="7">
        <v>2.98</v>
      </c>
      <c r="L4680" s="7">
        <v>2.4409999999999998</v>
      </c>
      <c r="M4680" s="7">
        <v>2.6859999999999999</v>
      </c>
      <c r="N4680" s="7">
        <v>3.3679999999999999</v>
      </c>
      <c r="O4680" s="7">
        <v>3.52</v>
      </c>
      <c r="P4680" s="7">
        <v>4.3250000000000002</v>
      </c>
      <c r="Q4680" s="7">
        <v>5.71</v>
      </c>
      <c r="R4680" s="7">
        <v>6.0339999999999998</v>
      </c>
      <c r="S4680" s="7">
        <f t="shared" si="73"/>
        <v>4.2163333333333339</v>
      </c>
    </row>
    <row r="4681" spans="1:19">
      <c r="A4681" s="5" t="str">
        <f>B4681&amp;"-"&amp;COUNTIF($B$2:B4681,B4681)</f>
        <v>SANTA CATARINA-265</v>
      </c>
      <c r="B4681" s="5" t="s">
        <v>2939</v>
      </c>
      <c r="C4681" s="5" t="s">
        <v>3105</v>
      </c>
      <c r="D4681" s="6">
        <v>-529644</v>
      </c>
      <c r="E4681" s="6">
        <v>-267356</v>
      </c>
      <c r="F4681" s="7">
        <v>4.6109999999999998</v>
      </c>
      <c r="G4681" s="7">
        <v>6.1459999999999999</v>
      </c>
      <c r="H4681" s="7">
        <v>5.6660000000000004</v>
      </c>
      <c r="I4681" s="7">
        <v>5.0940000000000003</v>
      </c>
      <c r="J4681" s="7">
        <v>4.1029999999999998</v>
      </c>
      <c r="K4681" s="7">
        <v>3.1480000000000001</v>
      </c>
      <c r="L4681" s="7">
        <v>2.6560000000000001</v>
      </c>
      <c r="M4681" s="7">
        <v>3.0139999999999998</v>
      </c>
      <c r="N4681" s="7">
        <v>3.86</v>
      </c>
      <c r="O4681" s="7">
        <v>4.1159999999999997</v>
      </c>
      <c r="P4681" s="7">
        <v>5.1120000000000001</v>
      </c>
      <c r="Q4681" s="7">
        <v>6.085</v>
      </c>
      <c r="R4681" s="7">
        <v>6.3369999999999997</v>
      </c>
      <c r="S4681" s="7">
        <f t="shared" si="73"/>
        <v>4.6114166666666669</v>
      </c>
    </row>
    <row r="4682" spans="1:19">
      <c r="A4682" s="5" t="str">
        <f>B4682&amp;"-"&amp;COUNTIF($B$2:B4682,B4682)</f>
        <v>SANTA CATARINA-266</v>
      </c>
      <c r="B4682" s="5" t="s">
        <v>2939</v>
      </c>
      <c r="C4682" s="5" t="s">
        <v>5228</v>
      </c>
      <c r="D4682" s="6">
        <v>-500041</v>
      </c>
      <c r="E4682" s="6">
        <v>-271187</v>
      </c>
      <c r="F4682" s="7">
        <v>4.0030000000000001</v>
      </c>
      <c r="G4682" s="7">
        <v>5.3730000000000002</v>
      </c>
      <c r="H4682" s="7">
        <v>5.101</v>
      </c>
      <c r="I4682" s="7">
        <v>4.5490000000000004</v>
      </c>
      <c r="J4682" s="7">
        <v>3.6080000000000001</v>
      </c>
      <c r="K4682" s="7">
        <v>2.835</v>
      </c>
      <c r="L4682" s="7">
        <v>2.3460000000000001</v>
      </c>
      <c r="M4682" s="7">
        <v>2.52</v>
      </c>
      <c r="N4682" s="7">
        <v>3.3340000000000001</v>
      </c>
      <c r="O4682" s="7">
        <v>3.4780000000000002</v>
      </c>
      <c r="P4682" s="7">
        <v>4.0199999999999996</v>
      </c>
      <c r="Q4682" s="7">
        <v>5.3179999999999996</v>
      </c>
      <c r="R4682" s="7">
        <v>5.5529999999999999</v>
      </c>
      <c r="S4682" s="7">
        <f t="shared" si="73"/>
        <v>4.0029166666666667</v>
      </c>
    </row>
    <row r="4683" spans="1:19">
      <c r="A4683" s="5" t="str">
        <f>B4683&amp;"-"&amp;COUNTIF($B$2:B4683,B4683)</f>
        <v>SANTA CATARINA-267</v>
      </c>
      <c r="B4683" s="5" t="s">
        <v>2939</v>
      </c>
      <c r="C4683" s="5" t="s">
        <v>5704</v>
      </c>
      <c r="D4683" s="6">
        <v>-512477</v>
      </c>
      <c r="E4683" s="6">
        <v>-271001</v>
      </c>
      <c r="F4683" s="7">
        <v>4.4649999999999999</v>
      </c>
      <c r="G4683" s="7">
        <v>5.83</v>
      </c>
      <c r="H4683" s="7">
        <v>5.4790000000000001</v>
      </c>
      <c r="I4683" s="7">
        <v>4.9219999999999997</v>
      </c>
      <c r="J4683" s="7">
        <v>4.0190000000000001</v>
      </c>
      <c r="K4683" s="7">
        <v>3.0139999999999998</v>
      </c>
      <c r="L4683" s="7">
        <v>2.6440000000000001</v>
      </c>
      <c r="M4683" s="7">
        <v>2.87</v>
      </c>
      <c r="N4683" s="7">
        <v>3.778</v>
      </c>
      <c r="O4683" s="7">
        <v>3.9630000000000001</v>
      </c>
      <c r="P4683" s="7">
        <v>4.84</v>
      </c>
      <c r="Q4683" s="7">
        <v>5.9850000000000003</v>
      </c>
      <c r="R4683" s="7">
        <v>6.2370000000000001</v>
      </c>
      <c r="S4683" s="7">
        <f t="shared" si="73"/>
        <v>4.4650833333333342</v>
      </c>
    </row>
    <row r="4684" spans="1:19">
      <c r="A4684" s="5" t="str">
        <f>B4684&amp;"-"&amp;COUNTIF($B$2:B4684,B4684)</f>
        <v>SANTA CATARINA-268</v>
      </c>
      <c r="B4684" s="5" t="s">
        <v>2939</v>
      </c>
      <c r="C4684" s="5" t="s">
        <v>3106</v>
      </c>
      <c r="D4684" s="6">
        <v>-53155</v>
      </c>
      <c r="E4684" s="6">
        <v>-266881</v>
      </c>
      <c r="F4684" s="7">
        <v>4.633</v>
      </c>
      <c r="G4684" s="7">
        <v>6.2290000000000001</v>
      </c>
      <c r="H4684" s="7">
        <v>5.7439999999999998</v>
      </c>
      <c r="I4684" s="7">
        <v>5.1189999999999998</v>
      </c>
      <c r="J4684" s="7">
        <v>4.1349999999999998</v>
      </c>
      <c r="K4684" s="7">
        <v>3.173</v>
      </c>
      <c r="L4684" s="7">
        <v>2.7090000000000001</v>
      </c>
      <c r="M4684" s="7">
        <v>2.976</v>
      </c>
      <c r="N4684" s="7">
        <v>3.8530000000000002</v>
      </c>
      <c r="O4684" s="7">
        <v>4.1059999999999999</v>
      </c>
      <c r="P4684" s="7">
        <v>5.101</v>
      </c>
      <c r="Q4684" s="7">
        <v>6.0720000000000001</v>
      </c>
      <c r="R4684" s="7">
        <v>6.3840000000000003</v>
      </c>
      <c r="S4684" s="7">
        <f t="shared" si="73"/>
        <v>4.6334166666666663</v>
      </c>
    </row>
    <row r="4685" spans="1:19">
      <c r="A4685" s="5" t="str">
        <f>B4685&amp;"-"&amp;COUNTIF($B$2:B4685,B4685)</f>
        <v>SANTA CATARINA-269</v>
      </c>
      <c r="B4685" s="5" t="s">
        <v>2939</v>
      </c>
      <c r="C4685" s="5" t="s">
        <v>3107</v>
      </c>
      <c r="D4685" s="6">
        <v>-486326</v>
      </c>
      <c r="E4685" s="6">
        <v>-272359</v>
      </c>
      <c r="F4685" s="7">
        <v>4.0609999999999999</v>
      </c>
      <c r="G4685" s="7">
        <v>5.6070000000000002</v>
      </c>
      <c r="H4685" s="7">
        <v>5.2839999999999998</v>
      </c>
      <c r="I4685" s="7">
        <v>4.508</v>
      </c>
      <c r="J4685" s="7">
        <v>3.6240000000000001</v>
      </c>
      <c r="K4685" s="7">
        <v>3.008</v>
      </c>
      <c r="L4685" s="7">
        <v>2.504</v>
      </c>
      <c r="M4685" s="7">
        <v>2.6850000000000001</v>
      </c>
      <c r="N4685" s="7">
        <v>3.2970000000000002</v>
      </c>
      <c r="O4685" s="7">
        <v>3.4340000000000002</v>
      </c>
      <c r="P4685" s="7">
        <v>3.9849999999999999</v>
      </c>
      <c r="Q4685" s="7">
        <v>5.1740000000000004</v>
      </c>
      <c r="R4685" s="7">
        <v>5.6269999999999998</v>
      </c>
      <c r="S4685" s="7">
        <f t="shared" si="73"/>
        <v>4.0614166666666671</v>
      </c>
    </row>
    <row r="4686" spans="1:19">
      <c r="A4686" s="5" t="str">
        <f>B4686&amp;"-"&amp;COUNTIF($B$2:B4686,B4686)</f>
        <v>SANTA CATARINA-270</v>
      </c>
      <c r="B4686" s="5" t="s">
        <v>2939</v>
      </c>
      <c r="C4686" s="5" t="s">
        <v>4498</v>
      </c>
      <c r="D4686" s="6">
        <v>-498425</v>
      </c>
      <c r="E4686" s="6">
        <v>-288292</v>
      </c>
      <c r="F4686" s="7">
        <v>3.923</v>
      </c>
      <c r="G4686" s="7">
        <v>5.0609999999999999</v>
      </c>
      <c r="H4686" s="7">
        <v>4.8360000000000003</v>
      </c>
      <c r="I4686" s="7">
        <v>4.2290000000000001</v>
      </c>
      <c r="J4686" s="7">
        <v>3.6560000000000001</v>
      </c>
      <c r="K4686" s="7">
        <v>2.8290000000000002</v>
      </c>
      <c r="L4686" s="7">
        <v>2.42</v>
      </c>
      <c r="M4686" s="7">
        <v>2.7029999999999998</v>
      </c>
      <c r="N4686" s="7">
        <v>3.3620000000000001</v>
      </c>
      <c r="O4686" s="7">
        <v>3.3290000000000002</v>
      </c>
      <c r="P4686" s="7">
        <v>3.9940000000000002</v>
      </c>
      <c r="Q4686" s="7">
        <v>5.1920000000000002</v>
      </c>
      <c r="R4686" s="7">
        <v>5.4619999999999997</v>
      </c>
      <c r="S4686" s="7">
        <f t="shared" si="73"/>
        <v>3.9227499999999993</v>
      </c>
    </row>
    <row r="4687" spans="1:19">
      <c r="A4687" s="5" t="str">
        <f>B4687&amp;"-"&amp;COUNTIF($B$2:B4687,B4687)</f>
        <v>SANTA CATARINA-271</v>
      </c>
      <c r="B4687" s="5" t="s">
        <v>2939</v>
      </c>
      <c r="C4687" s="5" t="s">
        <v>5229</v>
      </c>
      <c r="D4687" s="6">
        <v>-492695</v>
      </c>
      <c r="E4687" s="6">
        <v>-268251</v>
      </c>
      <c r="F4687" s="7">
        <v>3.964</v>
      </c>
      <c r="G4687" s="7">
        <v>5.4089999999999998</v>
      </c>
      <c r="H4687" s="7">
        <v>5.0830000000000002</v>
      </c>
      <c r="I4687" s="7">
        <v>4.4729999999999999</v>
      </c>
      <c r="J4687" s="7">
        <v>3.6619999999999999</v>
      </c>
      <c r="K4687" s="7">
        <v>3.004</v>
      </c>
      <c r="L4687" s="7">
        <v>2.456</v>
      </c>
      <c r="M4687" s="7">
        <v>2.6160000000000001</v>
      </c>
      <c r="N4687" s="7">
        <v>3.2949999999999999</v>
      </c>
      <c r="O4687" s="7">
        <v>3.335</v>
      </c>
      <c r="P4687" s="7">
        <v>3.8380000000000001</v>
      </c>
      <c r="Q4687" s="7">
        <v>5.0199999999999996</v>
      </c>
      <c r="R4687" s="7">
        <v>5.3730000000000002</v>
      </c>
      <c r="S4687" s="7">
        <f t="shared" si="73"/>
        <v>3.9636666666666667</v>
      </c>
    </row>
    <row r="4688" spans="1:19">
      <c r="A4688" s="5" t="str">
        <f>B4688&amp;"-"&amp;COUNTIF($B$2:B4688,B4688)</f>
        <v>SANTA CATARINA-272</v>
      </c>
      <c r="B4688" s="5" t="s">
        <v>2939</v>
      </c>
      <c r="C4688" s="5" t="s">
        <v>5230</v>
      </c>
      <c r="D4688" s="6">
        <v>-506612</v>
      </c>
      <c r="E4688" s="6">
        <v>-266131</v>
      </c>
      <c r="F4688" s="7">
        <v>4.1120000000000001</v>
      </c>
      <c r="G4688" s="7">
        <v>5.3529999999999998</v>
      </c>
      <c r="H4688" s="7">
        <v>5.0830000000000002</v>
      </c>
      <c r="I4688" s="7">
        <v>4.5129999999999999</v>
      </c>
      <c r="J4688" s="7">
        <v>3.6</v>
      </c>
      <c r="K4688" s="7">
        <v>2.8719999999999999</v>
      </c>
      <c r="L4688" s="7">
        <v>2.476</v>
      </c>
      <c r="M4688" s="7">
        <v>2.7469999999999999</v>
      </c>
      <c r="N4688" s="7">
        <v>3.673</v>
      </c>
      <c r="O4688" s="7">
        <v>3.762</v>
      </c>
      <c r="P4688" s="7">
        <v>4.3440000000000003</v>
      </c>
      <c r="Q4688" s="7">
        <v>5.4020000000000001</v>
      </c>
      <c r="R4688" s="7">
        <v>5.5129999999999999</v>
      </c>
      <c r="S4688" s="7">
        <f t="shared" si="73"/>
        <v>4.1115000000000004</v>
      </c>
    </row>
    <row r="4689" spans="1:19">
      <c r="A4689" s="5" t="str">
        <f>B4689&amp;"-"&amp;COUNTIF($B$2:B4689,B4689)</f>
        <v>SANTA CATARINA-273</v>
      </c>
      <c r="B4689" s="5" t="s">
        <v>2939</v>
      </c>
      <c r="C4689" s="5" t="s">
        <v>5332</v>
      </c>
      <c r="D4689" s="6">
        <v>-503201</v>
      </c>
      <c r="E4689" s="6">
        <v>-261061</v>
      </c>
      <c r="F4689" s="7">
        <v>4.1210000000000004</v>
      </c>
      <c r="G4689" s="7">
        <v>5.4219999999999997</v>
      </c>
      <c r="H4689" s="7">
        <v>5.1219999999999999</v>
      </c>
      <c r="I4689" s="7">
        <v>4.5209999999999999</v>
      </c>
      <c r="J4689" s="7">
        <v>3.5449999999999999</v>
      </c>
      <c r="K4689" s="7">
        <v>2.843</v>
      </c>
      <c r="L4689" s="7">
        <v>2.444</v>
      </c>
      <c r="M4689" s="7">
        <v>2.6880000000000002</v>
      </c>
      <c r="N4689" s="7">
        <v>3.6960000000000002</v>
      </c>
      <c r="O4689" s="7">
        <v>3.8159999999999998</v>
      </c>
      <c r="P4689" s="7">
        <v>4.3840000000000003</v>
      </c>
      <c r="Q4689" s="7">
        <v>5.3689999999999998</v>
      </c>
      <c r="R4689" s="7">
        <v>5.6</v>
      </c>
      <c r="S4689" s="7">
        <f t="shared" si="73"/>
        <v>4.1208333333333336</v>
      </c>
    </row>
    <row r="4690" spans="1:19">
      <c r="A4690" s="5" t="str">
        <f>B4690&amp;"-"&amp;COUNTIF($B$2:B4690,B4690)</f>
        <v>SANTA CATARINA-274</v>
      </c>
      <c r="B4690" s="5" t="s">
        <v>2939</v>
      </c>
      <c r="C4690" s="5" t="s">
        <v>3108</v>
      </c>
      <c r="D4690" s="6">
        <v>-494638</v>
      </c>
      <c r="E4690" s="6">
        <v>-285101</v>
      </c>
      <c r="F4690" s="7">
        <v>3.9590000000000001</v>
      </c>
      <c r="G4690" s="7">
        <v>5.1639999999999997</v>
      </c>
      <c r="H4690" s="7">
        <v>4.8179999999999996</v>
      </c>
      <c r="I4690" s="7">
        <v>4.2389999999999999</v>
      </c>
      <c r="J4690" s="7">
        <v>3.6520000000000001</v>
      </c>
      <c r="K4690" s="7">
        <v>2.8780000000000001</v>
      </c>
      <c r="L4690" s="7">
        <v>2.488</v>
      </c>
      <c r="M4690" s="7">
        <v>2.6850000000000001</v>
      </c>
      <c r="N4690" s="7">
        <v>3.4119999999999999</v>
      </c>
      <c r="O4690" s="7">
        <v>3.4079999999999999</v>
      </c>
      <c r="P4690" s="7">
        <v>4.0199999999999996</v>
      </c>
      <c r="Q4690" s="7">
        <v>5.25</v>
      </c>
      <c r="R4690" s="7">
        <v>5.4960000000000004</v>
      </c>
      <c r="S4690" s="7">
        <f t="shared" si="73"/>
        <v>3.9591666666666665</v>
      </c>
    </row>
    <row r="4691" spans="1:19">
      <c r="A4691" s="5" t="str">
        <f>B4691&amp;"-"&amp;COUNTIF($B$2:B4691,B4691)</f>
        <v>SANTA CATARINA-275</v>
      </c>
      <c r="B4691" s="5" t="s">
        <v>2939</v>
      </c>
      <c r="C4691" s="5" t="s">
        <v>3109</v>
      </c>
      <c r="D4691" s="6">
        <v>-49157</v>
      </c>
      <c r="E4691" s="6">
        <v>-285541</v>
      </c>
      <c r="F4691" s="7">
        <v>4.2279999999999998</v>
      </c>
      <c r="G4691" s="7">
        <v>5.7750000000000004</v>
      </c>
      <c r="H4691" s="7">
        <v>5.3179999999999996</v>
      </c>
      <c r="I4691" s="7">
        <v>4.5339999999999998</v>
      </c>
      <c r="J4691" s="7">
        <v>3.7890000000000001</v>
      </c>
      <c r="K4691" s="7">
        <v>2.9870000000000001</v>
      </c>
      <c r="L4691" s="7">
        <v>2.496</v>
      </c>
      <c r="M4691" s="7">
        <v>2.71</v>
      </c>
      <c r="N4691" s="7">
        <v>3.44</v>
      </c>
      <c r="O4691" s="7">
        <v>3.5379999999999998</v>
      </c>
      <c r="P4691" s="7">
        <v>4.3780000000000001</v>
      </c>
      <c r="Q4691" s="7">
        <v>5.7210000000000001</v>
      </c>
      <c r="R4691" s="7">
        <v>6.0529999999999999</v>
      </c>
      <c r="S4691" s="7">
        <f t="shared" si="73"/>
        <v>4.2282499999999992</v>
      </c>
    </row>
    <row r="4692" spans="1:19">
      <c r="A4692" s="5" t="str">
        <f>B4692&amp;"-"&amp;COUNTIF($B$2:B4692,B4692)</f>
        <v>SANTA CATARINA-276</v>
      </c>
      <c r="B4692" s="5" t="s">
        <v>2939</v>
      </c>
      <c r="C4692" s="5" t="s">
        <v>3110</v>
      </c>
      <c r="D4692" s="6">
        <v>-514089</v>
      </c>
      <c r="E4692" s="6">
        <v>-270031</v>
      </c>
      <c r="F4692" s="7">
        <v>4.4550000000000001</v>
      </c>
      <c r="G4692" s="7">
        <v>5.734</v>
      </c>
      <c r="H4692" s="7">
        <v>5.3280000000000003</v>
      </c>
      <c r="I4692" s="7">
        <v>4.8970000000000002</v>
      </c>
      <c r="J4692" s="7">
        <v>4.0019999999999998</v>
      </c>
      <c r="K4692" s="7">
        <v>3.0710000000000002</v>
      </c>
      <c r="L4692" s="7">
        <v>2.718</v>
      </c>
      <c r="M4692" s="7">
        <v>2.92</v>
      </c>
      <c r="N4692" s="7">
        <v>3.8210000000000002</v>
      </c>
      <c r="O4692" s="7">
        <v>4.0279999999999996</v>
      </c>
      <c r="P4692" s="7">
        <v>4.8659999999999997</v>
      </c>
      <c r="Q4692" s="7">
        <v>5.9560000000000004</v>
      </c>
      <c r="R4692" s="7">
        <v>6.1120000000000001</v>
      </c>
      <c r="S4692" s="7">
        <f t="shared" si="73"/>
        <v>4.4544166666666669</v>
      </c>
    </row>
    <row r="4693" spans="1:19">
      <c r="A4693" s="5" t="str">
        <f>B4693&amp;"-"&amp;COUNTIF($B$2:B4693,B4693)</f>
        <v>SANTA CATARINA-277</v>
      </c>
      <c r="B4693" s="5" t="s">
        <v>2939</v>
      </c>
      <c r="C4693" s="5" t="s">
        <v>3111</v>
      </c>
      <c r="D4693" s="6">
        <v>-497934</v>
      </c>
      <c r="E4693" s="6">
        <v>-273038</v>
      </c>
      <c r="F4693" s="7">
        <v>4.1020000000000003</v>
      </c>
      <c r="G4693" s="7">
        <v>5.6630000000000003</v>
      </c>
      <c r="H4693" s="7">
        <v>5.3579999999999997</v>
      </c>
      <c r="I4693" s="7">
        <v>4.6449999999999996</v>
      </c>
      <c r="J4693" s="7">
        <v>3.649</v>
      </c>
      <c r="K4693" s="7">
        <v>2.863</v>
      </c>
      <c r="L4693" s="7">
        <v>2.3260000000000001</v>
      </c>
      <c r="M4693" s="7">
        <v>2.4910000000000001</v>
      </c>
      <c r="N4693" s="7">
        <v>3.3180000000000001</v>
      </c>
      <c r="O4693" s="7">
        <v>3.53</v>
      </c>
      <c r="P4693" s="7">
        <v>4.1559999999999997</v>
      </c>
      <c r="Q4693" s="7">
        <v>5.4240000000000004</v>
      </c>
      <c r="R4693" s="7">
        <v>5.8090000000000002</v>
      </c>
      <c r="S4693" s="7">
        <f t="shared" si="73"/>
        <v>4.1026666666666669</v>
      </c>
    </row>
    <row r="4694" spans="1:19">
      <c r="A4694" s="5" t="str">
        <f>B4694&amp;"-"&amp;COUNTIF($B$2:B4694,B4694)</f>
        <v>SANTA CATARINA-278</v>
      </c>
      <c r="B4694" s="5" t="s">
        <v>2939</v>
      </c>
      <c r="C4694" s="5" t="s">
        <v>4214</v>
      </c>
      <c r="D4694" s="6">
        <v>-490148</v>
      </c>
      <c r="E4694" s="6">
        <v>-284718</v>
      </c>
      <c r="F4694" s="7">
        <v>4.2409999999999997</v>
      </c>
      <c r="G4694" s="7">
        <v>5.7679999999999998</v>
      </c>
      <c r="H4694" s="7">
        <v>5.3419999999999996</v>
      </c>
      <c r="I4694" s="7">
        <v>4.5419999999999998</v>
      </c>
      <c r="J4694" s="7">
        <v>3.78</v>
      </c>
      <c r="K4694" s="7">
        <v>2.9969999999999999</v>
      </c>
      <c r="L4694" s="7">
        <v>2.5190000000000001</v>
      </c>
      <c r="M4694" s="7">
        <v>2.7229999999999999</v>
      </c>
      <c r="N4694" s="7">
        <v>3.47</v>
      </c>
      <c r="O4694" s="7">
        <v>3.5840000000000001</v>
      </c>
      <c r="P4694" s="7">
        <v>4.3979999999999997</v>
      </c>
      <c r="Q4694" s="7">
        <v>5.6989999999999998</v>
      </c>
      <c r="R4694" s="7">
        <v>6.0739999999999998</v>
      </c>
      <c r="S4694" s="7">
        <f t="shared" si="73"/>
        <v>4.2413333333333334</v>
      </c>
    </row>
    <row r="4695" spans="1:19">
      <c r="A4695" s="5" t="str">
        <f>B4695&amp;"-"&amp;COUNTIF($B$2:B4695,B4695)</f>
        <v>SANTA CATARINA-279</v>
      </c>
      <c r="B4695" s="5" t="s">
        <v>2939</v>
      </c>
      <c r="C4695" s="5" t="s">
        <v>5755</v>
      </c>
      <c r="D4695" s="6">
        <v>-536422</v>
      </c>
      <c r="E4695" s="6">
        <v>-269686</v>
      </c>
      <c r="F4695" s="7">
        <v>4.6139999999999999</v>
      </c>
      <c r="G4695" s="7">
        <v>6.3239999999999998</v>
      </c>
      <c r="H4695" s="7">
        <v>5.8019999999999996</v>
      </c>
      <c r="I4695" s="7">
        <v>5.0990000000000002</v>
      </c>
      <c r="J4695" s="7">
        <v>4.0629999999999997</v>
      </c>
      <c r="K4695" s="7">
        <v>3.1190000000000002</v>
      </c>
      <c r="L4695" s="7">
        <v>2.6179999999999999</v>
      </c>
      <c r="M4695" s="7">
        <v>2.9049999999999998</v>
      </c>
      <c r="N4695" s="7">
        <v>3.7650000000000001</v>
      </c>
      <c r="O4695" s="7">
        <v>4.016</v>
      </c>
      <c r="P4695" s="7">
        <v>5.1319999999999997</v>
      </c>
      <c r="Q4695" s="7">
        <v>6.09</v>
      </c>
      <c r="R4695" s="7">
        <v>6.4349999999999996</v>
      </c>
      <c r="S4695" s="7">
        <f t="shared" si="73"/>
        <v>4.6139999999999999</v>
      </c>
    </row>
    <row r="4696" spans="1:19">
      <c r="A4696" s="5" t="str">
        <f>B4696&amp;"-"&amp;COUNTIF($B$2:B4696,B4696)</f>
        <v>SANTA CATARINA-280</v>
      </c>
      <c r="B4696" s="5" t="s">
        <v>2939</v>
      </c>
      <c r="C4696" s="5" t="s">
        <v>2132</v>
      </c>
      <c r="D4696" s="6">
        <v>-496835</v>
      </c>
      <c r="E4696" s="6">
        <v>-289277</v>
      </c>
      <c r="F4696" s="7">
        <v>4.1479999999999997</v>
      </c>
      <c r="G4696" s="7">
        <v>5.58</v>
      </c>
      <c r="H4696" s="7">
        <v>5.24</v>
      </c>
      <c r="I4696" s="7">
        <v>4.4800000000000004</v>
      </c>
      <c r="J4696" s="7">
        <v>3.8250000000000002</v>
      </c>
      <c r="K4696" s="7">
        <v>2.96</v>
      </c>
      <c r="L4696" s="7">
        <v>2.448</v>
      </c>
      <c r="M4696" s="7">
        <v>2.694</v>
      </c>
      <c r="N4696" s="7">
        <v>3.3959999999999999</v>
      </c>
      <c r="O4696" s="7">
        <v>3.4950000000000001</v>
      </c>
      <c r="P4696" s="7">
        <v>4.2309999999999999</v>
      </c>
      <c r="Q4696" s="7">
        <v>5.5739999999999998</v>
      </c>
      <c r="R4696" s="7">
        <v>5.8490000000000002</v>
      </c>
      <c r="S4696" s="7">
        <f t="shared" si="73"/>
        <v>4.1476666666666668</v>
      </c>
    </row>
    <row r="4697" spans="1:19">
      <c r="A4697" s="5" t="str">
        <f>B4697&amp;"-"&amp;COUNTIF($B$2:B4697,B4697)</f>
        <v>SANTA CATARINA-281</v>
      </c>
      <c r="B4697" s="5" t="s">
        <v>2939</v>
      </c>
      <c r="C4697" s="5" t="s">
        <v>4215</v>
      </c>
      <c r="D4697" s="6">
        <v>-528546</v>
      </c>
      <c r="E4697" s="6">
        <v>-267625</v>
      </c>
      <c r="F4697" s="7">
        <v>4.6180000000000003</v>
      </c>
      <c r="G4697" s="7">
        <v>6.1529999999999996</v>
      </c>
      <c r="H4697" s="7">
        <v>5.6909999999999998</v>
      </c>
      <c r="I4697" s="7">
        <v>5.1360000000000001</v>
      </c>
      <c r="J4697" s="7">
        <v>4.1120000000000001</v>
      </c>
      <c r="K4697" s="7">
        <v>3.1669999999999998</v>
      </c>
      <c r="L4697" s="7">
        <v>2.65</v>
      </c>
      <c r="M4697" s="7">
        <v>2.9670000000000001</v>
      </c>
      <c r="N4697" s="7">
        <v>3.839</v>
      </c>
      <c r="O4697" s="7">
        <v>4.0679999999999996</v>
      </c>
      <c r="P4697" s="7">
        <v>5.1109999999999998</v>
      </c>
      <c r="Q4697" s="7">
        <v>6.1260000000000003</v>
      </c>
      <c r="R4697" s="7">
        <v>6.4009999999999998</v>
      </c>
      <c r="S4697" s="7">
        <f t="shared" si="73"/>
        <v>4.6184166666666657</v>
      </c>
    </row>
    <row r="4698" spans="1:19">
      <c r="A4698" s="5" t="str">
        <f>B4698&amp;"-"&amp;COUNTIF($B$2:B4698,B4698)</f>
        <v>SANTA CATARINA-282</v>
      </c>
      <c r="B4698" s="5" t="s">
        <v>2939</v>
      </c>
      <c r="C4698" s="5" t="s">
        <v>3112</v>
      </c>
      <c r="D4698" s="6">
        <v>-49593</v>
      </c>
      <c r="E4698" s="6">
        <v>-280161</v>
      </c>
      <c r="F4698" s="7">
        <v>4.2290000000000001</v>
      </c>
      <c r="G4698" s="7">
        <v>5.6479999999999997</v>
      </c>
      <c r="H4698" s="7">
        <v>5.3310000000000004</v>
      </c>
      <c r="I4698" s="7">
        <v>4.5970000000000004</v>
      </c>
      <c r="J4698" s="7">
        <v>3.802</v>
      </c>
      <c r="K4698" s="7">
        <v>2.948</v>
      </c>
      <c r="L4698" s="7">
        <v>2.5310000000000001</v>
      </c>
      <c r="M4698" s="7">
        <v>2.7370000000000001</v>
      </c>
      <c r="N4698" s="7">
        <v>3.5249999999999999</v>
      </c>
      <c r="O4698" s="7">
        <v>3.738</v>
      </c>
      <c r="P4698" s="7">
        <v>4.3650000000000002</v>
      </c>
      <c r="Q4698" s="7">
        <v>5.6310000000000002</v>
      </c>
      <c r="R4698" s="7">
        <v>5.8920000000000003</v>
      </c>
      <c r="S4698" s="7">
        <f t="shared" si="73"/>
        <v>4.2287500000000007</v>
      </c>
    </row>
    <row r="4699" spans="1:19">
      <c r="A4699" s="5" t="str">
        <f>B4699&amp;"-"&amp;COUNTIF($B$2:B4699,B4699)</f>
        <v>SANTA CATARINA-283</v>
      </c>
      <c r="B4699" s="5" t="s">
        <v>2939</v>
      </c>
      <c r="C4699" s="5" t="s">
        <v>3113</v>
      </c>
      <c r="D4699" s="6">
        <v>-498733</v>
      </c>
      <c r="E4699" s="6">
        <v>-279562</v>
      </c>
      <c r="F4699" s="7">
        <v>4.3319999999999999</v>
      </c>
      <c r="G4699" s="7">
        <v>5.7789999999999999</v>
      </c>
      <c r="H4699" s="7">
        <v>5.3609999999999998</v>
      </c>
      <c r="I4699" s="7">
        <v>4.6509999999999998</v>
      </c>
      <c r="J4699" s="7">
        <v>3.8130000000000002</v>
      </c>
      <c r="K4699" s="7">
        <v>2.9780000000000002</v>
      </c>
      <c r="L4699" s="7">
        <v>2.597</v>
      </c>
      <c r="M4699" s="7">
        <v>2.8359999999999999</v>
      </c>
      <c r="N4699" s="7">
        <v>3.6560000000000001</v>
      </c>
      <c r="O4699" s="7">
        <v>3.8580000000000001</v>
      </c>
      <c r="P4699" s="7">
        <v>4.5640000000000001</v>
      </c>
      <c r="Q4699" s="7">
        <v>5.8239999999999998</v>
      </c>
      <c r="R4699" s="7">
        <v>6.0709999999999997</v>
      </c>
      <c r="S4699" s="7">
        <f t="shared" si="73"/>
        <v>4.3323333333333327</v>
      </c>
    </row>
    <row r="4700" spans="1:19">
      <c r="A4700" s="5" t="str">
        <f>B4700&amp;"-"&amp;COUNTIF($B$2:B4700,B4700)</f>
        <v>SANTA CATARINA-284</v>
      </c>
      <c r="B4700" s="5" t="s">
        <v>2939</v>
      </c>
      <c r="C4700" s="5" t="s">
        <v>3114</v>
      </c>
      <c r="D4700" s="6">
        <v>-493242</v>
      </c>
      <c r="E4700" s="6">
        <v>-285185</v>
      </c>
      <c r="F4700" s="7">
        <v>4.1029999999999998</v>
      </c>
      <c r="G4700" s="7">
        <v>5.45</v>
      </c>
      <c r="H4700" s="7">
        <v>5.0869999999999997</v>
      </c>
      <c r="I4700" s="7">
        <v>4.4189999999999996</v>
      </c>
      <c r="J4700" s="7">
        <v>3.7610000000000001</v>
      </c>
      <c r="K4700" s="7">
        <v>2.94</v>
      </c>
      <c r="L4700" s="7">
        <v>2.4940000000000002</v>
      </c>
      <c r="M4700" s="7">
        <v>2.6930000000000001</v>
      </c>
      <c r="N4700" s="7">
        <v>3.4359999999999999</v>
      </c>
      <c r="O4700" s="7">
        <v>3.4940000000000002</v>
      </c>
      <c r="P4700" s="7">
        <v>4.2069999999999999</v>
      </c>
      <c r="Q4700" s="7">
        <v>5.48</v>
      </c>
      <c r="R4700" s="7">
        <v>5.7770000000000001</v>
      </c>
      <c r="S4700" s="7">
        <f t="shared" si="73"/>
        <v>4.1031666666666666</v>
      </c>
    </row>
    <row r="4701" spans="1:19">
      <c r="A4701" s="5" t="str">
        <f>B4701&amp;"-"&amp;COUNTIF($B$2:B4701,B4701)</f>
        <v>SANTA CATARINA-285</v>
      </c>
      <c r="B4701" s="5" t="s">
        <v>2939</v>
      </c>
      <c r="C4701" s="5" t="s">
        <v>4216</v>
      </c>
      <c r="D4701" s="6">
        <v>-521554</v>
      </c>
      <c r="E4701" s="6">
        <v>-268626</v>
      </c>
      <c r="F4701" s="7">
        <v>4.5720000000000001</v>
      </c>
      <c r="G4701" s="7">
        <v>6.0819999999999999</v>
      </c>
      <c r="H4701" s="7">
        <v>5.5449999999999999</v>
      </c>
      <c r="I4701" s="7">
        <v>5.04</v>
      </c>
      <c r="J4701" s="7">
        <v>4.0830000000000002</v>
      </c>
      <c r="K4701" s="7">
        <v>3.125</v>
      </c>
      <c r="L4701" s="7">
        <v>2.7210000000000001</v>
      </c>
      <c r="M4701" s="7">
        <v>2.988</v>
      </c>
      <c r="N4701" s="7">
        <v>3.85</v>
      </c>
      <c r="O4701" s="7">
        <v>4.0730000000000004</v>
      </c>
      <c r="P4701" s="7">
        <v>5.0410000000000004</v>
      </c>
      <c r="Q4701" s="7">
        <v>6.04</v>
      </c>
      <c r="R4701" s="7">
        <v>6.2720000000000002</v>
      </c>
      <c r="S4701" s="7">
        <f t="shared" si="73"/>
        <v>4.5716666666666663</v>
      </c>
    </row>
    <row r="4702" spans="1:19">
      <c r="A4702" s="5" t="str">
        <f>B4702&amp;"-"&amp;COUNTIF($B$2:B4702,B4702)</f>
        <v>SANTA CATARINA-286</v>
      </c>
      <c r="B4702" s="5" t="s">
        <v>2939</v>
      </c>
      <c r="C4702" s="5" t="s">
        <v>3115</v>
      </c>
      <c r="D4702" s="6">
        <v>-509728</v>
      </c>
      <c r="E4702" s="6">
        <v>-274872</v>
      </c>
      <c r="F4702" s="7">
        <v>4.3710000000000004</v>
      </c>
      <c r="G4702" s="7">
        <v>5.8010000000000002</v>
      </c>
      <c r="H4702" s="7">
        <v>5.4630000000000001</v>
      </c>
      <c r="I4702" s="7">
        <v>4.7809999999999997</v>
      </c>
      <c r="J4702" s="7">
        <v>3.8879999999999999</v>
      </c>
      <c r="K4702" s="7">
        <v>2.9260000000000002</v>
      </c>
      <c r="L4702" s="7">
        <v>2.5449999999999999</v>
      </c>
      <c r="M4702" s="7">
        <v>2.8010000000000002</v>
      </c>
      <c r="N4702" s="7">
        <v>3.645</v>
      </c>
      <c r="O4702" s="7">
        <v>3.863</v>
      </c>
      <c r="P4702" s="7">
        <v>4.7009999999999996</v>
      </c>
      <c r="Q4702" s="7">
        <v>5.88</v>
      </c>
      <c r="R4702" s="7">
        <v>6.157</v>
      </c>
      <c r="S4702" s="7">
        <f t="shared" si="73"/>
        <v>4.370916666666667</v>
      </c>
    </row>
    <row r="4703" spans="1:19">
      <c r="A4703" s="5" t="str">
        <f>B4703&amp;"-"&amp;COUNTIF($B$2:B4703,B4703)</f>
        <v>SANTA CATARINA-287</v>
      </c>
      <c r="B4703" s="5" t="s">
        <v>2939</v>
      </c>
      <c r="C4703" s="5" t="s">
        <v>1681</v>
      </c>
      <c r="D4703" s="6">
        <v>-517407</v>
      </c>
      <c r="E4703" s="6">
        <v>-270059</v>
      </c>
      <c r="F4703" s="7">
        <v>4.5</v>
      </c>
      <c r="G4703" s="7">
        <v>5.8010000000000002</v>
      </c>
      <c r="H4703" s="7">
        <v>5.4180000000000001</v>
      </c>
      <c r="I4703" s="7">
        <v>4.952</v>
      </c>
      <c r="J4703" s="7">
        <v>4.0350000000000001</v>
      </c>
      <c r="K4703" s="7">
        <v>3.0939999999999999</v>
      </c>
      <c r="L4703" s="7">
        <v>2.7349999999999999</v>
      </c>
      <c r="M4703" s="7">
        <v>2.9769999999999999</v>
      </c>
      <c r="N4703" s="7">
        <v>3.8410000000000002</v>
      </c>
      <c r="O4703" s="7">
        <v>4.0590000000000002</v>
      </c>
      <c r="P4703" s="7">
        <v>4.9420000000000002</v>
      </c>
      <c r="Q4703" s="7">
        <v>5.9980000000000002</v>
      </c>
      <c r="R4703" s="7">
        <v>6.1440000000000001</v>
      </c>
      <c r="S4703" s="7">
        <f t="shared" si="73"/>
        <v>4.4996666666666663</v>
      </c>
    </row>
    <row r="4704" spans="1:19">
      <c r="A4704" s="5" t="str">
        <f>B4704&amp;"-"&amp;COUNTIF($B$2:B4704,B4704)</f>
        <v>SANTA CATARINA-288</v>
      </c>
      <c r="B4704" s="5" t="s">
        <v>2939</v>
      </c>
      <c r="C4704" s="5" t="s">
        <v>3116</v>
      </c>
      <c r="D4704" s="6">
        <v>-493598</v>
      </c>
      <c r="E4704" s="6">
        <v>-273891</v>
      </c>
      <c r="F4704" s="7">
        <v>4.0410000000000004</v>
      </c>
      <c r="G4704" s="7">
        <v>5.532</v>
      </c>
      <c r="H4704" s="7">
        <v>5.1840000000000002</v>
      </c>
      <c r="I4704" s="7">
        <v>4.4859999999999998</v>
      </c>
      <c r="J4704" s="7">
        <v>3.6640000000000001</v>
      </c>
      <c r="K4704" s="7">
        <v>2.9119999999999999</v>
      </c>
      <c r="L4704" s="7">
        <v>2.4279999999999999</v>
      </c>
      <c r="M4704" s="7">
        <v>2.6120000000000001</v>
      </c>
      <c r="N4704" s="7">
        <v>3.3690000000000002</v>
      </c>
      <c r="O4704" s="7">
        <v>3.4630000000000001</v>
      </c>
      <c r="P4704" s="7">
        <v>4.01</v>
      </c>
      <c r="Q4704" s="7">
        <v>5.2670000000000003</v>
      </c>
      <c r="R4704" s="7">
        <v>5.5679999999999996</v>
      </c>
      <c r="S4704" s="7">
        <f t="shared" si="73"/>
        <v>4.0412500000000007</v>
      </c>
    </row>
    <row r="4705" spans="1:19">
      <c r="A4705" s="5" t="str">
        <f>B4705&amp;"-"&amp;COUNTIF($B$2:B4705,B4705)</f>
        <v>SANTA CATARINA-289</v>
      </c>
      <c r="B4705" s="5" t="s">
        <v>2939</v>
      </c>
      <c r="C4705" s="5" t="s">
        <v>3117</v>
      </c>
      <c r="D4705" s="6">
        <v>-511513</v>
      </c>
      <c r="E4705" s="6">
        <v>-270065</v>
      </c>
      <c r="F4705" s="7">
        <v>4.4009999999999998</v>
      </c>
      <c r="G4705" s="7">
        <v>5.7549999999999999</v>
      </c>
      <c r="H4705" s="7">
        <v>5.3380000000000001</v>
      </c>
      <c r="I4705" s="7">
        <v>4.8570000000000002</v>
      </c>
      <c r="J4705" s="7">
        <v>3.9289999999999998</v>
      </c>
      <c r="K4705" s="7">
        <v>3.0169999999999999</v>
      </c>
      <c r="L4705" s="7">
        <v>2.6230000000000002</v>
      </c>
      <c r="M4705" s="7">
        <v>2.89</v>
      </c>
      <c r="N4705" s="7">
        <v>3.782</v>
      </c>
      <c r="O4705" s="7">
        <v>3.9460000000000002</v>
      </c>
      <c r="P4705" s="7">
        <v>4.76</v>
      </c>
      <c r="Q4705" s="7">
        <v>5.8609999999999998</v>
      </c>
      <c r="R4705" s="7">
        <v>6.0579999999999998</v>
      </c>
      <c r="S4705" s="7">
        <f t="shared" si="73"/>
        <v>4.4013333333333327</v>
      </c>
    </row>
    <row r="4706" spans="1:19">
      <c r="A4706" s="5" t="str">
        <f>B4706&amp;"-"&amp;COUNTIF($B$2:B4706,B4706)</f>
        <v>SANTA CATARINA-290</v>
      </c>
      <c r="B4706" s="5" t="s">
        <v>2939</v>
      </c>
      <c r="C4706" s="5" t="s">
        <v>3118</v>
      </c>
      <c r="D4706" s="6">
        <v>-498332</v>
      </c>
      <c r="E4706" s="6">
        <v>-268786</v>
      </c>
      <c r="F4706" s="7">
        <v>4.0270000000000001</v>
      </c>
      <c r="G4706" s="7">
        <v>5.3449999999999998</v>
      </c>
      <c r="H4706" s="7">
        <v>5.109</v>
      </c>
      <c r="I4706" s="7">
        <v>4.5750000000000002</v>
      </c>
      <c r="J4706" s="7">
        <v>3.5819999999999999</v>
      </c>
      <c r="K4706" s="7">
        <v>2.835</v>
      </c>
      <c r="L4706" s="7">
        <v>2.3740000000000001</v>
      </c>
      <c r="M4706" s="7">
        <v>2.5710000000000002</v>
      </c>
      <c r="N4706" s="7">
        <v>3.41</v>
      </c>
      <c r="O4706" s="7">
        <v>3.5470000000000002</v>
      </c>
      <c r="P4706" s="7">
        <v>4.1520000000000001</v>
      </c>
      <c r="Q4706" s="7">
        <v>5.3029999999999999</v>
      </c>
      <c r="R4706" s="7">
        <v>5.5229999999999997</v>
      </c>
      <c r="S4706" s="7">
        <f t="shared" si="73"/>
        <v>4.0271666666666661</v>
      </c>
    </row>
    <row r="4707" spans="1:19">
      <c r="A4707" s="5" t="str">
        <f>B4707&amp;"-"&amp;COUNTIF($B$2:B4707,B4707)</f>
        <v>SANTA CATARINA-291</v>
      </c>
      <c r="B4707" s="5" t="s">
        <v>2939</v>
      </c>
      <c r="C4707" s="5" t="s">
        <v>3119</v>
      </c>
      <c r="D4707" s="6">
        <v>-497951</v>
      </c>
      <c r="E4707" s="6">
        <v>-26928</v>
      </c>
      <c r="F4707" s="7">
        <v>4.0449999999999999</v>
      </c>
      <c r="G4707" s="7">
        <v>5.407</v>
      </c>
      <c r="H4707" s="7">
        <v>5.173</v>
      </c>
      <c r="I4707" s="7">
        <v>4.5549999999999997</v>
      </c>
      <c r="J4707" s="7">
        <v>3.6080000000000001</v>
      </c>
      <c r="K4707" s="7">
        <v>2.847</v>
      </c>
      <c r="L4707" s="7">
        <v>2.3580000000000001</v>
      </c>
      <c r="M4707" s="7">
        <v>2.556</v>
      </c>
      <c r="N4707" s="7">
        <v>3.4239999999999999</v>
      </c>
      <c r="O4707" s="7">
        <v>3.532</v>
      </c>
      <c r="P4707" s="7">
        <v>4.1740000000000004</v>
      </c>
      <c r="Q4707" s="7">
        <v>5.3179999999999996</v>
      </c>
      <c r="R4707" s="7">
        <v>5.593</v>
      </c>
      <c r="S4707" s="7">
        <f t="shared" si="73"/>
        <v>4.0454166666666671</v>
      </c>
    </row>
    <row r="4708" spans="1:19">
      <c r="A4708" s="5" t="str">
        <f>B4708&amp;"-"&amp;COUNTIF($B$2:B4708,B4708)</f>
        <v>SANTA CATARINA-292</v>
      </c>
      <c r="B4708" s="5" t="s">
        <v>2939</v>
      </c>
      <c r="C4708" s="5" t="s">
        <v>5333</v>
      </c>
      <c r="D4708" s="6">
        <v>-52404</v>
      </c>
      <c r="E4708" s="6">
        <v>-268752</v>
      </c>
      <c r="F4708" s="7">
        <v>4.6189999999999998</v>
      </c>
      <c r="G4708" s="7">
        <v>6.2220000000000004</v>
      </c>
      <c r="H4708" s="7">
        <v>5.66</v>
      </c>
      <c r="I4708" s="7">
        <v>5.0830000000000002</v>
      </c>
      <c r="J4708" s="7">
        <v>4.1079999999999997</v>
      </c>
      <c r="K4708" s="7">
        <v>3.161</v>
      </c>
      <c r="L4708" s="7">
        <v>2.7029999999999998</v>
      </c>
      <c r="M4708" s="7">
        <v>2.9889999999999999</v>
      </c>
      <c r="N4708" s="7">
        <v>3.8580000000000001</v>
      </c>
      <c r="O4708" s="7">
        <v>4.07</v>
      </c>
      <c r="P4708" s="7">
        <v>5.0949999999999998</v>
      </c>
      <c r="Q4708" s="7">
        <v>6.1040000000000001</v>
      </c>
      <c r="R4708" s="7">
        <v>6.3760000000000003</v>
      </c>
      <c r="S4708" s="7">
        <f t="shared" si="73"/>
        <v>4.6190833333333332</v>
      </c>
    </row>
    <row r="4709" spans="1:19">
      <c r="A4709" s="5" t="str">
        <f>B4709&amp;"-"&amp;COUNTIF($B$2:B4709,B4709)</f>
        <v>SANTA CATARINA-293</v>
      </c>
      <c r="B4709" s="5" t="s">
        <v>2939</v>
      </c>
      <c r="C4709" s="5" t="s">
        <v>3120</v>
      </c>
      <c r="D4709" s="6">
        <v>-523434</v>
      </c>
      <c r="E4709" s="6">
        <v>-270672</v>
      </c>
      <c r="F4709" s="7">
        <v>4.59</v>
      </c>
      <c r="G4709" s="7">
        <v>6.0910000000000002</v>
      </c>
      <c r="H4709" s="7">
        <v>5.6340000000000003</v>
      </c>
      <c r="I4709" s="7">
        <v>5.0839999999999996</v>
      </c>
      <c r="J4709" s="7">
        <v>4.07</v>
      </c>
      <c r="K4709" s="7">
        <v>3.1320000000000001</v>
      </c>
      <c r="L4709" s="7">
        <v>2.6509999999999998</v>
      </c>
      <c r="M4709" s="7">
        <v>2.948</v>
      </c>
      <c r="N4709" s="7">
        <v>3.8</v>
      </c>
      <c r="O4709" s="7">
        <v>4.04</v>
      </c>
      <c r="P4709" s="7">
        <v>5.085</v>
      </c>
      <c r="Q4709" s="7">
        <v>6.1379999999999999</v>
      </c>
      <c r="R4709" s="7">
        <v>6.4039999999999999</v>
      </c>
      <c r="S4709" s="7">
        <f t="shared" si="73"/>
        <v>4.5897499999999996</v>
      </c>
    </row>
    <row r="4710" spans="1:19">
      <c r="A4710" s="5" t="str">
        <f>B4710&amp;"-"&amp;COUNTIF($B$2:B4710,B4710)</f>
        <v>SANTA CATARINA-294</v>
      </c>
      <c r="B4710" s="5" t="s">
        <v>2939</v>
      </c>
      <c r="C4710" s="5" t="s">
        <v>3121</v>
      </c>
      <c r="D4710" s="6">
        <v>-525379</v>
      </c>
      <c r="E4710" s="6">
        <v>-269601</v>
      </c>
      <c r="F4710" s="7">
        <v>4.6289999999999996</v>
      </c>
      <c r="G4710" s="7">
        <v>6.2080000000000002</v>
      </c>
      <c r="H4710" s="7">
        <v>5.7229999999999999</v>
      </c>
      <c r="I4710" s="7">
        <v>5.1230000000000002</v>
      </c>
      <c r="J4710" s="7">
        <v>4.0940000000000003</v>
      </c>
      <c r="K4710" s="7">
        <v>3.1379999999999999</v>
      </c>
      <c r="L4710" s="7">
        <v>2.6760000000000002</v>
      </c>
      <c r="M4710" s="7">
        <v>2.95</v>
      </c>
      <c r="N4710" s="7">
        <v>3.8090000000000002</v>
      </c>
      <c r="O4710" s="7">
        <v>4.0490000000000004</v>
      </c>
      <c r="P4710" s="7">
        <v>5.1420000000000003</v>
      </c>
      <c r="Q4710" s="7">
        <v>6.1769999999999996</v>
      </c>
      <c r="R4710" s="7">
        <v>6.4630000000000001</v>
      </c>
      <c r="S4710" s="7">
        <f t="shared" si="73"/>
        <v>4.6293333333333342</v>
      </c>
    </row>
    <row r="4711" spans="1:19">
      <c r="A4711" s="5" t="str">
        <f>B4711&amp;"-"&amp;COUNTIF($B$2:B4711,B4711)</f>
        <v>SANTA CATARINA-295</v>
      </c>
      <c r="B4711" s="5" t="s">
        <v>2939</v>
      </c>
      <c r="C4711" s="5" t="s">
        <v>4499</v>
      </c>
      <c r="D4711" s="6">
        <v>-515524</v>
      </c>
      <c r="E4711" s="6">
        <v>-274525</v>
      </c>
      <c r="F4711" s="7">
        <v>4.5789999999999997</v>
      </c>
      <c r="G4711" s="7">
        <v>6.1920000000000002</v>
      </c>
      <c r="H4711" s="7">
        <v>5.6929999999999996</v>
      </c>
      <c r="I4711" s="7">
        <v>5.0179999999999998</v>
      </c>
      <c r="J4711" s="7">
        <v>4.0609999999999999</v>
      </c>
      <c r="K4711" s="7">
        <v>3.0670000000000002</v>
      </c>
      <c r="L4711" s="7">
        <v>2.64</v>
      </c>
      <c r="M4711" s="7">
        <v>2.9</v>
      </c>
      <c r="N4711" s="7">
        <v>3.722</v>
      </c>
      <c r="O4711" s="7">
        <v>3.964</v>
      </c>
      <c r="P4711" s="7">
        <v>5.0170000000000003</v>
      </c>
      <c r="Q4711" s="7">
        <v>6.1959999999999997</v>
      </c>
      <c r="R4711" s="7">
        <v>6.4720000000000004</v>
      </c>
      <c r="S4711" s="7">
        <f t="shared" si="73"/>
        <v>4.5785</v>
      </c>
    </row>
    <row r="4712" spans="1:19">
      <c r="A4712" s="5" t="str">
        <f>B4712&amp;"-"&amp;COUNTIF($B$2:B4712,B4712)</f>
        <v>SÃO PAULO-1</v>
      </c>
      <c r="B4712" s="5" t="s">
        <v>3122</v>
      </c>
      <c r="C4712" s="5" t="s">
        <v>3123</v>
      </c>
      <c r="D4712" s="6">
        <v>-493423</v>
      </c>
      <c r="E4712" s="6">
        <v>-229439</v>
      </c>
      <c r="F4712" s="7">
        <v>4.891</v>
      </c>
      <c r="G4712" s="7">
        <v>5.5650000000000004</v>
      </c>
      <c r="H4712" s="7">
        <v>5.7530000000000001</v>
      </c>
      <c r="I4712" s="7">
        <v>5.1459999999999999</v>
      </c>
      <c r="J4712" s="7">
        <v>4.6449999999999996</v>
      </c>
      <c r="K4712" s="7">
        <v>3.7280000000000002</v>
      </c>
      <c r="L4712" s="7">
        <v>3.4460000000000002</v>
      </c>
      <c r="M4712" s="7">
        <v>3.641</v>
      </c>
      <c r="N4712" s="7">
        <v>4.6310000000000002</v>
      </c>
      <c r="O4712" s="7">
        <v>4.6950000000000003</v>
      </c>
      <c r="P4712" s="7">
        <v>5.3840000000000003</v>
      </c>
      <c r="Q4712" s="7">
        <v>5.85</v>
      </c>
      <c r="R4712" s="7">
        <v>6.2080000000000002</v>
      </c>
      <c r="S4712" s="7">
        <f t="shared" si="73"/>
        <v>4.8910000000000009</v>
      </c>
    </row>
    <row r="4713" spans="1:19">
      <c r="A4713" s="5" t="str">
        <f>B4713&amp;"-"&amp;COUNTIF($B$2:B4713,B4713)</f>
        <v>SÃO PAULO-2</v>
      </c>
      <c r="B4713" s="5" t="s">
        <v>3122</v>
      </c>
      <c r="C4713" s="53" t="s">
        <v>5815</v>
      </c>
      <c r="D4713" s="6">
        <v>-46718</v>
      </c>
      <c r="E4713" s="6">
        <v>-219324</v>
      </c>
      <c r="F4713" s="7">
        <v>4.8929999999999998</v>
      </c>
      <c r="G4713" s="7">
        <v>5.4189999999999996</v>
      </c>
      <c r="H4713" s="7">
        <v>5.6210000000000004</v>
      </c>
      <c r="I4713" s="7">
        <v>4.9370000000000003</v>
      </c>
      <c r="J4713" s="7">
        <v>4.6639999999999997</v>
      </c>
      <c r="K4713" s="7">
        <v>3.972</v>
      </c>
      <c r="L4713" s="7">
        <v>3.7290000000000001</v>
      </c>
      <c r="M4713" s="7">
        <v>3.923</v>
      </c>
      <c r="N4713" s="7">
        <v>4.8259999999999996</v>
      </c>
      <c r="O4713" s="7">
        <v>4.9710000000000001</v>
      </c>
      <c r="P4713" s="7">
        <v>5.39</v>
      </c>
      <c r="Q4713" s="7">
        <v>5.524</v>
      </c>
      <c r="R4713" s="7">
        <v>5.742</v>
      </c>
      <c r="S4713" s="7">
        <f t="shared" si="73"/>
        <v>4.8931666666666667</v>
      </c>
    </row>
    <row r="4714" spans="1:19">
      <c r="A4714" s="5" t="str">
        <f>B4714&amp;"-"&amp;COUNTIF($B$2:B4714,B4714)</f>
        <v>SÃO PAULO-3</v>
      </c>
      <c r="B4714" s="5" t="s">
        <v>3122</v>
      </c>
      <c r="C4714" s="5" t="s">
        <v>5816</v>
      </c>
      <c r="D4714" s="6">
        <v>-466318</v>
      </c>
      <c r="E4714" s="6">
        <v>-224738</v>
      </c>
      <c r="F4714" s="7">
        <v>4.931</v>
      </c>
      <c r="G4714" s="7">
        <v>5.53</v>
      </c>
      <c r="H4714" s="7">
        <v>5.7160000000000002</v>
      </c>
      <c r="I4714" s="7">
        <v>5.1050000000000004</v>
      </c>
      <c r="J4714" s="7">
        <v>4.6970000000000001</v>
      </c>
      <c r="K4714" s="7">
        <v>3.9260000000000002</v>
      </c>
      <c r="L4714" s="7">
        <v>3.6339999999999999</v>
      </c>
      <c r="M4714" s="7">
        <v>3.8380000000000001</v>
      </c>
      <c r="N4714" s="7">
        <v>4.6909999999999998</v>
      </c>
      <c r="O4714" s="7">
        <v>4.9329999999999998</v>
      </c>
      <c r="P4714" s="7">
        <v>5.4859999999999998</v>
      </c>
      <c r="Q4714" s="7">
        <v>5.6619999999999999</v>
      </c>
      <c r="R4714" s="7">
        <v>5.952</v>
      </c>
      <c r="S4714" s="7">
        <f t="shared" si="73"/>
        <v>4.9308333333333332</v>
      </c>
    </row>
    <row r="4715" spans="1:19">
      <c r="A4715" s="5" t="str">
        <f>B4715&amp;"-"&amp;COUNTIF($B$2:B4715,B4715)</f>
        <v>SÃO PAULO-4</v>
      </c>
      <c r="B4715" s="5" t="s">
        <v>3122</v>
      </c>
      <c r="C4715" s="5" t="s">
        <v>5817</v>
      </c>
      <c r="D4715" s="6">
        <v>-478738</v>
      </c>
      <c r="E4715" s="6">
        <v>-225982</v>
      </c>
      <c r="F4715" s="7">
        <v>4.8239999999999998</v>
      </c>
      <c r="G4715" s="7">
        <v>5.3849999999999998</v>
      </c>
      <c r="H4715" s="7">
        <v>5.6269999999999998</v>
      </c>
      <c r="I4715" s="7">
        <v>5.0039999999999996</v>
      </c>
      <c r="J4715" s="7">
        <v>4.6260000000000003</v>
      </c>
      <c r="K4715" s="7">
        <v>3.7450000000000001</v>
      </c>
      <c r="L4715" s="7">
        <v>3.5009999999999999</v>
      </c>
      <c r="M4715" s="7">
        <v>3.645</v>
      </c>
      <c r="N4715" s="7">
        <v>4.6840000000000002</v>
      </c>
      <c r="O4715" s="7">
        <v>4.7759999999999998</v>
      </c>
      <c r="P4715" s="7">
        <v>5.351</v>
      </c>
      <c r="Q4715" s="7">
        <v>5.5750000000000002</v>
      </c>
      <c r="R4715" s="7">
        <v>5.9710000000000001</v>
      </c>
      <c r="S4715" s="7">
        <f t="shared" si="73"/>
        <v>4.8241666666666667</v>
      </c>
    </row>
    <row r="4716" spans="1:19">
      <c r="A4716" s="5" t="str">
        <f>B4716&amp;"-"&amp;COUNTIF($B$2:B4716,B4716)</f>
        <v>SÃO PAULO-5</v>
      </c>
      <c r="B4716" s="5" t="s">
        <v>3122</v>
      </c>
      <c r="C4716" s="5" t="s">
        <v>5818</v>
      </c>
      <c r="D4716" s="6">
        <v>-492425</v>
      </c>
      <c r="E4716" s="6">
        <v>-228817</v>
      </c>
      <c r="F4716" s="7">
        <v>4.8929999999999998</v>
      </c>
      <c r="G4716" s="7">
        <v>5.5590000000000002</v>
      </c>
      <c r="H4716" s="7">
        <v>5.7510000000000003</v>
      </c>
      <c r="I4716" s="7">
        <v>5.1349999999999998</v>
      </c>
      <c r="J4716" s="7">
        <v>4.6479999999999997</v>
      </c>
      <c r="K4716" s="7">
        <v>3.7120000000000002</v>
      </c>
      <c r="L4716" s="7">
        <v>3.4660000000000002</v>
      </c>
      <c r="M4716" s="7">
        <v>3.65</v>
      </c>
      <c r="N4716" s="7">
        <v>4.6349999999999998</v>
      </c>
      <c r="O4716" s="7">
        <v>4.7110000000000003</v>
      </c>
      <c r="P4716" s="7">
        <v>5.3869999999999996</v>
      </c>
      <c r="Q4716" s="7">
        <v>5.875</v>
      </c>
      <c r="R4716" s="7">
        <v>6.181</v>
      </c>
      <c r="S4716" s="7">
        <f t="shared" si="73"/>
        <v>4.8924999999999992</v>
      </c>
    </row>
    <row r="4717" spans="1:19">
      <c r="A4717" s="5" t="str">
        <f>B4717&amp;"-"&amp;COUNTIF($B$2:B4717,B4717)</f>
        <v>SÃO PAULO-6</v>
      </c>
      <c r="B4717" s="5" t="s">
        <v>3122</v>
      </c>
      <c r="C4717" s="5" t="s">
        <v>3124</v>
      </c>
      <c r="D4717" s="6">
        <v>-499109</v>
      </c>
      <c r="E4717" s="6">
        <v>-20321</v>
      </c>
      <c r="F4717" s="7">
        <v>5.194</v>
      </c>
      <c r="G4717" s="7">
        <v>5.8440000000000003</v>
      </c>
      <c r="H4717" s="7">
        <v>5.9340000000000002</v>
      </c>
      <c r="I4717" s="7">
        <v>5.32</v>
      </c>
      <c r="J4717" s="7">
        <v>4.92</v>
      </c>
      <c r="K4717" s="7">
        <v>4.2249999999999996</v>
      </c>
      <c r="L4717" s="7">
        <v>3.9329999999999998</v>
      </c>
      <c r="M4717" s="7">
        <v>4.21</v>
      </c>
      <c r="N4717" s="7">
        <v>5.069</v>
      </c>
      <c r="O4717" s="7">
        <v>5.1139999999999999</v>
      </c>
      <c r="P4717" s="7">
        <v>5.6550000000000002</v>
      </c>
      <c r="Q4717" s="7">
        <v>5.9269999999999996</v>
      </c>
      <c r="R4717" s="7">
        <v>6.181</v>
      </c>
      <c r="S4717" s="7">
        <f t="shared" si="73"/>
        <v>5.1943333333333337</v>
      </c>
    </row>
    <row r="4718" spans="1:19">
      <c r="A4718" s="5" t="str">
        <f>B4718&amp;"-"&amp;COUNTIF($B$2:B4718,B4718)</f>
        <v>SÃO PAULO-7</v>
      </c>
      <c r="B4718" s="5" t="s">
        <v>3122</v>
      </c>
      <c r="C4718" s="5" t="s">
        <v>3125</v>
      </c>
      <c r="D4718" s="6">
        <v>-514727</v>
      </c>
      <c r="E4718" s="6">
        <v>-220769</v>
      </c>
      <c r="F4718" s="7">
        <v>5.1189999999999998</v>
      </c>
      <c r="G4718" s="7">
        <v>5.9889999999999999</v>
      </c>
      <c r="H4718" s="7">
        <v>6.0129999999999999</v>
      </c>
      <c r="I4718" s="7">
        <v>5.468</v>
      </c>
      <c r="J4718" s="7">
        <v>4.8209999999999997</v>
      </c>
      <c r="K4718" s="7">
        <v>3.9289999999999998</v>
      </c>
      <c r="L4718" s="7">
        <v>3.5939999999999999</v>
      </c>
      <c r="M4718" s="7">
        <v>3.827</v>
      </c>
      <c r="N4718" s="7">
        <v>4.7690000000000001</v>
      </c>
      <c r="O4718" s="7">
        <v>4.8739999999999997</v>
      </c>
      <c r="P4718" s="7">
        <v>5.5659999999999998</v>
      </c>
      <c r="Q4718" s="7">
        <v>6.1059999999999999</v>
      </c>
      <c r="R4718" s="7">
        <v>6.4779999999999998</v>
      </c>
      <c r="S4718" s="7">
        <f t="shared" si="73"/>
        <v>5.1195000000000004</v>
      </c>
    </row>
    <row r="4719" spans="1:19">
      <c r="A4719" s="5" t="str">
        <f>B4719&amp;"-"&amp;COUNTIF($B$2:B4719,B4719)</f>
        <v>SÃO PAULO-8</v>
      </c>
      <c r="B4719" s="5" t="s">
        <v>3122</v>
      </c>
      <c r="C4719" s="5" t="s">
        <v>3126</v>
      </c>
      <c r="D4719" s="6">
        <v>-497207</v>
      </c>
      <c r="E4719" s="6">
        <v>-22079</v>
      </c>
      <c r="F4719" s="7">
        <v>5.0359999999999996</v>
      </c>
      <c r="G4719" s="7">
        <v>5.7110000000000003</v>
      </c>
      <c r="H4719" s="7">
        <v>5.867</v>
      </c>
      <c r="I4719" s="7">
        <v>5.2779999999999996</v>
      </c>
      <c r="J4719" s="7">
        <v>4.7869999999999999</v>
      </c>
      <c r="K4719" s="7">
        <v>3.8959999999999999</v>
      </c>
      <c r="L4719" s="7">
        <v>3.6269999999999998</v>
      </c>
      <c r="M4719" s="7">
        <v>3.8260000000000001</v>
      </c>
      <c r="N4719" s="7">
        <v>4.7830000000000004</v>
      </c>
      <c r="O4719" s="7">
        <v>4.8559999999999999</v>
      </c>
      <c r="P4719" s="7">
        <v>5.5869999999999997</v>
      </c>
      <c r="Q4719" s="7">
        <v>5.9640000000000004</v>
      </c>
      <c r="R4719" s="7">
        <v>6.2489999999999997</v>
      </c>
      <c r="S4719" s="7">
        <f t="shared" si="73"/>
        <v>5.035916666666667</v>
      </c>
    </row>
    <row r="4720" spans="1:19">
      <c r="A4720" s="5" t="str">
        <f>B4720&amp;"-"&amp;COUNTIF($B$2:B4720,B4720)</f>
        <v>SÃO PAULO-9</v>
      </c>
      <c r="B4720" s="5" t="s">
        <v>3122</v>
      </c>
      <c r="C4720" s="5" t="s">
        <v>3127</v>
      </c>
      <c r="D4720" s="6">
        <v>-510741</v>
      </c>
      <c r="E4720" s="6">
        <v>-216825</v>
      </c>
      <c r="F4720" s="7">
        <v>5.125</v>
      </c>
      <c r="G4720" s="7">
        <v>5.9539999999999997</v>
      </c>
      <c r="H4720" s="7">
        <v>5.944</v>
      </c>
      <c r="I4720" s="7">
        <v>5.48</v>
      </c>
      <c r="J4720" s="7">
        <v>4.8719999999999999</v>
      </c>
      <c r="K4720" s="7">
        <v>4.0039999999999996</v>
      </c>
      <c r="L4720" s="7">
        <v>3.673</v>
      </c>
      <c r="M4720" s="7">
        <v>3.88</v>
      </c>
      <c r="N4720" s="7">
        <v>4.8289999999999997</v>
      </c>
      <c r="O4720" s="7">
        <v>4.891</v>
      </c>
      <c r="P4720" s="7">
        <v>5.5670000000000002</v>
      </c>
      <c r="Q4720" s="7">
        <v>6.06</v>
      </c>
      <c r="R4720" s="7">
        <v>6.3520000000000003</v>
      </c>
      <c r="S4720" s="7">
        <f t="shared" si="73"/>
        <v>5.1254999999999997</v>
      </c>
    </row>
    <row r="4721" spans="1:19">
      <c r="A4721" s="5" t="str">
        <f>B4721&amp;"-"&amp;COUNTIF($B$2:B4721,B4721)</f>
        <v>SÃO PAULO-10</v>
      </c>
      <c r="B4721" s="5" t="s">
        <v>3122</v>
      </c>
      <c r="C4721" s="5" t="s">
        <v>3128</v>
      </c>
      <c r="D4721" s="6">
        <v>-496455</v>
      </c>
      <c r="E4721" s="6">
        <v>-21233</v>
      </c>
      <c r="F4721" s="7">
        <v>5.1150000000000002</v>
      </c>
      <c r="G4721" s="7">
        <v>5.907</v>
      </c>
      <c r="H4721" s="7">
        <v>5.9249999999999998</v>
      </c>
      <c r="I4721" s="7">
        <v>5.2969999999999997</v>
      </c>
      <c r="J4721" s="7">
        <v>4.8289999999999997</v>
      </c>
      <c r="K4721" s="7">
        <v>3.9969999999999999</v>
      </c>
      <c r="L4721" s="7">
        <v>3.766</v>
      </c>
      <c r="M4721" s="7">
        <v>3.9870000000000001</v>
      </c>
      <c r="N4721" s="7">
        <v>4.8600000000000003</v>
      </c>
      <c r="O4721" s="7">
        <v>5.0010000000000003</v>
      </c>
      <c r="P4721" s="7">
        <v>5.6319999999999997</v>
      </c>
      <c r="Q4721" s="7">
        <v>5.9669999999999996</v>
      </c>
      <c r="R4721" s="7">
        <v>6.2149999999999999</v>
      </c>
      <c r="S4721" s="7">
        <f t="shared" si="73"/>
        <v>5.1152499999999996</v>
      </c>
    </row>
    <row r="4722" spans="1:19">
      <c r="A4722" s="5" t="str">
        <f>B4722&amp;"-"&amp;COUNTIF($B$2:B4722,B4722)</f>
        <v>SÃO PAULO-11</v>
      </c>
      <c r="B4722" s="5" t="s">
        <v>3122</v>
      </c>
      <c r="C4722" s="5" t="s">
        <v>3129</v>
      </c>
      <c r="D4722" s="6">
        <v>-469739</v>
      </c>
      <c r="E4722" s="6">
        <v>-220577</v>
      </c>
      <c r="F4722" s="7">
        <v>5.0010000000000003</v>
      </c>
      <c r="G4722" s="7">
        <v>5.6239999999999997</v>
      </c>
      <c r="H4722" s="7">
        <v>5.8360000000000003</v>
      </c>
      <c r="I4722" s="7">
        <v>5.1239999999999997</v>
      </c>
      <c r="J4722" s="7">
        <v>4.7430000000000003</v>
      </c>
      <c r="K4722" s="7">
        <v>3.96</v>
      </c>
      <c r="L4722" s="7">
        <v>3.6930000000000001</v>
      </c>
      <c r="M4722" s="7">
        <v>3.8889999999999998</v>
      </c>
      <c r="N4722" s="7">
        <v>4.782</v>
      </c>
      <c r="O4722" s="7">
        <v>4.9749999999999996</v>
      </c>
      <c r="P4722" s="7">
        <v>5.5609999999999999</v>
      </c>
      <c r="Q4722" s="7">
        <v>5.7880000000000003</v>
      </c>
      <c r="R4722" s="7">
        <v>6.0339999999999998</v>
      </c>
      <c r="S4722" s="7">
        <f t="shared" si="73"/>
        <v>5.0007499999999991</v>
      </c>
    </row>
    <row r="4723" spans="1:19">
      <c r="A4723" s="5" t="str">
        <f>B4723&amp;"-"&amp;COUNTIF($B$2:B4723,B4723)</f>
        <v>SÃO PAULO-12</v>
      </c>
      <c r="B4723" s="5" t="s">
        <v>3122</v>
      </c>
      <c r="C4723" s="5" t="s">
        <v>3130</v>
      </c>
      <c r="D4723" s="6">
        <v>-489867</v>
      </c>
      <c r="E4723" s="6">
        <v>-224699</v>
      </c>
      <c r="F4723" s="7">
        <v>4.9290000000000003</v>
      </c>
      <c r="G4723" s="7">
        <v>5.5060000000000002</v>
      </c>
      <c r="H4723" s="7">
        <v>5.7949999999999999</v>
      </c>
      <c r="I4723" s="7">
        <v>5.1980000000000004</v>
      </c>
      <c r="J4723" s="7">
        <v>4.7229999999999999</v>
      </c>
      <c r="K4723" s="7">
        <v>3.819</v>
      </c>
      <c r="L4723" s="7">
        <v>3.5049999999999999</v>
      </c>
      <c r="M4723" s="7">
        <v>3.7250000000000001</v>
      </c>
      <c r="N4723" s="7">
        <v>4.681</v>
      </c>
      <c r="O4723" s="7">
        <v>4.7770000000000001</v>
      </c>
      <c r="P4723" s="7">
        <v>5.4649999999999999</v>
      </c>
      <c r="Q4723" s="7">
        <v>5.82</v>
      </c>
      <c r="R4723" s="7">
        <v>6.1379999999999999</v>
      </c>
      <c r="S4723" s="7">
        <f t="shared" si="73"/>
        <v>4.9293333333333331</v>
      </c>
    </row>
    <row r="4724" spans="1:19">
      <c r="A4724" s="5" t="str">
        <f>B4724&amp;"-"&amp;COUNTIF($B$2:B4724,B4724)</f>
        <v>SÃO PAULO-13</v>
      </c>
      <c r="B4724" s="5" t="s">
        <v>3122</v>
      </c>
      <c r="C4724" s="5" t="s">
        <v>3131</v>
      </c>
      <c r="D4724" s="6">
        <v>-478984</v>
      </c>
      <c r="E4724" s="6">
        <v>-235508</v>
      </c>
      <c r="F4724" s="7">
        <v>4.7279999999999998</v>
      </c>
      <c r="G4724" s="7">
        <v>5.4740000000000002</v>
      </c>
      <c r="H4724" s="7">
        <v>5.6879999999999997</v>
      </c>
      <c r="I4724" s="7">
        <v>4.9969999999999999</v>
      </c>
      <c r="J4724" s="7">
        <v>4.4539999999999997</v>
      </c>
      <c r="K4724" s="7">
        <v>3.573</v>
      </c>
      <c r="L4724" s="7">
        <v>3.3239999999999998</v>
      </c>
      <c r="M4724" s="7">
        <v>3.423</v>
      </c>
      <c r="N4724" s="7">
        <v>4.4210000000000003</v>
      </c>
      <c r="O4724" s="7">
        <v>4.5640000000000001</v>
      </c>
      <c r="P4724" s="7">
        <v>5.1269999999999998</v>
      </c>
      <c r="Q4724" s="7">
        <v>5.6429999999999998</v>
      </c>
      <c r="R4724" s="7">
        <v>6.0510000000000002</v>
      </c>
      <c r="S4724" s="7">
        <f t="shared" si="73"/>
        <v>4.7282500000000001</v>
      </c>
    </row>
    <row r="4725" spans="1:19">
      <c r="A4725" s="5" t="str">
        <f>B4725&amp;"-"&amp;COUNTIF($B$2:B4725,B4725)</f>
        <v>SÃO PAULO-14</v>
      </c>
      <c r="B4725" s="5" t="s">
        <v>3122</v>
      </c>
      <c r="C4725" s="5" t="s">
        <v>3132</v>
      </c>
      <c r="D4725" s="6">
        <v>-514144</v>
      </c>
      <c r="E4725" s="6">
        <v>-219532</v>
      </c>
      <c r="F4725" s="7">
        <v>5.1440000000000001</v>
      </c>
      <c r="G4725" s="7">
        <v>6.0119999999999996</v>
      </c>
      <c r="H4725" s="7">
        <v>6.0469999999999997</v>
      </c>
      <c r="I4725" s="7">
        <v>5.5190000000000001</v>
      </c>
      <c r="J4725" s="7">
        <v>4.8769999999999998</v>
      </c>
      <c r="K4725" s="7">
        <v>3.9649999999999999</v>
      </c>
      <c r="L4725" s="7">
        <v>3.6059999999999999</v>
      </c>
      <c r="M4725" s="7">
        <v>3.843</v>
      </c>
      <c r="N4725" s="7">
        <v>4.8029999999999999</v>
      </c>
      <c r="O4725" s="7">
        <v>4.8789999999999996</v>
      </c>
      <c r="P4725" s="7">
        <v>5.5750000000000002</v>
      </c>
      <c r="Q4725" s="7">
        <v>6.1459999999999999</v>
      </c>
      <c r="R4725" s="7">
        <v>6.452</v>
      </c>
      <c r="S4725" s="7">
        <f t="shared" si="73"/>
        <v>5.1436666666666664</v>
      </c>
    </row>
    <row r="4726" spans="1:19">
      <c r="A4726" s="5" t="str">
        <f>B4726&amp;"-"&amp;COUNTIF($B$2:B4726,B4726)</f>
        <v>SÃO PAULO-15</v>
      </c>
      <c r="B4726" s="5" t="s">
        <v>3122</v>
      </c>
      <c r="C4726" s="5" t="s">
        <v>3133</v>
      </c>
      <c r="D4726" s="6">
        <v>-490589</v>
      </c>
      <c r="E4726" s="6">
        <v>-20524</v>
      </c>
      <c r="F4726" s="7">
        <v>5.1779999999999999</v>
      </c>
      <c r="G4726" s="7">
        <v>5.8109999999999999</v>
      </c>
      <c r="H4726" s="7">
        <v>6.0380000000000003</v>
      </c>
      <c r="I4726" s="7">
        <v>5.2190000000000003</v>
      </c>
      <c r="J4726" s="7">
        <v>4.93</v>
      </c>
      <c r="K4726" s="7">
        <v>4.2210000000000001</v>
      </c>
      <c r="L4726" s="7">
        <v>3.9449999999999998</v>
      </c>
      <c r="M4726" s="7">
        <v>4.1769999999999996</v>
      </c>
      <c r="N4726" s="7">
        <v>5.1139999999999999</v>
      </c>
      <c r="O4726" s="7">
        <v>5.0910000000000002</v>
      </c>
      <c r="P4726" s="7">
        <v>5.577</v>
      </c>
      <c r="Q4726" s="7">
        <v>5.8369999999999997</v>
      </c>
      <c r="R4726" s="7">
        <v>6.1779999999999999</v>
      </c>
      <c r="S4726" s="7">
        <f t="shared" si="73"/>
        <v>5.1781666666666659</v>
      </c>
    </row>
    <row r="4727" spans="1:19">
      <c r="A4727" s="5" t="str">
        <f>B4727&amp;"-"&amp;COUNTIF($B$2:B4727,B4727)</f>
        <v>SÃO PAULO-16</v>
      </c>
      <c r="B4727" s="5" t="s">
        <v>3122</v>
      </c>
      <c r="C4727" s="5" t="s">
        <v>5231</v>
      </c>
      <c r="D4727" s="6">
        <v>-473716</v>
      </c>
      <c r="E4727" s="6">
        <v>-210218</v>
      </c>
      <c r="F4727" s="7">
        <v>5.0339999999999998</v>
      </c>
      <c r="G4727" s="7">
        <v>5.5570000000000004</v>
      </c>
      <c r="H4727" s="7">
        <v>5.7910000000000004</v>
      </c>
      <c r="I4727" s="7">
        <v>4.96</v>
      </c>
      <c r="J4727" s="7">
        <v>4.7850000000000001</v>
      </c>
      <c r="K4727" s="7">
        <v>4.1710000000000003</v>
      </c>
      <c r="L4727" s="7">
        <v>3.9609999999999999</v>
      </c>
      <c r="M4727" s="7">
        <v>4.1859999999999999</v>
      </c>
      <c r="N4727" s="7">
        <v>5.0910000000000002</v>
      </c>
      <c r="O4727" s="7">
        <v>5.0789999999999997</v>
      </c>
      <c r="P4727" s="7">
        <v>5.4770000000000003</v>
      </c>
      <c r="Q4727" s="7">
        <v>5.5510000000000002</v>
      </c>
      <c r="R4727" s="7">
        <v>5.8019999999999996</v>
      </c>
      <c r="S4727" s="7">
        <f t="shared" si="73"/>
        <v>5.034250000000001</v>
      </c>
    </row>
    <row r="4728" spans="1:19">
      <c r="A4728" s="5" t="str">
        <f>B4728&amp;"-"&amp;COUNTIF($B$2:B4728,B4728)</f>
        <v>SÃO PAULO-17</v>
      </c>
      <c r="B4728" s="5" t="s">
        <v>3122</v>
      </c>
      <c r="C4728" s="5" t="s">
        <v>2561</v>
      </c>
      <c r="D4728" s="6">
        <v>-501639</v>
      </c>
      <c r="E4728" s="6">
        <v>-21581</v>
      </c>
      <c r="F4728" s="7">
        <v>5.0970000000000004</v>
      </c>
      <c r="G4728" s="7">
        <v>5.8860000000000001</v>
      </c>
      <c r="H4728" s="7">
        <v>5.9550000000000001</v>
      </c>
      <c r="I4728" s="7">
        <v>5.3540000000000001</v>
      </c>
      <c r="J4728" s="7">
        <v>4.8209999999999997</v>
      </c>
      <c r="K4728" s="7">
        <v>3.9670000000000001</v>
      </c>
      <c r="L4728" s="7">
        <v>3.661</v>
      </c>
      <c r="M4728" s="7">
        <v>3.867</v>
      </c>
      <c r="N4728" s="7">
        <v>4.8019999999999996</v>
      </c>
      <c r="O4728" s="7">
        <v>4.9160000000000004</v>
      </c>
      <c r="P4728" s="7">
        <v>5.6159999999999997</v>
      </c>
      <c r="Q4728" s="7">
        <v>6.0220000000000002</v>
      </c>
      <c r="R4728" s="7">
        <v>6.3</v>
      </c>
      <c r="S4728" s="7">
        <f t="shared" si="73"/>
        <v>5.0972499999999998</v>
      </c>
    </row>
    <row r="4729" spans="1:19">
      <c r="A4729" s="5" t="str">
        <f>B4729&amp;"-"&amp;COUNTIF($B$2:B4729,B4729)</f>
        <v>SÃO PAULO-18</v>
      </c>
      <c r="B4729" s="5" t="s">
        <v>3122</v>
      </c>
      <c r="C4729" s="5" t="s">
        <v>3134</v>
      </c>
      <c r="D4729" s="6">
        <v>-47255</v>
      </c>
      <c r="E4729" s="6">
        <v>-23531</v>
      </c>
      <c r="F4729" s="7">
        <v>4.7679999999999998</v>
      </c>
      <c r="G4729" s="7">
        <v>5.5049999999999999</v>
      </c>
      <c r="H4729" s="7">
        <v>5.74</v>
      </c>
      <c r="I4729" s="7">
        <v>5.0359999999999996</v>
      </c>
      <c r="J4729" s="7">
        <v>4.4429999999999996</v>
      </c>
      <c r="K4729" s="7">
        <v>3.6339999999999999</v>
      </c>
      <c r="L4729" s="7">
        <v>3.3730000000000002</v>
      </c>
      <c r="M4729" s="7">
        <v>3.4809999999999999</v>
      </c>
      <c r="N4729" s="7">
        <v>4.4800000000000004</v>
      </c>
      <c r="O4729" s="7">
        <v>4.6050000000000004</v>
      </c>
      <c r="P4729" s="7">
        <v>5.1740000000000004</v>
      </c>
      <c r="Q4729" s="7">
        <v>5.6429999999999998</v>
      </c>
      <c r="R4729" s="7">
        <v>6.0960000000000001</v>
      </c>
      <c r="S4729" s="7">
        <f t="shared" si="73"/>
        <v>4.7674999999999992</v>
      </c>
    </row>
    <row r="4730" spans="1:19">
      <c r="A4730" s="5" t="str">
        <f>B4730&amp;"-"&amp;COUNTIF($B$2:B4730,B4730)</f>
        <v>SÃO PAULO-19</v>
      </c>
      <c r="B4730" s="5" t="s">
        <v>3122</v>
      </c>
      <c r="C4730" s="5" t="s">
        <v>5022</v>
      </c>
      <c r="D4730" s="6">
        <v>-497627</v>
      </c>
      <c r="E4730" s="6">
        <v>-224439</v>
      </c>
      <c r="F4730" s="7">
        <v>4.9640000000000004</v>
      </c>
      <c r="G4730" s="7">
        <v>5.6349999999999998</v>
      </c>
      <c r="H4730" s="7">
        <v>5.8049999999999997</v>
      </c>
      <c r="I4730" s="7">
        <v>5.2</v>
      </c>
      <c r="J4730" s="7">
        <v>4.7279999999999998</v>
      </c>
      <c r="K4730" s="7">
        <v>3.823</v>
      </c>
      <c r="L4730" s="7">
        <v>3.5209999999999999</v>
      </c>
      <c r="M4730" s="7">
        <v>3.7669999999999999</v>
      </c>
      <c r="N4730" s="7">
        <v>4.76</v>
      </c>
      <c r="O4730" s="7">
        <v>4.8109999999999999</v>
      </c>
      <c r="P4730" s="7">
        <v>5.4859999999999998</v>
      </c>
      <c r="Q4730" s="7">
        <v>5.8470000000000004</v>
      </c>
      <c r="R4730" s="7">
        <v>6.1879999999999997</v>
      </c>
      <c r="S4730" s="7">
        <f t="shared" si="73"/>
        <v>4.9642500000000007</v>
      </c>
    </row>
    <row r="4731" spans="1:19">
      <c r="A4731" s="5" t="str">
        <f>B4731&amp;"-"&amp;COUNTIF($B$2:B4731,B4731)</f>
        <v>SÃO PAULO-20</v>
      </c>
      <c r="B4731" s="5" t="s">
        <v>3122</v>
      </c>
      <c r="C4731" s="5" t="s">
        <v>4500</v>
      </c>
      <c r="D4731" s="6">
        <v>-481151</v>
      </c>
      <c r="E4731" s="6">
        <v>-217292</v>
      </c>
      <c r="F4731" s="7">
        <v>5.0270000000000001</v>
      </c>
      <c r="G4731" s="7">
        <v>5.6609999999999996</v>
      </c>
      <c r="H4731" s="7">
        <v>5.9320000000000004</v>
      </c>
      <c r="I4731" s="7">
        <v>5.1470000000000002</v>
      </c>
      <c r="J4731" s="7">
        <v>4.72</v>
      </c>
      <c r="K4731" s="7">
        <v>4.0209999999999999</v>
      </c>
      <c r="L4731" s="7">
        <v>3.7709999999999999</v>
      </c>
      <c r="M4731" s="7">
        <v>3.9780000000000002</v>
      </c>
      <c r="N4731" s="7">
        <v>4.8319999999999999</v>
      </c>
      <c r="O4731" s="7">
        <v>4.9480000000000004</v>
      </c>
      <c r="P4731" s="7">
        <v>5.54</v>
      </c>
      <c r="Q4731" s="7">
        <v>5.7779999999999996</v>
      </c>
      <c r="R4731" s="7">
        <v>5.9980000000000002</v>
      </c>
      <c r="S4731" s="7">
        <f t="shared" si="73"/>
        <v>5.027166666666667</v>
      </c>
    </row>
    <row r="4732" spans="1:19">
      <c r="A4732" s="5" t="str">
        <f>B4732&amp;"-"&amp;COUNTIF($B$2:B4732,B4732)</f>
        <v>SÃO PAULO-21</v>
      </c>
      <c r="B4732" s="5" t="s">
        <v>3122</v>
      </c>
      <c r="C4732" s="5" t="s">
        <v>4501</v>
      </c>
      <c r="D4732" s="6">
        <v>-497319</v>
      </c>
      <c r="E4732" s="6">
        <v>-20299</v>
      </c>
      <c r="F4732" s="7">
        <v>5.1840000000000002</v>
      </c>
      <c r="G4732" s="7">
        <v>5.8490000000000002</v>
      </c>
      <c r="H4732" s="7">
        <v>5.8890000000000002</v>
      </c>
      <c r="I4732" s="7">
        <v>5.2789999999999999</v>
      </c>
      <c r="J4732" s="7">
        <v>4.9349999999999996</v>
      </c>
      <c r="K4732" s="7">
        <v>4.2370000000000001</v>
      </c>
      <c r="L4732" s="7">
        <v>3.9340000000000002</v>
      </c>
      <c r="M4732" s="7">
        <v>4.1970000000000001</v>
      </c>
      <c r="N4732" s="7">
        <v>5.0869999999999997</v>
      </c>
      <c r="O4732" s="7">
        <v>5.1040000000000001</v>
      </c>
      <c r="P4732" s="7">
        <v>5.6459999999999999</v>
      </c>
      <c r="Q4732" s="7">
        <v>5.8920000000000003</v>
      </c>
      <c r="R4732" s="7">
        <v>6.1639999999999997</v>
      </c>
      <c r="S4732" s="7">
        <f t="shared" si="73"/>
        <v>5.1844166666666665</v>
      </c>
    </row>
    <row r="4733" spans="1:19">
      <c r="A4733" s="5" t="str">
        <f>B4733&amp;"-"&amp;COUNTIF($B$2:B4733,B4733)</f>
        <v>SÃO PAULO-22</v>
      </c>
      <c r="B4733" s="5" t="s">
        <v>3122</v>
      </c>
      <c r="C4733" s="5" t="s">
        <v>3135</v>
      </c>
      <c r="D4733" s="6">
        <v>-473335</v>
      </c>
      <c r="E4733" s="6">
        <v>-227378</v>
      </c>
      <c r="F4733" s="7">
        <v>4.9130000000000003</v>
      </c>
      <c r="G4733" s="7">
        <v>5.6260000000000003</v>
      </c>
      <c r="H4733" s="7">
        <v>5.7619999999999996</v>
      </c>
      <c r="I4733" s="7">
        <v>5.1180000000000003</v>
      </c>
      <c r="J4733" s="7">
        <v>4.6070000000000002</v>
      </c>
      <c r="K4733" s="7">
        <v>3.8039999999999998</v>
      </c>
      <c r="L4733" s="7">
        <v>3.5579999999999998</v>
      </c>
      <c r="M4733" s="7">
        <v>3.7189999999999999</v>
      </c>
      <c r="N4733" s="7">
        <v>4.6749999999999998</v>
      </c>
      <c r="O4733" s="7">
        <v>4.8550000000000004</v>
      </c>
      <c r="P4733" s="7">
        <v>5.4450000000000003</v>
      </c>
      <c r="Q4733" s="7">
        <v>5.6790000000000003</v>
      </c>
      <c r="R4733" s="7">
        <v>6.1079999999999997</v>
      </c>
      <c r="S4733" s="7">
        <f t="shared" si="73"/>
        <v>4.9129999999999994</v>
      </c>
    </row>
    <row r="4734" spans="1:19">
      <c r="A4734" s="5" t="str">
        <f>B4734&amp;"-"&amp;COUNTIF($B$2:B4734,B4734)</f>
        <v>SÃO PAULO-23</v>
      </c>
      <c r="B4734" s="5" t="s">
        <v>3122</v>
      </c>
      <c r="C4734" s="5" t="s">
        <v>1797</v>
      </c>
      <c r="D4734" s="6">
        <v>-467724</v>
      </c>
      <c r="E4734" s="6">
        <v>-227093</v>
      </c>
      <c r="F4734" s="7">
        <v>4.9240000000000004</v>
      </c>
      <c r="G4734" s="7">
        <v>5.5</v>
      </c>
      <c r="H4734" s="7">
        <v>5.7679999999999998</v>
      </c>
      <c r="I4734" s="7">
        <v>5.0789999999999997</v>
      </c>
      <c r="J4734" s="7">
        <v>4.66</v>
      </c>
      <c r="K4734" s="7">
        <v>3.8809999999999998</v>
      </c>
      <c r="L4734" s="7">
        <v>3.5659999999999998</v>
      </c>
      <c r="M4734" s="7">
        <v>3.7839999999999998</v>
      </c>
      <c r="N4734" s="7">
        <v>4.68</v>
      </c>
      <c r="O4734" s="7">
        <v>4.9050000000000002</v>
      </c>
      <c r="P4734" s="7">
        <v>5.5010000000000003</v>
      </c>
      <c r="Q4734" s="7">
        <v>5.6879999999999997</v>
      </c>
      <c r="R4734" s="7">
        <v>6.0730000000000004</v>
      </c>
      <c r="S4734" s="7">
        <f t="shared" si="73"/>
        <v>4.9237500000000001</v>
      </c>
    </row>
    <row r="4735" spans="1:19">
      <c r="A4735" s="5" t="str">
        <f>B4735&amp;"-"&amp;COUNTIF($B$2:B4735,B4735)</f>
        <v>SÃO PAULO-24</v>
      </c>
      <c r="B4735" s="5" t="s">
        <v>3122</v>
      </c>
      <c r="C4735" s="5" t="s">
        <v>5023</v>
      </c>
      <c r="D4735" s="6">
        <v>-476623</v>
      </c>
      <c r="E4735" s="6">
        <v>-221294</v>
      </c>
      <c r="F4735" s="7">
        <v>4.9379999999999997</v>
      </c>
      <c r="G4735" s="7">
        <v>5.4950000000000001</v>
      </c>
      <c r="H4735" s="7">
        <v>5.782</v>
      </c>
      <c r="I4735" s="7">
        <v>5.0720000000000001</v>
      </c>
      <c r="J4735" s="7">
        <v>4.665</v>
      </c>
      <c r="K4735" s="7">
        <v>3.907</v>
      </c>
      <c r="L4735" s="7">
        <v>3.702</v>
      </c>
      <c r="M4735" s="7">
        <v>3.8519999999999999</v>
      </c>
      <c r="N4735" s="7">
        <v>4.827</v>
      </c>
      <c r="O4735" s="7">
        <v>4.9130000000000003</v>
      </c>
      <c r="P4735" s="7">
        <v>5.4939999999999998</v>
      </c>
      <c r="Q4735" s="7">
        <v>5.6449999999999996</v>
      </c>
      <c r="R4735" s="7">
        <v>5.9009999999999998</v>
      </c>
      <c r="S4735" s="7">
        <f t="shared" si="73"/>
        <v>4.9379166666666654</v>
      </c>
    </row>
    <row r="4736" spans="1:19">
      <c r="A4736" s="5" t="str">
        <f>B4736&amp;"-"&amp;COUNTIF($B$2:B4736,B4736)</f>
        <v>SÃO PAULO-25</v>
      </c>
      <c r="B4736" s="5" t="s">
        <v>3122</v>
      </c>
      <c r="C4736" s="5" t="s">
        <v>3136</v>
      </c>
      <c r="D4736" s="6">
        <v>-51379</v>
      </c>
      <c r="E4736" s="6">
        <v>-208952</v>
      </c>
      <c r="F4736" s="7">
        <v>5.1719999999999997</v>
      </c>
      <c r="G4736" s="7">
        <v>5.9569999999999999</v>
      </c>
      <c r="H4736" s="7">
        <v>5.9210000000000003</v>
      </c>
      <c r="I4736" s="7">
        <v>5.3979999999999997</v>
      </c>
      <c r="J4736" s="7">
        <v>4.9089999999999998</v>
      </c>
      <c r="K4736" s="7">
        <v>4.1070000000000002</v>
      </c>
      <c r="L4736" s="7">
        <v>3.798</v>
      </c>
      <c r="M4736" s="7">
        <v>3.984</v>
      </c>
      <c r="N4736" s="7">
        <v>4.9610000000000003</v>
      </c>
      <c r="O4736" s="7">
        <v>4.9790000000000001</v>
      </c>
      <c r="P4736" s="7">
        <v>5.6420000000000003</v>
      </c>
      <c r="Q4736" s="7">
        <v>6.0339999999999998</v>
      </c>
      <c r="R4736" s="7">
        <v>6.3730000000000002</v>
      </c>
      <c r="S4736" s="7">
        <f t="shared" si="73"/>
        <v>5.1719166666666663</v>
      </c>
    </row>
    <row r="4737" spans="1:19">
      <c r="A4737" s="5" t="str">
        <f>B4737&amp;"-"&amp;COUNTIF($B$2:B4737,B4737)</f>
        <v>SÃO PAULO-26</v>
      </c>
      <c r="B4737" s="5" t="s">
        <v>3122</v>
      </c>
      <c r="C4737" s="5" t="s">
        <v>3137</v>
      </c>
      <c r="D4737" s="6">
        <v>-484143</v>
      </c>
      <c r="E4737" s="6">
        <v>-234922</v>
      </c>
      <c r="F4737" s="7">
        <v>4.694</v>
      </c>
      <c r="G4737" s="7">
        <v>5.4509999999999996</v>
      </c>
      <c r="H4737" s="7">
        <v>5.6239999999999997</v>
      </c>
      <c r="I4737" s="7">
        <v>4.9930000000000003</v>
      </c>
      <c r="J4737" s="7">
        <v>4.42</v>
      </c>
      <c r="K4737" s="7">
        <v>3.512</v>
      </c>
      <c r="L4737" s="7">
        <v>3.266</v>
      </c>
      <c r="M4737" s="7">
        <v>3.3690000000000002</v>
      </c>
      <c r="N4737" s="7">
        <v>4.3840000000000003</v>
      </c>
      <c r="O4737" s="7">
        <v>4.5389999999999997</v>
      </c>
      <c r="P4737" s="7">
        <v>5.0590000000000002</v>
      </c>
      <c r="Q4737" s="7">
        <v>5.6449999999999996</v>
      </c>
      <c r="R4737" s="7">
        <v>6.0679999999999996</v>
      </c>
      <c r="S4737" s="7">
        <f t="shared" si="73"/>
        <v>4.6941666666666668</v>
      </c>
    </row>
    <row r="4738" spans="1:19">
      <c r="A4738" s="5" t="str">
        <f>B4738&amp;"-"&amp;COUNTIF($B$2:B4738,B4738)</f>
        <v>SÃO PAULO-27</v>
      </c>
      <c r="B4738" s="5" t="s">
        <v>3122</v>
      </c>
      <c r="C4738" s="5" t="s">
        <v>3138</v>
      </c>
      <c r="D4738" s="6">
        <v>-48127</v>
      </c>
      <c r="E4738" s="6">
        <v>-22789</v>
      </c>
      <c r="F4738" s="7">
        <v>4.9409999999999998</v>
      </c>
      <c r="G4738" s="7">
        <v>5.6719999999999997</v>
      </c>
      <c r="H4738" s="7">
        <v>5.9189999999999996</v>
      </c>
      <c r="I4738" s="7">
        <v>5.2190000000000003</v>
      </c>
      <c r="J4738" s="7">
        <v>4.6079999999999997</v>
      </c>
      <c r="K4738" s="7">
        <v>3.7519999999999998</v>
      </c>
      <c r="L4738" s="7">
        <v>3.4940000000000002</v>
      </c>
      <c r="M4738" s="7">
        <v>3.6139999999999999</v>
      </c>
      <c r="N4738" s="7">
        <v>4.5940000000000003</v>
      </c>
      <c r="O4738" s="7">
        <v>4.78</v>
      </c>
      <c r="P4738" s="7">
        <v>5.4630000000000001</v>
      </c>
      <c r="Q4738" s="7">
        <v>5.9080000000000004</v>
      </c>
      <c r="R4738" s="7">
        <v>6.2679999999999998</v>
      </c>
      <c r="S4738" s="7">
        <f t="shared" si="73"/>
        <v>4.9409166666666673</v>
      </c>
    </row>
    <row r="4739" spans="1:19">
      <c r="A4739" s="5" t="str">
        <f>B4739&amp;"-"&amp;COUNTIF($B$2:B4739,B4739)</f>
        <v>SÃO PAULO-28</v>
      </c>
      <c r="B4739" s="5" t="s">
        <v>3122</v>
      </c>
      <c r="C4739" s="5" t="s">
        <v>3139</v>
      </c>
      <c r="D4739" s="6">
        <v>-513869</v>
      </c>
      <c r="E4739" s="6">
        <v>-22295</v>
      </c>
      <c r="F4739" s="7">
        <v>5.09</v>
      </c>
      <c r="G4739" s="7">
        <v>5.9560000000000004</v>
      </c>
      <c r="H4739" s="7">
        <v>5.9790000000000001</v>
      </c>
      <c r="I4739" s="7">
        <v>5.4219999999999997</v>
      </c>
      <c r="J4739" s="7">
        <v>4.7699999999999996</v>
      </c>
      <c r="K4739" s="7">
        <v>3.8740000000000001</v>
      </c>
      <c r="L4739" s="7">
        <v>3.5659999999999998</v>
      </c>
      <c r="M4739" s="7">
        <v>3.7759999999999998</v>
      </c>
      <c r="N4739" s="7">
        <v>4.7380000000000004</v>
      </c>
      <c r="O4739" s="7">
        <v>4.8520000000000003</v>
      </c>
      <c r="P4739" s="7">
        <v>5.5259999999999998</v>
      </c>
      <c r="Q4739" s="7">
        <v>6.149</v>
      </c>
      <c r="R4739" s="7">
        <v>6.4749999999999996</v>
      </c>
      <c r="S4739" s="7">
        <f t="shared" ref="S4739:S4802" si="74">(G4739+H4739+I4739+J4739+K4739+L4739+M4739+N4739+O4739+P4739+Q4739+R4739)/12</f>
        <v>5.0902499999999993</v>
      </c>
    </row>
    <row r="4740" spans="1:19">
      <c r="A4740" s="5" t="str">
        <f>B4740&amp;"-"&amp;COUNTIF($B$2:B4740,B4740)</f>
        <v>SÃO PAULO-29</v>
      </c>
      <c r="B4740" s="5" t="s">
        <v>3122</v>
      </c>
      <c r="C4740" s="5" t="s">
        <v>1798</v>
      </c>
      <c r="D4740" s="6">
        <v>-452329</v>
      </c>
      <c r="E4740" s="5" t="s">
        <v>3140</v>
      </c>
      <c r="F4740" s="7">
        <v>4.6280000000000001</v>
      </c>
      <c r="G4740" s="7">
        <v>5.3639999999999999</v>
      </c>
      <c r="H4740" s="7">
        <v>5.6239999999999997</v>
      </c>
      <c r="I4740" s="7">
        <v>4.8090000000000002</v>
      </c>
      <c r="J4740" s="7">
        <v>4.3810000000000002</v>
      </c>
      <c r="K4740" s="7">
        <v>3.6110000000000002</v>
      </c>
      <c r="L4740" s="7">
        <v>3.3860000000000001</v>
      </c>
      <c r="M4740" s="7">
        <v>3.5129999999999999</v>
      </c>
      <c r="N4740" s="7">
        <v>4.4779999999999998</v>
      </c>
      <c r="O4740" s="7">
        <v>4.5940000000000003</v>
      </c>
      <c r="P4740" s="7">
        <v>5.0330000000000004</v>
      </c>
      <c r="Q4740" s="7">
        <v>5.0819999999999999</v>
      </c>
      <c r="R4740" s="7">
        <v>5.6609999999999996</v>
      </c>
      <c r="S4740" s="7">
        <f t="shared" si="74"/>
        <v>4.628000000000001</v>
      </c>
    </row>
    <row r="4741" spans="1:19">
      <c r="A4741" s="5" t="str">
        <f>B4741&amp;"-"&amp;COUNTIF($B$2:B4741,B4741)</f>
        <v>SÃO PAULO-30</v>
      </c>
      <c r="B4741" s="5" t="s">
        <v>3122</v>
      </c>
      <c r="C4741" s="5" t="s">
        <v>3141</v>
      </c>
      <c r="D4741" s="6">
        <v>-508839</v>
      </c>
      <c r="E4741" s="6">
        <v>-204492</v>
      </c>
      <c r="F4741" s="7">
        <v>5.202</v>
      </c>
      <c r="G4741" s="7">
        <v>5.851</v>
      </c>
      <c r="H4741" s="7">
        <v>5.9820000000000002</v>
      </c>
      <c r="I4741" s="7">
        <v>5.367</v>
      </c>
      <c r="J4741" s="7">
        <v>4.8730000000000002</v>
      </c>
      <c r="K4741" s="7">
        <v>4.1950000000000003</v>
      </c>
      <c r="L4741" s="7">
        <v>3.887</v>
      </c>
      <c r="M4741" s="7">
        <v>4.109</v>
      </c>
      <c r="N4741" s="7">
        <v>5.0519999999999996</v>
      </c>
      <c r="O4741" s="7">
        <v>5.0609999999999999</v>
      </c>
      <c r="P4741" s="7">
        <v>5.6980000000000004</v>
      </c>
      <c r="Q4741" s="7">
        <v>6.008</v>
      </c>
      <c r="R4741" s="7">
        <v>6.3460000000000001</v>
      </c>
      <c r="S4741" s="7">
        <f t="shared" si="74"/>
        <v>5.2024166666666671</v>
      </c>
    </row>
    <row r="4742" spans="1:19">
      <c r="A4742" s="5" t="str">
        <f>B4742&amp;"-"&amp;COUNTIF($B$2:B4742,B4742)</f>
        <v>SÃO PAULO-31</v>
      </c>
      <c r="B4742" s="5" t="s">
        <v>3122</v>
      </c>
      <c r="C4742" s="5" t="s">
        <v>3142</v>
      </c>
      <c r="D4742" s="6">
        <v>-488447</v>
      </c>
      <c r="E4742" s="6">
        <v>-245113</v>
      </c>
      <c r="F4742" s="7">
        <v>4.1890000000000001</v>
      </c>
      <c r="G4742" s="7">
        <v>5.2050000000000001</v>
      </c>
      <c r="H4742" s="7">
        <v>5.2039999999999997</v>
      </c>
      <c r="I4742" s="7">
        <v>4.4710000000000001</v>
      </c>
      <c r="J4742" s="7">
        <v>3.8759999999999999</v>
      </c>
      <c r="K4742" s="7">
        <v>3.1269999999999998</v>
      </c>
      <c r="L4742" s="7">
        <v>2.8279999999999998</v>
      </c>
      <c r="M4742" s="7">
        <v>2.9220000000000002</v>
      </c>
      <c r="N4742" s="7">
        <v>3.8639999999999999</v>
      </c>
      <c r="O4742" s="7">
        <v>3.8969999999999998</v>
      </c>
      <c r="P4742" s="7">
        <v>4.375</v>
      </c>
      <c r="Q4742" s="7">
        <v>5.008</v>
      </c>
      <c r="R4742" s="7">
        <v>5.492</v>
      </c>
      <c r="S4742" s="7">
        <f t="shared" si="74"/>
        <v>4.1890833333333335</v>
      </c>
    </row>
    <row r="4743" spans="1:19">
      <c r="A4743" s="5" t="str">
        <f>B4743&amp;"-"&amp;COUNTIF($B$2:B4743,B4743)</f>
        <v>SÃO PAULO-32</v>
      </c>
      <c r="B4743" s="5" t="s">
        <v>3122</v>
      </c>
      <c r="C4743" s="5" t="s">
        <v>4779</v>
      </c>
      <c r="D4743" s="6">
        <v>-470612</v>
      </c>
      <c r="E4743" s="6">
        <v>-234371</v>
      </c>
      <c r="F4743" s="7">
        <v>4.7069999999999999</v>
      </c>
      <c r="G4743" s="7">
        <v>5.41</v>
      </c>
      <c r="H4743" s="7">
        <v>5.69</v>
      </c>
      <c r="I4743" s="7">
        <v>4.9870000000000001</v>
      </c>
      <c r="J4743" s="7">
        <v>4.4340000000000002</v>
      </c>
      <c r="K4743" s="7">
        <v>3.62</v>
      </c>
      <c r="L4743" s="7">
        <v>3.3340000000000001</v>
      </c>
      <c r="M4743" s="7">
        <v>3.4510000000000001</v>
      </c>
      <c r="N4743" s="7">
        <v>4.4539999999999997</v>
      </c>
      <c r="O4743" s="7">
        <v>4.5289999999999999</v>
      </c>
      <c r="P4743" s="7">
        <v>5.069</v>
      </c>
      <c r="Q4743" s="7">
        <v>5.5049999999999999</v>
      </c>
      <c r="R4743" s="7">
        <v>6.0049999999999999</v>
      </c>
      <c r="S4743" s="7">
        <f t="shared" si="74"/>
        <v>4.7073333333333345</v>
      </c>
    </row>
    <row r="4744" spans="1:19">
      <c r="A4744" s="5" t="str">
        <f>B4744&amp;"-"&amp;COUNTIF($B$2:B4744,B4744)</f>
        <v>SÃO PAULO-33</v>
      </c>
      <c r="B4744" s="5" t="s">
        <v>3122</v>
      </c>
      <c r="C4744" s="5" t="s">
        <v>4780</v>
      </c>
      <c r="D4744" s="6">
        <v>-504405</v>
      </c>
      <c r="E4744" s="6">
        <v>-212081</v>
      </c>
      <c r="F4744" s="7">
        <v>5.1589999999999998</v>
      </c>
      <c r="G4744" s="7">
        <v>5.9660000000000002</v>
      </c>
      <c r="H4744" s="7">
        <v>5.9930000000000003</v>
      </c>
      <c r="I4744" s="7">
        <v>5.4020000000000001</v>
      </c>
      <c r="J4744" s="7">
        <v>4.8810000000000002</v>
      </c>
      <c r="K4744" s="7">
        <v>4.0439999999999996</v>
      </c>
      <c r="L4744" s="7">
        <v>3.7410000000000001</v>
      </c>
      <c r="M4744" s="7">
        <v>3.9729999999999999</v>
      </c>
      <c r="N4744" s="7">
        <v>4.8920000000000003</v>
      </c>
      <c r="O4744" s="7">
        <v>4.9249999999999998</v>
      </c>
      <c r="P4744" s="7">
        <v>5.6390000000000002</v>
      </c>
      <c r="Q4744" s="7">
        <v>6.1130000000000004</v>
      </c>
      <c r="R4744" s="7">
        <v>6.3419999999999996</v>
      </c>
      <c r="S4744" s="7">
        <f t="shared" si="74"/>
        <v>5.1592500000000001</v>
      </c>
    </row>
    <row r="4745" spans="1:19">
      <c r="A4745" s="5" t="str">
        <f>B4745&amp;"-"&amp;COUNTIF($B$2:B4745,B4745)</f>
        <v>SÃO PAULO-34</v>
      </c>
      <c r="B4745" s="5" t="s">
        <v>3122</v>
      </c>
      <c r="C4745" s="5" t="s">
        <v>4781</v>
      </c>
      <c r="D4745" s="6">
        <v>-47617</v>
      </c>
      <c r="E4745" s="6">
        <v>-235034</v>
      </c>
      <c r="F4745" s="7">
        <v>4.7560000000000002</v>
      </c>
      <c r="G4745" s="7">
        <v>5.5</v>
      </c>
      <c r="H4745" s="7">
        <v>5.726</v>
      </c>
      <c r="I4745" s="7">
        <v>5.0389999999999997</v>
      </c>
      <c r="J4745" s="7">
        <v>4.4400000000000004</v>
      </c>
      <c r="K4745" s="7">
        <v>3.6040000000000001</v>
      </c>
      <c r="L4745" s="7">
        <v>3.3580000000000001</v>
      </c>
      <c r="M4745" s="7">
        <v>3.4529999999999998</v>
      </c>
      <c r="N4745" s="7">
        <v>4.4560000000000004</v>
      </c>
      <c r="O4745" s="7">
        <v>4.609</v>
      </c>
      <c r="P4745" s="7">
        <v>5.1710000000000003</v>
      </c>
      <c r="Q4745" s="7">
        <v>5.6289999999999996</v>
      </c>
      <c r="R4745" s="7">
        <v>6.085</v>
      </c>
      <c r="S4745" s="7">
        <f t="shared" si="74"/>
        <v>4.7558333333333334</v>
      </c>
    </row>
    <row r="4746" spans="1:19">
      <c r="A4746" s="5" t="str">
        <f>B4746&amp;"-"&amp;COUNTIF($B$2:B4746,B4746)</f>
        <v>SÃO PAULO-35</v>
      </c>
      <c r="B4746" s="5" t="s">
        <v>3122</v>
      </c>
      <c r="C4746" s="5" t="s">
        <v>3143</v>
      </c>
      <c r="D4746" s="6">
        <v>-477876</v>
      </c>
      <c r="E4746" s="6">
        <v>-200886</v>
      </c>
      <c r="F4746" s="7">
        <v>5.202</v>
      </c>
      <c r="G4746" s="7">
        <v>5.6589999999999998</v>
      </c>
      <c r="H4746" s="7">
        <v>5.9729999999999999</v>
      </c>
      <c r="I4746" s="7">
        <v>5.18</v>
      </c>
      <c r="J4746" s="7">
        <v>5.0439999999999996</v>
      </c>
      <c r="K4746" s="7">
        <v>4.3310000000000004</v>
      </c>
      <c r="L4746" s="7">
        <v>4.117</v>
      </c>
      <c r="M4746" s="7">
        <v>4.359</v>
      </c>
      <c r="N4746" s="7">
        <v>5.2759999999999998</v>
      </c>
      <c r="O4746" s="7">
        <v>5.2140000000000004</v>
      </c>
      <c r="P4746" s="7">
        <v>5.6260000000000003</v>
      </c>
      <c r="Q4746" s="7">
        <v>5.6760000000000002</v>
      </c>
      <c r="R4746" s="7">
        <v>5.9649999999999999</v>
      </c>
      <c r="S4746" s="7">
        <f t="shared" si="74"/>
        <v>5.2016666666666653</v>
      </c>
    </row>
    <row r="4747" spans="1:19">
      <c r="A4747" s="5" t="str">
        <f>B4747&amp;"-"&amp;COUNTIF($B$2:B4747,B4747)</f>
        <v>SÃO PAULO-36</v>
      </c>
      <c r="B4747" s="5" t="s">
        <v>3122</v>
      </c>
      <c r="C4747" s="5" t="s">
        <v>3144</v>
      </c>
      <c r="D4747" s="6">
        <v>-490539</v>
      </c>
      <c r="E4747" s="6">
        <v>-23134</v>
      </c>
      <c r="F4747" s="7">
        <v>4.8259999999999996</v>
      </c>
      <c r="G4747" s="7">
        <v>5.5369999999999999</v>
      </c>
      <c r="H4747" s="7">
        <v>5.673</v>
      </c>
      <c r="I4747" s="7">
        <v>5.0389999999999997</v>
      </c>
      <c r="J4747" s="7">
        <v>4.5549999999999997</v>
      </c>
      <c r="K4747" s="7">
        <v>3.6709999999999998</v>
      </c>
      <c r="L4747" s="7">
        <v>3.3879999999999999</v>
      </c>
      <c r="M4747" s="7">
        <v>3.5510000000000002</v>
      </c>
      <c r="N4747" s="7">
        <v>4.5590000000000002</v>
      </c>
      <c r="O4747" s="7">
        <v>4.718</v>
      </c>
      <c r="P4747" s="7">
        <v>5.298</v>
      </c>
      <c r="Q4747" s="7">
        <v>5.79</v>
      </c>
      <c r="R4747" s="7">
        <v>6.1369999999999996</v>
      </c>
      <c r="S4747" s="7">
        <f t="shared" si="74"/>
        <v>4.8263333333333334</v>
      </c>
    </row>
    <row r="4748" spans="1:19">
      <c r="A4748" s="5" t="str">
        <f>B4748&amp;"-"&amp;COUNTIF($B$2:B4748,B4748)</f>
        <v>SÃO PAULO-37</v>
      </c>
      <c r="B4748" s="5" t="s">
        <v>3122</v>
      </c>
      <c r="C4748" s="5" t="s">
        <v>3145</v>
      </c>
      <c r="D4748" s="6">
        <v>-444445</v>
      </c>
      <c r="E4748" s="6">
        <v>-226722</v>
      </c>
      <c r="F4748" s="7">
        <v>4.5910000000000002</v>
      </c>
      <c r="G4748" s="7">
        <v>5.4969999999999999</v>
      </c>
      <c r="H4748" s="7">
        <v>5.8449999999999998</v>
      </c>
      <c r="I4748" s="7">
        <v>4.7409999999999997</v>
      </c>
      <c r="J4748" s="7">
        <v>4.2300000000000004</v>
      </c>
      <c r="K4748" s="7">
        <v>3.5920000000000001</v>
      </c>
      <c r="L4748" s="7">
        <v>3.3690000000000002</v>
      </c>
      <c r="M4748" s="7">
        <v>3.4620000000000002</v>
      </c>
      <c r="N4748" s="7">
        <v>4.3079999999999998</v>
      </c>
      <c r="O4748" s="7">
        <v>4.5190000000000001</v>
      </c>
      <c r="P4748" s="7">
        <v>4.9029999999999996</v>
      </c>
      <c r="Q4748" s="7">
        <v>4.9119999999999999</v>
      </c>
      <c r="R4748" s="7">
        <v>5.7110000000000003</v>
      </c>
      <c r="S4748" s="7">
        <f t="shared" si="74"/>
        <v>4.590749999999999</v>
      </c>
    </row>
    <row r="4749" spans="1:19">
      <c r="A4749" s="5" t="str">
        <f>B4749&amp;"-"&amp;COUNTIF($B$2:B4749,B4749)</f>
        <v>SÃO PAULO-38</v>
      </c>
      <c r="B4749" s="5" t="s">
        <v>3122</v>
      </c>
      <c r="C4749" s="5" t="s">
        <v>3146</v>
      </c>
      <c r="D4749" s="6">
        <v>-481784</v>
      </c>
      <c r="E4749" s="6">
        <v>-21785</v>
      </c>
      <c r="F4749" s="7">
        <v>5.0090000000000003</v>
      </c>
      <c r="G4749" s="7">
        <v>5.6369999999999996</v>
      </c>
      <c r="H4749" s="7">
        <v>5.8730000000000002</v>
      </c>
      <c r="I4749" s="7">
        <v>5.1269999999999998</v>
      </c>
      <c r="J4749" s="7">
        <v>4.7190000000000003</v>
      </c>
      <c r="K4749" s="7">
        <v>3.992</v>
      </c>
      <c r="L4749" s="7">
        <v>3.72</v>
      </c>
      <c r="M4749" s="7">
        <v>3.944</v>
      </c>
      <c r="N4749" s="7">
        <v>4.8490000000000002</v>
      </c>
      <c r="O4749" s="7">
        <v>4.9539999999999997</v>
      </c>
      <c r="P4749" s="7">
        <v>5.5330000000000004</v>
      </c>
      <c r="Q4749" s="7">
        <v>5.7539999999999996</v>
      </c>
      <c r="R4749" s="7">
        <v>6</v>
      </c>
      <c r="S4749" s="7">
        <f t="shared" si="74"/>
        <v>5.0085000000000006</v>
      </c>
    </row>
    <row r="4750" spans="1:19">
      <c r="A4750" s="5" t="str">
        <f>B4750&amp;"-"&amp;COUNTIF($B$2:B4750,B4750)</f>
        <v>SÃO PAULO-39</v>
      </c>
      <c r="B4750" s="5" t="s">
        <v>3122</v>
      </c>
      <c r="C4750" s="5" t="s">
        <v>3147</v>
      </c>
      <c r="D4750" s="6">
        <v>-473846</v>
      </c>
      <c r="E4750" s="6">
        <v>-223577</v>
      </c>
      <c r="F4750" s="7">
        <v>4.9409999999999998</v>
      </c>
      <c r="G4750" s="7">
        <v>5.5609999999999999</v>
      </c>
      <c r="H4750" s="7">
        <v>5.8109999999999999</v>
      </c>
      <c r="I4750" s="7">
        <v>5.1230000000000002</v>
      </c>
      <c r="J4750" s="7">
        <v>4.649</v>
      </c>
      <c r="K4750" s="7">
        <v>3.8660000000000001</v>
      </c>
      <c r="L4750" s="7">
        <v>3.629</v>
      </c>
      <c r="M4750" s="7">
        <v>3.7879999999999998</v>
      </c>
      <c r="N4750" s="7">
        <v>4.7549999999999999</v>
      </c>
      <c r="O4750" s="7">
        <v>4.8940000000000001</v>
      </c>
      <c r="P4750" s="7">
        <v>5.4960000000000004</v>
      </c>
      <c r="Q4750" s="7">
        <v>5.6820000000000004</v>
      </c>
      <c r="R4750" s="7">
        <v>6.04</v>
      </c>
      <c r="S4750" s="7">
        <f t="shared" si="74"/>
        <v>4.9411666666666667</v>
      </c>
    </row>
    <row r="4751" spans="1:19">
      <c r="A4751" s="5" t="str">
        <f>B4751&amp;"-"&amp;COUNTIF($B$2:B4751,B4751)</f>
        <v>SÃO PAULO-40</v>
      </c>
      <c r="B4751" s="5" t="s">
        <v>3122</v>
      </c>
      <c r="C4751" s="5" t="s">
        <v>3148</v>
      </c>
      <c r="D4751" s="6">
        <v>-504664</v>
      </c>
      <c r="E4751" s="6">
        <v>-217733</v>
      </c>
      <c r="F4751" s="7">
        <v>5.0880000000000001</v>
      </c>
      <c r="G4751" s="7">
        <v>5.9169999999999998</v>
      </c>
      <c r="H4751" s="7">
        <v>5.93</v>
      </c>
      <c r="I4751" s="7">
        <v>5.3490000000000002</v>
      </c>
      <c r="J4751" s="7">
        <v>4.7569999999999997</v>
      </c>
      <c r="K4751" s="7">
        <v>3.952</v>
      </c>
      <c r="L4751" s="7">
        <v>3.6419999999999999</v>
      </c>
      <c r="M4751" s="7">
        <v>3.875</v>
      </c>
      <c r="N4751" s="7">
        <v>4.8140000000000001</v>
      </c>
      <c r="O4751" s="7">
        <v>4.835</v>
      </c>
      <c r="P4751" s="7">
        <v>5.5739999999999998</v>
      </c>
      <c r="Q4751" s="7">
        <v>6.0490000000000004</v>
      </c>
      <c r="R4751" s="7">
        <v>6.3680000000000003</v>
      </c>
      <c r="S4751" s="7">
        <f t="shared" si="74"/>
        <v>5.0884999999999998</v>
      </c>
    </row>
    <row r="4752" spans="1:19">
      <c r="A4752" s="5" t="str">
        <f>B4752&amp;"-"&amp;COUNTIF($B$2:B4752,B4752)</f>
        <v>SÃO PAULO-41</v>
      </c>
      <c r="B4752" s="5" t="s">
        <v>3122</v>
      </c>
      <c r="C4752" s="5" t="s">
        <v>3149</v>
      </c>
      <c r="D4752" s="6">
        <v>-489117</v>
      </c>
      <c r="E4752" s="6">
        <v>-220283</v>
      </c>
      <c r="F4752" s="7">
        <v>5.08</v>
      </c>
      <c r="G4752" s="7">
        <v>5.7880000000000003</v>
      </c>
      <c r="H4752" s="7">
        <v>5.9790000000000001</v>
      </c>
      <c r="I4752" s="7">
        <v>5.2809999999999997</v>
      </c>
      <c r="J4752" s="7">
        <v>4.8280000000000003</v>
      </c>
      <c r="K4752" s="7">
        <v>3.9159999999999999</v>
      </c>
      <c r="L4752" s="7">
        <v>3.6869999999999998</v>
      </c>
      <c r="M4752" s="7">
        <v>3.8719999999999999</v>
      </c>
      <c r="N4752" s="7">
        <v>4.7699999999999996</v>
      </c>
      <c r="O4752" s="7">
        <v>4.8789999999999996</v>
      </c>
      <c r="P4752" s="7">
        <v>5.65</v>
      </c>
      <c r="Q4752" s="7">
        <v>5.9989999999999997</v>
      </c>
      <c r="R4752" s="7">
        <v>6.3120000000000003</v>
      </c>
      <c r="S4752" s="7">
        <f t="shared" si="74"/>
        <v>5.0800833333333326</v>
      </c>
    </row>
    <row r="4753" spans="1:19">
      <c r="A4753" s="5" t="str">
        <f>B4753&amp;"-"&amp;COUNTIF($B$2:B4753,B4753)</f>
        <v>SÃO PAULO-42</v>
      </c>
      <c r="B4753" s="5" t="s">
        <v>3122</v>
      </c>
      <c r="C4753" s="5" t="s">
        <v>5232</v>
      </c>
      <c r="D4753" s="6">
        <v>-486649</v>
      </c>
      <c r="E4753" s="6">
        <v>-22668</v>
      </c>
      <c r="F4753" s="7">
        <v>4.968</v>
      </c>
      <c r="G4753" s="7">
        <v>5.66</v>
      </c>
      <c r="H4753" s="7">
        <v>5.8449999999999998</v>
      </c>
      <c r="I4753" s="7">
        <v>5.2309999999999999</v>
      </c>
      <c r="J4753" s="7">
        <v>4.6580000000000004</v>
      </c>
      <c r="K4753" s="7">
        <v>3.81</v>
      </c>
      <c r="L4753" s="7">
        <v>3.5489999999999999</v>
      </c>
      <c r="M4753" s="7">
        <v>3.722</v>
      </c>
      <c r="N4753" s="7">
        <v>4.7130000000000001</v>
      </c>
      <c r="O4753" s="7">
        <v>4.8209999999999997</v>
      </c>
      <c r="P4753" s="7">
        <v>5.4870000000000001</v>
      </c>
      <c r="Q4753" s="7">
        <v>5.8959999999999999</v>
      </c>
      <c r="R4753" s="7">
        <v>6.2229999999999999</v>
      </c>
      <c r="S4753" s="7">
        <f t="shared" si="74"/>
        <v>4.9679166666666665</v>
      </c>
    </row>
    <row r="4754" spans="1:19">
      <c r="A4754" s="5" t="str">
        <f>B4754&amp;"-"&amp;COUNTIF($B$2:B4754,B4754)</f>
        <v>SÃO PAULO-43</v>
      </c>
      <c r="B4754" s="5" t="s">
        <v>3122</v>
      </c>
      <c r="C4754" s="5" t="s">
        <v>3150</v>
      </c>
      <c r="D4754" s="6">
        <v>-446996</v>
      </c>
      <c r="E4754" s="6">
        <v>-225791</v>
      </c>
      <c r="F4754" s="7">
        <v>4.7039999999999997</v>
      </c>
      <c r="G4754" s="7">
        <v>5.5490000000000004</v>
      </c>
      <c r="H4754" s="7">
        <v>5.718</v>
      </c>
      <c r="I4754" s="7">
        <v>4.8810000000000002</v>
      </c>
      <c r="J4754" s="7">
        <v>4.4180000000000001</v>
      </c>
      <c r="K4754" s="7">
        <v>3.7280000000000002</v>
      </c>
      <c r="L4754" s="7">
        <v>3.4750000000000001</v>
      </c>
      <c r="M4754" s="7">
        <v>3.5790000000000002</v>
      </c>
      <c r="N4754" s="7">
        <v>4.4619999999999997</v>
      </c>
      <c r="O4754" s="7">
        <v>4.6260000000000003</v>
      </c>
      <c r="P4754" s="7">
        <v>5.09</v>
      </c>
      <c r="Q4754" s="7">
        <v>5.1369999999999996</v>
      </c>
      <c r="R4754" s="7">
        <v>5.7809999999999997</v>
      </c>
      <c r="S4754" s="7">
        <f t="shared" si="74"/>
        <v>4.703666666666666</v>
      </c>
    </row>
    <row r="4755" spans="1:19">
      <c r="A4755" s="5" t="str">
        <f>B4755&amp;"-"&amp;COUNTIF($B$2:B4755,B4755)</f>
        <v>SÃO PAULO-44</v>
      </c>
      <c r="B4755" s="5" t="s">
        <v>3122</v>
      </c>
      <c r="C4755" s="5" t="s">
        <v>3151</v>
      </c>
      <c r="D4755" s="6">
        <v>-487908</v>
      </c>
      <c r="E4755" s="6">
        <v>-211876</v>
      </c>
      <c r="F4755" s="7">
        <v>5.1189999999999998</v>
      </c>
      <c r="G4755" s="7">
        <v>5.8140000000000001</v>
      </c>
      <c r="H4755" s="7">
        <v>5.95</v>
      </c>
      <c r="I4755" s="7">
        <v>5.194</v>
      </c>
      <c r="J4755" s="7">
        <v>4.8209999999999997</v>
      </c>
      <c r="K4755" s="7">
        <v>4.0999999999999996</v>
      </c>
      <c r="L4755" s="7">
        <v>3.8519999999999999</v>
      </c>
      <c r="M4755" s="7">
        <v>4.0730000000000004</v>
      </c>
      <c r="N4755" s="7">
        <v>4.9539999999999997</v>
      </c>
      <c r="O4755" s="7">
        <v>5.0620000000000003</v>
      </c>
      <c r="P4755" s="7">
        <v>5.5960000000000001</v>
      </c>
      <c r="Q4755" s="7">
        <v>5.8630000000000004</v>
      </c>
      <c r="R4755" s="7">
        <v>6.1440000000000001</v>
      </c>
      <c r="S4755" s="7">
        <f t="shared" si="74"/>
        <v>5.1185833333333326</v>
      </c>
    </row>
    <row r="4756" spans="1:19">
      <c r="A4756" s="5" t="str">
        <f>B4756&amp;"-"&amp;COUNTIF($B$2:B4756,B4756)</f>
        <v>SÃO PAULO-45</v>
      </c>
      <c r="B4756" s="5" t="s">
        <v>3122</v>
      </c>
      <c r="C4756" s="5" t="s">
        <v>3152</v>
      </c>
      <c r="D4756" s="6">
        <v>-471731</v>
      </c>
      <c r="E4756" s="6">
        <v>-225732</v>
      </c>
      <c r="F4756" s="7">
        <v>4.9480000000000004</v>
      </c>
      <c r="G4756" s="7">
        <v>5.5750000000000002</v>
      </c>
      <c r="H4756" s="7">
        <v>5.8230000000000004</v>
      </c>
      <c r="I4756" s="7">
        <v>5.1479999999999997</v>
      </c>
      <c r="J4756" s="7">
        <v>4.6520000000000001</v>
      </c>
      <c r="K4756" s="7">
        <v>3.859</v>
      </c>
      <c r="L4756" s="7">
        <v>3.58</v>
      </c>
      <c r="M4756" s="7">
        <v>3.7570000000000001</v>
      </c>
      <c r="N4756" s="7">
        <v>4.72</v>
      </c>
      <c r="O4756" s="7">
        <v>4.8879999999999999</v>
      </c>
      <c r="P4756" s="7">
        <v>5.5039999999999996</v>
      </c>
      <c r="Q4756" s="7">
        <v>5.7149999999999999</v>
      </c>
      <c r="R4756" s="7">
        <v>6.1589999999999998</v>
      </c>
      <c r="S4756" s="7">
        <f t="shared" si="74"/>
        <v>4.9483333333333324</v>
      </c>
    </row>
    <row r="4757" spans="1:19">
      <c r="A4757" s="5" t="str">
        <f>B4757&amp;"-"&amp;COUNTIF($B$2:B4757,B4757)</f>
        <v>SÃO PAULO-46</v>
      </c>
      <c r="B4757" s="5" t="s">
        <v>3122</v>
      </c>
      <c r="C4757" s="5" t="s">
        <v>5756</v>
      </c>
      <c r="D4757" s="6">
        <v>-463204</v>
      </c>
      <c r="E4757" s="6">
        <v>-23397</v>
      </c>
      <c r="F4757" s="7">
        <v>4.3979999999999997</v>
      </c>
      <c r="G4757" s="7">
        <v>5.1630000000000003</v>
      </c>
      <c r="H4757" s="7">
        <v>5.4610000000000003</v>
      </c>
      <c r="I4757" s="7">
        <v>4.66</v>
      </c>
      <c r="J4757" s="7">
        <v>4.1310000000000002</v>
      </c>
      <c r="K4757" s="7">
        <v>3.3650000000000002</v>
      </c>
      <c r="L4757" s="7">
        <v>3.1379999999999999</v>
      </c>
      <c r="M4757" s="7">
        <v>3.22</v>
      </c>
      <c r="N4757" s="7">
        <v>4.1660000000000004</v>
      </c>
      <c r="O4757" s="7">
        <v>4.1959999999999997</v>
      </c>
      <c r="P4757" s="7">
        <v>4.6890000000000001</v>
      </c>
      <c r="Q4757" s="7">
        <v>4.9889999999999999</v>
      </c>
      <c r="R4757" s="7">
        <v>5.593</v>
      </c>
      <c r="S4757" s="7">
        <f t="shared" si="74"/>
        <v>4.3975833333333334</v>
      </c>
    </row>
    <row r="4758" spans="1:19">
      <c r="A4758" s="5" t="str">
        <f>B4758&amp;"-"&amp;COUNTIF($B$2:B4758,B4758)</f>
        <v>SÃO PAULO-47</v>
      </c>
      <c r="B4758" s="5" t="s">
        <v>3122</v>
      </c>
      <c r="C4758" s="5" t="s">
        <v>5757</v>
      </c>
      <c r="D4758" s="6">
        <v>-507269</v>
      </c>
      <c r="E4758" s="6">
        <v>-20159</v>
      </c>
      <c r="F4758" s="7">
        <v>5.2080000000000002</v>
      </c>
      <c r="G4758" s="7">
        <v>5.7789999999999999</v>
      </c>
      <c r="H4758" s="7">
        <v>5.9909999999999997</v>
      </c>
      <c r="I4758" s="7">
        <v>5.3760000000000003</v>
      </c>
      <c r="J4758" s="7">
        <v>4.9020000000000001</v>
      </c>
      <c r="K4758" s="7">
        <v>4.2329999999999997</v>
      </c>
      <c r="L4758" s="7">
        <v>3.9769999999999999</v>
      </c>
      <c r="M4758" s="7">
        <v>4.173</v>
      </c>
      <c r="N4758" s="7">
        <v>5.09</v>
      </c>
      <c r="O4758" s="7">
        <v>5.0670000000000002</v>
      </c>
      <c r="P4758" s="7">
        <v>5.6909999999999998</v>
      </c>
      <c r="Q4758" s="7">
        <v>5.9530000000000003</v>
      </c>
      <c r="R4758" s="7">
        <v>6.2649999999999997</v>
      </c>
      <c r="S4758" s="7">
        <f t="shared" si="74"/>
        <v>5.2080833333333336</v>
      </c>
    </row>
    <row r="4759" spans="1:19">
      <c r="A4759" s="5" t="str">
        <f>B4759&amp;"-"&amp;COUNTIF($B$2:B4759,B4759)</f>
        <v>SÃO PAULO-48</v>
      </c>
      <c r="B4759" s="5" t="s">
        <v>3122</v>
      </c>
      <c r="C4759" s="5" t="s">
        <v>3153</v>
      </c>
      <c r="D4759" s="6">
        <v>-504187</v>
      </c>
      <c r="E4759" s="6">
        <v>-226604</v>
      </c>
      <c r="F4759" s="7">
        <v>4.9580000000000002</v>
      </c>
      <c r="G4759" s="7">
        <v>5.7240000000000002</v>
      </c>
      <c r="H4759" s="7">
        <v>5.8029999999999999</v>
      </c>
      <c r="I4759" s="7">
        <v>5.2350000000000003</v>
      </c>
      <c r="J4759" s="7">
        <v>4.6680000000000001</v>
      </c>
      <c r="K4759" s="7">
        <v>3.7759999999999998</v>
      </c>
      <c r="L4759" s="7">
        <v>3.476</v>
      </c>
      <c r="M4759" s="7">
        <v>3.6880000000000002</v>
      </c>
      <c r="N4759" s="7">
        <v>4.6559999999999997</v>
      </c>
      <c r="O4759" s="7">
        <v>4.7590000000000003</v>
      </c>
      <c r="P4759" s="7">
        <v>5.4370000000000003</v>
      </c>
      <c r="Q4759" s="7">
        <v>5.9880000000000004</v>
      </c>
      <c r="R4759" s="7">
        <v>6.2880000000000003</v>
      </c>
      <c r="S4759" s="7">
        <f t="shared" si="74"/>
        <v>4.9581666666666662</v>
      </c>
    </row>
    <row r="4760" spans="1:19">
      <c r="A4760" s="5" t="str">
        <f>B4760&amp;"-"&amp;COUNTIF($B$2:B4760,B4760)</f>
        <v>SÃO PAULO-49</v>
      </c>
      <c r="B4760" s="5" t="s">
        <v>3122</v>
      </c>
      <c r="C4760" s="5" t="s">
        <v>3154</v>
      </c>
      <c r="D4760" s="6">
        <v>-465567</v>
      </c>
      <c r="E4760" s="6">
        <v>-231175</v>
      </c>
      <c r="F4760" s="7">
        <v>4.782</v>
      </c>
      <c r="G4760" s="7">
        <v>5.452</v>
      </c>
      <c r="H4760" s="7">
        <v>5.7119999999999997</v>
      </c>
      <c r="I4760" s="7">
        <v>4.9889999999999999</v>
      </c>
      <c r="J4760" s="7">
        <v>4.4960000000000004</v>
      </c>
      <c r="K4760" s="7">
        <v>3.6920000000000002</v>
      </c>
      <c r="L4760" s="7">
        <v>3.456</v>
      </c>
      <c r="M4760" s="7">
        <v>3.5670000000000002</v>
      </c>
      <c r="N4760" s="7">
        <v>4.5620000000000003</v>
      </c>
      <c r="O4760" s="7">
        <v>4.6760000000000002</v>
      </c>
      <c r="P4760" s="7">
        <v>5.2530000000000001</v>
      </c>
      <c r="Q4760" s="7">
        <v>5.5060000000000002</v>
      </c>
      <c r="R4760" s="7">
        <v>6.0270000000000001</v>
      </c>
      <c r="S4760" s="7">
        <f t="shared" si="74"/>
        <v>4.7823333333333338</v>
      </c>
    </row>
    <row r="4761" spans="1:19">
      <c r="A4761" s="5" t="str">
        <f>B4761&amp;"-"&amp;COUNTIF($B$2:B4761,B4761)</f>
        <v>SÃO PAULO-50</v>
      </c>
      <c r="B4761" s="5" t="s">
        <v>3122</v>
      </c>
      <c r="C4761" s="5" t="s">
        <v>3155</v>
      </c>
      <c r="D4761" s="6">
        <v>-505549</v>
      </c>
      <c r="E4761" s="6">
        <v>-20686</v>
      </c>
      <c r="F4761" s="7">
        <v>5.1859999999999999</v>
      </c>
      <c r="G4761" s="7">
        <v>5.93</v>
      </c>
      <c r="H4761" s="7">
        <v>5.9509999999999996</v>
      </c>
      <c r="I4761" s="7">
        <v>5.39</v>
      </c>
      <c r="J4761" s="7">
        <v>4.8869999999999996</v>
      </c>
      <c r="K4761" s="7">
        <v>4.1500000000000004</v>
      </c>
      <c r="L4761" s="7">
        <v>3.8690000000000002</v>
      </c>
      <c r="M4761" s="7">
        <v>4.0910000000000002</v>
      </c>
      <c r="N4761" s="7">
        <v>4.9770000000000003</v>
      </c>
      <c r="O4761" s="7">
        <v>5.0650000000000004</v>
      </c>
      <c r="P4761" s="7">
        <v>5.65</v>
      </c>
      <c r="Q4761" s="7">
        <v>5.9989999999999997</v>
      </c>
      <c r="R4761" s="7">
        <v>6.2720000000000002</v>
      </c>
      <c r="S4761" s="7">
        <f t="shared" si="74"/>
        <v>5.1859166666666665</v>
      </c>
    </row>
    <row r="4762" spans="1:19">
      <c r="A4762" s="5" t="str">
        <f>B4762&amp;"-"&amp;COUNTIF($B$2:B4762,B4762)</f>
        <v>SÃO PAULO-51</v>
      </c>
      <c r="B4762" s="5" t="s">
        <v>3122</v>
      </c>
      <c r="C4762" s="5" t="s">
        <v>3156</v>
      </c>
      <c r="D4762" s="6">
        <v>-49331</v>
      </c>
      <c r="E4762" s="6">
        <v>-221571</v>
      </c>
      <c r="F4762" s="7">
        <v>4.9859999999999998</v>
      </c>
      <c r="G4762" s="7">
        <v>5.6509999999999998</v>
      </c>
      <c r="H4762" s="7">
        <v>5.8650000000000002</v>
      </c>
      <c r="I4762" s="7">
        <v>5.2169999999999996</v>
      </c>
      <c r="J4762" s="7">
        <v>4.7290000000000001</v>
      </c>
      <c r="K4762" s="7">
        <v>3.863</v>
      </c>
      <c r="L4762" s="7">
        <v>3.58</v>
      </c>
      <c r="M4762" s="7">
        <v>3.7839999999999998</v>
      </c>
      <c r="N4762" s="7">
        <v>4.6859999999999999</v>
      </c>
      <c r="O4762" s="7">
        <v>4.8209999999999997</v>
      </c>
      <c r="P4762" s="7">
        <v>5.5679999999999996</v>
      </c>
      <c r="Q4762" s="7">
        <v>5.867</v>
      </c>
      <c r="R4762" s="7">
        <v>6.2030000000000003</v>
      </c>
      <c r="S4762" s="7">
        <f t="shared" si="74"/>
        <v>4.9861666666666666</v>
      </c>
    </row>
    <row r="4763" spans="1:19">
      <c r="A4763" s="5" t="str">
        <f>B4763&amp;"-"&amp;COUNTIF($B$2:B4763,B4763)</f>
        <v>SÃO PAULO-52</v>
      </c>
      <c r="B4763" s="5" t="s">
        <v>3122</v>
      </c>
      <c r="C4763" s="5" t="s">
        <v>3157</v>
      </c>
      <c r="D4763" s="6">
        <v>-499513</v>
      </c>
      <c r="E4763" s="6">
        <v>-214589</v>
      </c>
      <c r="F4763" s="7">
        <v>5.1139999999999999</v>
      </c>
      <c r="G4763" s="7">
        <v>5.8780000000000001</v>
      </c>
      <c r="H4763" s="7">
        <v>5.94</v>
      </c>
      <c r="I4763" s="7">
        <v>5.3479999999999999</v>
      </c>
      <c r="J4763" s="7">
        <v>4.851</v>
      </c>
      <c r="K4763" s="7">
        <v>3.9769999999999999</v>
      </c>
      <c r="L4763" s="7">
        <v>3.7090000000000001</v>
      </c>
      <c r="M4763" s="7">
        <v>3.95</v>
      </c>
      <c r="N4763" s="7">
        <v>4.8109999999999999</v>
      </c>
      <c r="O4763" s="7">
        <v>4.9370000000000003</v>
      </c>
      <c r="P4763" s="7">
        <v>5.6289999999999996</v>
      </c>
      <c r="Q4763" s="7">
        <v>6.0229999999999997</v>
      </c>
      <c r="R4763" s="7">
        <v>6.3159999999999998</v>
      </c>
      <c r="S4763" s="7">
        <f t="shared" si="74"/>
        <v>5.1140833333333333</v>
      </c>
    </row>
    <row r="4764" spans="1:19">
      <c r="A4764" s="5" t="str">
        <f>B4764&amp;"-"&amp;COUNTIF($B$2:B4764,B4764)</f>
        <v>SÃO PAULO-53</v>
      </c>
      <c r="B4764" s="5" t="s">
        <v>3122</v>
      </c>
      <c r="C4764" s="5" t="s">
        <v>4502</v>
      </c>
      <c r="D4764" s="6">
        <v>-489255</v>
      </c>
      <c r="E4764" s="6">
        <v>-231072</v>
      </c>
      <c r="F4764" s="7">
        <v>4.8230000000000004</v>
      </c>
      <c r="G4764" s="7">
        <v>5.5270000000000001</v>
      </c>
      <c r="H4764" s="7">
        <v>5.6710000000000003</v>
      </c>
      <c r="I4764" s="7">
        <v>5.0419999999999998</v>
      </c>
      <c r="J4764" s="7">
        <v>4.5410000000000004</v>
      </c>
      <c r="K4764" s="7">
        <v>3.6539999999999999</v>
      </c>
      <c r="L4764" s="7">
        <v>3.4180000000000001</v>
      </c>
      <c r="M4764" s="7">
        <v>3.5390000000000001</v>
      </c>
      <c r="N4764" s="7">
        <v>4.569</v>
      </c>
      <c r="O4764" s="7">
        <v>4.7359999999999998</v>
      </c>
      <c r="P4764" s="7">
        <v>5.3010000000000002</v>
      </c>
      <c r="Q4764" s="7">
        <v>5.7859999999999996</v>
      </c>
      <c r="R4764" s="7">
        <v>6.0910000000000002</v>
      </c>
      <c r="S4764" s="7">
        <f t="shared" si="74"/>
        <v>4.822916666666667</v>
      </c>
    </row>
    <row r="4765" spans="1:19">
      <c r="A4765" s="5" t="str">
        <f>B4765&amp;"-"&amp;COUNTIF($B$2:B4765,B4765)</f>
        <v>SÃO PAULO-54</v>
      </c>
      <c r="B4765" s="5" t="s">
        <v>3122</v>
      </c>
      <c r="C4765" s="5" t="s">
        <v>5758</v>
      </c>
      <c r="D4765" s="6">
        <v>-495839</v>
      </c>
      <c r="E4765" s="6">
        <v>-20735</v>
      </c>
      <c r="F4765" s="7">
        <v>5.1520000000000001</v>
      </c>
      <c r="G4765" s="7">
        <v>5.843</v>
      </c>
      <c r="H4765" s="7">
        <v>5.8780000000000001</v>
      </c>
      <c r="I4765" s="7">
        <v>5.1959999999999997</v>
      </c>
      <c r="J4765" s="7">
        <v>4.9050000000000002</v>
      </c>
      <c r="K4765" s="7">
        <v>4.1539999999999999</v>
      </c>
      <c r="L4765" s="7">
        <v>3.8980000000000001</v>
      </c>
      <c r="M4765" s="7">
        <v>4.1440000000000001</v>
      </c>
      <c r="N4765" s="7">
        <v>5.0510000000000002</v>
      </c>
      <c r="O4765" s="7">
        <v>5.077</v>
      </c>
      <c r="P4765" s="7">
        <v>5.6130000000000004</v>
      </c>
      <c r="Q4765" s="7">
        <v>5.907</v>
      </c>
      <c r="R4765" s="7">
        <v>6.1580000000000004</v>
      </c>
      <c r="S4765" s="7">
        <f t="shared" si="74"/>
        <v>5.1520000000000001</v>
      </c>
    </row>
    <row r="4766" spans="1:19">
      <c r="A4766" s="5" t="str">
        <f>B4766&amp;"-"&amp;COUNTIF($B$2:B4766,B4766)</f>
        <v>SÃO PAULO-55</v>
      </c>
      <c r="B4766" s="5" t="s">
        <v>3122</v>
      </c>
      <c r="C4766" s="5" t="s">
        <v>3158</v>
      </c>
      <c r="D4766" s="6">
        <v>-494449</v>
      </c>
      <c r="E4766" s="6">
        <v>-20918</v>
      </c>
      <c r="F4766" s="7">
        <v>5.1210000000000004</v>
      </c>
      <c r="G4766" s="7">
        <v>5.7850000000000001</v>
      </c>
      <c r="H4766" s="7">
        <v>5.87</v>
      </c>
      <c r="I4766" s="7">
        <v>5.1669999999999998</v>
      </c>
      <c r="J4766" s="7">
        <v>4.819</v>
      </c>
      <c r="K4766" s="7">
        <v>4.0960000000000001</v>
      </c>
      <c r="L4766" s="7">
        <v>3.8540000000000001</v>
      </c>
      <c r="M4766" s="7">
        <v>4.12</v>
      </c>
      <c r="N4766" s="7">
        <v>5.0010000000000003</v>
      </c>
      <c r="O4766" s="7">
        <v>5.0789999999999997</v>
      </c>
      <c r="P4766" s="7">
        <v>5.6059999999999999</v>
      </c>
      <c r="Q4766" s="7">
        <v>5.91</v>
      </c>
      <c r="R4766" s="7">
        <v>6.1420000000000003</v>
      </c>
      <c r="S4766" s="7">
        <f t="shared" si="74"/>
        <v>5.1207500000000001</v>
      </c>
    </row>
    <row r="4767" spans="1:19">
      <c r="A4767" s="5" t="str">
        <f>B4767&amp;"-"&amp;COUNTIF($B$2:B4767,B4767)</f>
        <v>SÃO PAULO-56</v>
      </c>
      <c r="B4767" s="5" t="s">
        <v>3122</v>
      </c>
      <c r="C4767" s="5" t="s">
        <v>3159</v>
      </c>
      <c r="D4767" s="6">
        <v>-493569</v>
      </c>
      <c r="E4767" s="5" t="s">
        <v>3160</v>
      </c>
      <c r="F4767" s="7">
        <v>5.0709999999999997</v>
      </c>
      <c r="G4767" s="7">
        <v>5.8070000000000004</v>
      </c>
      <c r="H4767" s="7">
        <v>5.9560000000000004</v>
      </c>
      <c r="I4767" s="7">
        <v>5.2939999999999996</v>
      </c>
      <c r="J4767" s="7">
        <v>4.7729999999999997</v>
      </c>
      <c r="K4767" s="7">
        <v>3.931</v>
      </c>
      <c r="L4767" s="7">
        <v>3.6429999999999998</v>
      </c>
      <c r="M4767" s="7">
        <v>3.899</v>
      </c>
      <c r="N4767" s="7">
        <v>4.798</v>
      </c>
      <c r="O4767" s="7">
        <v>4.9249999999999998</v>
      </c>
      <c r="P4767" s="7">
        <v>5.6230000000000002</v>
      </c>
      <c r="Q4767" s="7">
        <v>5.9550000000000001</v>
      </c>
      <c r="R4767" s="7">
        <v>6.2469999999999999</v>
      </c>
      <c r="S4767" s="7">
        <f t="shared" si="74"/>
        <v>5.0709166666666663</v>
      </c>
    </row>
    <row r="4768" spans="1:19">
      <c r="A4768" s="5" t="str">
        <f>B4768&amp;"-"&amp;COUNTIF($B$2:B4768,B4768)</f>
        <v>SÃO PAULO-57</v>
      </c>
      <c r="B4768" s="5" t="s">
        <v>3122</v>
      </c>
      <c r="C4768" s="5" t="s">
        <v>3161</v>
      </c>
      <c r="D4768" s="6">
        <v>-443285</v>
      </c>
      <c r="E4768" s="6">
        <v>-226824</v>
      </c>
      <c r="F4768" s="7">
        <v>4.6219999999999999</v>
      </c>
      <c r="G4768" s="7">
        <v>5.5949999999999998</v>
      </c>
      <c r="H4768" s="7">
        <v>5.95</v>
      </c>
      <c r="I4768" s="7">
        <v>4.8319999999999999</v>
      </c>
      <c r="J4768" s="7">
        <v>4.2759999999999998</v>
      </c>
      <c r="K4768" s="7">
        <v>3.585</v>
      </c>
      <c r="L4768" s="7">
        <v>3.3889999999999998</v>
      </c>
      <c r="M4768" s="7">
        <v>3.444</v>
      </c>
      <c r="N4768" s="7">
        <v>4.2939999999999996</v>
      </c>
      <c r="O4768" s="7">
        <v>4.5199999999999996</v>
      </c>
      <c r="P4768" s="7">
        <v>4.91</v>
      </c>
      <c r="Q4768" s="7">
        <v>4.9550000000000001</v>
      </c>
      <c r="R4768" s="7">
        <v>5.7190000000000003</v>
      </c>
      <c r="S4768" s="7">
        <f t="shared" si="74"/>
        <v>4.6224166666666653</v>
      </c>
    </row>
    <row r="4769" spans="1:19">
      <c r="A4769" s="5" t="str">
        <f>B4769&amp;"-"&amp;COUNTIF($B$2:B4769,B4769)</f>
        <v>SÃO PAULO-58</v>
      </c>
      <c r="B4769" s="5" t="s">
        <v>3122</v>
      </c>
      <c r="C4769" s="5" t="s">
        <v>4217</v>
      </c>
      <c r="D4769" s="6">
        <v>-495638</v>
      </c>
      <c r="E4769" s="6">
        <v>-236289</v>
      </c>
      <c r="F4769" s="7">
        <v>4.8449999999999998</v>
      </c>
      <c r="G4769" s="7">
        <v>5.819</v>
      </c>
      <c r="H4769" s="7">
        <v>5.8879999999999999</v>
      </c>
      <c r="I4769" s="7">
        <v>5.2240000000000002</v>
      </c>
      <c r="J4769" s="7">
        <v>4.5410000000000004</v>
      </c>
      <c r="K4769" s="7">
        <v>3.54</v>
      </c>
      <c r="L4769" s="7">
        <v>3.19</v>
      </c>
      <c r="M4769" s="7">
        <v>3.4060000000000001</v>
      </c>
      <c r="N4769" s="7">
        <v>4.4109999999999996</v>
      </c>
      <c r="O4769" s="7">
        <v>4.5919999999999996</v>
      </c>
      <c r="P4769" s="7">
        <v>5.2569999999999997</v>
      </c>
      <c r="Q4769" s="7">
        <v>5.9</v>
      </c>
      <c r="R4769" s="7">
        <v>6.3710000000000004</v>
      </c>
      <c r="S4769" s="7">
        <f t="shared" si="74"/>
        <v>4.8449166666666663</v>
      </c>
    </row>
    <row r="4770" spans="1:19">
      <c r="A4770" s="5" t="str">
        <f>B4770&amp;"-"&amp;COUNTIF($B$2:B4770,B4770)</f>
        <v>SÃO PAULO-59</v>
      </c>
      <c r="B4770" s="5" t="s">
        <v>3122</v>
      </c>
      <c r="C4770" s="5" t="s">
        <v>3162</v>
      </c>
      <c r="D4770" s="6">
        <v>-499522</v>
      </c>
      <c r="E4770" s="6">
        <v>-212661</v>
      </c>
      <c r="F4770" s="7">
        <v>5.1369999999999996</v>
      </c>
      <c r="G4770" s="7">
        <v>5.9260000000000002</v>
      </c>
      <c r="H4770" s="7">
        <v>6.01</v>
      </c>
      <c r="I4770" s="7">
        <v>5.391</v>
      </c>
      <c r="J4770" s="7">
        <v>4.8280000000000003</v>
      </c>
      <c r="K4770" s="7">
        <v>3.9929999999999999</v>
      </c>
      <c r="L4770" s="7">
        <v>3.7090000000000001</v>
      </c>
      <c r="M4770" s="7">
        <v>3.9489999999999998</v>
      </c>
      <c r="N4770" s="7">
        <v>4.8120000000000003</v>
      </c>
      <c r="O4770" s="7">
        <v>4.93</v>
      </c>
      <c r="P4770" s="7">
        <v>5.6459999999999999</v>
      </c>
      <c r="Q4770" s="7">
        <v>6.0720000000000001</v>
      </c>
      <c r="R4770" s="7">
        <v>6.383</v>
      </c>
      <c r="S4770" s="7">
        <f t="shared" si="74"/>
        <v>5.1374166666666667</v>
      </c>
    </row>
    <row r="4771" spans="1:19">
      <c r="A4771" s="5" t="str">
        <f>B4771&amp;"-"&amp;COUNTIF($B$2:B4771,B4771)</f>
        <v>SÃO PAULO-60</v>
      </c>
      <c r="B4771" s="5" t="s">
        <v>3122</v>
      </c>
      <c r="C4771" s="5" t="s">
        <v>3163</v>
      </c>
      <c r="D4771" s="6">
        <v>-487442</v>
      </c>
      <c r="E4771" s="6">
        <v>-220734</v>
      </c>
      <c r="F4771" s="7">
        <v>5.0529999999999999</v>
      </c>
      <c r="G4771" s="7">
        <v>5.8019999999999996</v>
      </c>
      <c r="H4771" s="7">
        <v>5.9880000000000004</v>
      </c>
      <c r="I4771" s="7">
        <v>5.2640000000000002</v>
      </c>
      <c r="J4771" s="7">
        <v>4.7290000000000001</v>
      </c>
      <c r="K4771" s="7">
        <v>3.891</v>
      </c>
      <c r="L4771" s="7">
        <v>3.6520000000000001</v>
      </c>
      <c r="M4771" s="7">
        <v>3.8490000000000002</v>
      </c>
      <c r="N4771" s="7">
        <v>4.726</v>
      </c>
      <c r="O4771" s="7">
        <v>4.8940000000000001</v>
      </c>
      <c r="P4771" s="7">
        <v>5.6020000000000003</v>
      </c>
      <c r="Q4771" s="7">
        <v>5.94</v>
      </c>
      <c r="R4771" s="7">
        <v>6.2910000000000004</v>
      </c>
      <c r="S4771" s="7">
        <f t="shared" si="74"/>
        <v>5.0523333333333325</v>
      </c>
    </row>
    <row r="4772" spans="1:19">
      <c r="A4772" s="5" t="str">
        <f>B4772&amp;"-"&amp;COUNTIF($B$2:B4772,B4772)</f>
        <v>SÃO PAULO-61</v>
      </c>
      <c r="B4772" s="5" t="s">
        <v>3122</v>
      </c>
      <c r="C4772" s="5" t="s">
        <v>2954</v>
      </c>
      <c r="D4772" s="6">
        <v>-485588</v>
      </c>
      <c r="E4772" s="6">
        <v>-224913</v>
      </c>
      <c r="F4772" s="7">
        <v>5.0090000000000003</v>
      </c>
      <c r="G4772" s="7">
        <v>5.6669999999999998</v>
      </c>
      <c r="H4772" s="7">
        <v>5.9649999999999999</v>
      </c>
      <c r="I4772" s="7">
        <v>5.298</v>
      </c>
      <c r="J4772" s="7">
        <v>4.7039999999999997</v>
      </c>
      <c r="K4772" s="7">
        <v>3.8140000000000001</v>
      </c>
      <c r="L4772" s="7">
        <v>3.5379999999999998</v>
      </c>
      <c r="M4772" s="7">
        <v>3.73</v>
      </c>
      <c r="N4772" s="7">
        <v>4.6769999999999996</v>
      </c>
      <c r="O4772" s="7">
        <v>4.8520000000000003</v>
      </c>
      <c r="P4772" s="7">
        <v>5.56</v>
      </c>
      <c r="Q4772" s="7">
        <v>5.9939999999999998</v>
      </c>
      <c r="R4772" s="7">
        <v>6.3140000000000001</v>
      </c>
      <c r="S4772" s="7">
        <f t="shared" si="74"/>
        <v>5.0094166666666675</v>
      </c>
    </row>
    <row r="4773" spans="1:19">
      <c r="A4773" s="5" t="str">
        <f>B4773&amp;"-"&amp;COUNTIF($B$2:B4773,B4773)</f>
        <v>SÃO PAULO-62</v>
      </c>
      <c r="B4773" s="5" t="s">
        <v>3122</v>
      </c>
      <c r="C4773" s="5" t="s">
        <v>4503</v>
      </c>
      <c r="D4773" s="6">
        <v>-490242</v>
      </c>
      <c r="E4773" s="6">
        <v>-244727</v>
      </c>
      <c r="F4773" s="7">
        <v>4.2149999999999999</v>
      </c>
      <c r="G4773" s="7">
        <v>5.2110000000000003</v>
      </c>
      <c r="H4773" s="7">
        <v>5.1619999999999999</v>
      </c>
      <c r="I4773" s="7">
        <v>4.5519999999999996</v>
      </c>
      <c r="J4773" s="7">
        <v>3.9060000000000001</v>
      </c>
      <c r="K4773" s="7">
        <v>3.1379999999999999</v>
      </c>
      <c r="L4773" s="7">
        <v>2.8149999999999999</v>
      </c>
      <c r="M4773" s="7">
        <v>2.9039999999999999</v>
      </c>
      <c r="N4773" s="7">
        <v>3.8809999999999998</v>
      </c>
      <c r="O4773" s="7">
        <v>3.9329999999999998</v>
      </c>
      <c r="P4773" s="7">
        <v>4.4649999999999999</v>
      </c>
      <c r="Q4773" s="7">
        <v>5.1040000000000001</v>
      </c>
      <c r="R4773" s="7">
        <v>5.51</v>
      </c>
      <c r="S4773" s="7">
        <f t="shared" si="74"/>
        <v>4.2150833333333333</v>
      </c>
    </row>
    <row r="4774" spans="1:19">
      <c r="A4774" s="5" t="str">
        <f>B4774&amp;"-"&amp;COUNTIF($B$2:B4774,B4774)</f>
        <v>SÃO PAULO-63</v>
      </c>
      <c r="B4774" s="5" t="s">
        <v>3122</v>
      </c>
      <c r="C4774" s="5" t="s">
        <v>3164</v>
      </c>
      <c r="D4774" s="6">
        <v>-485049</v>
      </c>
      <c r="E4774" s="6">
        <v>-24756</v>
      </c>
      <c r="F4774" s="7">
        <v>4.056</v>
      </c>
      <c r="G4774" s="7">
        <v>5.2539999999999996</v>
      </c>
      <c r="H4774" s="7">
        <v>5.2039999999999997</v>
      </c>
      <c r="I4774" s="7">
        <v>4.4610000000000003</v>
      </c>
      <c r="J4774" s="7">
        <v>3.7650000000000001</v>
      </c>
      <c r="K4774" s="7">
        <v>3.0369999999999999</v>
      </c>
      <c r="L4774" s="7">
        <v>2.62</v>
      </c>
      <c r="M4774" s="7">
        <v>2.6960000000000002</v>
      </c>
      <c r="N4774" s="7">
        <v>3.5449999999999999</v>
      </c>
      <c r="O4774" s="7">
        <v>3.5880000000000001</v>
      </c>
      <c r="P4774" s="7">
        <v>4.149</v>
      </c>
      <c r="Q4774" s="7">
        <v>4.8959999999999999</v>
      </c>
      <c r="R4774" s="7">
        <v>5.4589999999999996</v>
      </c>
      <c r="S4774" s="7">
        <f t="shared" si="74"/>
        <v>4.0561666666666669</v>
      </c>
    </row>
    <row r="4775" spans="1:19">
      <c r="A4775" s="5" t="str">
        <f>B4775&amp;"-"&amp;COUNTIF($B$2:B4775,B4775)</f>
        <v>SÃO PAULO-64</v>
      </c>
      <c r="B4775" s="5" t="s">
        <v>3122</v>
      </c>
      <c r="C4775" s="5" t="s">
        <v>3165</v>
      </c>
      <c r="D4775" s="6">
        <v>-485702</v>
      </c>
      <c r="E4775" s="6">
        <v>-205536</v>
      </c>
      <c r="F4775" s="7">
        <v>5.1749999999999998</v>
      </c>
      <c r="G4775" s="7">
        <v>5.8230000000000004</v>
      </c>
      <c r="H4775" s="7">
        <v>6.0350000000000001</v>
      </c>
      <c r="I4775" s="7">
        <v>5.242</v>
      </c>
      <c r="J4775" s="7">
        <v>4.8739999999999997</v>
      </c>
      <c r="K4775" s="7">
        <v>4.2300000000000004</v>
      </c>
      <c r="L4775" s="7">
        <v>3.9670000000000001</v>
      </c>
      <c r="M4775" s="7">
        <v>4.2039999999999997</v>
      </c>
      <c r="N4775" s="7">
        <v>5.0970000000000004</v>
      </c>
      <c r="O4775" s="7">
        <v>5.0810000000000004</v>
      </c>
      <c r="P4775" s="7">
        <v>5.5940000000000003</v>
      </c>
      <c r="Q4775" s="7">
        <v>5.798</v>
      </c>
      <c r="R4775" s="7">
        <v>6.157</v>
      </c>
      <c r="S4775" s="7">
        <f t="shared" si="74"/>
        <v>5.1751666666666667</v>
      </c>
    </row>
    <row r="4776" spans="1:19">
      <c r="A4776" s="5" t="str">
        <f>B4776&amp;"-"&amp;COUNTIF($B$2:B4776,B4776)</f>
        <v>SÃO PAULO-65</v>
      </c>
      <c r="B4776" s="5" t="s">
        <v>3122</v>
      </c>
      <c r="C4776" s="5" t="s">
        <v>3166</v>
      </c>
      <c r="D4776" s="6">
        <v>-48164</v>
      </c>
      <c r="E4776" s="6">
        <v>-21194</v>
      </c>
      <c r="F4776" s="7">
        <v>5.1059999999999999</v>
      </c>
      <c r="G4776" s="7">
        <v>5.7569999999999997</v>
      </c>
      <c r="H4776" s="7">
        <v>6.0170000000000003</v>
      </c>
      <c r="I4776" s="7">
        <v>5.1870000000000003</v>
      </c>
      <c r="J4776" s="7">
        <v>4.8360000000000003</v>
      </c>
      <c r="K4776" s="7">
        <v>4.1429999999999998</v>
      </c>
      <c r="L4776" s="7">
        <v>3.843</v>
      </c>
      <c r="M4776" s="7">
        <v>4.0960000000000001</v>
      </c>
      <c r="N4776" s="7">
        <v>4.9390000000000001</v>
      </c>
      <c r="O4776" s="7">
        <v>4.9779999999999998</v>
      </c>
      <c r="P4776" s="7">
        <v>5.556</v>
      </c>
      <c r="Q4776" s="7">
        <v>5.8440000000000003</v>
      </c>
      <c r="R4776" s="7">
        <v>6.0819999999999999</v>
      </c>
      <c r="S4776" s="7">
        <f t="shared" si="74"/>
        <v>5.1065000000000005</v>
      </c>
    </row>
    <row r="4777" spans="1:19">
      <c r="A4777" s="5" t="str">
        <f>B4777&amp;"-"&amp;COUNTIF($B$2:B4777,B4777)</f>
        <v>SÃO PAULO-66</v>
      </c>
      <c r="B4777" s="5" t="s">
        <v>3122</v>
      </c>
      <c r="C4777" s="5" t="s">
        <v>3167</v>
      </c>
      <c r="D4777" s="6">
        <v>-468794</v>
      </c>
      <c r="E4777" s="6">
        <v>-235062</v>
      </c>
      <c r="F4777" s="7">
        <v>4.5250000000000004</v>
      </c>
      <c r="G4777" s="7">
        <v>5.274</v>
      </c>
      <c r="H4777" s="7">
        <v>5.5650000000000004</v>
      </c>
      <c r="I4777" s="7">
        <v>4.7690000000000001</v>
      </c>
      <c r="J4777" s="7">
        <v>4.2460000000000004</v>
      </c>
      <c r="K4777" s="7">
        <v>3.4809999999999999</v>
      </c>
      <c r="L4777" s="7">
        <v>3.2029999999999998</v>
      </c>
      <c r="M4777" s="7">
        <v>3.31</v>
      </c>
      <c r="N4777" s="7">
        <v>4.2770000000000001</v>
      </c>
      <c r="O4777" s="7">
        <v>4.3109999999999999</v>
      </c>
      <c r="P4777" s="7">
        <v>4.8099999999999996</v>
      </c>
      <c r="Q4777" s="7">
        <v>5.2539999999999996</v>
      </c>
      <c r="R4777" s="7">
        <v>5.7939999999999996</v>
      </c>
      <c r="S4777" s="7">
        <f t="shared" si="74"/>
        <v>4.5244999999999997</v>
      </c>
    </row>
    <row r="4778" spans="1:19">
      <c r="A4778" s="5" t="str">
        <f>B4778&amp;"-"&amp;COUNTIF($B$2:B4778,B4778)</f>
        <v>SÃO PAULO-67</v>
      </c>
      <c r="B4778" s="5" t="s">
        <v>3122</v>
      </c>
      <c r="C4778" s="5" t="s">
        <v>3168</v>
      </c>
      <c r="D4778" s="6">
        <v>-507361</v>
      </c>
      <c r="E4778" s="6">
        <v>-219214</v>
      </c>
      <c r="F4778" s="7">
        <v>5.0750000000000002</v>
      </c>
      <c r="G4778" s="7">
        <v>5.9109999999999996</v>
      </c>
      <c r="H4778" s="7">
        <v>5.8949999999999996</v>
      </c>
      <c r="I4778" s="7">
        <v>5.3780000000000001</v>
      </c>
      <c r="J4778" s="7">
        <v>4.74</v>
      </c>
      <c r="K4778" s="7">
        <v>3.9569999999999999</v>
      </c>
      <c r="L4778" s="7">
        <v>3.6379999999999999</v>
      </c>
      <c r="M4778" s="7">
        <v>3.8540000000000001</v>
      </c>
      <c r="N4778" s="7">
        <v>4.84</v>
      </c>
      <c r="O4778" s="7">
        <v>4.8380000000000001</v>
      </c>
      <c r="P4778" s="7">
        <v>5.5369999999999999</v>
      </c>
      <c r="Q4778" s="7">
        <v>5.9989999999999997</v>
      </c>
      <c r="R4778" s="7">
        <v>6.3120000000000003</v>
      </c>
      <c r="S4778" s="7">
        <f t="shared" si="74"/>
        <v>5.0749166666666659</v>
      </c>
    </row>
    <row r="4779" spans="1:19">
      <c r="A4779" s="5" t="str">
        <f>B4779&amp;"-"&amp;COUNTIF($B$2:B4779,B4779)</f>
        <v>SÃO PAULO-68</v>
      </c>
      <c r="B4779" s="5" t="s">
        <v>3122</v>
      </c>
      <c r="C4779" s="5" t="s">
        <v>3169</v>
      </c>
      <c r="D4779" s="6">
        <v>-475925</v>
      </c>
      <c r="E4779" s="6">
        <v>-208933</v>
      </c>
      <c r="F4779" s="7">
        <v>5.0730000000000004</v>
      </c>
      <c r="G4779" s="7">
        <v>5.6239999999999997</v>
      </c>
      <c r="H4779" s="7">
        <v>5.8220000000000001</v>
      </c>
      <c r="I4779" s="7">
        <v>5.0519999999999996</v>
      </c>
      <c r="J4779" s="7">
        <v>4.8120000000000003</v>
      </c>
      <c r="K4779" s="7">
        <v>4.1779999999999999</v>
      </c>
      <c r="L4779" s="7">
        <v>3.9649999999999999</v>
      </c>
      <c r="M4779" s="7">
        <v>4.1870000000000003</v>
      </c>
      <c r="N4779" s="7">
        <v>5.109</v>
      </c>
      <c r="O4779" s="7">
        <v>5.0880000000000001</v>
      </c>
      <c r="P4779" s="7">
        <v>5.5119999999999996</v>
      </c>
      <c r="Q4779" s="7">
        <v>5.6379999999999999</v>
      </c>
      <c r="R4779" s="7">
        <v>5.8920000000000003</v>
      </c>
      <c r="S4779" s="7">
        <f t="shared" si="74"/>
        <v>5.0732500000000007</v>
      </c>
    </row>
    <row r="4780" spans="1:19">
      <c r="A4780" s="5" t="str">
        <f>B4780&amp;"-"&amp;COUNTIF($B$2:B4780,B4780)</f>
        <v>SÃO PAULO-69</v>
      </c>
      <c r="B4780" s="5" t="s">
        <v>3122</v>
      </c>
      <c r="C4780" s="5" t="s">
        <v>3170</v>
      </c>
      <c r="D4780" s="6">
        <v>-490876</v>
      </c>
      <c r="E4780" s="6">
        <v>-22325</v>
      </c>
      <c r="F4780" s="7">
        <v>4.9950000000000001</v>
      </c>
      <c r="G4780" s="7">
        <v>5.657</v>
      </c>
      <c r="H4780" s="7">
        <v>5.8520000000000003</v>
      </c>
      <c r="I4780" s="7">
        <v>5.226</v>
      </c>
      <c r="J4780" s="7">
        <v>4.7210000000000001</v>
      </c>
      <c r="K4780" s="7">
        <v>3.8650000000000002</v>
      </c>
      <c r="L4780" s="7">
        <v>3.5609999999999999</v>
      </c>
      <c r="M4780" s="7">
        <v>3.7869999999999999</v>
      </c>
      <c r="N4780" s="7">
        <v>4.6909999999999998</v>
      </c>
      <c r="O4780" s="7">
        <v>4.8099999999999996</v>
      </c>
      <c r="P4780" s="7">
        <v>5.5730000000000004</v>
      </c>
      <c r="Q4780" s="7">
        <v>5.92</v>
      </c>
      <c r="R4780" s="7">
        <v>6.282</v>
      </c>
      <c r="S4780" s="7">
        <f t="shared" si="74"/>
        <v>4.9954166666666673</v>
      </c>
    </row>
    <row r="4781" spans="1:19">
      <c r="A4781" s="5" t="str">
        <f>B4781&amp;"-"&amp;COUNTIF($B$2:B4781,B4781)</f>
        <v>SÃO PAULO-70</v>
      </c>
      <c r="B4781" s="5" t="s">
        <v>3122</v>
      </c>
      <c r="C4781" s="5" t="s">
        <v>3171</v>
      </c>
      <c r="D4781" s="6">
        <v>-484795</v>
      </c>
      <c r="E4781" s="6">
        <v>-209495</v>
      </c>
      <c r="F4781" s="7">
        <v>5.1360000000000001</v>
      </c>
      <c r="G4781" s="7">
        <v>5.8220000000000001</v>
      </c>
      <c r="H4781" s="7">
        <v>6.0529999999999999</v>
      </c>
      <c r="I4781" s="7">
        <v>5.1980000000000004</v>
      </c>
      <c r="J4781" s="7">
        <v>4.806</v>
      </c>
      <c r="K4781" s="7">
        <v>4.1769999999999996</v>
      </c>
      <c r="L4781" s="7">
        <v>3.89</v>
      </c>
      <c r="M4781" s="7">
        <v>4.1580000000000004</v>
      </c>
      <c r="N4781" s="7">
        <v>4.9939999999999998</v>
      </c>
      <c r="O4781" s="7">
        <v>5.05</v>
      </c>
      <c r="P4781" s="7">
        <v>5.577</v>
      </c>
      <c r="Q4781" s="7">
        <v>5.8239999999999998</v>
      </c>
      <c r="R4781" s="7">
        <v>6.0869999999999997</v>
      </c>
      <c r="S4781" s="7">
        <f t="shared" si="74"/>
        <v>5.136333333333333</v>
      </c>
    </row>
    <row r="4782" spans="1:19">
      <c r="A4782" s="5" t="str">
        <f>B4782&amp;"-"&amp;COUNTIF($B$2:B4782,B4782)</f>
        <v>SÃO PAULO-71</v>
      </c>
      <c r="B4782" s="5" t="s">
        <v>3122</v>
      </c>
      <c r="C4782" s="5" t="s">
        <v>3172</v>
      </c>
      <c r="D4782" s="6">
        <v>-508119</v>
      </c>
      <c r="E4782" s="6">
        <v>-21271</v>
      </c>
      <c r="F4782" s="7">
        <v>5.1289999999999996</v>
      </c>
      <c r="G4782" s="7">
        <v>5.9169999999999998</v>
      </c>
      <c r="H4782" s="7">
        <v>5.9329999999999998</v>
      </c>
      <c r="I4782" s="7">
        <v>5.4219999999999997</v>
      </c>
      <c r="J4782" s="7">
        <v>4.8689999999999998</v>
      </c>
      <c r="K4782" s="7">
        <v>4.0140000000000002</v>
      </c>
      <c r="L4782" s="7">
        <v>3.7410000000000001</v>
      </c>
      <c r="M4782" s="7">
        <v>3.9369999999999998</v>
      </c>
      <c r="N4782" s="7">
        <v>4.859</v>
      </c>
      <c r="O4782" s="7">
        <v>4.915</v>
      </c>
      <c r="P4782" s="7">
        <v>5.6050000000000004</v>
      </c>
      <c r="Q4782" s="7">
        <v>6.0359999999999996</v>
      </c>
      <c r="R4782" s="7">
        <v>6.298</v>
      </c>
      <c r="S4782" s="7">
        <f t="shared" si="74"/>
        <v>5.1288333333333336</v>
      </c>
    </row>
    <row r="4783" spans="1:19">
      <c r="A4783" s="5" t="str">
        <f>B4783&amp;"-"&amp;COUNTIF($B$2:B4783,B4783)</f>
        <v>SÃO PAULO-72</v>
      </c>
      <c r="B4783" s="5" t="s">
        <v>3122</v>
      </c>
      <c r="C4783" s="5" t="s">
        <v>3173</v>
      </c>
      <c r="D4783" s="6">
        <v>-494739</v>
      </c>
      <c r="E4783" s="6">
        <v>-23013</v>
      </c>
      <c r="F4783" s="7">
        <v>4.9160000000000004</v>
      </c>
      <c r="G4783" s="7">
        <v>5.6349999999999998</v>
      </c>
      <c r="H4783" s="7">
        <v>5.7759999999999998</v>
      </c>
      <c r="I4783" s="7">
        <v>5.1630000000000003</v>
      </c>
      <c r="J4783" s="7">
        <v>4.6539999999999999</v>
      </c>
      <c r="K4783" s="7">
        <v>3.7410000000000001</v>
      </c>
      <c r="L4783" s="7">
        <v>3.427</v>
      </c>
      <c r="M4783" s="7">
        <v>3.6419999999999999</v>
      </c>
      <c r="N4783" s="7">
        <v>4.6369999999999996</v>
      </c>
      <c r="O4783" s="7">
        <v>4.7290000000000001</v>
      </c>
      <c r="P4783" s="7">
        <v>5.391</v>
      </c>
      <c r="Q4783" s="7">
        <v>5.8869999999999996</v>
      </c>
      <c r="R4783" s="7">
        <v>6.3079999999999998</v>
      </c>
      <c r="S4783" s="7">
        <f t="shared" si="74"/>
        <v>4.9158333333333326</v>
      </c>
    </row>
    <row r="4784" spans="1:19">
      <c r="A4784" s="5" t="str">
        <f>B4784&amp;"-"&amp;COUNTIF($B$2:B4784,B4784)</f>
        <v>SÃO PAULO-73</v>
      </c>
      <c r="B4784" s="5" t="s">
        <v>3122</v>
      </c>
      <c r="C4784" s="5" t="s">
        <v>3174</v>
      </c>
      <c r="D4784" s="5" t="s">
        <v>3175</v>
      </c>
      <c r="E4784" s="6">
        <v>-23849</v>
      </c>
      <c r="F4784" s="7">
        <v>3.97</v>
      </c>
      <c r="G4784" s="7">
        <v>4.8780000000000001</v>
      </c>
      <c r="H4784" s="7">
        <v>5.1340000000000003</v>
      </c>
      <c r="I4784" s="7">
        <v>4.2279999999999998</v>
      </c>
      <c r="J4784" s="7">
        <v>3.8029999999999999</v>
      </c>
      <c r="K4784" s="7">
        <v>3.18</v>
      </c>
      <c r="L4784" s="7">
        <v>2.8849999999999998</v>
      </c>
      <c r="M4784" s="7">
        <v>2.9670000000000001</v>
      </c>
      <c r="N4784" s="7">
        <v>3.68</v>
      </c>
      <c r="O4784" s="7">
        <v>3.5910000000000002</v>
      </c>
      <c r="P4784" s="7">
        <v>3.9460000000000002</v>
      </c>
      <c r="Q4784" s="7">
        <v>4.3529999999999998</v>
      </c>
      <c r="R4784" s="7">
        <v>4.9960000000000004</v>
      </c>
      <c r="S4784" s="7">
        <f t="shared" si="74"/>
        <v>3.9700833333333332</v>
      </c>
    </row>
    <row r="4785" spans="1:19">
      <c r="A4785" s="5" t="str">
        <f>B4785&amp;"-"&amp;COUNTIF($B$2:B4785,B4785)</f>
        <v>SÃO PAULO-74</v>
      </c>
      <c r="B4785" s="5" t="s">
        <v>3122</v>
      </c>
      <c r="C4785" s="5" t="s">
        <v>3176</v>
      </c>
      <c r="D4785" s="6">
        <v>-504751</v>
      </c>
      <c r="E4785" s="6">
        <v>-214044</v>
      </c>
      <c r="F4785" s="7">
        <v>5.1280000000000001</v>
      </c>
      <c r="G4785" s="7">
        <v>5.9779999999999998</v>
      </c>
      <c r="H4785" s="7">
        <v>5.9640000000000004</v>
      </c>
      <c r="I4785" s="7">
        <v>5.3789999999999996</v>
      </c>
      <c r="J4785" s="7">
        <v>4.8570000000000002</v>
      </c>
      <c r="K4785" s="7">
        <v>4.0060000000000002</v>
      </c>
      <c r="L4785" s="7">
        <v>3.7</v>
      </c>
      <c r="M4785" s="7">
        <v>3.9510000000000001</v>
      </c>
      <c r="N4785" s="7">
        <v>4.8620000000000001</v>
      </c>
      <c r="O4785" s="7">
        <v>4.8929999999999998</v>
      </c>
      <c r="P4785" s="7">
        <v>5.5960000000000001</v>
      </c>
      <c r="Q4785" s="7">
        <v>6.0510000000000002</v>
      </c>
      <c r="R4785" s="7">
        <v>6.3010000000000002</v>
      </c>
      <c r="S4785" s="7">
        <f t="shared" si="74"/>
        <v>5.1281666666666661</v>
      </c>
    </row>
    <row r="4786" spans="1:19">
      <c r="A4786" s="5" t="str">
        <f>B4786&amp;"-"&amp;COUNTIF($B$2:B4786,B4786)</f>
        <v>SÃO PAULO-75</v>
      </c>
      <c r="B4786" s="5" t="s">
        <v>3122</v>
      </c>
      <c r="C4786" s="5" t="s">
        <v>3177</v>
      </c>
      <c r="D4786" s="6">
        <v>-503436</v>
      </c>
      <c r="E4786" s="6">
        <v>-212915</v>
      </c>
      <c r="F4786" s="7">
        <v>5.1440000000000001</v>
      </c>
      <c r="G4786" s="7">
        <v>5.9589999999999996</v>
      </c>
      <c r="H4786" s="7">
        <v>5.9790000000000001</v>
      </c>
      <c r="I4786" s="7">
        <v>5.3620000000000001</v>
      </c>
      <c r="J4786" s="7">
        <v>4.8479999999999999</v>
      </c>
      <c r="K4786" s="7">
        <v>4.0369999999999999</v>
      </c>
      <c r="L4786" s="7">
        <v>3.7349999999999999</v>
      </c>
      <c r="M4786" s="7">
        <v>3.9710000000000001</v>
      </c>
      <c r="N4786" s="7">
        <v>4.8470000000000004</v>
      </c>
      <c r="O4786" s="7">
        <v>4.9329999999999998</v>
      </c>
      <c r="P4786" s="7">
        <v>5.6319999999999997</v>
      </c>
      <c r="Q4786" s="7">
        <v>6.0780000000000003</v>
      </c>
      <c r="R4786" s="7">
        <v>6.3490000000000002</v>
      </c>
      <c r="S4786" s="7">
        <f t="shared" si="74"/>
        <v>5.1441666666666661</v>
      </c>
    </row>
    <row r="4787" spans="1:19">
      <c r="A4787" s="5" t="str">
        <f>B4787&amp;"-"&amp;COUNTIF($B$2:B4787,B4787)</f>
        <v>SÃO PAULO-76</v>
      </c>
      <c r="B4787" s="5" t="s">
        <v>3122</v>
      </c>
      <c r="C4787" s="5" t="s">
        <v>3178</v>
      </c>
      <c r="D4787" s="6">
        <v>-460411</v>
      </c>
      <c r="E4787" s="6">
        <v>-235703</v>
      </c>
      <c r="F4787" s="7">
        <v>4.4219999999999997</v>
      </c>
      <c r="G4787" s="7">
        <v>5.3280000000000003</v>
      </c>
      <c r="H4787" s="7">
        <v>5.641</v>
      </c>
      <c r="I4787" s="7">
        <v>4.6849999999999996</v>
      </c>
      <c r="J4787" s="7">
        <v>4.1589999999999998</v>
      </c>
      <c r="K4787" s="7">
        <v>3.36</v>
      </c>
      <c r="L4787" s="7">
        <v>3.073</v>
      </c>
      <c r="M4787" s="7">
        <v>3.2160000000000002</v>
      </c>
      <c r="N4787" s="7">
        <v>4.0960000000000001</v>
      </c>
      <c r="O4787" s="7">
        <v>4.12</v>
      </c>
      <c r="P4787" s="7">
        <v>4.6790000000000003</v>
      </c>
      <c r="Q4787" s="7">
        <v>5.0540000000000003</v>
      </c>
      <c r="R4787" s="7">
        <v>5.6550000000000002</v>
      </c>
      <c r="S4787" s="7">
        <f t="shared" si="74"/>
        <v>4.4221666666666666</v>
      </c>
    </row>
    <row r="4788" spans="1:19">
      <c r="A4788" s="5" t="str">
        <f>B4788&amp;"-"&amp;COUNTIF($B$2:B4788,B4788)</f>
        <v>SÃO PAULO-77</v>
      </c>
      <c r="B4788" s="5" t="s">
        <v>3122</v>
      </c>
      <c r="C4788" s="5" t="s">
        <v>4782</v>
      </c>
      <c r="D4788" s="6">
        <v>-48391</v>
      </c>
      <c r="E4788" s="6">
        <v>-219923</v>
      </c>
      <c r="F4788" s="7">
        <v>5.0049999999999999</v>
      </c>
      <c r="G4788" s="7">
        <v>5.6619999999999999</v>
      </c>
      <c r="H4788" s="7">
        <v>5.8239999999999998</v>
      </c>
      <c r="I4788" s="7">
        <v>5.1390000000000002</v>
      </c>
      <c r="J4788" s="7">
        <v>4.7089999999999996</v>
      </c>
      <c r="K4788" s="7">
        <v>3.9390000000000001</v>
      </c>
      <c r="L4788" s="7">
        <v>3.6819999999999999</v>
      </c>
      <c r="M4788" s="7">
        <v>3.8919999999999999</v>
      </c>
      <c r="N4788" s="7">
        <v>4.8310000000000004</v>
      </c>
      <c r="O4788" s="7">
        <v>4.8959999999999999</v>
      </c>
      <c r="P4788" s="7">
        <v>5.5750000000000002</v>
      </c>
      <c r="Q4788" s="7">
        <v>5.7869999999999999</v>
      </c>
      <c r="R4788" s="7">
        <v>6.1180000000000003</v>
      </c>
      <c r="S4788" s="7">
        <f t="shared" si="74"/>
        <v>5.0045000000000011</v>
      </c>
    </row>
    <row r="4789" spans="1:19">
      <c r="A4789" s="5" t="str">
        <f>B4789&amp;"-"&amp;COUNTIF($B$2:B4789,B4789)</f>
        <v>SÃO PAULO-78</v>
      </c>
      <c r="B4789" s="5" t="s">
        <v>3122</v>
      </c>
      <c r="C4789" s="5" t="s">
        <v>2275</v>
      </c>
      <c r="D4789" s="6">
        <v>-485179</v>
      </c>
      <c r="E4789" s="6">
        <v>-22136</v>
      </c>
      <c r="F4789" s="7">
        <v>5.0019999999999998</v>
      </c>
      <c r="G4789" s="7">
        <v>5.6289999999999996</v>
      </c>
      <c r="H4789" s="7">
        <v>5.8869999999999996</v>
      </c>
      <c r="I4789" s="7">
        <v>5.1959999999999997</v>
      </c>
      <c r="J4789" s="7">
        <v>4.6820000000000004</v>
      </c>
      <c r="K4789" s="7">
        <v>3.891</v>
      </c>
      <c r="L4789" s="7">
        <v>3.673</v>
      </c>
      <c r="M4789" s="7">
        <v>3.847</v>
      </c>
      <c r="N4789" s="7">
        <v>4.7359999999999998</v>
      </c>
      <c r="O4789" s="7">
        <v>4.88</v>
      </c>
      <c r="P4789" s="7">
        <v>5.5860000000000003</v>
      </c>
      <c r="Q4789" s="7">
        <v>5.8479999999999999</v>
      </c>
      <c r="R4789" s="7">
        <v>6.1660000000000004</v>
      </c>
      <c r="S4789" s="7">
        <f t="shared" si="74"/>
        <v>5.0017500000000004</v>
      </c>
    </row>
    <row r="4790" spans="1:19">
      <c r="A4790" s="5" t="str">
        <f>B4790&amp;"-"&amp;COUNTIF($B$2:B4790,B4790)</f>
        <v>SÃO PAULO-79</v>
      </c>
      <c r="B4790" s="5" t="s">
        <v>3122</v>
      </c>
      <c r="C4790" s="5" t="s">
        <v>3179</v>
      </c>
      <c r="D4790" s="6">
        <v>-48258</v>
      </c>
      <c r="E4790" s="6">
        <v>-23102</v>
      </c>
      <c r="F4790" s="7">
        <v>4.8</v>
      </c>
      <c r="G4790" s="7">
        <v>5.4909999999999997</v>
      </c>
      <c r="H4790" s="7">
        <v>5.7060000000000004</v>
      </c>
      <c r="I4790" s="7">
        <v>5.0149999999999997</v>
      </c>
      <c r="J4790" s="7">
        <v>4.5659999999999998</v>
      </c>
      <c r="K4790" s="7">
        <v>3.661</v>
      </c>
      <c r="L4790" s="7">
        <v>3.4470000000000001</v>
      </c>
      <c r="M4790" s="7">
        <v>3.5539999999999998</v>
      </c>
      <c r="N4790" s="7">
        <v>4.53</v>
      </c>
      <c r="O4790" s="7">
        <v>4.68</v>
      </c>
      <c r="P4790" s="7">
        <v>5.2370000000000001</v>
      </c>
      <c r="Q4790" s="7">
        <v>5.6779999999999999</v>
      </c>
      <c r="R4790" s="7">
        <v>6.0330000000000004</v>
      </c>
      <c r="S4790" s="7">
        <f t="shared" si="74"/>
        <v>4.799833333333333</v>
      </c>
    </row>
    <row r="4791" spans="1:19">
      <c r="A4791" s="5" t="str">
        <f>B4791&amp;"-"&amp;COUNTIF($B$2:B4791,B4791)</f>
        <v>SÃO PAULO-80</v>
      </c>
      <c r="B4791" s="5" t="s">
        <v>3122</v>
      </c>
      <c r="C4791" s="5" t="s">
        <v>3180</v>
      </c>
      <c r="D4791" s="6">
        <v>-47679</v>
      </c>
      <c r="E4791" s="6">
        <v>-23286</v>
      </c>
      <c r="F4791" s="7">
        <v>4.8369999999999997</v>
      </c>
      <c r="G4791" s="7">
        <v>5.5890000000000004</v>
      </c>
      <c r="H4791" s="7">
        <v>5.8140000000000001</v>
      </c>
      <c r="I4791" s="7">
        <v>5.101</v>
      </c>
      <c r="J4791" s="7">
        <v>4.5339999999999998</v>
      </c>
      <c r="K4791" s="7">
        <v>3.6890000000000001</v>
      </c>
      <c r="L4791" s="7">
        <v>3.4220000000000002</v>
      </c>
      <c r="M4791" s="7">
        <v>3.5419999999999998</v>
      </c>
      <c r="N4791" s="7">
        <v>4.5259999999999998</v>
      </c>
      <c r="O4791" s="7">
        <v>4.7009999999999996</v>
      </c>
      <c r="P4791" s="7">
        <v>5.28</v>
      </c>
      <c r="Q4791" s="7">
        <v>5.7210000000000001</v>
      </c>
      <c r="R4791" s="7">
        <v>6.1239999999999997</v>
      </c>
      <c r="S4791" s="7">
        <f t="shared" si="74"/>
        <v>4.8369166666666663</v>
      </c>
    </row>
    <row r="4792" spans="1:19">
      <c r="A4792" s="5" t="str">
        <f>B4792&amp;"-"&amp;COUNTIF($B$2:B4792,B4792)</f>
        <v>SÃO PAULO-81</v>
      </c>
      <c r="B4792" s="5" t="s">
        <v>3122</v>
      </c>
      <c r="C4792" s="5" t="s">
        <v>5454</v>
      </c>
      <c r="D4792" s="6">
        <v>-464679</v>
      </c>
      <c r="E4792" s="6">
        <v>-231361</v>
      </c>
      <c r="F4792" s="7">
        <v>4.7510000000000003</v>
      </c>
      <c r="G4792" s="7">
        <v>5.3959999999999999</v>
      </c>
      <c r="H4792" s="7">
        <v>5.726</v>
      </c>
      <c r="I4792" s="7">
        <v>4.9379999999999997</v>
      </c>
      <c r="J4792" s="7">
        <v>4.4930000000000003</v>
      </c>
      <c r="K4792" s="7">
        <v>3.6749999999999998</v>
      </c>
      <c r="L4792" s="7">
        <v>3.4159999999999999</v>
      </c>
      <c r="M4792" s="7">
        <v>3.5289999999999999</v>
      </c>
      <c r="N4792" s="7">
        <v>4.5330000000000004</v>
      </c>
      <c r="O4792" s="7">
        <v>4.6040000000000001</v>
      </c>
      <c r="P4792" s="7">
        <v>5.2210000000000001</v>
      </c>
      <c r="Q4792" s="7">
        <v>5.4669999999999996</v>
      </c>
      <c r="R4792" s="7">
        <v>6.0190000000000001</v>
      </c>
      <c r="S4792" s="7">
        <f t="shared" si="74"/>
        <v>4.7514166666666657</v>
      </c>
    </row>
    <row r="4793" spans="1:19">
      <c r="A4793" s="5" t="str">
        <f>B4793&amp;"-"&amp;COUNTIF($B$2:B4793,B4793)</f>
        <v>SÃO PAULO-82</v>
      </c>
      <c r="B4793" s="5" t="s">
        <v>3122</v>
      </c>
      <c r="C4793" s="5" t="s">
        <v>4504</v>
      </c>
      <c r="D4793" s="6">
        <v>-491439</v>
      </c>
      <c r="E4793" s="6">
        <v>-24318</v>
      </c>
      <c r="F4793" s="7">
        <v>4.45</v>
      </c>
      <c r="G4793" s="7">
        <v>5.3090000000000002</v>
      </c>
      <c r="H4793" s="7">
        <v>5.3570000000000002</v>
      </c>
      <c r="I4793" s="7">
        <v>4.6920000000000002</v>
      </c>
      <c r="J4793" s="7">
        <v>4.1020000000000003</v>
      </c>
      <c r="K4793" s="7">
        <v>3.3159999999999998</v>
      </c>
      <c r="L4793" s="7">
        <v>3.0179999999999998</v>
      </c>
      <c r="M4793" s="7">
        <v>3.1970000000000001</v>
      </c>
      <c r="N4793" s="7">
        <v>4.2060000000000004</v>
      </c>
      <c r="O4793" s="7">
        <v>4.2830000000000004</v>
      </c>
      <c r="P4793" s="7">
        <v>4.7320000000000002</v>
      </c>
      <c r="Q4793" s="7">
        <v>5.3730000000000002</v>
      </c>
      <c r="R4793" s="7">
        <v>5.819</v>
      </c>
      <c r="S4793" s="7">
        <f t="shared" si="74"/>
        <v>4.4503333333333339</v>
      </c>
    </row>
    <row r="4794" spans="1:19">
      <c r="A4794" s="5" t="str">
        <f>B4794&amp;"-"&amp;COUNTIF($B$2:B4794,B4794)</f>
        <v>SÃO PAULO-83</v>
      </c>
      <c r="B4794" s="5" t="s">
        <v>3122</v>
      </c>
      <c r="C4794" s="5" t="s">
        <v>5759</v>
      </c>
      <c r="D4794" s="6">
        <v>-505446</v>
      </c>
      <c r="E4794" s="6">
        <v>-222695</v>
      </c>
      <c r="F4794" s="7">
        <v>5.0190000000000001</v>
      </c>
      <c r="G4794" s="7">
        <v>5.8230000000000004</v>
      </c>
      <c r="H4794" s="7">
        <v>5.84</v>
      </c>
      <c r="I4794" s="7">
        <v>5.3079999999999998</v>
      </c>
      <c r="J4794" s="7">
        <v>4.742</v>
      </c>
      <c r="K4794" s="7">
        <v>3.8719999999999999</v>
      </c>
      <c r="L4794" s="7">
        <v>3.5609999999999999</v>
      </c>
      <c r="M4794" s="7">
        <v>3.7909999999999999</v>
      </c>
      <c r="N4794" s="7">
        <v>4.7590000000000003</v>
      </c>
      <c r="O4794" s="7">
        <v>4.8140000000000001</v>
      </c>
      <c r="P4794" s="7">
        <v>5.468</v>
      </c>
      <c r="Q4794" s="7">
        <v>5.9649999999999999</v>
      </c>
      <c r="R4794" s="7">
        <v>6.2910000000000004</v>
      </c>
      <c r="S4794" s="7">
        <f t="shared" si="74"/>
        <v>5.0194999999999999</v>
      </c>
    </row>
    <row r="4795" spans="1:19">
      <c r="A4795" s="5" t="str">
        <f>B4795&amp;"-"&amp;COUNTIF($B$2:B4795,B4795)</f>
        <v>SÃO PAULO-84</v>
      </c>
      <c r="B4795" s="5" t="s">
        <v>3122</v>
      </c>
      <c r="C4795" s="5" t="s">
        <v>4505</v>
      </c>
      <c r="D4795" s="6">
        <v>-487812</v>
      </c>
      <c r="E4795" s="6">
        <v>-221931</v>
      </c>
      <c r="F4795" s="7">
        <v>5.0209999999999999</v>
      </c>
      <c r="G4795" s="7">
        <v>5.7720000000000002</v>
      </c>
      <c r="H4795" s="7">
        <v>5.9669999999999996</v>
      </c>
      <c r="I4795" s="7">
        <v>5.2779999999999996</v>
      </c>
      <c r="J4795" s="7">
        <v>4.7149999999999999</v>
      </c>
      <c r="K4795" s="7">
        <v>3.8769999999999998</v>
      </c>
      <c r="L4795" s="7">
        <v>3.597</v>
      </c>
      <c r="M4795" s="7">
        <v>3.7730000000000001</v>
      </c>
      <c r="N4795" s="7">
        <v>4.6349999999999998</v>
      </c>
      <c r="O4795" s="7">
        <v>4.8159999999999998</v>
      </c>
      <c r="P4795" s="7">
        <v>5.57</v>
      </c>
      <c r="Q4795" s="7">
        <v>5.9390000000000001</v>
      </c>
      <c r="R4795" s="7">
        <v>6.3140000000000001</v>
      </c>
      <c r="S4795" s="7">
        <f t="shared" si="74"/>
        <v>5.0210833333333333</v>
      </c>
    </row>
    <row r="4796" spans="1:19">
      <c r="A4796" s="5" t="str">
        <f>B4796&amp;"-"&amp;COUNTIF($B$2:B4796,B4796)</f>
        <v>SÃO PAULO-85</v>
      </c>
      <c r="B4796" s="5" t="s">
        <v>3122</v>
      </c>
      <c r="C4796" s="5" t="s">
        <v>1812</v>
      </c>
      <c r="D4796" s="6">
        <v>-490745</v>
      </c>
      <c r="E4796" s="6">
        <v>-216218</v>
      </c>
      <c r="F4796" s="7">
        <v>5.0810000000000004</v>
      </c>
      <c r="G4796" s="7">
        <v>5.84</v>
      </c>
      <c r="H4796" s="7">
        <v>5.96</v>
      </c>
      <c r="I4796" s="7">
        <v>5.2480000000000002</v>
      </c>
      <c r="J4796" s="7">
        <v>4.78</v>
      </c>
      <c r="K4796" s="7">
        <v>3.988</v>
      </c>
      <c r="L4796" s="7">
        <v>3.7469999999999999</v>
      </c>
      <c r="M4796" s="7">
        <v>3.9510000000000001</v>
      </c>
      <c r="N4796" s="7">
        <v>4.8280000000000003</v>
      </c>
      <c r="O4796" s="7">
        <v>4.9649999999999999</v>
      </c>
      <c r="P4796" s="7">
        <v>5.5810000000000004</v>
      </c>
      <c r="Q4796" s="7">
        <v>5.8819999999999997</v>
      </c>
      <c r="R4796" s="7">
        <v>6.1989999999999998</v>
      </c>
      <c r="S4796" s="7">
        <f t="shared" si="74"/>
        <v>5.0807500000000001</v>
      </c>
    </row>
    <row r="4797" spans="1:19">
      <c r="A4797" s="5" t="str">
        <f>B4797&amp;"-"&amp;COUNTIF($B$2:B4797,B4797)</f>
        <v>SÃO PAULO-86</v>
      </c>
      <c r="B4797" s="5" t="s">
        <v>3122</v>
      </c>
      <c r="C4797" s="5" t="s">
        <v>3181</v>
      </c>
      <c r="D4797" s="6">
        <v>-489709</v>
      </c>
      <c r="E4797" s="6">
        <v>-22569</v>
      </c>
      <c r="F4797" s="7">
        <v>4.931</v>
      </c>
      <c r="G4797" s="7">
        <v>5.5289999999999999</v>
      </c>
      <c r="H4797" s="7">
        <v>5.7530000000000001</v>
      </c>
      <c r="I4797" s="7">
        <v>5.1740000000000004</v>
      </c>
      <c r="J4797" s="7">
        <v>4.6820000000000004</v>
      </c>
      <c r="K4797" s="7">
        <v>3.8170000000000002</v>
      </c>
      <c r="L4797" s="7">
        <v>3.552</v>
      </c>
      <c r="M4797" s="7">
        <v>3.71</v>
      </c>
      <c r="N4797" s="7">
        <v>4.6790000000000003</v>
      </c>
      <c r="O4797" s="7">
        <v>4.7839999999999998</v>
      </c>
      <c r="P4797" s="7">
        <v>5.4409999999999998</v>
      </c>
      <c r="Q4797" s="7">
        <v>5.89</v>
      </c>
      <c r="R4797" s="7">
        <v>6.1660000000000004</v>
      </c>
      <c r="S4797" s="7">
        <f t="shared" si="74"/>
        <v>4.9314166666666672</v>
      </c>
    </row>
    <row r="4798" spans="1:19">
      <c r="A4798" s="5" t="str">
        <f>B4798&amp;"-"&amp;COUNTIF($B$2:B4798,B4798)</f>
        <v>SÃO PAULO-87</v>
      </c>
      <c r="B4798" s="5" t="s">
        <v>3122</v>
      </c>
      <c r="C4798" s="5" t="s">
        <v>3182</v>
      </c>
      <c r="D4798" s="6">
        <v>-484441</v>
      </c>
      <c r="E4798" s="6">
        <v>-228842</v>
      </c>
      <c r="F4798" s="7">
        <v>4.8929999999999998</v>
      </c>
      <c r="G4798" s="7">
        <v>5.4989999999999997</v>
      </c>
      <c r="H4798" s="7">
        <v>5.81</v>
      </c>
      <c r="I4798" s="7">
        <v>5.1260000000000003</v>
      </c>
      <c r="J4798" s="7">
        <v>4.625</v>
      </c>
      <c r="K4798" s="7">
        <v>3.7469999999999999</v>
      </c>
      <c r="L4798" s="7">
        <v>3.49</v>
      </c>
      <c r="M4798" s="7">
        <v>3.653</v>
      </c>
      <c r="N4798" s="7">
        <v>4.6379999999999999</v>
      </c>
      <c r="O4798" s="7">
        <v>4.8010000000000002</v>
      </c>
      <c r="P4798" s="7">
        <v>5.4169999999999998</v>
      </c>
      <c r="Q4798" s="7">
        <v>5.8120000000000003</v>
      </c>
      <c r="R4798" s="7">
        <v>6.1020000000000003</v>
      </c>
      <c r="S4798" s="7">
        <f t="shared" si="74"/>
        <v>4.8933333333333335</v>
      </c>
    </row>
    <row r="4799" spans="1:19">
      <c r="A4799" s="5" t="str">
        <f>B4799&amp;"-"&amp;COUNTIF($B$2:B4799,B4799)</f>
        <v>SÃO PAULO-88</v>
      </c>
      <c r="B4799" s="5" t="s">
        <v>3122</v>
      </c>
      <c r="C4799" s="5" t="s">
        <v>4883</v>
      </c>
      <c r="D4799" s="6">
        <v>-503179</v>
      </c>
      <c r="E4799" s="6">
        <v>-214995</v>
      </c>
      <c r="F4799" s="7">
        <v>5.1180000000000003</v>
      </c>
      <c r="G4799" s="7">
        <v>5.952</v>
      </c>
      <c r="H4799" s="7">
        <v>5.9740000000000002</v>
      </c>
      <c r="I4799" s="7">
        <v>5.3419999999999996</v>
      </c>
      <c r="J4799" s="7">
        <v>4.8479999999999999</v>
      </c>
      <c r="K4799" s="7">
        <v>3.988</v>
      </c>
      <c r="L4799" s="7">
        <v>3.6920000000000002</v>
      </c>
      <c r="M4799" s="7">
        <v>3.9340000000000002</v>
      </c>
      <c r="N4799" s="7">
        <v>4.8390000000000004</v>
      </c>
      <c r="O4799" s="7">
        <v>4.9009999999999998</v>
      </c>
      <c r="P4799" s="7">
        <v>5.5839999999999996</v>
      </c>
      <c r="Q4799" s="7">
        <v>6.0490000000000004</v>
      </c>
      <c r="R4799" s="7">
        <v>6.3079999999999998</v>
      </c>
      <c r="S4799" s="7">
        <f t="shared" si="74"/>
        <v>5.1175833333333332</v>
      </c>
    </row>
    <row r="4800" spans="1:19">
      <c r="A4800" s="5" t="str">
        <f>B4800&amp;"-"&amp;COUNTIF($B$2:B4800,B4800)</f>
        <v>SÃO PAULO-89</v>
      </c>
      <c r="B4800" s="5" t="s">
        <v>3122</v>
      </c>
      <c r="C4800" s="5" t="s">
        <v>4783</v>
      </c>
      <c r="D4800" s="6">
        <v>-465423</v>
      </c>
      <c r="E4800" s="6">
        <v>-229532</v>
      </c>
      <c r="F4800" s="7">
        <v>4.8070000000000004</v>
      </c>
      <c r="G4800" s="7">
        <v>5.4089999999999998</v>
      </c>
      <c r="H4800" s="7">
        <v>5.7069999999999999</v>
      </c>
      <c r="I4800" s="7">
        <v>4.9720000000000004</v>
      </c>
      <c r="J4800" s="7">
        <v>4.53</v>
      </c>
      <c r="K4800" s="7">
        <v>3.7210000000000001</v>
      </c>
      <c r="L4800" s="7">
        <v>3.4540000000000002</v>
      </c>
      <c r="M4800" s="7">
        <v>3.621</v>
      </c>
      <c r="N4800" s="7">
        <v>4.6159999999999997</v>
      </c>
      <c r="O4800" s="7">
        <v>4.7359999999999998</v>
      </c>
      <c r="P4800" s="7">
        <v>5.3029999999999999</v>
      </c>
      <c r="Q4800" s="7">
        <v>5.5759999999999996</v>
      </c>
      <c r="R4800" s="7">
        <v>6.0339999999999998</v>
      </c>
      <c r="S4800" s="7">
        <f t="shared" si="74"/>
        <v>4.8065833333333332</v>
      </c>
    </row>
    <row r="4801" spans="1:19">
      <c r="A4801" s="5" t="str">
        <f>B4801&amp;"-"&amp;COUNTIF($B$2:B4801,B4801)</f>
        <v>SÃO PAULO-90</v>
      </c>
      <c r="B4801" s="5" t="s">
        <v>3122</v>
      </c>
      <c r="C4801" s="5" t="s">
        <v>3183</v>
      </c>
      <c r="D4801" s="6">
        <v>-501849</v>
      </c>
      <c r="E4801" s="6">
        <v>-21166</v>
      </c>
      <c r="F4801" s="7">
        <v>5.117</v>
      </c>
      <c r="G4801" s="7">
        <v>5.9029999999999996</v>
      </c>
      <c r="H4801" s="7">
        <v>5.9820000000000002</v>
      </c>
      <c r="I4801" s="7">
        <v>5.3659999999999997</v>
      </c>
      <c r="J4801" s="7">
        <v>4.835</v>
      </c>
      <c r="K4801" s="7">
        <v>3.9820000000000002</v>
      </c>
      <c r="L4801" s="7">
        <v>3.6949999999999998</v>
      </c>
      <c r="M4801" s="7">
        <v>3.9350000000000001</v>
      </c>
      <c r="N4801" s="7">
        <v>4.798</v>
      </c>
      <c r="O4801" s="7">
        <v>4.8760000000000003</v>
      </c>
      <c r="P4801" s="7">
        <v>5.62</v>
      </c>
      <c r="Q4801" s="7">
        <v>6.0540000000000003</v>
      </c>
      <c r="R4801" s="7">
        <v>6.359</v>
      </c>
      <c r="S4801" s="7">
        <f t="shared" si="74"/>
        <v>5.1170833333333334</v>
      </c>
    </row>
    <row r="4802" spans="1:19">
      <c r="A4802" s="5" t="str">
        <f>B4802&amp;"-"&amp;COUNTIF($B$2:B4802,B4802)</f>
        <v>SÃO PAULO-91</v>
      </c>
      <c r="B4802" s="5" t="s">
        <v>3122</v>
      </c>
      <c r="C4802" s="5" t="s">
        <v>3184</v>
      </c>
      <c r="D4802" s="6">
        <v>-476576</v>
      </c>
      <c r="E4802" s="6">
        <v>-20985</v>
      </c>
      <c r="F4802" s="7">
        <v>5.05</v>
      </c>
      <c r="G4802" s="7">
        <v>5.625</v>
      </c>
      <c r="H4802" s="7">
        <v>5.7960000000000003</v>
      </c>
      <c r="I4802" s="7">
        <v>5.0750000000000002</v>
      </c>
      <c r="J4802" s="7">
        <v>4.8079999999999998</v>
      </c>
      <c r="K4802" s="7">
        <v>4.133</v>
      </c>
      <c r="L4802" s="7">
        <v>3.931</v>
      </c>
      <c r="M4802" s="7">
        <v>4.1459999999999999</v>
      </c>
      <c r="N4802" s="7">
        <v>5.016</v>
      </c>
      <c r="O4802" s="7">
        <v>5.0259999999999998</v>
      </c>
      <c r="P4802" s="7">
        <v>5.4820000000000002</v>
      </c>
      <c r="Q4802" s="7">
        <v>5.6440000000000001</v>
      </c>
      <c r="R4802" s="7">
        <v>5.9130000000000003</v>
      </c>
      <c r="S4802" s="7">
        <f t="shared" si="74"/>
        <v>5.0495833333333335</v>
      </c>
    </row>
    <row r="4803" spans="1:19">
      <c r="A4803" s="5" t="str">
        <f>B4803&amp;"-"&amp;COUNTIF($B$2:B4803,B4803)</f>
        <v>SÃO PAULO-92</v>
      </c>
      <c r="B4803" s="5" t="s">
        <v>3122</v>
      </c>
      <c r="C4803" s="5" t="s">
        <v>3185</v>
      </c>
      <c r="D4803" s="6">
        <v>-481255</v>
      </c>
      <c r="E4803" s="6">
        <v>-222799</v>
      </c>
      <c r="F4803" s="7">
        <v>4.9550000000000001</v>
      </c>
      <c r="G4803" s="7">
        <v>5.5730000000000004</v>
      </c>
      <c r="H4803" s="7">
        <v>5.8170000000000002</v>
      </c>
      <c r="I4803" s="7">
        <v>5.1470000000000002</v>
      </c>
      <c r="J4803" s="7">
        <v>4.6820000000000004</v>
      </c>
      <c r="K4803" s="7">
        <v>3.8809999999999998</v>
      </c>
      <c r="L4803" s="7">
        <v>3.6110000000000002</v>
      </c>
      <c r="M4803" s="7">
        <v>3.8039999999999998</v>
      </c>
      <c r="N4803" s="7">
        <v>4.7640000000000002</v>
      </c>
      <c r="O4803" s="7">
        <v>4.8719999999999999</v>
      </c>
      <c r="P4803" s="7">
        <v>5.5030000000000001</v>
      </c>
      <c r="Q4803" s="7">
        <v>5.7619999999999996</v>
      </c>
      <c r="R4803" s="7">
        <v>6.0410000000000004</v>
      </c>
      <c r="S4803" s="7">
        <f t="shared" ref="S4803:S4866" si="75">(G4803+H4803+I4803+J4803+K4803+L4803+M4803+N4803+O4803+P4803+Q4803+R4803)/12</f>
        <v>4.9547500000000007</v>
      </c>
    </row>
    <row r="4804" spans="1:19">
      <c r="A4804" s="5" t="str">
        <f>B4804&amp;"-"&amp;COUNTIF($B$2:B4804,B4804)</f>
        <v>SÃO PAULO-93</v>
      </c>
      <c r="B4804" s="5" t="s">
        <v>3122</v>
      </c>
      <c r="C4804" s="5" t="s">
        <v>3186</v>
      </c>
      <c r="D4804" s="6">
        <v>-485962</v>
      </c>
      <c r="E4804" s="6">
        <v>-237982</v>
      </c>
      <c r="F4804" s="7">
        <v>4.5919999999999996</v>
      </c>
      <c r="G4804" s="7">
        <v>5.508</v>
      </c>
      <c r="H4804" s="7">
        <v>5.5789999999999997</v>
      </c>
      <c r="I4804" s="7">
        <v>4.8789999999999996</v>
      </c>
      <c r="J4804" s="7">
        <v>4.2960000000000003</v>
      </c>
      <c r="K4804" s="7">
        <v>3.4049999999999998</v>
      </c>
      <c r="L4804" s="7">
        <v>3.1160000000000001</v>
      </c>
      <c r="M4804" s="7">
        <v>3.298</v>
      </c>
      <c r="N4804" s="7">
        <v>4.2270000000000003</v>
      </c>
      <c r="O4804" s="7">
        <v>4.3760000000000003</v>
      </c>
      <c r="P4804" s="7">
        <v>4.907</v>
      </c>
      <c r="Q4804" s="7">
        <v>5.51</v>
      </c>
      <c r="R4804" s="7">
        <v>5.9980000000000002</v>
      </c>
      <c r="S4804" s="7">
        <f t="shared" si="75"/>
        <v>4.5915833333333333</v>
      </c>
    </row>
    <row r="4805" spans="1:19">
      <c r="A4805" s="5" t="str">
        <f>B4805&amp;"-"&amp;COUNTIF($B$2:B4805,B4805)</f>
        <v>SÃO PAULO-94</v>
      </c>
      <c r="B4805" s="5" t="s">
        <v>3122</v>
      </c>
      <c r="C4805" s="5" t="s">
        <v>3187</v>
      </c>
      <c r="D4805" s="6">
        <v>-501479</v>
      </c>
      <c r="E4805" s="6">
        <v>-210665</v>
      </c>
      <c r="F4805" s="7">
        <v>5.109</v>
      </c>
      <c r="G4805" s="7">
        <v>5.798</v>
      </c>
      <c r="H4805" s="7">
        <v>5.8959999999999999</v>
      </c>
      <c r="I4805" s="7">
        <v>5.3289999999999997</v>
      </c>
      <c r="J4805" s="7">
        <v>4.8869999999999996</v>
      </c>
      <c r="K4805" s="7">
        <v>4.0119999999999996</v>
      </c>
      <c r="L4805" s="7">
        <v>3.7120000000000002</v>
      </c>
      <c r="M4805" s="7">
        <v>3.9609999999999999</v>
      </c>
      <c r="N4805" s="7">
        <v>4.8380000000000001</v>
      </c>
      <c r="O4805" s="7">
        <v>4.92</v>
      </c>
      <c r="P4805" s="7">
        <v>5.609</v>
      </c>
      <c r="Q4805" s="7">
        <v>6.0229999999999997</v>
      </c>
      <c r="R4805" s="7">
        <v>6.32</v>
      </c>
      <c r="S4805" s="7">
        <f t="shared" si="75"/>
        <v>5.1087499999999997</v>
      </c>
    </row>
    <row r="4806" spans="1:19">
      <c r="A4806" s="5" t="str">
        <f>B4806&amp;"-"&amp;COUNTIF($B$2:B4806,B4806)</f>
        <v>SÃO PAULO-95</v>
      </c>
      <c r="B4806" s="5" t="s">
        <v>3122</v>
      </c>
      <c r="C4806" s="5" t="s">
        <v>3188</v>
      </c>
      <c r="D4806" s="5" t="s">
        <v>3189</v>
      </c>
      <c r="E4806" s="6">
        <v>-201916</v>
      </c>
      <c r="F4806" s="7">
        <v>5.1950000000000003</v>
      </c>
      <c r="G4806" s="7">
        <v>5.6630000000000003</v>
      </c>
      <c r="H4806" s="7">
        <v>5.9880000000000004</v>
      </c>
      <c r="I4806" s="7">
        <v>5.1950000000000003</v>
      </c>
      <c r="J4806" s="7">
        <v>5.0129999999999999</v>
      </c>
      <c r="K4806" s="7">
        <v>4.3090000000000002</v>
      </c>
      <c r="L4806" s="7">
        <v>4.0979999999999999</v>
      </c>
      <c r="M4806" s="7">
        <v>4.3380000000000001</v>
      </c>
      <c r="N4806" s="7">
        <v>5.2409999999999997</v>
      </c>
      <c r="O4806" s="7">
        <v>5.1669999999999998</v>
      </c>
      <c r="P4806" s="7">
        <v>5.5839999999999996</v>
      </c>
      <c r="Q4806" s="7">
        <v>5.7229999999999999</v>
      </c>
      <c r="R4806" s="7">
        <v>6.0190000000000001</v>
      </c>
      <c r="S4806" s="7">
        <f t="shared" si="75"/>
        <v>5.1948333333333334</v>
      </c>
    </row>
    <row r="4807" spans="1:19">
      <c r="A4807" s="5" t="str">
        <f>B4807&amp;"-"&amp;COUNTIF($B$2:B4807,B4807)</f>
        <v>SÃO PAULO-96</v>
      </c>
      <c r="B4807" s="5" t="s">
        <v>3122</v>
      </c>
      <c r="C4807" s="5" t="s">
        <v>5760</v>
      </c>
      <c r="D4807" s="6">
        <v>-471647</v>
      </c>
      <c r="E4807" s="6">
        <v>-212806</v>
      </c>
      <c r="F4807" s="7">
        <v>4.9539999999999997</v>
      </c>
      <c r="G4807" s="7">
        <v>5.4450000000000003</v>
      </c>
      <c r="H4807" s="7">
        <v>5.6449999999999996</v>
      </c>
      <c r="I4807" s="7">
        <v>4.8879999999999999</v>
      </c>
      <c r="J4807" s="7">
        <v>4.7149999999999999</v>
      </c>
      <c r="K4807" s="7">
        <v>4.0919999999999996</v>
      </c>
      <c r="L4807" s="7">
        <v>3.887</v>
      </c>
      <c r="M4807" s="7">
        <v>4.0949999999999998</v>
      </c>
      <c r="N4807" s="7">
        <v>5.0049999999999999</v>
      </c>
      <c r="O4807" s="7">
        <v>5.0010000000000003</v>
      </c>
      <c r="P4807" s="7">
        <v>5.4569999999999999</v>
      </c>
      <c r="Q4807" s="7">
        <v>5.4969999999999999</v>
      </c>
      <c r="R4807" s="7">
        <v>5.7169999999999996</v>
      </c>
      <c r="S4807" s="7">
        <f t="shared" si="75"/>
        <v>4.953666666666666</v>
      </c>
    </row>
    <row r="4808" spans="1:19">
      <c r="A4808" s="5" t="str">
        <f>B4808&amp;"-"&amp;COUNTIF($B$2:B4808,B4808)</f>
        <v>SÃO PAULO-97</v>
      </c>
      <c r="B4808" s="5" t="s">
        <v>3122</v>
      </c>
      <c r="C4808" s="5" t="s">
        <v>5024</v>
      </c>
      <c r="D4808" s="6">
        <v>-503877</v>
      </c>
      <c r="E4808" s="6">
        <v>-227476</v>
      </c>
      <c r="F4808" s="7">
        <v>4.9429999999999996</v>
      </c>
      <c r="G4808" s="7">
        <v>5.7039999999999997</v>
      </c>
      <c r="H4808" s="7">
        <v>5.8019999999999996</v>
      </c>
      <c r="I4808" s="7">
        <v>5.2089999999999996</v>
      </c>
      <c r="J4808" s="7">
        <v>4.6539999999999999</v>
      </c>
      <c r="K4808" s="7">
        <v>3.7629999999999999</v>
      </c>
      <c r="L4808" s="7">
        <v>3.476</v>
      </c>
      <c r="M4808" s="7">
        <v>3.6949999999999998</v>
      </c>
      <c r="N4808" s="7">
        <v>4.6230000000000002</v>
      </c>
      <c r="O4808" s="7">
        <v>4.7510000000000003</v>
      </c>
      <c r="P4808" s="7">
        <v>5.4080000000000004</v>
      </c>
      <c r="Q4808" s="7">
        <v>5.9509999999999996</v>
      </c>
      <c r="R4808" s="7">
        <v>6.2750000000000004</v>
      </c>
      <c r="S4808" s="7">
        <f t="shared" si="75"/>
        <v>4.9425833333333324</v>
      </c>
    </row>
    <row r="4809" spans="1:19">
      <c r="A4809" s="5" t="str">
        <f>B4809&amp;"-"&amp;COUNTIF($B$2:B4809,B4809)</f>
        <v>SÃO PAULO-98</v>
      </c>
      <c r="B4809" s="5" t="s">
        <v>3122</v>
      </c>
      <c r="C4809" s="5" t="s">
        <v>5025</v>
      </c>
      <c r="D4809" s="6">
        <v>-48631</v>
      </c>
      <c r="E4809" s="6">
        <v>-21325</v>
      </c>
      <c r="F4809" s="7">
        <v>5.1210000000000004</v>
      </c>
      <c r="G4809" s="7">
        <v>5.7380000000000004</v>
      </c>
      <c r="H4809" s="7">
        <v>5.95</v>
      </c>
      <c r="I4809" s="7">
        <v>5.2329999999999997</v>
      </c>
      <c r="J4809" s="7">
        <v>4.8310000000000004</v>
      </c>
      <c r="K4809" s="7">
        <v>4.1109999999999998</v>
      </c>
      <c r="L4809" s="7">
        <v>3.85</v>
      </c>
      <c r="M4809" s="7">
        <v>4.069</v>
      </c>
      <c r="N4809" s="7">
        <v>4.9580000000000002</v>
      </c>
      <c r="O4809" s="7">
        <v>5.0540000000000003</v>
      </c>
      <c r="P4809" s="7">
        <v>5.62</v>
      </c>
      <c r="Q4809" s="7">
        <v>5.8959999999999999</v>
      </c>
      <c r="R4809" s="7">
        <v>6.149</v>
      </c>
      <c r="S4809" s="7">
        <f t="shared" si="75"/>
        <v>5.1215833333333336</v>
      </c>
    </row>
    <row r="4810" spans="1:19">
      <c r="A4810" s="5" t="str">
        <f>B4810&amp;"-"&amp;COUNTIF($B$2:B4810,B4810)</f>
        <v>SÃO PAULO-99</v>
      </c>
      <c r="B4810" s="5" t="s">
        <v>3122</v>
      </c>
      <c r="C4810" s="5" t="s">
        <v>4784</v>
      </c>
      <c r="D4810" s="6">
        <v>-45708</v>
      </c>
      <c r="E4810" s="6">
        <v>-230997</v>
      </c>
      <c r="F4810" s="7">
        <v>4.6150000000000002</v>
      </c>
      <c r="G4810" s="7">
        <v>5.3710000000000004</v>
      </c>
      <c r="H4810" s="7">
        <v>5.6360000000000001</v>
      </c>
      <c r="I4810" s="7">
        <v>4.8979999999999997</v>
      </c>
      <c r="J4810" s="7">
        <v>4.3959999999999999</v>
      </c>
      <c r="K4810" s="7">
        <v>3.544</v>
      </c>
      <c r="L4810" s="7">
        <v>3.3149999999999999</v>
      </c>
      <c r="M4810" s="7">
        <v>3.4279999999999999</v>
      </c>
      <c r="N4810" s="7">
        <v>4.3769999999999998</v>
      </c>
      <c r="O4810" s="7">
        <v>4.4630000000000001</v>
      </c>
      <c r="P4810" s="7">
        <v>4.9989999999999997</v>
      </c>
      <c r="Q4810" s="7">
        <v>5.2160000000000002</v>
      </c>
      <c r="R4810" s="7">
        <v>5.7380000000000004</v>
      </c>
      <c r="S4810" s="7">
        <f t="shared" si="75"/>
        <v>4.6150833333333336</v>
      </c>
    </row>
    <row r="4811" spans="1:19">
      <c r="A4811" s="5" t="str">
        <f>B4811&amp;"-"&amp;COUNTIF($B$2:B4811,B4811)</f>
        <v>SÃO PAULO-100</v>
      </c>
      <c r="B4811" s="5" t="s">
        <v>3122</v>
      </c>
      <c r="C4811" s="5" t="s">
        <v>5761</v>
      </c>
      <c r="D4811" s="6">
        <v>-493398</v>
      </c>
      <c r="E4811" s="6">
        <v>-22458</v>
      </c>
      <c r="F4811" s="7">
        <v>4.9489999999999998</v>
      </c>
      <c r="G4811" s="7">
        <v>5.6529999999999996</v>
      </c>
      <c r="H4811" s="7">
        <v>5.82</v>
      </c>
      <c r="I4811" s="7">
        <v>5.1909999999999998</v>
      </c>
      <c r="J4811" s="7">
        <v>4.6950000000000003</v>
      </c>
      <c r="K4811" s="7">
        <v>3.7970000000000002</v>
      </c>
      <c r="L4811" s="7">
        <v>3.524</v>
      </c>
      <c r="M4811" s="7">
        <v>3.7440000000000002</v>
      </c>
      <c r="N4811" s="7">
        <v>4.6909999999999998</v>
      </c>
      <c r="O4811" s="7">
        <v>4.7709999999999999</v>
      </c>
      <c r="P4811" s="7">
        <v>5.5010000000000003</v>
      </c>
      <c r="Q4811" s="7">
        <v>5.8460000000000001</v>
      </c>
      <c r="R4811" s="7">
        <v>6.15</v>
      </c>
      <c r="S4811" s="7">
        <f t="shared" si="75"/>
        <v>4.9485833333333336</v>
      </c>
    </row>
    <row r="4812" spans="1:19">
      <c r="A4812" s="5" t="str">
        <f>B4812&amp;"-"&amp;COUNTIF($B$2:B4812,B4812)</f>
        <v>SÃO PAULO-101</v>
      </c>
      <c r="B4812" s="5" t="s">
        <v>3122</v>
      </c>
      <c r="C4812" s="5" t="s">
        <v>4884</v>
      </c>
      <c r="D4812" s="6">
        <v>-471367</v>
      </c>
      <c r="E4812" s="6">
        <v>-233058</v>
      </c>
      <c r="F4812" s="7">
        <v>4.8209999999999997</v>
      </c>
      <c r="G4812" s="7">
        <v>5.5069999999999997</v>
      </c>
      <c r="H4812" s="7">
        <v>5.7510000000000003</v>
      </c>
      <c r="I4812" s="7">
        <v>5.0570000000000004</v>
      </c>
      <c r="J4812" s="7">
        <v>4.5549999999999997</v>
      </c>
      <c r="K4812" s="7">
        <v>3.7090000000000001</v>
      </c>
      <c r="L4812" s="7">
        <v>3.399</v>
      </c>
      <c r="M4812" s="7">
        <v>3.5449999999999999</v>
      </c>
      <c r="N4812" s="7">
        <v>4.54</v>
      </c>
      <c r="O4812" s="7">
        <v>4.6970000000000001</v>
      </c>
      <c r="P4812" s="7">
        <v>5.2990000000000004</v>
      </c>
      <c r="Q4812" s="7">
        <v>5.6820000000000004</v>
      </c>
      <c r="R4812" s="7">
        <v>6.1130000000000004</v>
      </c>
      <c r="S4812" s="7">
        <f t="shared" si="75"/>
        <v>4.8211666666666666</v>
      </c>
    </row>
    <row r="4813" spans="1:19">
      <c r="A4813" s="5" t="str">
        <f>B4813&amp;"-"&amp;COUNTIF($B$2:B4813,B4813)</f>
        <v>SÃO PAULO-102</v>
      </c>
      <c r="B4813" s="5" t="s">
        <v>3122</v>
      </c>
      <c r="C4813" s="5" t="s">
        <v>3190</v>
      </c>
      <c r="D4813" s="6">
        <v>-450158</v>
      </c>
      <c r="E4813" s="6">
        <v>-22667</v>
      </c>
      <c r="F4813" s="7">
        <v>4.6980000000000004</v>
      </c>
      <c r="G4813" s="7">
        <v>5.4790000000000001</v>
      </c>
      <c r="H4813" s="7">
        <v>5.726</v>
      </c>
      <c r="I4813" s="7">
        <v>4.8570000000000002</v>
      </c>
      <c r="J4813" s="7">
        <v>4.4249999999999998</v>
      </c>
      <c r="K4813" s="7">
        <v>3.669</v>
      </c>
      <c r="L4813" s="7">
        <v>3.4569999999999999</v>
      </c>
      <c r="M4813" s="7">
        <v>3.5680000000000001</v>
      </c>
      <c r="N4813" s="7">
        <v>4.5369999999999999</v>
      </c>
      <c r="O4813" s="7">
        <v>4.649</v>
      </c>
      <c r="P4813" s="7">
        <v>5.1130000000000004</v>
      </c>
      <c r="Q4813" s="7">
        <v>5.1390000000000002</v>
      </c>
      <c r="R4813" s="7">
        <v>5.7489999999999997</v>
      </c>
      <c r="S4813" s="7">
        <f t="shared" si="75"/>
        <v>4.6973333333333338</v>
      </c>
    </row>
    <row r="4814" spans="1:19">
      <c r="A4814" s="5" t="str">
        <f>B4814&amp;"-"&amp;COUNTIF($B$2:B4814,B4814)</f>
        <v>SÃO PAULO-103</v>
      </c>
      <c r="B4814" s="5" t="s">
        <v>3122</v>
      </c>
      <c r="C4814" s="5" t="s">
        <v>3191</v>
      </c>
      <c r="D4814" s="6">
        <v>-466441</v>
      </c>
      <c r="E4814" s="6">
        <v>-215285</v>
      </c>
      <c r="F4814" s="7">
        <v>4.93</v>
      </c>
      <c r="G4814" s="7">
        <v>5.5090000000000003</v>
      </c>
      <c r="H4814" s="7">
        <v>5.66</v>
      </c>
      <c r="I4814" s="7">
        <v>4.8869999999999996</v>
      </c>
      <c r="J4814" s="7">
        <v>4.7389999999999999</v>
      </c>
      <c r="K4814" s="7">
        <v>4.0259999999999998</v>
      </c>
      <c r="L4814" s="7">
        <v>3.754</v>
      </c>
      <c r="M4814" s="7">
        <v>4.05</v>
      </c>
      <c r="N4814" s="7">
        <v>4.9020000000000001</v>
      </c>
      <c r="O4814" s="7">
        <v>5.0449999999999999</v>
      </c>
      <c r="P4814" s="7">
        <v>5.444</v>
      </c>
      <c r="Q4814" s="7">
        <v>5.4909999999999997</v>
      </c>
      <c r="R4814" s="7">
        <v>5.649</v>
      </c>
      <c r="S4814" s="7">
        <f t="shared" si="75"/>
        <v>4.9296666666666669</v>
      </c>
    </row>
    <row r="4815" spans="1:19">
      <c r="A4815" s="5" t="str">
        <f>B4815&amp;"-"&amp;COUNTIF($B$2:B4815,B4815)</f>
        <v>SÃO PAULO-104</v>
      </c>
      <c r="B4815" s="5" t="s">
        <v>3122</v>
      </c>
      <c r="C4815" s="5" t="s">
        <v>4991</v>
      </c>
      <c r="D4815" s="6">
        <v>-496096</v>
      </c>
      <c r="E4815" s="6">
        <v>-218036</v>
      </c>
      <c r="F4815" s="7">
        <v>5.0570000000000004</v>
      </c>
      <c r="G4815" s="7">
        <v>5.7830000000000004</v>
      </c>
      <c r="H4815" s="7">
        <v>5.9180000000000001</v>
      </c>
      <c r="I4815" s="7">
        <v>5.2930000000000001</v>
      </c>
      <c r="J4815" s="7">
        <v>4.798</v>
      </c>
      <c r="K4815" s="7">
        <v>3.9159999999999999</v>
      </c>
      <c r="L4815" s="7">
        <v>3.649</v>
      </c>
      <c r="M4815" s="7">
        <v>3.8719999999999999</v>
      </c>
      <c r="N4815" s="7">
        <v>4.7930000000000001</v>
      </c>
      <c r="O4815" s="7">
        <v>4.931</v>
      </c>
      <c r="P4815" s="7">
        <v>5.6029999999999998</v>
      </c>
      <c r="Q4815" s="7">
        <v>5.9320000000000004</v>
      </c>
      <c r="R4815" s="7">
        <v>6.2</v>
      </c>
      <c r="S4815" s="7">
        <f t="shared" si="75"/>
        <v>5.0573333333333332</v>
      </c>
    </row>
    <row r="4816" spans="1:19">
      <c r="A4816" s="5" t="str">
        <f>B4816&amp;"-"&amp;COUNTIF($B$2:B4816,B4816)</f>
        <v>SÃO PAULO-105</v>
      </c>
      <c r="B4816" s="5" t="s">
        <v>3122</v>
      </c>
      <c r="C4816" s="5" t="s">
        <v>3192</v>
      </c>
      <c r="D4816" s="6">
        <v>-51236</v>
      </c>
      <c r="E4816" s="6">
        <v>-22012</v>
      </c>
      <c r="F4816" s="7">
        <v>5.1319999999999997</v>
      </c>
      <c r="G4816" s="7">
        <v>6.0259999999999998</v>
      </c>
      <c r="H4816" s="7">
        <v>6.016</v>
      </c>
      <c r="I4816" s="7">
        <v>5.4889999999999999</v>
      </c>
      <c r="J4816" s="7">
        <v>4.8490000000000002</v>
      </c>
      <c r="K4816" s="7">
        <v>3.96</v>
      </c>
      <c r="L4816" s="7">
        <v>3.6389999999999998</v>
      </c>
      <c r="M4816" s="7">
        <v>3.8260000000000001</v>
      </c>
      <c r="N4816" s="7">
        <v>4.8150000000000004</v>
      </c>
      <c r="O4816" s="7">
        <v>4.8520000000000003</v>
      </c>
      <c r="P4816" s="7">
        <v>5.5490000000000004</v>
      </c>
      <c r="Q4816" s="7">
        <v>6.1029999999999998</v>
      </c>
      <c r="R4816" s="7">
        <v>6.4550000000000001</v>
      </c>
      <c r="S4816" s="7">
        <f t="shared" si="75"/>
        <v>5.1315833333333325</v>
      </c>
    </row>
    <row r="4817" spans="1:19">
      <c r="A4817" s="5" t="str">
        <f>B4817&amp;"-"&amp;COUNTIF($B$2:B4817,B4817)</f>
        <v>SÃO PAULO-106</v>
      </c>
      <c r="B4817" s="5" t="s">
        <v>3122</v>
      </c>
      <c r="C4817" s="5" t="s">
        <v>3193</v>
      </c>
      <c r="D4817" s="6">
        <v>-467401</v>
      </c>
      <c r="E4817" s="6">
        <v>-233612</v>
      </c>
      <c r="F4817" s="7">
        <v>4.57</v>
      </c>
      <c r="G4817" s="7">
        <v>5.3120000000000003</v>
      </c>
      <c r="H4817" s="7">
        <v>5.6029999999999998</v>
      </c>
      <c r="I4817" s="7">
        <v>4.79</v>
      </c>
      <c r="J4817" s="7">
        <v>4.3090000000000002</v>
      </c>
      <c r="K4817" s="7">
        <v>3.5209999999999999</v>
      </c>
      <c r="L4817" s="7">
        <v>3.278</v>
      </c>
      <c r="M4817" s="7">
        <v>3.3559999999999999</v>
      </c>
      <c r="N4817" s="7">
        <v>4.3380000000000001</v>
      </c>
      <c r="O4817" s="7">
        <v>4.3760000000000003</v>
      </c>
      <c r="P4817" s="7">
        <v>4.8849999999999998</v>
      </c>
      <c r="Q4817" s="7">
        <v>5.2629999999999999</v>
      </c>
      <c r="R4817" s="7">
        <v>5.8120000000000003</v>
      </c>
      <c r="S4817" s="7">
        <f t="shared" si="75"/>
        <v>4.5702499999999988</v>
      </c>
    </row>
    <row r="4818" spans="1:19">
      <c r="A4818" s="5" t="str">
        <f>B4818&amp;"-"&amp;COUNTIF($B$2:B4818,B4818)</f>
        <v>SÃO PAULO-107</v>
      </c>
      <c r="B4818" s="5" t="s">
        <v>3122</v>
      </c>
      <c r="C4818" s="5" t="s">
        <v>5762</v>
      </c>
      <c r="D4818" s="6">
        <v>-519898</v>
      </c>
      <c r="E4818" s="6">
        <v>-218317</v>
      </c>
      <c r="F4818" s="7">
        <v>5.1340000000000003</v>
      </c>
      <c r="G4818" s="7">
        <v>6.0720000000000001</v>
      </c>
      <c r="H4818" s="7">
        <v>6.056</v>
      </c>
      <c r="I4818" s="7">
        <v>5.4850000000000003</v>
      </c>
      <c r="J4818" s="7">
        <v>4.8040000000000003</v>
      </c>
      <c r="K4818" s="7">
        <v>4.01</v>
      </c>
      <c r="L4818" s="7">
        <v>3.61</v>
      </c>
      <c r="M4818" s="7">
        <v>3.8109999999999999</v>
      </c>
      <c r="N4818" s="7">
        <v>4.7089999999999996</v>
      </c>
      <c r="O4818" s="7">
        <v>4.835</v>
      </c>
      <c r="P4818" s="7">
        <v>5.5640000000000001</v>
      </c>
      <c r="Q4818" s="7">
        <v>6.1390000000000002</v>
      </c>
      <c r="R4818" s="7">
        <v>6.5149999999999997</v>
      </c>
      <c r="S4818" s="7">
        <f t="shared" si="75"/>
        <v>5.1341666666666672</v>
      </c>
    </row>
    <row r="4819" spans="1:19">
      <c r="A4819" s="5" t="str">
        <f>B4819&amp;"-"&amp;COUNTIF($B$2:B4819,B4819)</f>
        <v>SÃO PAULO-108</v>
      </c>
      <c r="B4819" s="5" t="s">
        <v>3122</v>
      </c>
      <c r="C4819" s="5" t="s">
        <v>3194</v>
      </c>
      <c r="D4819" s="6">
        <v>-468785</v>
      </c>
      <c r="E4819" s="6">
        <v>-233555</v>
      </c>
      <c r="F4819" s="7">
        <v>4.5460000000000003</v>
      </c>
      <c r="G4819" s="7">
        <v>5.2709999999999999</v>
      </c>
      <c r="H4819" s="7">
        <v>5.5540000000000003</v>
      </c>
      <c r="I4819" s="7">
        <v>4.7809999999999997</v>
      </c>
      <c r="J4819" s="7">
        <v>4.2869999999999999</v>
      </c>
      <c r="K4819" s="7">
        <v>3.51</v>
      </c>
      <c r="L4819" s="7">
        <v>3.2690000000000001</v>
      </c>
      <c r="M4819" s="7">
        <v>3.3610000000000002</v>
      </c>
      <c r="N4819" s="7">
        <v>4.3369999999999997</v>
      </c>
      <c r="O4819" s="7">
        <v>4.3390000000000004</v>
      </c>
      <c r="P4819" s="7">
        <v>4.8520000000000003</v>
      </c>
      <c r="Q4819" s="7">
        <v>5.2220000000000004</v>
      </c>
      <c r="R4819" s="7">
        <v>5.7649999999999997</v>
      </c>
      <c r="S4819" s="7">
        <f t="shared" si="75"/>
        <v>4.5456666666666665</v>
      </c>
    </row>
    <row r="4820" spans="1:19">
      <c r="A4820" s="5" t="str">
        <f>B4820&amp;"-"&amp;COUNTIF($B$2:B4820,B4820)</f>
        <v>SÃO PAULO-109</v>
      </c>
      <c r="B4820" s="5" t="s">
        <v>3122</v>
      </c>
      <c r="C4820" s="5" t="s">
        <v>3195</v>
      </c>
      <c r="D4820" s="6">
        <v>-481109</v>
      </c>
      <c r="E4820" s="6">
        <v>-247278</v>
      </c>
      <c r="F4820" s="7">
        <v>4.0949999999999998</v>
      </c>
      <c r="G4820" s="7">
        <v>5.4080000000000004</v>
      </c>
      <c r="H4820" s="7">
        <v>5.4109999999999996</v>
      </c>
      <c r="I4820" s="7">
        <v>4.5229999999999997</v>
      </c>
      <c r="J4820" s="7">
        <v>3.9239999999999999</v>
      </c>
      <c r="K4820" s="7">
        <v>3.1160000000000001</v>
      </c>
      <c r="L4820" s="7">
        <v>2.7440000000000002</v>
      </c>
      <c r="M4820" s="7">
        <v>2.7429999999999999</v>
      </c>
      <c r="N4820" s="7">
        <v>3.4180000000000001</v>
      </c>
      <c r="O4820" s="7">
        <v>3.5249999999999999</v>
      </c>
      <c r="P4820" s="7">
        <v>3.9820000000000002</v>
      </c>
      <c r="Q4820" s="7">
        <v>4.8579999999999997</v>
      </c>
      <c r="R4820" s="7">
        <v>5.4859999999999998</v>
      </c>
      <c r="S4820" s="7">
        <f t="shared" si="75"/>
        <v>4.0948333333333329</v>
      </c>
    </row>
    <row r="4821" spans="1:19">
      <c r="A4821" s="5" t="str">
        <f>B4821&amp;"-"&amp;COUNTIF($B$2:B4821,B4821)</f>
        <v>SÃO PAULO-110</v>
      </c>
      <c r="B4821" s="5" t="s">
        <v>3122</v>
      </c>
      <c r="C4821" s="5" t="s">
        <v>3196</v>
      </c>
      <c r="D4821" s="6">
        <v>-488067</v>
      </c>
      <c r="E4821" s="6">
        <v>-208778</v>
      </c>
      <c r="F4821" s="7">
        <v>5.1459999999999999</v>
      </c>
      <c r="G4821" s="7">
        <v>5.8170000000000002</v>
      </c>
      <c r="H4821" s="7">
        <v>5.9359999999999999</v>
      </c>
      <c r="I4821" s="7">
        <v>5.2119999999999997</v>
      </c>
      <c r="J4821" s="7">
        <v>4.8360000000000003</v>
      </c>
      <c r="K4821" s="7">
        <v>4.1289999999999996</v>
      </c>
      <c r="L4821" s="7">
        <v>3.915</v>
      </c>
      <c r="M4821" s="7">
        <v>4.1500000000000004</v>
      </c>
      <c r="N4821" s="7">
        <v>5.0250000000000004</v>
      </c>
      <c r="O4821" s="7">
        <v>5.0780000000000003</v>
      </c>
      <c r="P4821" s="7">
        <v>5.5789999999999997</v>
      </c>
      <c r="Q4821" s="7">
        <v>5.9329999999999998</v>
      </c>
      <c r="R4821" s="7">
        <v>6.1420000000000003</v>
      </c>
      <c r="S4821" s="7">
        <f t="shared" si="75"/>
        <v>5.1459999999999999</v>
      </c>
    </row>
    <row r="4822" spans="1:19">
      <c r="A4822" s="5" t="str">
        <f>B4822&amp;"-"&amp;COUNTIF($B$2:B4822,B4822)</f>
        <v>SÃO PAULO-111</v>
      </c>
      <c r="B4822" s="5" t="s">
        <v>3122</v>
      </c>
      <c r="C4822" s="5" t="s">
        <v>3197</v>
      </c>
      <c r="D4822" s="6">
        <v>-473034</v>
      </c>
      <c r="E4822" s="6">
        <v>-212754</v>
      </c>
      <c r="F4822" s="7">
        <v>5.0309999999999997</v>
      </c>
      <c r="G4822" s="7">
        <v>5.59</v>
      </c>
      <c r="H4822" s="7">
        <v>5.7850000000000001</v>
      </c>
      <c r="I4822" s="7">
        <v>5.07</v>
      </c>
      <c r="J4822" s="7">
        <v>4.774</v>
      </c>
      <c r="K4822" s="7">
        <v>4.0880000000000001</v>
      </c>
      <c r="L4822" s="7">
        <v>3.855</v>
      </c>
      <c r="M4822" s="7">
        <v>4.0880000000000001</v>
      </c>
      <c r="N4822" s="7">
        <v>4.9800000000000004</v>
      </c>
      <c r="O4822" s="7">
        <v>5.0049999999999999</v>
      </c>
      <c r="P4822" s="7">
        <v>5.532</v>
      </c>
      <c r="Q4822" s="7">
        <v>5.6609999999999996</v>
      </c>
      <c r="R4822" s="7">
        <v>5.94</v>
      </c>
      <c r="S4822" s="7">
        <f t="shared" si="75"/>
        <v>5.0306666666666677</v>
      </c>
    </row>
    <row r="4823" spans="1:19">
      <c r="A4823" s="5" t="str">
        <f>B4823&amp;"-"&amp;COUNTIF($B$2:B4823,B4823)</f>
        <v>SÃO PAULO-112</v>
      </c>
      <c r="B4823" s="5" t="s">
        <v>3122</v>
      </c>
      <c r="C4823" s="5" t="s">
        <v>3198</v>
      </c>
      <c r="D4823" s="6">
        <v>-484769</v>
      </c>
      <c r="E4823" s="6">
        <v>-23592</v>
      </c>
      <c r="F4823" s="7">
        <v>4.6740000000000004</v>
      </c>
      <c r="G4823" s="7">
        <v>5.4870000000000001</v>
      </c>
      <c r="H4823" s="7">
        <v>5.6749999999999998</v>
      </c>
      <c r="I4823" s="7">
        <v>4.9710000000000001</v>
      </c>
      <c r="J4823" s="7">
        <v>4.3639999999999999</v>
      </c>
      <c r="K4823" s="7">
        <v>3.4609999999999999</v>
      </c>
      <c r="L4823" s="7">
        <v>3.2149999999999999</v>
      </c>
      <c r="M4823" s="7">
        <v>3.3330000000000002</v>
      </c>
      <c r="N4823" s="7">
        <v>4.3250000000000002</v>
      </c>
      <c r="O4823" s="7">
        <v>4.5090000000000003</v>
      </c>
      <c r="P4823" s="7">
        <v>5.05</v>
      </c>
      <c r="Q4823" s="7">
        <v>5.6139999999999999</v>
      </c>
      <c r="R4823" s="7">
        <v>6.0860000000000003</v>
      </c>
      <c r="S4823" s="7">
        <f t="shared" si="75"/>
        <v>4.6741666666666664</v>
      </c>
    </row>
    <row r="4824" spans="1:19">
      <c r="A4824" s="5" t="str">
        <f>B4824&amp;"-"&amp;COUNTIF($B$2:B4824,B4824)</f>
        <v>SÃO PAULO-113</v>
      </c>
      <c r="B4824" s="5" t="s">
        <v>3122</v>
      </c>
      <c r="C4824" s="5" t="s">
        <v>3199</v>
      </c>
      <c r="D4824" s="6">
        <v>-470664</v>
      </c>
      <c r="E4824" s="6">
        <v>-229058</v>
      </c>
      <c r="F4824" s="7">
        <v>4.9020000000000001</v>
      </c>
      <c r="G4824" s="7">
        <v>5.6040000000000001</v>
      </c>
      <c r="H4824" s="7">
        <v>5.7530000000000001</v>
      </c>
      <c r="I4824" s="7">
        <v>5.085</v>
      </c>
      <c r="J4824" s="7">
        <v>4.6150000000000002</v>
      </c>
      <c r="K4824" s="7">
        <v>3.7930000000000001</v>
      </c>
      <c r="L4824" s="7">
        <v>3.5350000000000001</v>
      </c>
      <c r="M4824" s="7">
        <v>3.7050000000000001</v>
      </c>
      <c r="N4824" s="7">
        <v>4.6120000000000001</v>
      </c>
      <c r="O4824" s="7">
        <v>4.8360000000000003</v>
      </c>
      <c r="P4824" s="7">
        <v>5.484</v>
      </c>
      <c r="Q4824" s="7">
        <v>5.6779999999999999</v>
      </c>
      <c r="R4824" s="7">
        <v>6.1210000000000004</v>
      </c>
      <c r="S4824" s="7">
        <f t="shared" si="75"/>
        <v>4.9017500000000007</v>
      </c>
    </row>
    <row r="4825" spans="1:19">
      <c r="A4825" s="5" t="str">
        <f>B4825&amp;"-"&amp;COUNTIF($B$2:B4825,B4825)</f>
        <v>SÃO PAULO-114</v>
      </c>
      <c r="B4825" s="5" t="s">
        <v>3122</v>
      </c>
      <c r="C4825" s="5" t="s">
        <v>3200</v>
      </c>
      <c r="D4825" s="6">
        <v>-467893</v>
      </c>
      <c r="E4825" s="6">
        <v>-232083</v>
      </c>
      <c r="F4825" s="7">
        <v>4.7519999999999998</v>
      </c>
      <c r="G4825" s="7">
        <v>5.44</v>
      </c>
      <c r="H4825" s="7">
        <v>5.7389999999999999</v>
      </c>
      <c r="I4825" s="7">
        <v>4.9630000000000001</v>
      </c>
      <c r="J4825" s="7">
        <v>4.4379999999999997</v>
      </c>
      <c r="K4825" s="7">
        <v>3.6659999999999999</v>
      </c>
      <c r="L4825" s="7">
        <v>3.4119999999999999</v>
      </c>
      <c r="M4825" s="7">
        <v>3.544</v>
      </c>
      <c r="N4825" s="7">
        <v>4.5419999999999998</v>
      </c>
      <c r="O4825" s="7">
        <v>4.6239999999999997</v>
      </c>
      <c r="P4825" s="7">
        <v>5.2140000000000004</v>
      </c>
      <c r="Q4825" s="7">
        <v>5.5</v>
      </c>
      <c r="R4825" s="7">
        <v>5.9480000000000004</v>
      </c>
      <c r="S4825" s="7">
        <f t="shared" si="75"/>
        <v>4.7525000000000004</v>
      </c>
    </row>
    <row r="4826" spans="1:19">
      <c r="A4826" s="5" t="str">
        <f>B4826&amp;"-"&amp;COUNTIF($B$2:B4826,B4826)</f>
        <v>SÃO PAULO-115</v>
      </c>
      <c r="B4826" s="5" t="s">
        <v>3122</v>
      </c>
      <c r="C4826" s="5" t="s">
        <v>4218</v>
      </c>
      <c r="D4826" s="6">
        <v>-455837</v>
      </c>
      <c r="E4826" s="6">
        <v>-227301</v>
      </c>
      <c r="F4826" s="7">
        <v>4.5650000000000004</v>
      </c>
      <c r="G4826" s="7">
        <v>5.016</v>
      </c>
      <c r="H4826" s="7">
        <v>5.2889999999999997</v>
      </c>
      <c r="I4826" s="7">
        <v>4.5410000000000004</v>
      </c>
      <c r="J4826" s="7">
        <v>4.2670000000000003</v>
      </c>
      <c r="K4826" s="7">
        <v>3.6659999999999999</v>
      </c>
      <c r="L4826" s="7">
        <v>3.4820000000000002</v>
      </c>
      <c r="M4826" s="7">
        <v>3.649</v>
      </c>
      <c r="N4826" s="7">
        <v>4.6360000000000001</v>
      </c>
      <c r="O4826" s="7">
        <v>4.76</v>
      </c>
      <c r="P4826" s="7">
        <v>5.0960000000000001</v>
      </c>
      <c r="Q4826" s="7">
        <v>4.968</v>
      </c>
      <c r="R4826" s="7">
        <v>5.41</v>
      </c>
      <c r="S4826" s="7">
        <f t="shared" si="75"/>
        <v>4.5650000000000004</v>
      </c>
    </row>
    <row r="4827" spans="1:19">
      <c r="A4827" s="5" t="str">
        <f>B4827&amp;"-"&amp;COUNTIF($B$2:B4827,B4827)</f>
        <v>SÃO PAULO-116</v>
      </c>
      <c r="B4827" s="5" t="s">
        <v>3122</v>
      </c>
      <c r="C4827" s="5" t="s">
        <v>3201</v>
      </c>
      <c r="D4827" s="6">
        <v>-499991</v>
      </c>
      <c r="E4827" s="6">
        <v>-226024</v>
      </c>
      <c r="F4827" s="7">
        <v>4.9619999999999997</v>
      </c>
      <c r="G4827" s="7">
        <v>5.6909999999999998</v>
      </c>
      <c r="H4827" s="7">
        <v>5.8230000000000004</v>
      </c>
      <c r="I4827" s="7">
        <v>5.22</v>
      </c>
      <c r="J4827" s="7">
        <v>4.7309999999999999</v>
      </c>
      <c r="K4827" s="7">
        <v>3.778</v>
      </c>
      <c r="L4827" s="7">
        <v>3.5070000000000001</v>
      </c>
      <c r="M4827" s="7">
        <v>3.702</v>
      </c>
      <c r="N4827" s="7">
        <v>4.657</v>
      </c>
      <c r="O4827" s="7">
        <v>4.7690000000000001</v>
      </c>
      <c r="P4827" s="7">
        <v>5.452</v>
      </c>
      <c r="Q4827" s="7">
        <v>5.9130000000000003</v>
      </c>
      <c r="R4827" s="7">
        <v>6.3019999999999996</v>
      </c>
      <c r="S4827" s="7">
        <f t="shared" si="75"/>
        <v>4.9620833333333332</v>
      </c>
    </row>
    <row r="4828" spans="1:19">
      <c r="A4828" s="5" t="str">
        <f>B4828&amp;"-"&amp;COUNTIF($B$2:B4828,B4828)</f>
        <v>SÃO PAULO-117</v>
      </c>
      <c r="B4828" s="5" t="s">
        <v>3122</v>
      </c>
      <c r="C4828" s="5" t="s">
        <v>4506</v>
      </c>
      <c r="D4828" s="6">
        <v>-479345</v>
      </c>
      <c r="E4828" s="6">
        <v>-250149</v>
      </c>
      <c r="F4828" s="7">
        <v>3.9430000000000001</v>
      </c>
      <c r="G4828" s="7">
        <v>5.2510000000000003</v>
      </c>
      <c r="H4828" s="7">
        <v>5.2160000000000002</v>
      </c>
      <c r="I4828" s="7">
        <v>4.3789999999999996</v>
      </c>
      <c r="J4828" s="7">
        <v>3.7589999999999999</v>
      </c>
      <c r="K4828" s="7">
        <v>3.0110000000000001</v>
      </c>
      <c r="L4828" s="7">
        <v>2.585</v>
      </c>
      <c r="M4828" s="7">
        <v>2.613</v>
      </c>
      <c r="N4828" s="7">
        <v>3.2669999999999999</v>
      </c>
      <c r="O4828" s="7">
        <v>3.3530000000000002</v>
      </c>
      <c r="P4828" s="7">
        <v>3.7679999999999998</v>
      </c>
      <c r="Q4828" s="7">
        <v>4.7759999999999998</v>
      </c>
      <c r="R4828" s="7">
        <v>5.3360000000000003</v>
      </c>
      <c r="S4828" s="7">
        <f t="shared" si="75"/>
        <v>3.9428333333333327</v>
      </c>
    </row>
    <row r="4829" spans="1:19">
      <c r="A4829" s="5" t="str">
        <f>B4829&amp;"-"&amp;COUNTIF($B$2:B4829,B4829)</f>
        <v>SÃO PAULO-118</v>
      </c>
      <c r="B4829" s="5" t="s">
        <v>3122</v>
      </c>
      <c r="C4829" s="5" t="s">
        <v>3202</v>
      </c>
      <c r="D4829" s="6">
        <v>-450525</v>
      </c>
      <c r="E4829" s="6">
        <v>-227008</v>
      </c>
      <c r="F4829" s="7">
        <v>4.6980000000000004</v>
      </c>
      <c r="G4829" s="7">
        <v>5.4790000000000001</v>
      </c>
      <c r="H4829" s="7">
        <v>5.726</v>
      </c>
      <c r="I4829" s="7">
        <v>4.8570000000000002</v>
      </c>
      <c r="J4829" s="7">
        <v>4.4249999999999998</v>
      </c>
      <c r="K4829" s="7">
        <v>3.669</v>
      </c>
      <c r="L4829" s="7">
        <v>3.4569999999999999</v>
      </c>
      <c r="M4829" s="7">
        <v>3.5680000000000001</v>
      </c>
      <c r="N4829" s="7">
        <v>4.5369999999999999</v>
      </c>
      <c r="O4829" s="7">
        <v>4.649</v>
      </c>
      <c r="P4829" s="7">
        <v>5.1130000000000004</v>
      </c>
      <c r="Q4829" s="7">
        <v>5.1390000000000002</v>
      </c>
      <c r="R4829" s="7">
        <v>5.7489999999999997</v>
      </c>
      <c r="S4829" s="7">
        <f t="shared" si="75"/>
        <v>4.6973333333333338</v>
      </c>
    </row>
    <row r="4830" spans="1:19">
      <c r="A4830" s="5" t="str">
        <f>B4830&amp;"-"&amp;COUNTIF($B$2:B4830,B4830)</f>
        <v>SÃO PAULO-119</v>
      </c>
      <c r="B4830" s="5" t="s">
        <v>3122</v>
      </c>
      <c r="C4830" s="5" t="s">
        <v>3203</v>
      </c>
      <c r="D4830" s="6">
        <v>-497829</v>
      </c>
      <c r="E4830" s="6">
        <v>-23006</v>
      </c>
      <c r="F4830" s="7">
        <v>4.9260000000000002</v>
      </c>
      <c r="G4830" s="7">
        <v>5.6589999999999998</v>
      </c>
      <c r="H4830" s="7">
        <v>5.8040000000000003</v>
      </c>
      <c r="I4830" s="7">
        <v>5.2030000000000003</v>
      </c>
      <c r="J4830" s="7">
        <v>4.702</v>
      </c>
      <c r="K4830" s="7">
        <v>3.7269999999999999</v>
      </c>
      <c r="L4830" s="7">
        <v>3.4289999999999998</v>
      </c>
      <c r="M4830" s="7">
        <v>3.6309999999999998</v>
      </c>
      <c r="N4830" s="7">
        <v>4.6369999999999996</v>
      </c>
      <c r="O4830" s="7">
        <v>4.7300000000000004</v>
      </c>
      <c r="P4830" s="7">
        <v>5.3970000000000002</v>
      </c>
      <c r="Q4830" s="7">
        <v>5.9050000000000002</v>
      </c>
      <c r="R4830" s="7">
        <v>6.2949999999999999</v>
      </c>
      <c r="S4830" s="7">
        <f t="shared" si="75"/>
        <v>4.9265833333333342</v>
      </c>
    </row>
    <row r="4831" spans="1:19">
      <c r="A4831" s="5" t="str">
        <f>B4831&amp;"-"&amp;COUNTIF($B$2:B4831,B4831)</f>
        <v>SÃO PAULO-120</v>
      </c>
      <c r="B4831" s="5" t="s">
        <v>3122</v>
      </c>
      <c r="C4831" s="5" t="s">
        <v>4219</v>
      </c>
      <c r="D4831" s="6">
        <v>-483489</v>
      </c>
      <c r="E4831" s="6">
        <v>-24006</v>
      </c>
      <c r="F4831" s="7">
        <v>4.4800000000000004</v>
      </c>
      <c r="G4831" s="7">
        <v>5.4249999999999998</v>
      </c>
      <c r="H4831" s="7">
        <v>5.4850000000000003</v>
      </c>
      <c r="I4831" s="7">
        <v>4.7750000000000004</v>
      </c>
      <c r="J4831" s="7">
        <v>4.1989999999999998</v>
      </c>
      <c r="K4831" s="7">
        <v>3.3559999999999999</v>
      </c>
      <c r="L4831" s="7">
        <v>3.044</v>
      </c>
      <c r="M4831" s="7">
        <v>3.2010000000000001</v>
      </c>
      <c r="N4831" s="7">
        <v>4.1239999999999997</v>
      </c>
      <c r="O4831" s="7">
        <v>4.1870000000000003</v>
      </c>
      <c r="P4831" s="7">
        <v>4.726</v>
      </c>
      <c r="Q4831" s="7">
        <v>5.3620000000000001</v>
      </c>
      <c r="R4831" s="7">
        <v>5.8789999999999996</v>
      </c>
      <c r="S4831" s="7">
        <f t="shared" si="75"/>
        <v>4.4802499999999998</v>
      </c>
    </row>
    <row r="4832" spans="1:19">
      <c r="A4832" s="5" t="str">
        <f>B4832&amp;"-"&amp;COUNTIF($B$2:B4832,B4832)</f>
        <v>SÃO PAULO-121</v>
      </c>
      <c r="B4832" s="5" t="s">
        <v>3122</v>
      </c>
      <c r="C4832" s="5" t="s">
        <v>3204</v>
      </c>
      <c r="D4832" s="6">
        <v>-477392</v>
      </c>
      <c r="E4832" s="6">
        <v>-234689</v>
      </c>
      <c r="F4832" s="7">
        <v>4.7720000000000002</v>
      </c>
      <c r="G4832" s="7">
        <v>5.51</v>
      </c>
      <c r="H4832" s="7">
        <v>5.7249999999999996</v>
      </c>
      <c r="I4832" s="7">
        <v>5.0529999999999999</v>
      </c>
      <c r="J4832" s="7">
        <v>4.4509999999999996</v>
      </c>
      <c r="K4832" s="7">
        <v>3.5819999999999999</v>
      </c>
      <c r="L4832" s="7">
        <v>3.3559999999999999</v>
      </c>
      <c r="M4832" s="7">
        <v>3.4660000000000002</v>
      </c>
      <c r="N4832" s="7">
        <v>4.444</v>
      </c>
      <c r="O4832" s="7">
        <v>4.6150000000000002</v>
      </c>
      <c r="P4832" s="7">
        <v>5.2210000000000001</v>
      </c>
      <c r="Q4832" s="7">
        <v>5.6870000000000003</v>
      </c>
      <c r="R4832" s="7">
        <v>6.157</v>
      </c>
      <c r="S4832" s="7">
        <f t="shared" si="75"/>
        <v>4.7722499999999997</v>
      </c>
    </row>
    <row r="4833" spans="1:19">
      <c r="A4833" s="5" t="str">
        <f>B4833&amp;"-"&amp;COUNTIF($B$2:B4833,B4833)</f>
        <v>SÃO PAULO-122</v>
      </c>
      <c r="B4833" s="5" t="s">
        <v>3122</v>
      </c>
      <c r="C4833" s="5" t="s">
        <v>3205</v>
      </c>
      <c r="D4833" s="6">
        <v>-475076</v>
      </c>
      <c r="E4833" s="6">
        <v>-229956</v>
      </c>
      <c r="F4833" s="7">
        <v>4.891</v>
      </c>
      <c r="G4833" s="7">
        <v>5.63</v>
      </c>
      <c r="H4833" s="7">
        <v>5.8680000000000003</v>
      </c>
      <c r="I4833" s="7">
        <v>5.1159999999999997</v>
      </c>
      <c r="J4833" s="7">
        <v>4.593</v>
      </c>
      <c r="K4833" s="7">
        <v>3.7709999999999999</v>
      </c>
      <c r="L4833" s="7">
        <v>3.4830000000000001</v>
      </c>
      <c r="M4833" s="7">
        <v>3.6230000000000002</v>
      </c>
      <c r="N4833" s="7">
        <v>4.5860000000000003</v>
      </c>
      <c r="O4833" s="7">
        <v>4.7549999999999999</v>
      </c>
      <c r="P4833" s="7">
        <v>5.4189999999999996</v>
      </c>
      <c r="Q4833" s="7">
        <v>5.7160000000000002</v>
      </c>
      <c r="R4833" s="7">
        <v>6.1349999999999998</v>
      </c>
      <c r="S4833" s="7">
        <f t="shared" si="75"/>
        <v>4.8912500000000003</v>
      </c>
    </row>
    <row r="4834" spans="1:19">
      <c r="A4834" s="5" t="str">
        <f>B4834&amp;"-"&amp;COUNTIF($B$2:B4834,B4834)</f>
        <v>SÃO PAULO-123</v>
      </c>
      <c r="B4834" s="5" t="s">
        <v>3122</v>
      </c>
      <c r="C4834" s="5" t="s">
        <v>3206</v>
      </c>
      <c r="D4834" s="6">
        <v>-454129</v>
      </c>
      <c r="E4834" s="6">
        <v>-23613</v>
      </c>
      <c r="F4834" s="7">
        <v>4.2320000000000002</v>
      </c>
      <c r="G4834" s="7">
        <v>5.3159999999999998</v>
      </c>
      <c r="H4834" s="7">
        <v>5.5880000000000001</v>
      </c>
      <c r="I4834" s="7">
        <v>4.5990000000000002</v>
      </c>
      <c r="J4834" s="7">
        <v>4.07</v>
      </c>
      <c r="K4834" s="7">
        <v>3.3250000000000002</v>
      </c>
      <c r="L4834" s="7">
        <v>3.0129999999999999</v>
      </c>
      <c r="M4834" s="7">
        <v>3.097</v>
      </c>
      <c r="N4834" s="7">
        <v>3.839</v>
      </c>
      <c r="O4834" s="7">
        <v>3.762</v>
      </c>
      <c r="P4834" s="7">
        <v>4.2489999999999997</v>
      </c>
      <c r="Q4834" s="7">
        <v>4.5910000000000002</v>
      </c>
      <c r="R4834" s="7">
        <v>5.3330000000000002</v>
      </c>
      <c r="S4834" s="7">
        <f t="shared" si="75"/>
        <v>4.2318333333333333</v>
      </c>
    </row>
    <row r="4835" spans="1:19">
      <c r="A4835" s="5" t="str">
        <f>B4835&amp;"-"&amp;COUNTIF($B$2:B4835,B4835)</f>
        <v>SÃO PAULO-124</v>
      </c>
      <c r="B4835" s="5" t="s">
        <v>3122</v>
      </c>
      <c r="C4835" s="5" t="s">
        <v>3207</v>
      </c>
      <c r="D4835" s="6">
        <v>-468411</v>
      </c>
      <c r="E4835" s="6">
        <v>-235239</v>
      </c>
      <c r="F4835" s="7">
        <v>4.5250000000000004</v>
      </c>
      <c r="G4835" s="7">
        <v>5.274</v>
      </c>
      <c r="H4835" s="7">
        <v>5.5650000000000004</v>
      </c>
      <c r="I4835" s="7">
        <v>4.7690000000000001</v>
      </c>
      <c r="J4835" s="7">
        <v>4.2460000000000004</v>
      </c>
      <c r="K4835" s="7">
        <v>3.4809999999999999</v>
      </c>
      <c r="L4835" s="7">
        <v>3.2029999999999998</v>
      </c>
      <c r="M4835" s="7">
        <v>3.31</v>
      </c>
      <c r="N4835" s="7">
        <v>4.2770000000000001</v>
      </c>
      <c r="O4835" s="7">
        <v>4.3109999999999999</v>
      </c>
      <c r="P4835" s="7">
        <v>4.8099999999999996</v>
      </c>
      <c r="Q4835" s="7">
        <v>5.2539999999999996</v>
      </c>
      <c r="R4835" s="7">
        <v>5.7939999999999996</v>
      </c>
      <c r="S4835" s="7">
        <f t="shared" si="75"/>
        <v>4.5244999999999997</v>
      </c>
    </row>
    <row r="4836" spans="1:19">
      <c r="A4836" s="5" t="str">
        <f>B4836&amp;"-"&amp;COUNTIF($B$2:B4836,B4836)</f>
        <v>SÃO PAULO-125</v>
      </c>
      <c r="B4836" s="5" t="s">
        <v>3122</v>
      </c>
      <c r="C4836" s="5" t="s">
        <v>3208</v>
      </c>
      <c r="D4836" s="6">
        <v>-499139</v>
      </c>
      <c r="E4836" s="6">
        <v>-20082</v>
      </c>
      <c r="F4836" s="7">
        <v>5.2130000000000001</v>
      </c>
      <c r="G4836" s="7">
        <v>5.8490000000000002</v>
      </c>
      <c r="H4836" s="7">
        <v>5.9770000000000003</v>
      </c>
      <c r="I4836" s="7">
        <v>5.3650000000000002</v>
      </c>
      <c r="J4836" s="7">
        <v>4.93</v>
      </c>
      <c r="K4836" s="7">
        <v>4.2450000000000001</v>
      </c>
      <c r="L4836" s="7">
        <v>3.923</v>
      </c>
      <c r="M4836" s="7">
        <v>4.2069999999999999</v>
      </c>
      <c r="N4836" s="7">
        <v>5.0449999999999999</v>
      </c>
      <c r="O4836" s="7">
        <v>5.13</v>
      </c>
      <c r="P4836" s="7">
        <v>5.7089999999999996</v>
      </c>
      <c r="Q4836" s="7">
        <v>5.9189999999999996</v>
      </c>
      <c r="R4836" s="7">
        <v>6.2569999999999997</v>
      </c>
      <c r="S4836" s="7">
        <f t="shared" si="75"/>
        <v>5.2130000000000001</v>
      </c>
    </row>
    <row r="4837" spans="1:19">
      <c r="A4837" s="5" t="str">
        <f>B4837&amp;"-"&amp;COUNTIF($B$2:B4837,B4837)</f>
        <v>SÃO PAULO-126</v>
      </c>
      <c r="B4837" s="5" t="s">
        <v>3122</v>
      </c>
      <c r="C4837" s="5" t="s">
        <v>3209</v>
      </c>
      <c r="D4837" s="6">
        <v>-470856</v>
      </c>
      <c r="E4837" s="6">
        <v>-217713</v>
      </c>
      <c r="F4837" s="7">
        <v>5.0250000000000004</v>
      </c>
      <c r="G4837" s="7">
        <v>5.6319999999999997</v>
      </c>
      <c r="H4837" s="7">
        <v>5.8659999999999997</v>
      </c>
      <c r="I4837" s="7">
        <v>5.1239999999999997</v>
      </c>
      <c r="J4837" s="7">
        <v>4.758</v>
      </c>
      <c r="K4837" s="7">
        <v>4.0129999999999999</v>
      </c>
      <c r="L4837" s="7">
        <v>3.75</v>
      </c>
      <c r="M4837" s="7">
        <v>3.94</v>
      </c>
      <c r="N4837" s="7">
        <v>4.8579999999999997</v>
      </c>
      <c r="O4837" s="7">
        <v>4.99</v>
      </c>
      <c r="P4837" s="7">
        <v>5.55</v>
      </c>
      <c r="Q4837" s="7">
        <v>5.8019999999999996</v>
      </c>
      <c r="R4837" s="7">
        <v>6.0110000000000001</v>
      </c>
      <c r="S4837" s="7">
        <f t="shared" si="75"/>
        <v>5.0244999999999997</v>
      </c>
    </row>
    <row r="4838" spans="1:19">
      <c r="A4838" s="5" t="str">
        <f>B4838&amp;"-"&amp;COUNTIF($B$2:B4838,B4838)</f>
        <v>SÃO PAULO-127</v>
      </c>
      <c r="B4838" s="5" t="s">
        <v>3122</v>
      </c>
      <c r="C4838" s="5" t="s">
        <v>3210</v>
      </c>
      <c r="D4838" s="6">
        <v>-514888</v>
      </c>
      <c r="E4838" s="6">
        <v>-208694</v>
      </c>
      <c r="F4838" s="7">
        <v>5.1689999999999996</v>
      </c>
      <c r="G4838" s="7">
        <v>5.968</v>
      </c>
      <c r="H4838" s="7">
        <v>5.9509999999999996</v>
      </c>
      <c r="I4838" s="7">
        <v>5.399</v>
      </c>
      <c r="J4838" s="7">
        <v>4.8869999999999996</v>
      </c>
      <c r="K4838" s="7">
        <v>4.0979999999999999</v>
      </c>
      <c r="L4838" s="7">
        <v>3.7970000000000002</v>
      </c>
      <c r="M4838" s="7">
        <v>3.9750000000000001</v>
      </c>
      <c r="N4838" s="7">
        <v>4.9390000000000001</v>
      </c>
      <c r="O4838" s="7">
        <v>4.9720000000000004</v>
      </c>
      <c r="P4838" s="7">
        <v>5.6369999999999996</v>
      </c>
      <c r="Q4838" s="7">
        <v>6.0069999999999997</v>
      </c>
      <c r="R4838" s="7">
        <v>6.399</v>
      </c>
      <c r="S4838" s="7">
        <f t="shared" si="75"/>
        <v>5.1690833333333339</v>
      </c>
    </row>
    <row r="4839" spans="1:19">
      <c r="A4839" s="5" t="str">
        <f>B4839&amp;"-"&amp;COUNTIF($B$2:B4839,B4839)</f>
        <v>SÃO PAULO-128</v>
      </c>
      <c r="B4839" s="5" t="s">
        <v>3122</v>
      </c>
      <c r="C4839" s="5" t="s">
        <v>3211</v>
      </c>
      <c r="D4839" s="6">
        <v>-489774</v>
      </c>
      <c r="E4839" s="6">
        <v>-211318</v>
      </c>
      <c r="F4839" s="7">
        <v>5.1100000000000003</v>
      </c>
      <c r="G4839" s="7">
        <v>5.7779999999999996</v>
      </c>
      <c r="H4839" s="7">
        <v>5.859</v>
      </c>
      <c r="I4839" s="7">
        <v>5.1680000000000001</v>
      </c>
      <c r="J4839" s="7">
        <v>4.7830000000000004</v>
      </c>
      <c r="K4839" s="7">
        <v>4.0839999999999996</v>
      </c>
      <c r="L4839" s="7">
        <v>3.8660000000000001</v>
      </c>
      <c r="M4839" s="7">
        <v>4.0739999999999998</v>
      </c>
      <c r="N4839" s="7">
        <v>5.0179999999999998</v>
      </c>
      <c r="O4839" s="7">
        <v>5.0750000000000002</v>
      </c>
      <c r="P4839" s="7">
        <v>5.5880000000000001</v>
      </c>
      <c r="Q4839" s="7">
        <v>5.8780000000000001</v>
      </c>
      <c r="R4839" s="7">
        <v>6.1550000000000002</v>
      </c>
      <c r="S4839" s="7">
        <f t="shared" si="75"/>
        <v>5.1105000000000009</v>
      </c>
    </row>
    <row r="4840" spans="1:19">
      <c r="A4840" s="5" t="str">
        <f>B4840&amp;"-"&amp;COUNTIF($B$2:B4840,B4840)</f>
        <v>SÃO PAULO-129</v>
      </c>
      <c r="B4840" s="5" t="s">
        <v>3122</v>
      </c>
      <c r="C4840" s="5" t="s">
        <v>5763</v>
      </c>
      <c r="D4840" s="6">
        <v>-49062</v>
      </c>
      <c r="E4840" s="6">
        <v>-210523</v>
      </c>
      <c r="F4840" s="7">
        <v>5.1070000000000002</v>
      </c>
      <c r="G4840" s="7">
        <v>5.7380000000000004</v>
      </c>
      <c r="H4840" s="7">
        <v>5.9009999999999998</v>
      </c>
      <c r="I4840" s="7">
        <v>5.2039999999999997</v>
      </c>
      <c r="J4840" s="7">
        <v>4.7939999999999996</v>
      </c>
      <c r="K4840" s="7">
        <v>4.0890000000000004</v>
      </c>
      <c r="L4840" s="7">
        <v>3.84</v>
      </c>
      <c r="M4840" s="7">
        <v>4.0679999999999996</v>
      </c>
      <c r="N4840" s="7">
        <v>4.9950000000000001</v>
      </c>
      <c r="O4840" s="7">
        <v>5.0519999999999996</v>
      </c>
      <c r="P4840" s="7">
        <v>5.601</v>
      </c>
      <c r="Q4840" s="7">
        <v>5.8739999999999997</v>
      </c>
      <c r="R4840" s="7">
        <v>6.133</v>
      </c>
      <c r="S4840" s="7">
        <f t="shared" si="75"/>
        <v>5.1074166666666665</v>
      </c>
    </row>
    <row r="4841" spans="1:19">
      <c r="A4841" s="5" t="str">
        <f>B4841&amp;"-"&amp;COUNTIF($B$2:B4841,B4841)</f>
        <v>SÃO PAULO-130</v>
      </c>
      <c r="B4841" s="5" t="s">
        <v>3122</v>
      </c>
      <c r="C4841" s="5" t="s">
        <v>911</v>
      </c>
      <c r="D4841" s="6">
        <v>-492679</v>
      </c>
      <c r="E4841" s="6">
        <v>-20903</v>
      </c>
      <c r="F4841" s="7">
        <v>5.1340000000000003</v>
      </c>
      <c r="G4841" s="7">
        <v>5.7670000000000003</v>
      </c>
      <c r="H4841" s="7">
        <v>5.8609999999999998</v>
      </c>
      <c r="I4841" s="7">
        <v>5.2060000000000004</v>
      </c>
      <c r="J4841" s="7">
        <v>4.8490000000000002</v>
      </c>
      <c r="K4841" s="7">
        <v>4.1040000000000001</v>
      </c>
      <c r="L4841" s="7">
        <v>3.8980000000000001</v>
      </c>
      <c r="M4841" s="7">
        <v>4.1230000000000002</v>
      </c>
      <c r="N4841" s="7">
        <v>5.04</v>
      </c>
      <c r="O4841" s="7">
        <v>5.1020000000000003</v>
      </c>
      <c r="P4841" s="7">
        <v>5.5970000000000004</v>
      </c>
      <c r="Q4841" s="7">
        <v>5.931</v>
      </c>
      <c r="R4841" s="7">
        <v>6.13</v>
      </c>
      <c r="S4841" s="7">
        <f t="shared" si="75"/>
        <v>5.1340000000000003</v>
      </c>
    </row>
    <row r="4842" spans="1:19">
      <c r="A4842" s="5" t="str">
        <f>B4842&amp;"-"&amp;COUNTIF($B$2:B4842,B4842)</f>
        <v>SÃO PAULO-131</v>
      </c>
      <c r="B4842" s="5" t="s">
        <v>3122</v>
      </c>
      <c r="C4842" s="5" t="s">
        <v>4507</v>
      </c>
      <c r="D4842" s="6">
        <v>-491659</v>
      </c>
      <c r="E4842" s="6">
        <v>-23036</v>
      </c>
      <c r="F4842" s="7">
        <v>4.8689999999999998</v>
      </c>
      <c r="G4842" s="7">
        <v>5.5369999999999999</v>
      </c>
      <c r="H4842" s="7">
        <v>5.7240000000000002</v>
      </c>
      <c r="I4842" s="7">
        <v>5.093</v>
      </c>
      <c r="J4842" s="7">
        <v>4.6100000000000003</v>
      </c>
      <c r="K4842" s="7">
        <v>3.6850000000000001</v>
      </c>
      <c r="L4842" s="7">
        <v>3.444</v>
      </c>
      <c r="M4842" s="7">
        <v>3.625</v>
      </c>
      <c r="N4842" s="7">
        <v>4.6079999999999997</v>
      </c>
      <c r="O4842" s="7">
        <v>4.7370000000000001</v>
      </c>
      <c r="P4842" s="7">
        <v>5.36</v>
      </c>
      <c r="Q4842" s="7">
        <v>5.8289999999999997</v>
      </c>
      <c r="R4842" s="7">
        <v>6.173</v>
      </c>
      <c r="S4842" s="7">
        <f t="shared" si="75"/>
        <v>4.8687499999999995</v>
      </c>
    </row>
    <row r="4843" spans="1:19">
      <c r="A4843" s="5" t="str">
        <f>B4843&amp;"-"&amp;COUNTIF($B$2:B4843,B4843)</f>
        <v>SÃO PAULO-132</v>
      </c>
      <c r="B4843" s="5" t="s">
        <v>3122</v>
      </c>
      <c r="C4843" s="5" t="s">
        <v>3212</v>
      </c>
      <c r="D4843" s="6">
        <v>-477463</v>
      </c>
      <c r="E4843" s="6">
        <v>-23167</v>
      </c>
      <c r="F4843" s="7">
        <v>4.8659999999999997</v>
      </c>
      <c r="G4843" s="7">
        <v>5.6379999999999999</v>
      </c>
      <c r="H4843" s="7">
        <v>5.8220000000000001</v>
      </c>
      <c r="I4843" s="7">
        <v>5.1269999999999998</v>
      </c>
      <c r="J4843" s="7">
        <v>4.5720000000000001</v>
      </c>
      <c r="K4843" s="7">
        <v>3.6970000000000001</v>
      </c>
      <c r="L4843" s="7">
        <v>3.4489999999999998</v>
      </c>
      <c r="M4843" s="7">
        <v>3.5659999999999998</v>
      </c>
      <c r="N4843" s="7">
        <v>4.532</v>
      </c>
      <c r="O4843" s="7">
        <v>4.7229999999999999</v>
      </c>
      <c r="P4843" s="7">
        <v>5.3449999999999998</v>
      </c>
      <c r="Q4843" s="7">
        <v>5.7510000000000003</v>
      </c>
      <c r="R4843" s="7">
        <v>6.1669999999999998</v>
      </c>
      <c r="S4843" s="7">
        <f t="shared" si="75"/>
        <v>4.8657499999999994</v>
      </c>
    </row>
    <row r="4844" spans="1:19">
      <c r="A4844" s="5" t="str">
        <f>B4844&amp;"-"&amp;COUNTIF($B$2:B4844,B4844)</f>
        <v>SÃO PAULO-133</v>
      </c>
      <c r="B4844" s="5" t="s">
        <v>3122</v>
      </c>
      <c r="C4844" s="5" t="s">
        <v>5764</v>
      </c>
      <c r="D4844" s="6">
        <v>-479549</v>
      </c>
      <c r="E4844" s="6">
        <v>-232265</v>
      </c>
      <c r="F4844" s="7">
        <v>4.8559999999999999</v>
      </c>
      <c r="G4844" s="7">
        <v>5.585</v>
      </c>
      <c r="H4844" s="7">
        <v>5.7969999999999997</v>
      </c>
      <c r="I4844" s="7">
        <v>5.1319999999999997</v>
      </c>
      <c r="J4844" s="7">
        <v>4.5730000000000004</v>
      </c>
      <c r="K4844" s="7">
        <v>3.68</v>
      </c>
      <c r="L4844" s="7">
        <v>3.4409999999999998</v>
      </c>
      <c r="M4844" s="7">
        <v>3.54</v>
      </c>
      <c r="N4844" s="7">
        <v>4.5640000000000001</v>
      </c>
      <c r="O4844" s="7">
        <v>4.7359999999999998</v>
      </c>
      <c r="P4844" s="7">
        <v>5.3369999999999997</v>
      </c>
      <c r="Q4844" s="7">
        <v>5.7530000000000001</v>
      </c>
      <c r="R4844" s="7">
        <v>6.133</v>
      </c>
      <c r="S4844" s="7">
        <f t="shared" si="75"/>
        <v>4.8559166666666664</v>
      </c>
    </row>
    <row r="4845" spans="1:19">
      <c r="A4845" s="5" t="str">
        <f>B4845&amp;"-"&amp;COUNTIF($B$2:B4845,B4845)</f>
        <v>SÃO PAULO-134</v>
      </c>
      <c r="B4845" s="5" t="s">
        <v>3122</v>
      </c>
      <c r="C4845" s="5" t="s">
        <v>3213</v>
      </c>
      <c r="D4845" s="6">
        <v>-477759</v>
      </c>
      <c r="E4845" s="6">
        <v>-225101</v>
      </c>
      <c r="F4845" s="7">
        <v>4.8449999999999998</v>
      </c>
      <c r="G4845" s="7">
        <v>5.4269999999999996</v>
      </c>
      <c r="H4845" s="7">
        <v>5.673</v>
      </c>
      <c r="I4845" s="7">
        <v>4.9989999999999997</v>
      </c>
      <c r="J4845" s="7">
        <v>4.6050000000000004</v>
      </c>
      <c r="K4845" s="7">
        <v>3.7970000000000002</v>
      </c>
      <c r="L4845" s="7">
        <v>3.5230000000000001</v>
      </c>
      <c r="M4845" s="7">
        <v>3.7240000000000002</v>
      </c>
      <c r="N4845" s="7">
        <v>4.7140000000000004</v>
      </c>
      <c r="O4845" s="7">
        <v>4.7949999999999999</v>
      </c>
      <c r="P4845" s="7">
        <v>5.3650000000000002</v>
      </c>
      <c r="Q4845" s="7">
        <v>5.5970000000000004</v>
      </c>
      <c r="R4845" s="7">
        <v>5.9210000000000003</v>
      </c>
      <c r="S4845" s="7">
        <f t="shared" si="75"/>
        <v>4.8450000000000006</v>
      </c>
    </row>
    <row r="4846" spans="1:19">
      <c r="A4846" s="5" t="str">
        <f>B4846&amp;"-"&amp;COUNTIF($B$2:B4846,B4846)</f>
        <v>SÃO PAULO-135</v>
      </c>
      <c r="B4846" s="5" t="s">
        <v>3122</v>
      </c>
      <c r="C4846" s="5" t="s">
        <v>3214</v>
      </c>
      <c r="D4846" s="5" t="s">
        <v>3215</v>
      </c>
      <c r="E4846" s="6">
        <v>-230371</v>
      </c>
      <c r="F4846" s="7">
        <v>4.9260000000000002</v>
      </c>
      <c r="G4846" s="7">
        <v>5.6589999999999998</v>
      </c>
      <c r="H4846" s="7">
        <v>5.8040000000000003</v>
      </c>
      <c r="I4846" s="7">
        <v>5.2030000000000003</v>
      </c>
      <c r="J4846" s="7">
        <v>4.702</v>
      </c>
      <c r="K4846" s="7">
        <v>3.7269999999999999</v>
      </c>
      <c r="L4846" s="7">
        <v>3.4289999999999998</v>
      </c>
      <c r="M4846" s="7">
        <v>3.6309999999999998</v>
      </c>
      <c r="N4846" s="7">
        <v>4.6369999999999996</v>
      </c>
      <c r="O4846" s="7">
        <v>4.7300000000000004</v>
      </c>
      <c r="P4846" s="7">
        <v>5.3970000000000002</v>
      </c>
      <c r="Q4846" s="7">
        <v>5.9050000000000002</v>
      </c>
      <c r="R4846" s="7">
        <v>6.2949999999999999</v>
      </c>
      <c r="S4846" s="7">
        <f t="shared" si="75"/>
        <v>4.9265833333333342</v>
      </c>
    </row>
    <row r="4847" spans="1:19">
      <c r="A4847" s="5" t="str">
        <f>B4847&amp;"-"&amp;COUNTIF($B$2:B4847,B4847)</f>
        <v>SÃO PAULO-136</v>
      </c>
      <c r="B4847" s="5" t="s">
        <v>3122</v>
      </c>
      <c r="C4847" s="5" t="s">
        <v>3216</v>
      </c>
      <c r="D4847" s="6">
        <v>-504489</v>
      </c>
      <c r="E4847" s="5" t="s">
        <v>3217</v>
      </c>
      <c r="F4847" s="7">
        <v>5.101</v>
      </c>
      <c r="G4847" s="7">
        <v>5.8920000000000003</v>
      </c>
      <c r="H4847" s="7">
        <v>5.907</v>
      </c>
      <c r="I4847" s="7">
        <v>5.3470000000000004</v>
      </c>
      <c r="J4847" s="7">
        <v>4.835</v>
      </c>
      <c r="K4847" s="7">
        <v>3.9809999999999999</v>
      </c>
      <c r="L4847" s="7">
        <v>3.69</v>
      </c>
      <c r="M4847" s="7">
        <v>3.9279999999999999</v>
      </c>
      <c r="N4847" s="7">
        <v>4.8330000000000002</v>
      </c>
      <c r="O4847" s="7">
        <v>4.8879999999999999</v>
      </c>
      <c r="P4847" s="7">
        <v>5.5750000000000002</v>
      </c>
      <c r="Q4847" s="7">
        <v>6.0339999999999998</v>
      </c>
      <c r="R4847" s="7">
        <v>6.3090000000000002</v>
      </c>
      <c r="S4847" s="7">
        <f t="shared" si="75"/>
        <v>5.1015833333333331</v>
      </c>
    </row>
    <row r="4848" spans="1:19">
      <c r="A4848" s="5" t="str">
        <f>B4848&amp;"-"&amp;COUNTIF($B$2:B4848,B4848)</f>
        <v>SÃO PAULO-137</v>
      </c>
      <c r="B4848" s="5" t="s">
        <v>3122</v>
      </c>
      <c r="C4848" s="5" t="s">
        <v>4587</v>
      </c>
      <c r="D4848" s="6">
        <v>-486869</v>
      </c>
      <c r="E4848" s="6">
        <v>-201772</v>
      </c>
      <c r="F4848" s="7">
        <v>5.2039999999999997</v>
      </c>
      <c r="G4848" s="7">
        <v>5.859</v>
      </c>
      <c r="H4848" s="7">
        <v>6.093</v>
      </c>
      <c r="I4848" s="7">
        <v>5.2519999999999998</v>
      </c>
      <c r="J4848" s="7">
        <v>5.008</v>
      </c>
      <c r="K4848" s="7">
        <v>4.274</v>
      </c>
      <c r="L4848" s="7">
        <v>3.98</v>
      </c>
      <c r="M4848" s="7">
        <v>4.2629999999999999</v>
      </c>
      <c r="N4848" s="7">
        <v>5.1319999999999997</v>
      </c>
      <c r="O4848" s="7">
        <v>5.1029999999999998</v>
      </c>
      <c r="P4848" s="7">
        <v>5.5620000000000003</v>
      </c>
      <c r="Q4848" s="7">
        <v>5.7590000000000003</v>
      </c>
      <c r="R4848" s="7">
        <v>6.1609999999999996</v>
      </c>
      <c r="S4848" s="7">
        <f t="shared" si="75"/>
        <v>5.2038333333333329</v>
      </c>
    </row>
    <row r="4849" spans="1:19">
      <c r="A4849" s="5" t="str">
        <f>B4849&amp;"-"&amp;COUNTIF($B$2:B4849,B4849)</f>
        <v>SÃO PAULO-138</v>
      </c>
      <c r="B4849" s="5" t="s">
        <v>3122</v>
      </c>
      <c r="C4849" s="5" t="s">
        <v>3218</v>
      </c>
      <c r="D4849" s="6">
        <v>-485391</v>
      </c>
      <c r="E4849" s="6">
        <v>-207119</v>
      </c>
      <c r="F4849" s="7">
        <v>5.1689999999999996</v>
      </c>
      <c r="G4849" s="7">
        <v>5.8540000000000001</v>
      </c>
      <c r="H4849" s="7">
        <v>6.032</v>
      </c>
      <c r="I4849" s="7">
        <v>5.2249999999999996</v>
      </c>
      <c r="J4849" s="7">
        <v>4.8470000000000004</v>
      </c>
      <c r="K4849" s="7">
        <v>4.22</v>
      </c>
      <c r="L4849" s="7">
        <v>3.9660000000000002</v>
      </c>
      <c r="M4849" s="7">
        <v>4.1900000000000004</v>
      </c>
      <c r="N4849" s="7">
        <v>5.0679999999999996</v>
      </c>
      <c r="O4849" s="7">
        <v>5.0609999999999999</v>
      </c>
      <c r="P4849" s="7">
        <v>5.593</v>
      </c>
      <c r="Q4849" s="7">
        <v>5.8319999999999999</v>
      </c>
      <c r="R4849" s="7">
        <v>6.1390000000000002</v>
      </c>
      <c r="S4849" s="7">
        <f t="shared" si="75"/>
        <v>5.168916666666667</v>
      </c>
    </row>
    <row r="4850" spans="1:19">
      <c r="A4850" s="5" t="str">
        <f>B4850&amp;"-"&amp;COUNTIF($B$2:B4850,B4850)</f>
        <v>SÃO PAULO-139</v>
      </c>
      <c r="B4850" s="5" t="s">
        <v>3122</v>
      </c>
      <c r="C4850" s="5" t="s">
        <v>3219</v>
      </c>
      <c r="D4850" s="6">
        <v>-471733</v>
      </c>
      <c r="E4850" s="6">
        <v>-22338</v>
      </c>
      <c r="F4850" s="7">
        <v>4.9770000000000003</v>
      </c>
      <c r="G4850" s="7">
        <v>5.5880000000000001</v>
      </c>
      <c r="H4850" s="7">
        <v>5.8449999999999998</v>
      </c>
      <c r="I4850" s="7">
        <v>5.17</v>
      </c>
      <c r="J4850" s="7">
        <v>4.6820000000000004</v>
      </c>
      <c r="K4850" s="7">
        <v>3.9049999999999998</v>
      </c>
      <c r="L4850" s="7">
        <v>3.6859999999999999</v>
      </c>
      <c r="M4850" s="7">
        <v>3.8220000000000001</v>
      </c>
      <c r="N4850" s="7">
        <v>4.7649999999999997</v>
      </c>
      <c r="O4850" s="7">
        <v>4.9320000000000004</v>
      </c>
      <c r="P4850" s="7">
        <v>5.5659999999999998</v>
      </c>
      <c r="Q4850" s="7">
        <v>5.6980000000000004</v>
      </c>
      <c r="R4850" s="7">
        <v>6.0570000000000004</v>
      </c>
      <c r="S4850" s="7">
        <f t="shared" si="75"/>
        <v>4.9763333333333346</v>
      </c>
    </row>
    <row r="4851" spans="1:19">
      <c r="A4851" s="5" t="str">
        <f>B4851&amp;"-"&amp;COUNTIF($B$2:B4851,B4851)</f>
        <v>SÃO PAULO-140</v>
      </c>
      <c r="B4851" s="5" t="s">
        <v>3122</v>
      </c>
      <c r="C4851" s="5" t="s">
        <v>3220</v>
      </c>
      <c r="D4851" s="6">
        <v>-480138</v>
      </c>
      <c r="E4851" s="6">
        <v>-230159</v>
      </c>
      <c r="F4851" s="7">
        <v>4.8949999999999996</v>
      </c>
      <c r="G4851" s="7">
        <v>5.6310000000000002</v>
      </c>
      <c r="H4851" s="7">
        <v>5.8230000000000004</v>
      </c>
      <c r="I4851" s="7">
        <v>5.1790000000000003</v>
      </c>
      <c r="J4851" s="7">
        <v>4.6340000000000003</v>
      </c>
      <c r="K4851" s="7">
        <v>3.7229999999999999</v>
      </c>
      <c r="L4851" s="7">
        <v>3.456</v>
      </c>
      <c r="M4851" s="7">
        <v>3.6019999999999999</v>
      </c>
      <c r="N4851" s="7">
        <v>4.5979999999999999</v>
      </c>
      <c r="O4851" s="7">
        <v>4.7549999999999999</v>
      </c>
      <c r="P4851" s="7">
        <v>5.3479999999999999</v>
      </c>
      <c r="Q4851" s="7">
        <v>5.8010000000000002</v>
      </c>
      <c r="R4851" s="7">
        <v>6.19</v>
      </c>
      <c r="S4851" s="7">
        <f t="shared" si="75"/>
        <v>4.8950000000000005</v>
      </c>
    </row>
    <row r="4852" spans="1:19">
      <c r="A4852" s="5" t="str">
        <f>B4852&amp;"-"&amp;COUNTIF($B$2:B4852,B4852)</f>
        <v>SÃO PAULO-141</v>
      </c>
      <c r="B4852" s="5" t="s">
        <v>3122</v>
      </c>
      <c r="C4852" s="5" t="s">
        <v>5233</v>
      </c>
      <c r="D4852" s="6">
        <v>-474523</v>
      </c>
      <c r="E4852" s="6">
        <v>-224783</v>
      </c>
      <c r="F4852" s="7">
        <v>4.899</v>
      </c>
      <c r="G4852" s="7">
        <v>5.5670000000000002</v>
      </c>
      <c r="H4852" s="7">
        <v>5.7359999999999998</v>
      </c>
      <c r="I4852" s="7">
        <v>5.069</v>
      </c>
      <c r="J4852" s="7">
        <v>4.6210000000000004</v>
      </c>
      <c r="K4852" s="7">
        <v>3.82</v>
      </c>
      <c r="L4852" s="7">
        <v>3.5830000000000002</v>
      </c>
      <c r="M4852" s="7">
        <v>3.75</v>
      </c>
      <c r="N4852" s="7">
        <v>4.74</v>
      </c>
      <c r="O4852" s="7">
        <v>4.8319999999999999</v>
      </c>
      <c r="P4852" s="7">
        <v>5.4329999999999998</v>
      </c>
      <c r="Q4852" s="7">
        <v>5.6310000000000002</v>
      </c>
      <c r="R4852" s="7">
        <v>6.0010000000000003</v>
      </c>
      <c r="S4852" s="7">
        <f t="shared" si="75"/>
        <v>4.8985833333333337</v>
      </c>
    </row>
    <row r="4853" spans="1:19">
      <c r="A4853" s="5" t="str">
        <f>B4853&amp;"-"&amp;COUNTIF($B$2:B4853,B4853)</f>
        <v>SÃO PAULO-142</v>
      </c>
      <c r="B4853" s="5" t="s">
        <v>3122</v>
      </c>
      <c r="C4853" s="5" t="s">
        <v>3221</v>
      </c>
      <c r="D4853" s="6">
        <v>-502864</v>
      </c>
      <c r="E4853" s="6">
        <v>-213525</v>
      </c>
      <c r="F4853" s="7">
        <v>5.1369999999999996</v>
      </c>
      <c r="G4853" s="7">
        <v>5.968</v>
      </c>
      <c r="H4853" s="7">
        <v>6.0430000000000001</v>
      </c>
      <c r="I4853" s="7">
        <v>5.3559999999999999</v>
      </c>
      <c r="J4853" s="7">
        <v>4.8310000000000004</v>
      </c>
      <c r="K4853" s="7">
        <v>4.0149999999999997</v>
      </c>
      <c r="L4853" s="7">
        <v>3.7069999999999999</v>
      </c>
      <c r="M4853" s="7">
        <v>3.9529999999999998</v>
      </c>
      <c r="N4853" s="7">
        <v>4.851</v>
      </c>
      <c r="O4853" s="7">
        <v>4.9189999999999996</v>
      </c>
      <c r="P4853" s="7">
        <v>5.617</v>
      </c>
      <c r="Q4853" s="7">
        <v>6.0519999999999996</v>
      </c>
      <c r="R4853" s="7">
        <v>6.335</v>
      </c>
      <c r="S4853" s="7">
        <f t="shared" si="75"/>
        <v>5.137249999999999</v>
      </c>
    </row>
    <row r="4854" spans="1:19">
      <c r="A4854" s="5" t="str">
        <f>B4854&amp;"-"&amp;COUNTIF($B$2:B4854,B4854)</f>
        <v>SÃO PAULO-143</v>
      </c>
      <c r="B4854" s="5" t="s">
        <v>3122</v>
      </c>
      <c r="C4854" s="5" t="s">
        <v>3222</v>
      </c>
      <c r="D4854" s="6">
        <v>-493139</v>
      </c>
      <c r="E4854" s="6">
        <v>-23631</v>
      </c>
      <c r="F4854" s="7">
        <v>4.7859999999999996</v>
      </c>
      <c r="G4854" s="7">
        <v>5.7089999999999996</v>
      </c>
      <c r="H4854" s="7">
        <v>5.7610000000000001</v>
      </c>
      <c r="I4854" s="7">
        <v>5.1239999999999997</v>
      </c>
      <c r="J4854" s="7">
        <v>4.476</v>
      </c>
      <c r="K4854" s="7">
        <v>3.552</v>
      </c>
      <c r="L4854" s="7">
        <v>3.2040000000000002</v>
      </c>
      <c r="M4854" s="7">
        <v>3.407</v>
      </c>
      <c r="N4854" s="7">
        <v>4.3959999999999999</v>
      </c>
      <c r="O4854" s="7">
        <v>4.5739999999999998</v>
      </c>
      <c r="P4854" s="7">
        <v>5.1980000000000004</v>
      </c>
      <c r="Q4854" s="7">
        <v>5.8079999999999998</v>
      </c>
      <c r="R4854" s="7">
        <v>6.2240000000000002</v>
      </c>
      <c r="S4854" s="7">
        <f t="shared" si="75"/>
        <v>4.786083333333333</v>
      </c>
    </row>
    <row r="4855" spans="1:19">
      <c r="A4855" s="5" t="str">
        <f>B4855&amp;"-"&amp;COUNTIF($B$2:B4855,B4855)</f>
        <v>SÃO PAULO-144</v>
      </c>
      <c r="B4855" s="5" t="s">
        <v>3122</v>
      </c>
      <c r="C4855" s="5" t="s">
        <v>3223</v>
      </c>
      <c r="D4855" s="6">
        <v>-476219</v>
      </c>
      <c r="E4855" s="6">
        <v>-222218</v>
      </c>
      <c r="F4855" s="7">
        <v>4.8929999999999998</v>
      </c>
      <c r="G4855" s="7">
        <v>5.4550000000000001</v>
      </c>
      <c r="H4855" s="7">
        <v>5.7080000000000002</v>
      </c>
      <c r="I4855" s="7">
        <v>5.04</v>
      </c>
      <c r="J4855" s="7">
        <v>4.66</v>
      </c>
      <c r="K4855" s="7">
        <v>3.8620000000000001</v>
      </c>
      <c r="L4855" s="7">
        <v>3.63</v>
      </c>
      <c r="M4855" s="7">
        <v>3.7770000000000001</v>
      </c>
      <c r="N4855" s="7">
        <v>4.798</v>
      </c>
      <c r="O4855" s="7">
        <v>4.8730000000000002</v>
      </c>
      <c r="P4855" s="7">
        <v>5.4409999999999998</v>
      </c>
      <c r="Q4855" s="7">
        <v>5.6059999999999999</v>
      </c>
      <c r="R4855" s="7">
        <v>5.8639999999999999</v>
      </c>
      <c r="S4855" s="7">
        <f t="shared" si="75"/>
        <v>4.8928333333333329</v>
      </c>
    </row>
    <row r="4856" spans="1:19">
      <c r="A4856" s="5" t="str">
        <f>B4856&amp;"-"&amp;COUNTIF($B$2:B4856,B4856)</f>
        <v>SÃO PAULO-145</v>
      </c>
      <c r="B4856" s="5" t="s">
        <v>3122</v>
      </c>
      <c r="C4856" s="5" t="s">
        <v>5234</v>
      </c>
      <c r="D4856" s="6">
        <v>-47193</v>
      </c>
      <c r="E4856" s="6">
        <v>-226424</v>
      </c>
      <c r="F4856" s="7">
        <v>4.9480000000000004</v>
      </c>
      <c r="G4856" s="7">
        <v>5.5750000000000002</v>
      </c>
      <c r="H4856" s="7">
        <v>5.8230000000000004</v>
      </c>
      <c r="I4856" s="7">
        <v>5.1479999999999997</v>
      </c>
      <c r="J4856" s="7">
        <v>4.6520000000000001</v>
      </c>
      <c r="K4856" s="7">
        <v>3.859</v>
      </c>
      <c r="L4856" s="7">
        <v>3.58</v>
      </c>
      <c r="M4856" s="7">
        <v>3.7570000000000001</v>
      </c>
      <c r="N4856" s="7">
        <v>4.72</v>
      </c>
      <c r="O4856" s="7">
        <v>4.8879999999999999</v>
      </c>
      <c r="P4856" s="7">
        <v>5.5039999999999996</v>
      </c>
      <c r="Q4856" s="7">
        <v>5.7149999999999999</v>
      </c>
      <c r="R4856" s="7">
        <v>6.1589999999999998</v>
      </c>
      <c r="S4856" s="7">
        <f t="shared" si="75"/>
        <v>4.9483333333333324</v>
      </c>
    </row>
    <row r="4857" spans="1:19">
      <c r="A4857" s="5" t="str">
        <f>B4857&amp;"-"&amp;COUNTIF($B$2:B4857,B4857)</f>
        <v>SÃO PAULO-146</v>
      </c>
      <c r="B4857" s="5" t="s">
        <v>3122</v>
      </c>
      <c r="C4857" s="5" t="s">
        <v>3224</v>
      </c>
      <c r="D4857" s="6">
        <v>-497779</v>
      </c>
      <c r="E4857" s="6">
        <v>-20478</v>
      </c>
      <c r="F4857" s="7">
        <v>5.173</v>
      </c>
      <c r="G4857" s="7">
        <v>5.8470000000000004</v>
      </c>
      <c r="H4857" s="7">
        <v>5.8849999999999998</v>
      </c>
      <c r="I4857" s="7">
        <v>5.2759999999999998</v>
      </c>
      <c r="J4857" s="7">
        <v>4.9290000000000003</v>
      </c>
      <c r="K4857" s="7">
        <v>4.1929999999999996</v>
      </c>
      <c r="L4857" s="7">
        <v>3.9319999999999999</v>
      </c>
      <c r="M4857" s="7">
        <v>4.17</v>
      </c>
      <c r="N4857" s="7">
        <v>5.069</v>
      </c>
      <c r="O4857" s="7">
        <v>5.0919999999999996</v>
      </c>
      <c r="P4857" s="7">
        <v>5.6109999999999998</v>
      </c>
      <c r="Q4857" s="7">
        <v>5.9329999999999998</v>
      </c>
      <c r="R4857" s="7">
        <v>6.1420000000000003</v>
      </c>
      <c r="S4857" s="7">
        <f t="shared" si="75"/>
        <v>5.1732499999999995</v>
      </c>
    </row>
    <row r="4858" spans="1:19">
      <c r="A4858" s="5" t="str">
        <f>B4858&amp;"-"&amp;COUNTIF($B$2:B4858,B4858)</f>
        <v>SÃO PAULO-147</v>
      </c>
      <c r="B4858" s="5" t="s">
        <v>3122</v>
      </c>
      <c r="C4858" s="5" t="s">
        <v>3225</v>
      </c>
      <c r="D4858" s="6">
        <v>-469194</v>
      </c>
      <c r="E4858" s="6">
        <v>-236027</v>
      </c>
      <c r="F4858" s="7">
        <v>4.508</v>
      </c>
      <c r="G4858" s="7">
        <v>5.3380000000000001</v>
      </c>
      <c r="H4858" s="7">
        <v>5.5469999999999997</v>
      </c>
      <c r="I4858" s="7">
        <v>4.7990000000000004</v>
      </c>
      <c r="J4858" s="7">
        <v>4.2279999999999998</v>
      </c>
      <c r="K4858" s="7">
        <v>3.4409999999999998</v>
      </c>
      <c r="L4858" s="7">
        <v>3.1930000000000001</v>
      </c>
      <c r="M4858" s="7">
        <v>3.2759999999999998</v>
      </c>
      <c r="N4858" s="7">
        <v>4.2480000000000002</v>
      </c>
      <c r="O4858" s="7">
        <v>4.2549999999999999</v>
      </c>
      <c r="P4858" s="7">
        <v>4.7690000000000001</v>
      </c>
      <c r="Q4858" s="7">
        <v>5.2350000000000003</v>
      </c>
      <c r="R4858" s="7">
        <v>5.7640000000000002</v>
      </c>
      <c r="S4858" s="7">
        <f t="shared" si="75"/>
        <v>4.5077500000000006</v>
      </c>
    </row>
    <row r="4859" spans="1:19">
      <c r="A4859" s="5" t="str">
        <f>B4859&amp;"-"&amp;COUNTIF($B$2:B4859,B4859)</f>
        <v>SÃO PAULO-148</v>
      </c>
      <c r="B4859" s="5" t="s">
        <v>3122</v>
      </c>
      <c r="C4859" s="5" t="s">
        <v>3226</v>
      </c>
      <c r="D4859" s="6">
        <v>-477328</v>
      </c>
      <c r="E4859" s="6">
        <v>-213384</v>
      </c>
      <c r="F4859" s="7">
        <v>5.0410000000000004</v>
      </c>
      <c r="G4859" s="7">
        <v>5.5839999999999996</v>
      </c>
      <c r="H4859" s="7">
        <v>5.8929999999999998</v>
      </c>
      <c r="I4859" s="7">
        <v>5.0890000000000004</v>
      </c>
      <c r="J4859" s="7">
        <v>4.774</v>
      </c>
      <c r="K4859" s="7">
        <v>4.0609999999999999</v>
      </c>
      <c r="L4859" s="7">
        <v>3.9020000000000001</v>
      </c>
      <c r="M4859" s="7">
        <v>4.0709999999999997</v>
      </c>
      <c r="N4859" s="7">
        <v>4.9109999999999996</v>
      </c>
      <c r="O4859" s="7">
        <v>4.99</v>
      </c>
      <c r="P4859" s="7">
        <v>5.4930000000000003</v>
      </c>
      <c r="Q4859" s="7">
        <v>5.71</v>
      </c>
      <c r="R4859" s="7">
        <v>6.0119999999999996</v>
      </c>
      <c r="S4859" s="7">
        <f t="shared" si="75"/>
        <v>5.0408333333333344</v>
      </c>
    </row>
    <row r="4860" spans="1:19">
      <c r="A4860" s="5" t="str">
        <f>B4860&amp;"-"&amp;COUNTIF($B$2:B4860,B4860)</f>
        <v>SÃO PAULO-149</v>
      </c>
      <c r="B4860" s="5" t="s">
        <v>3122</v>
      </c>
      <c r="C4860" s="5" t="s">
        <v>3227</v>
      </c>
      <c r="D4860" s="6">
        <v>-474213</v>
      </c>
      <c r="E4860" s="6">
        <v>-20404</v>
      </c>
      <c r="F4860" s="7">
        <v>5.1120000000000001</v>
      </c>
      <c r="G4860" s="7">
        <v>5.5620000000000003</v>
      </c>
      <c r="H4860" s="7">
        <v>5.8209999999999997</v>
      </c>
      <c r="I4860" s="7">
        <v>5.0270000000000001</v>
      </c>
      <c r="J4860" s="7">
        <v>4.9009999999999998</v>
      </c>
      <c r="K4860" s="7">
        <v>4.2859999999999996</v>
      </c>
      <c r="L4860" s="7">
        <v>4.1189999999999998</v>
      </c>
      <c r="M4860" s="7">
        <v>4.3470000000000004</v>
      </c>
      <c r="N4860" s="7">
        <v>5.2389999999999999</v>
      </c>
      <c r="O4860" s="7">
        <v>5.1760000000000002</v>
      </c>
      <c r="P4860" s="7">
        <v>5.492</v>
      </c>
      <c r="Q4860" s="7">
        <v>5.5629999999999997</v>
      </c>
      <c r="R4860" s="7">
        <v>5.8109999999999999</v>
      </c>
      <c r="S4860" s="7">
        <f t="shared" si="75"/>
        <v>5.1120000000000001</v>
      </c>
    </row>
    <row r="4861" spans="1:19">
      <c r="A4861" s="5" t="str">
        <f>B4861&amp;"-"&amp;COUNTIF($B$2:B4861,B4861)</f>
        <v>SÃO PAULO-150</v>
      </c>
      <c r="B4861" s="5" t="s">
        <v>3122</v>
      </c>
      <c r="C4861" s="5" t="s">
        <v>5765</v>
      </c>
      <c r="D4861" s="6">
        <v>-507928</v>
      </c>
      <c r="E4861" s="6">
        <v>-227423</v>
      </c>
      <c r="F4861" s="7">
        <v>4.9669999999999996</v>
      </c>
      <c r="G4861" s="7">
        <v>5.9219999999999997</v>
      </c>
      <c r="H4861" s="7">
        <v>5.7910000000000004</v>
      </c>
      <c r="I4861" s="7">
        <v>5.22</v>
      </c>
      <c r="J4861" s="7">
        <v>4.6760000000000002</v>
      </c>
      <c r="K4861" s="7">
        <v>3.802</v>
      </c>
      <c r="L4861" s="7">
        <v>3.4510000000000001</v>
      </c>
      <c r="M4861" s="7">
        <v>3.6840000000000002</v>
      </c>
      <c r="N4861" s="7">
        <v>4.6189999999999998</v>
      </c>
      <c r="O4861" s="7">
        <v>4.7569999999999997</v>
      </c>
      <c r="P4861" s="7">
        <v>5.39</v>
      </c>
      <c r="Q4861" s="7">
        <v>5.9550000000000001</v>
      </c>
      <c r="R4861" s="7">
        <v>6.3369999999999997</v>
      </c>
      <c r="S4861" s="7">
        <f t="shared" si="75"/>
        <v>4.9669999999999996</v>
      </c>
    </row>
    <row r="4862" spans="1:19">
      <c r="A4862" s="5" t="str">
        <f>B4862&amp;"-"&amp;COUNTIF($B$2:B4862,B4862)</f>
        <v>SÃO PAULO-151</v>
      </c>
      <c r="B4862" s="5" t="s">
        <v>3122</v>
      </c>
      <c r="C4862" s="5" t="s">
        <v>3228</v>
      </c>
      <c r="D4862" s="6">
        <v>-449693</v>
      </c>
      <c r="E4862" s="6">
        <v>-225732</v>
      </c>
      <c r="F4862" s="7">
        <v>4.681</v>
      </c>
      <c r="G4862" s="7">
        <v>5.4340000000000002</v>
      </c>
      <c r="H4862" s="7">
        <v>5.641</v>
      </c>
      <c r="I4862" s="7">
        <v>4.7949999999999999</v>
      </c>
      <c r="J4862" s="7">
        <v>4.4210000000000003</v>
      </c>
      <c r="K4862" s="7">
        <v>3.6850000000000001</v>
      </c>
      <c r="L4862" s="7">
        <v>3.4929999999999999</v>
      </c>
      <c r="M4862" s="7">
        <v>3.6059999999999999</v>
      </c>
      <c r="N4862" s="7">
        <v>4.5369999999999999</v>
      </c>
      <c r="O4862" s="7">
        <v>4.6630000000000003</v>
      </c>
      <c r="P4862" s="7">
        <v>5.0810000000000004</v>
      </c>
      <c r="Q4862" s="7">
        <v>5.0860000000000003</v>
      </c>
      <c r="R4862" s="7">
        <v>5.7309999999999999</v>
      </c>
      <c r="S4862" s="7">
        <f t="shared" si="75"/>
        <v>4.6810833333333326</v>
      </c>
    </row>
    <row r="4863" spans="1:19">
      <c r="A4863" s="5" t="str">
        <f>B4863&amp;"-"&amp;COUNTIF($B$2:B4863,B4863)</f>
        <v>SÃO PAULO-152</v>
      </c>
      <c r="B4863" s="5" t="s">
        <v>3122</v>
      </c>
      <c r="C4863" s="5" t="s">
        <v>4220</v>
      </c>
      <c r="D4863" s="6">
        <v>-464244</v>
      </c>
      <c r="E4863" s="6">
        <v>-238916</v>
      </c>
      <c r="F4863" s="7">
        <v>3.8650000000000002</v>
      </c>
      <c r="G4863" s="7">
        <v>4.8159999999999998</v>
      </c>
      <c r="H4863" s="7">
        <v>5.0339999999999998</v>
      </c>
      <c r="I4863" s="7">
        <v>4.1959999999999997</v>
      </c>
      <c r="J4863" s="7">
        <v>3.778</v>
      </c>
      <c r="K4863" s="7">
        <v>3.1429999999999998</v>
      </c>
      <c r="L4863" s="7">
        <v>2.823</v>
      </c>
      <c r="M4863" s="7">
        <v>2.8610000000000002</v>
      </c>
      <c r="N4863" s="7">
        <v>3.5070000000000001</v>
      </c>
      <c r="O4863" s="7">
        <v>3.395</v>
      </c>
      <c r="P4863" s="7">
        <v>3.7090000000000001</v>
      </c>
      <c r="Q4863" s="7">
        <v>4.218</v>
      </c>
      <c r="R4863" s="7">
        <v>4.9000000000000004</v>
      </c>
      <c r="S4863" s="7">
        <f t="shared" si="75"/>
        <v>3.8650000000000002</v>
      </c>
    </row>
    <row r="4864" spans="1:19">
      <c r="A4864" s="5" t="str">
        <f>B4864&amp;"-"&amp;COUNTIF($B$2:B4864,B4864)</f>
        <v>SÃO PAULO-153</v>
      </c>
      <c r="B4864" s="5" t="s">
        <v>3122</v>
      </c>
      <c r="C4864" s="5" t="s">
        <v>3229</v>
      </c>
      <c r="D4864" s="6">
        <v>-449579</v>
      </c>
      <c r="E4864" s="6">
        <v>-230736</v>
      </c>
      <c r="F4864" s="7">
        <v>4.7720000000000002</v>
      </c>
      <c r="G4864" s="7">
        <v>5.766</v>
      </c>
      <c r="H4864" s="7">
        <v>5.8289999999999997</v>
      </c>
      <c r="I4864" s="7">
        <v>4.9560000000000004</v>
      </c>
      <c r="J4864" s="7">
        <v>4.5060000000000002</v>
      </c>
      <c r="K4864" s="7">
        <v>3.6619999999999999</v>
      </c>
      <c r="L4864" s="7">
        <v>3.4569999999999999</v>
      </c>
      <c r="M4864" s="7">
        <v>3.5680000000000001</v>
      </c>
      <c r="N4864" s="7">
        <v>4.4630000000000001</v>
      </c>
      <c r="O4864" s="7">
        <v>4.6130000000000004</v>
      </c>
      <c r="P4864" s="7">
        <v>5.2060000000000004</v>
      </c>
      <c r="Q4864" s="7">
        <v>5.3090000000000002</v>
      </c>
      <c r="R4864" s="7">
        <v>5.9260000000000002</v>
      </c>
      <c r="S4864" s="7">
        <f t="shared" si="75"/>
        <v>4.7717499999999999</v>
      </c>
    </row>
    <row r="4865" spans="1:19">
      <c r="A4865" s="5" t="str">
        <f>B4865&amp;"-"&amp;COUNTIF($B$2:B4865,B4865)</f>
        <v>SÃO PAULO-154</v>
      </c>
      <c r="B4865" s="5" t="s">
        <v>3122</v>
      </c>
      <c r="C4865" s="5" t="s">
        <v>3230</v>
      </c>
      <c r="D4865" s="6">
        <v>-476185</v>
      </c>
      <c r="E4865" s="6">
        <v>-219007</v>
      </c>
      <c r="F4865" s="7">
        <v>5.0069999999999997</v>
      </c>
      <c r="G4865" s="7">
        <v>5.6319999999999997</v>
      </c>
      <c r="H4865" s="7">
        <v>5.8879999999999999</v>
      </c>
      <c r="I4865" s="7">
        <v>5.1269999999999998</v>
      </c>
      <c r="J4865" s="7">
        <v>4.758</v>
      </c>
      <c r="K4865" s="7">
        <v>4.0030000000000001</v>
      </c>
      <c r="L4865" s="7">
        <v>3.7309999999999999</v>
      </c>
      <c r="M4865" s="7">
        <v>3.9209999999999998</v>
      </c>
      <c r="N4865" s="7">
        <v>4.8239999999999998</v>
      </c>
      <c r="O4865" s="7">
        <v>4.9459999999999997</v>
      </c>
      <c r="P4865" s="7">
        <v>5.5439999999999996</v>
      </c>
      <c r="Q4865" s="7">
        <v>5.7009999999999996</v>
      </c>
      <c r="R4865" s="7">
        <v>6.0049999999999999</v>
      </c>
      <c r="S4865" s="7">
        <f t="shared" si="75"/>
        <v>5.0066666666666659</v>
      </c>
    </row>
    <row r="4866" spans="1:19">
      <c r="A4866" s="5" t="str">
        <f>B4866&amp;"-"&amp;COUNTIF($B$2:B4866,B4866)</f>
        <v>SÃO PAULO-155</v>
      </c>
      <c r="B4866" s="5" t="s">
        <v>3122</v>
      </c>
      <c r="C4866" s="5" t="s">
        <v>3231</v>
      </c>
      <c r="D4866" s="6">
        <v>-466209</v>
      </c>
      <c r="E4866" s="6">
        <v>-236818</v>
      </c>
      <c r="F4866" s="7">
        <v>4.3789999999999996</v>
      </c>
      <c r="G4866" s="7">
        <v>5.2510000000000003</v>
      </c>
      <c r="H4866" s="7">
        <v>5.4279999999999999</v>
      </c>
      <c r="I4866" s="7">
        <v>4.6360000000000001</v>
      </c>
      <c r="J4866" s="7">
        <v>4.1379999999999999</v>
      </c>
      <c r="K4866" s="7">
        <v>3.3580000000000001</v>
      </c>
      <c r="L4866" s="7">
        <v>3.0910000000000002</v>
      </c>
      <c r="M4866" s="7">
        <v>3.2010000000000001</v>
      </c>
      <c r="N4866" s="7">
        <v>4.07</v>
      </c>
      <c r="O4866" s="7">
        <v>4.093</v>
      </c>
      <c r="P4866" s="7">
        <v>4.5449999999999999</v>
      </c>
      <c r="Q4866" s="7">
        <v>5.101</v>
      </c>
      <c r="R4866" s="7">
        <v>5.6360000000000001</v>
      </c>
      <c r="S4866" s="7">
        <f t="shared" si="75"/>
        <v>4.3790000000000004</v>
      </c>
    </row>
    <row r="4867" spans="1:19">
      <c r="A4867" s="5" t="str">
        <f>B4867&amp;"-"&amp;COUNTIF($B$2:B4867,B4867)</f>
        <v>SÃO PAULO-156</v>
      </c>
      <c r="B4867" s="5" t="s">
        <v>3122</v>
      </c>
      <c r="C4867" s="5" t="s">
        <v>3232</v>
      </c>
      <c r="D4867" s="6">
        <v>-506102</v>
      </c>
      <c r="E4867" s="6">
        <v>-204628</v>
      </c>
      <c r="F4867" s="7">
        <v>5.1890000000000001</v>
      </c>
      <c r="G4867" s="7">
        <v>5.82</v>
      </c>
      <c r="H4867" s="7">
        <v>5.9989999999999997</v>
      </c>
      <c r="I4867" s="7">
        <v>5.3369999999999997</v>
      </c>
      <c r="J4867" s="7">
        <v>4.8499999999999996</v>
      </c>
      <c r="K4867" s="7">
        <v>4.1559999999999997</v>
      </c>
      <c r="L4867" s="7">
        <v>3.8940000000000001</v>
      </c>
      <c r="M4867" s="7">
        <v>4.1280000000000001</v>
      </c>
      <c r="N4867" s="7">
        <v>5.0529999999999999</v>
      </c>
      <c r="O4867" s="7">
        <v>5.0780000000000003</v>
      </c>
      <c r="P4867" s="7">
        <v>5.6630000000000003</v>
      </c>
      <c r="Q4867" s="7">
        <v>5.968</v>
      </c>
      <c r="R4867" s="7">
        <v>6.3259999999999996</v>
      </c>
      <c r="S4867" s="7">
        <f t="shared" ref="S4867:S4930" si="76">(G4867+H4867+I4867+J4867+K4867+L4867+M4867+N4867+O4867+P4867+Q4867+R4867)/12</f>
        <v>5.1893333333333329</v>
      </c>
    </row>
    <row r="4868" spans="1:19">
      <c r="A4868" s="5" t="str">
        <f>B4868&amp;"-"&amp;COUNTIF($B$2:B4868,B4868)</f>
        <v>SÃO PAULO-157</v>
      </c>
      <c r="B4868" s="5" t="s">
        <v>3122</v>
      </c>
      <c r="C4868" s="5" t="s">
        <v>5026</v>
      </c>
      <c r="D4868" s="6">
        <v>-467365</v>
      </c>
      <c r="E4868" s="6">
        <v>-216642</v>
      </c>
      <c r="F4868" s="7">
        <v>5.0019999999999998</v>
      </c>
      <c r="G4868" s="7">
        <v>5.585</v>
      </c>
      <c r="H4868" s="7">
        <v>5.7549999999999999</v>
      </c>
      <c r="I4868" s="7">
        <v>5.0259999999999998</v>
      </c>
      <c r="J4868" s="7">
        <v>4.7789999999999999</v>
      </c>
      <c r="K4868" s="7">
        <v>4.0380000000000003</v>
      </c>
      <c r="L4868" s="7">
        <v>3.84</v>
      </c>
      <c r="M4868" s="7">
        <v>4.0369999999999999</v>
      </c>
      <c r="N4868" s="7">
        <v>4.9180000000000001</v>
      </c>
      <c r="O4868" s="7">
        <v>5.05</v>
      </c>
      <c r="P4868" s="7">
        <v>5.5</v>
      </c>
      <c r="Q4868" s="7">
        <v>5.6459999999999999</v>
      </c>
      <c r="R4868" s="7">
        <v>5.85</v>
      </c>
      <c r="S4868" s="7">
        <f t="shared" si="76"/>
        <v>5.0019999999999998</v>
      </c>
    </row>
    <row r="4869" spans="1:19">
      <c r="A4869" s="5" t="str">
        <f>B4869&amp;"-"&amp;COUNTIF($B$2:B4869,B4869)</f>
        <v>SÃO PAULO-158</v>
      </c>
      <c r="B4869" s="5" t="s">
        <v>3122</v>
      </c>
      <c r="C4869" s="5" t="s">
        <v>3233</v>
      </c>
      <c r="D4869" s="6">
        <v>-483939</v>
      </c>
      <c r="E4869" s="6">
        <v>-21516</v>
      </c>
      <c r="F4869" s="7">
        <v>5.0640000000000001</v>
      </c>
      <c r="G4869" s="7">
        <v>5.7350000000000003</v>
      </c>
      <c r="H4869" s="7">
        <v>5.899</v>
      </c>
      <c r="I4869" s="7">
        <v>5.1420000000000003</v>
      </c>
      <c r="J4869" s="7">
        <v>4.7720000000000002</v>
      </c>
      <c r="K4869" s="7">
        <v>4.0540000000000003</v>
      </c>
      <c r="L4869" s="7">
        <v>3.8140000000000001</v>
      </c>
      <c r="M4869" s="7">
        <v>4.0069999999999997</v>
      </c>
      <c r="N4869" s="7">
        <v>4.8710000000000004</v>
      </c>
      <c r="O4869" s="7">
        <v>4.984</v>
      </c>
      <c r="P4869" s="7">
        <v>5.5759999999999996</v>
      </c>
      <c r="Q4869" s="7">
        <v>5.8170000000000002</v>
      </c>
      <c r="R4869" s="7">
        <v>6.0940000000000003</v>
      </c>
      <c r="S4869" s="7">
        <f t="shared" si="76"/>
        <v>5.0637500000000006</v>
      </c>
    </row>
    <row r="4870" spans="1:19">
      <c r="A4870" s="5" t="str">
        <f>B4870&amp;"-"&amp;COUNTIF($B$2:B4870,B4870)</f>
        <v>SÃO PAULO-159</v>
      </c>
      <c r="B4870" s="5" t="s">
        <v>3122</v>
      </c>
      <c r="C4870" s="5" t="s">
        <v>5235</v>
      </c>
      <c r="D4870" s="6">
        <v>-483823</v>
      </c>
      <c r="E4870" s="6">
        <v>-223678</v>
      </c>
      <c r="F4870" s="7">
        <v>4.95</v>
      </c>
      <c r="G4870" s="7">
        <v>5.5609999999999999</v>
      </c>
      <c r="H4870" s="7">
        <v>5.8090000000000002</v>
      </c>
      <c r="I4870" s="7">
        <v>5.13</v>
      </c>
      <c r="J4870" s="7">
        <v>4.6820000000000004</v>
      </c>
      <c r="K4870" s="7">
        <v>3.8439999999999999</v>
      </c>
      <c r="L4870" s="7">
        <v>3.5819999999999999</v>
      </c>
      <c r="M4870" s="7">
        <v>3.7189999999999999</v>
      </c>
      <c r="N4870" s="7">
        <v>4.718</v>
      </c>
      <c r="O4870" s="7">
        <v>4.8739999999999997</v>
      </c>
      <c r="P4870" s="7">
        <v>5.5129999999999999</v>
      </c>
      <c r="Q4870" s="7">
        <v>5.8550000000000004</v>
      </c>
      <c r="R4870" s="7">
        <v>6.1139999999999999</v>
      </c>
      <c r="S4870" s="7">
        <f t="shared" si="76"/>
        <v>4.9500833333333336</v>
      </c>
    </row>
    <row r="4871" spans="1:19">
      <c r="A4871" s="5" t="str">
        <f>B4871&amp;"-"&amp;COUNTIF($B$2:B4871,B4871)</f>
        <v>SÃO PAULO-160</v>
      </c>
      <c r="B4871" s="5" t="s">
        <v>3122</v>
      </c>
      <c r="C4871" s="5" t="s">
        <v>5236</v>
      </c>
      <c r="D4871" s="6">
        <v>-505129</v>
      </c>
      <c r="E4871" s="6">
        <v>-20123</v>
      </c>
      <c r="F4871" s="7">
        <v>5.1929999999999996</v>
      </c>
      <c r="G4871" s="7">
        <v>5.79</v>
      </c>
      <c r="H4871" s="7">
        <v>5.8860000000000001</v>
      </c>
      <c r="I4871" s="7">
        <v>5.3380000000000001</v>
      </c>
      <c r="J4871" s="7">
        <v>4.8929999999999998</v>
      </c>
      <c r="K4871" s="7">
        <v>4.242</v>
      </c>
      <c r="L4871" s="7">
        <v>3.9830000000000001</v>
      </c>
      <c r="M4871" s="7">
        <v>4.1829999999999998</v>
      </c>
      <c r="N4871" s="7">
        <v>5.1280000000000001</v>
      </c>
      <c r="O4871" s="7">
        <v>5.0970000000000004</v>
      </c>
      <c r="P4871" s="7">
        <v>5.6639999999999997</v>
      </c>
      <c r="Q4871" s="7">
        <v>5.88</v>
      </c>
      <c r="R4871" s="7">
        <v>6.2279999999999998</v>
      </c>
      <c r="S4871" s="7">
        <f t="shared" si="76"/>
        <v>5.1926666666666668</v>
      </c>
    </row>
    <row r="4872" spans="1:19">
      <c r="A4872" s="5" t="str">
        <f>B4872&amp;"-"&amp;COUNTIF($B$2:B4872,B4872)</f>
        <v>SÃO PAULO-161</v>
      </c>
      <c r="B4872" s="5" t="s">
        <v>3122</v>
      </c>
      <c r="C4872" s="5" t="s">
        <v>3234</v>
      </c>
      <c r="D4872" s="6">
        <v>-483138</v>
      </c>
      <c r="E4872" s="6">
        <v>-221129</v>
      </c>
      <c r="F4872" s="7">
        <v>5.01</v>
      </c>
      <c r="G4872" s="7">
        <v>5.6660000000000004</v>
      </c>
      <c r="H4872" s="7">
        <v>5.8819999999999997</v>
      </c>
      <c r="I4872" s="7">
        <v>5.1970000000000001</v>
      </c>
      <c r="J4872" s="7">
        <v>4.6959999999999997</v>
      </c>
      <c r="K4872" s="7">
        <v>3.9180000000000001</v>
      </c>
      <c r="L4872" s="7">
        <v>3.69</v>
      </c>
      <c r="M4872" s="7">
        <v>3.8620000000000001</v>
      </c>
      <c r="N4872" s="7">
        <v>4.79</v>
      </c>
      <c r="O4872" s="7">
        <v>4.8760000000000003</v>
      </c>
      <c r="P4872" s="7">
        <v>5.5670000000000002</v>
      </c>
      <c r="Q4872" s="7">
        <v>5.8179999999999996</v>
      </c>
      <c r="R4872" s="7">
        <v>6.1559999999999997</v>
      </c>
      <c r="S4872" s="7">
        <f t="shared" si="76"/>
        <v>5.0098333333333329</v>
      </c>
    </row>
    <row r="4873" spans="1:19">
      <c r="A4873" s="5" t="str">
        <f>B4873&amp;"-"&amp;COUNTIF($B$2:B4873,B4873)</f>
        <v>SÃO PAULO-162</v>
      </c>
      <c r="B4873" s="5" t="s">
        <v>3122</v>
      </c>
      <c r="C4873" s="5" t="s">
        <v>3235</v>
      </c>
      <c r="D4873" s="6">
        <v>-515355</v>
      </c>
      <c r="E4873" s="6">
        <v>-214848</v>
      </c>
      <c r="F4873" s="7">
        <v>5.12</v>
      </c>
      <c r="G4873" s="7">
        <v>5.9080000000000004</v>
      </c>
      <c r="H4873" s="7">
        <v>5.9859999999999998</v>
      </c>
      <c r="I4873" s="7">
        <v>5.4429999999999996</v>
      </c>
      <c r="J4873" s="7">
        <v>4.8070000000000004</v>
      </c>
      <c r="K4873" s="7">
        <v>4.0289999999999999</v>
      </c>
      <c r="L4873" s="7">
        <v>3.706</v>
      </c>
      <c r="M4873" s="7">
        <v>3.8839999999999999</v>
      </c>
      <c r="N4873" s="7">
        <v>4.78</v>
      </c>
      <c r="O4873" s="7">
        <v>4.9020000000000001</v>
      </c>
      <c r="P4873" s="7">
        <v>5.577</v>
      </c>
      <c r="Q4873" s="7">
        <v>6.0460000000000003</v>
      </c>
      <c r="R4873" s="7">
        <v>6.3639999999999999</v>
      </c>
      <c r="S4873" s="7">
        <f t="shared" si="76"/>
        <v>5.1193333333333326</v>
      </c>
    </row>
    <row r="4874" spans="1:19">
      <c r="A4874" s="5" t="str">
        <f>B4874&amp;"-"&amp;COUNTIF($B$2:B4874,B4874)</f>
        <v>SÃO PAULO-163</v>
      </c>
      <c r="B4874" s="5" t="s">
        <v>3122</v>
      </c>
      <c r="C4874" s="5" t="s">
        <v>3236</v>
      </c>
      <c r="D4874" s="6">
        <v>-494088</v>
      </c>
      <c r="E4874" s="6">
        <v>-22415</v>
      </c>
      <c r="F4874" s="7">
        <v>4.9630000000000001</v>
      </c>
      <c r="G4874" s="7">
        <v>5.6449999999999996</v>
      </c>
      <c r="H4874" s="7">
        <v>5.82</v>
      </c>
      <c r="I4874" s="7">
        <v>5.17</v>
      </c>
      <c r="J4874" s="7">
        <v>4.6840000000000002</v>
      </c>
      <c r="K4874" s="7">
        <v>3.8279999999999998</v>
      </c>
      <c r="L4874" s="7">
        <v>3.5579999999999998</v>
      </c>
      <c r="M4874" s="7">
        <v>3.7650000000000001</v>
      </c>
      <c r="N4874" s="7">
        <v>4.7169999999999996</v>
      </c>
      <c r="O4874" s="7">
        <v>4.8029999999999999</v>
      </c>
      <c r="P4874" s="7">
        <v>5.524</v>
      </c>
      <c r="Q4874" s="7">
        <v>5.8579999999999997</v>
      </c>
      <c r="R4874" s="7">
        <v>6.1820000000000004</v>
      </c>
      <c r="S4874" s="7">
        <f t="shared" si="76"/>
        <v>4.9628333333333332</v>
      </c>
    </row>
    <row r="4875" spans="1:19">
      <c r="A4875" s="5" t="str">
        <f>B4875&amp;"-"&amp;COUNTIF($B$2:B4875,B4875)</f>
        <v>SÃO PAULO-164</v>
      </c>
      <c r="B4875" s="5" t="s">
        <v>3122</v>
      </c>
      <c r="C4875" s="5" t="s">
        <v>3237</v>
      </c>
      <c r="D4875" s="6">
        <v>-47976</v>
      </c>
      <c r="E4875" s="6">
        <v>-212329</v>
      </c>
      <c r="F4875" s="7">
        <v>5.0979999999999999</v>
      </c>
      <c r="G4875" s="7">
        <v>5.7190000000000003</v>
      </c>
      <c r="H4875" s="7">
        <v>5.9660000000000002</v>
      </c>
      <c r="I4875" s="7">
        <v>5.17</v>
      </c>
      <c r="J4875" s="7">
        <v>4.8220000000000001</v>
      </c>
      <c r="K4875" s="7">
        <v>4.1130000000000004</v>
      </c>
      <c r="L4875" s="7">
        <v>3.895</v>
      </c>
      <c r="M4875" s="7">
        <v>4.1130000000000004</v>
      </c>
      <c r="N4875" s="7">
        <v>4.944</v>
      </c>
      <c r="O4875" s="7">
        <v>4.992</v>
      </c>
      <c r="P4875" s="7">
        <v>5.532</v>
      </c>
      <c r="Q4875" s="7">
        <v>5.7839999999999998</v>
      </c>
      <c r="R4875" s="7">
        <v>6.13</v>
      </c>
      <c r="S4875" s="7">
        <f t="shared" si="76"/>
        <v>5.0983333333333336</v>
      </c>
    </row>
    <row r="4876" spans="1:19">
      <c r="A4876" s="5" t="str">
        <f>B4876&amp;"-"&amp;COUNTIF($B$2:B4876,B4876)</f>
        <v>SÃO PAULO-165</v>
      </c>
      <c r="B4876" s="5" t="s">
        <v>3122</v>
      </c>
      <c r="C4876" s="5" t="s">
        <v>5407</v>
      </c>
      <c r="D4876" s="6">
        <v>-502009</v>
      </c>
      <c r="E4876" s="6">
        <v>-22429</v>
      </c>
      <c r="F4876" s="7">
        <v>5.0140000000000002</v>
      </c>
      <c r="G4876" s="7">
        <v>5.7430000000000003</v>
      </c>
      <c r="H4876" s="7">
        <v>5.8380000000000001</v>
      </c>
      <c r="I4876" s="7">
        <v>5.3250000000000002</v>
      </c>
      <c r="J4876" s="7">
        <v>4.7530000000000001</v>
      </c>
      <c r="K4876" s="7">
        <v>3.839</v>
      </c>
      <c r="L4876" s="7">
        <v>3.5760000000000001</v>
      </c>
      <c r="M4876" s="7">
        <v>3.7519999999999998</v>
      </c>
      <c r="N4876" s="7">
        <v>4.7350000000000003</v>
      </c>
      <c r="O4876" s="7">
        <v>4.8250000000000002</v>
      </c>
      <c r="P4876" s="7">
        <v>5.5069999999999997</v>
      </c>
      <c r="Q4876" s="7">
        <v>5.9589999999999996</v>
      </c>
      <c r="R4876" s="7">
        <v>6.32</v>
      </c>
      <c r="S4876" s="7">
        <f t="shared" si="76"/>
        <v>5.014333333333334</v>
      </c>
    </row>
    <row r="4877" spans="1:19">
      <c r="A4877" s="5" t="str">
        <f>B4877&amp;"-"&amp;COUNTIF($B$2:B4877,B4877)</f>
        <v>SÃO PAULO-166</v>
      </c>
      <c r="B4877" s="5" t="s">
        <v>3122</v>
      </c>
      <c r="C4877" s="5" t="s">
        <v>1094</v>
      </c>
      <c r="D4877" s="6">
        <v>-481079</v>
      </c>
      <c r="E4877" s="5" t="s">
        <v>3238</v>
      </c>
      <c r="F4877" s="7">
        <v>3.9319999999999999</v>
      </c>
      <c r="G4877" s="7">
        <v>5.2009999999999996</v>
      </c>
      <c r="H4877" s="7">
        <v>5.1580000000000004</v>
      </c>
      <c r="I4877" s="7">
        <v>4.3550000000000004</v>
      </c>
      <c r="J4877" s="7">
        <v>3.806</v>
      </c>
      <c r="K4877" s="7">
        <v>3.0369999999999999</v>
      </c>
      <c r="L4877" s="7">
        <v>2.6619999999999999</v>
      </c>
      <c r="M4877" s="7">
        <v>2.6680000000000001</v>
      </c>
      <c r="N4877" s="7">
        <v>3.3620000000000001</v>
      </c>
      <c r="O4877" s="7">
        <v>3.3919999999999999</v>
      </c>
      <c r="P4877" s="7">
        <v>3.7509999999999999</v>
      </c>
      <c r="Q4877" s="7">
        <v>4.601</v>
      </c>
      <c r="R4877" s="7">
        <v>5.1909999999999998</v>
      </c>
      <c r="S4877" s="7">
        <f t="shared" si="76"/>
        <v>3.9319999999999999</v>
      </c>
    </row>
    <row r="4878" spans="1:19">
      <c r="A4878" s="5" t="str">
        <f>B4878&amp;"-"&amp;COUNTIF($B$2:B4878,B4878)</f>
        <v>SÃO PAULO-167</v>
      </c>
      <c r="B4878" s="5" t="s">
        <v>3122</v>
      </c>
      <c r="C4878" s="5" t="s">
        <v>3239</v>
      </c>
      <c r="D4878" s="6">
        <v>-473686</v>
      </c>
      <c r="E4878" s="6">
        <v>-230433</v>
      </c>
      <c r="F4878" s="7">
        <v>4.9139999999999997</v>
      </c>
      <c r="G4878" s="7">
        <v>5.7220000000000004</v>
      </c>
      <c r="H4878" s="7">
        <v>5.82</v>
      </c>
      <c r="I4878" s="7">
        <v>5.1120000000000001</v>
      </c>
      <c r="J4878" s="7">
        <v>4.6539999999999999</v>
      </c>
      <c r="K4878" s="7">
        <v>3.7759999999999998</v>
      </c>
      <c r="L4878" s="7">
        <v>3.5049999999999999</v>
      </c>
      <c r="M4878" s="7">
        <v>3.6509999999999998</v>
      </c>
      <c r="N4878" s="7">
        <v>4.6130000000000004</v>
      </c>
      <c r="O4878" s="7">
        <v>4.7830000000000004</v>
      </c>
      <c r="P4878" s="7">
        <v>5.4260000000000002</v>
      </c>
      <c r="Q4878" s="7">
        <v>5.7359999999999998</v>
      </c>
      <c r="R4878" s="7">
        <v>6.1719999999999997</v>
      </c>
      <c r="S4878" s="7">
        <f t="shared" si="76"/>
        <v>4.9141666666666666</v>
      </c>
    </row>
    <row r="4879" spans="1:19">
      <c r="A4879" s="5" t="str">
        <f>B4879&amp;"-"&amp;COUNTIF($B$2:B4879,B4879)</f>
        <v>SÃO PAULO-168</v>
      </c>
      <c r="B4879" s="5" t="s">
        <v>3122</v>
      </c>
      <c r="C4879" s="5" t="s">
        <v>5766</v>
      </c>
      <c r="D4879" s="6">
        <v>-491119</v>
      </c>
      <c r="E4879" s="6">
        <v>-21166</v>
      </c>
      <c r="F4879" s="7">
        <v>5.1159999999999997</v>
      </c>
      <c r="G4879" s="7">
        <v>5.8040000000000003</v>
      </c>
      <c r="H4879" s="7">
        <v>5.9359999999999999</v>
      </c>
      <c r="I4879" s="7">
        <v>5.2359999999999998</v>
      </c>
      <c r="J4879" s="7">
        <v>4.8250000000000002</v>
      </c>
      <c r="K4879" s="7">
        <v>4.0670000000000002</v>
      </c>
      <c r="L4879" s="7">
        <v>3.8149999999999999</v>
      </c>
      <c r="M4879" s="7">
        <v>4.0430000000000001</v>
      </c>
      <c r="N4879" s="7">
        <v>4.9509999999999996</v>
      </c>
      <c r="O4879" s="7">
        <v>5.0659999999999998</v>
      </c>
      <c r="P4879" s="7">
        <v>5.6109999999999998</v>
      </c>
      <c r="Q4879" s="7">
        <v>5.883</v>
      </c>
      <c r="R4879" s="7">
        <v>6.1589999999999998</v>
      </c>
      <c r="S4879" s="7">
        <f t="shared" si="76"/>
        <v>5.1163333333333334</v>
      </c>
    </row>
    <row r="4880" spans="1:19">
      <c r="A4880" s="5" t="str">
        <f>B4880&amp;"-"&amp;COUNTIF($B$2:B4880,B4880)</f>
        <v>SÃO PAULO-169</v>
      </c>
      <c r="B4880" s="5" t="s">
        <v>3122</v>
      </c>
      <c r="C4880" s="5" t="s">
        <v>4885</v>
      </c>
      <c r="D4880" s="6">
        <v>-488329</v>
      </c>
      <c r="E4880" s="6">
        <v>-209801</v>
      </c>
      <c r="F4880" s="7">
        <v>5.1319999999999997</v>
      </c>
      <c r="G4880" s="7">
        <v>5.8079999999999998</v>
      </c>
      <c r="H4880" s="7">
        <v>5.915</v>
      </c>
      <c r="I4880" s="7">
        <v>5.1950000000000003</v>
      </c>
      <c r="J4880" s="7">
        <v>4.7850000000000001</v>
      </c>
      <c r="K4880" s="7">
        <v>4.101</v>
      </c>
      <c r="L4880" s="7">
        <v>3.9020000000000001</v>
      </c>
      <c r="M4880" s="7">
        <v>4.1479999999999997</v>
      </c>
      <c r="N4880" s="7">
        <v>5.0170000000000003</v>
      </c>
      <c r="O4880" s="7">
        <v>5.0940000000000003</v>
      </c>
      <c r="P4880" s="7">
        <v>5.5960000000000001</v>
      </c>
      <c r="Q4880" s="7">
        <v>5.9009999999999998</v>
      </c>
      <c r="R4880" s="7">
        <v>6.1239999999999997</v>
      </c>
      <c r="S4880" s="7">
        <f t="shared" si="76"/>
        <v>5.1321666666666674</v>
      </c>
    </row>
    <row r="4881" spans="1:19">
      <c r="A4881" s="5" t="str">
        <f>B4881&amp;"-"&amp;COUNTIF($B$2:B4881,B4881)</f>
        <v>SÃO PAULO-170</v>
      </c>
      <c r="B4881" s="5" t="s">
        <v>3122</v>
      </c>
      <c r="C4881" s="5" t="s">
        <v>3240</v>
      </c>
      <c r="D4881" s="6">
        <v>-468583</v>
      </c>
      <c r="E4881" s="6">
        <v>-236442</v>
      </c>
      <c r="F4881" s="7">
        <v>4.4989999999999997</v>
      </c>
      <c r="G4881" s="7">
        <v>5.33</v>
      </c>
      <c r="H4881" s="7">
        <v>5.5579999999999998</v>
      </c>
      <c r="I4881" s="7">
        <v>4.7670000000000003</v>
      </c>
      <c r="J4881" s="7">
        <v>4.2190000000000003</v>
      </c>
      <c r="K4881" s="7">
        <v>3.4319999999999999</v>
      </c>
      <c r="L4881" s="7">
        <v>3.165</v>
      </c>
      <c r="M4881" s="7">
        <v>3.2589999999999999</v>
      </c>
      <c r="N4881" s="7">
        <v>4.22</v>
      </c>
      <c r="O4881" s="7">
        <v>4.2480000000000002</v>
      </c>
      <c r="P4881" s="7">
        <v>4.766</v>
      </c>
      <c r="Q4881" s="7">
        <v>5.242</v>
      </c>
      <c r="R4881" s="7">
        <v>5.7750000000000004</v>
      </c>
      <c r="S4881" s="7">
        <f t="shared" si="76"/>
        <v>4.4984166666666665</v>
      </c>
    </row>
    <row r="4882" spans="1:19">
      <c r="A4882" s="5" t="str">
        <f>B4882&amp;"-"&amp;COUNTIF($B$2:B4882,B4882)</f>
        <v>SÃO PAULO-171</v>
      </c>
      <c r="B4882" s="5" t="s">
        <v>3122</v>
      </c>
      <c r="C4882" s="5" t="s">
        <v>4785</v>
      </c>
      <c r="D4882" s="6">
        <v>-46814</v>
      </c>
      <c r="E4882" s="6">
        <v>-238302</v>
      </c>
      <c r="F4882" s="7">
        <v>4.2709999999999999</v>
      </c>
      <c r="G4882" s="7">
        <v>5.1440000000000001</v>
      </c>
      <c r="H4882" s="7">
        <v>5.351</v>
      </c>
      <c r="I4882" s="7">
        <v>4.5380000000000003</v>
      </c>
      <c r="J4882" s="7">
        <v>4.0570000000000004</v>
      </c>
      <c r="K4882" s="7">
        <v>3.29</v>
      </c>
      <c r="L4882" s="7">
        <v>3.06</v>
      </c>
      <c r="M4882" s="7">
        <v>3.145</v>
      </c>
      <c r="N4882" s="7">
        <v>4.0339999999999998</v>
      </c>
      <c r="O4882" s="7">
        <v>3.9780000000000002</v>
      </c>
      <c r="P4882" s="7">
        <v>4.33</v>
      </c>
      <c r="Q4882" s="7">
        <v>4.8780000000000001</v>
      </c>
      <c r="R4882" s="7">
        <v>5.4450000000000003</v>
      </c>
      <c r="S4882" s="7">
        <f t="shared" si="76"/>
        <v>4.270833333333333</v>
      </c>
    </row>
    <row r="4883" spans="1:19">
      <c r="A4883" s="5" t="str">
        <f>B4883&amp;"-"&amp;COUNTIF($B$2:B4883,B4883)</f>
        <v>SÃO PAULO-172</v>
      </c>
      <c r="B4883" s="5" t="s">
        <v>3122</v>
      </c>
      <c r="C4883" s="5" t="s">
        <v>5237</v>
      </c>
      <c r="D4883" s="6">
        <v>-514836</v>
      </c>
      <c r="E4883" s="6">
        <v>-218319</v>
      </c>
      <c r="F4883" s="7">
        <v>5.0990000000000002</v>
      </c>
      <c r="G4883" s="7">
        <v>5.9349999999999996</v>
      </c>
      <c r="H4883" s="7">
        <v>5.9649999999999999</v>
      </c>
      <c r="I4883" s="7">
        <v>5.4420000000000002</v>
      </c>
      <c r="J4883" s="7">
        <v>4.8179999999999996</v>
      </c>
      <c r="K4883" s="7">
        <v>3.9710000000000001</v>
      </c>
      <c r="L4883" s="7">
        <v>3.6640000000000001</v>
      </c>
      <c r="M4883" s="7">
        <v>3.8420000000000001</v>
      </c>
      <c r="N4883" s="7">
        <v>4.7809999999999997</v>
      </c>
      <c r="O4883" s="7">
        <v>4.806</v>
      </c>
      <c r="P4883" s="7">
        <v>5.5449999999999999</v>
      </c>
      <c r="Q4883" s="7">
        <v>6.0640000000000001</v>
      </c>
      <c r="R4883" s="7">
        <v>6.3559999999999999</v>
      </c>
      <c r="S4883" s="7">
        <f t="shared" si="76"/>
        <v>5.0990833333333336</v>
      </c>
    </row>
    <row r="4884" spans="1:19">
      <c r="A4884" s="5" t="str">
        <f>B4884&amp;"-"&amp;COUNTIF($B$2:B4884,B4884)</f>
        <v>SÃO PAULO-173</v>
      </c>
      <c r="B4884" s="5" t="s">
        <v>3122</v>
      </c>
      <c r="C4884" s="5" t="s">
        <v>3241</v>
      </c>
      <c r="D4884" s="6">
        <v>-472114</v>
      </c>
      <c r="E4884" s="6">
        <v>-22484</v>
      </c>
      <c r="F4884" s="7">
        <v>4.9560000000000004</v>
      </c>
      <c r="G4884" s="7">
        <v>5.6109999999999998</v>
      </c>
      <c r="H4884" s="7">
        <v>5.8650000000000002</v>
      </c>
      <c r="I4884" s="7">
        <v>5.157</v>
      </c>
      <c r="J4884" s="7">
        <v>4.6280000000000001</v>
      </c>
      <c r="K4884" s="7">
        <v>3.8889999999999998</v>
      </c>
      <c r="L4884" s="7">
        <v>3.6259999999999999</v>
      </c>
      <c r="M4884" s="7">
        <v>3.7650000000000001</v>
      </c>
      <c r="N4884" s="7">
        <v>4.7329999999999997</v>
      </c>
      <c r="O4884" s="7">
        <v>4.8929999999999998</v>
      </c>
      <c r="P4884" s="7">
        <v>5.5060000000000002</v>
      </c>
      <c r="Q4884" s="7">
        <v>5.6820000000000004</v>
      </c>
      <c r="R4884" s="7">
        <v>6.117</v>
      </c>
      <c r="S4884" s="7">
        <f t="shared" si="76"/>
        <v>4.9559999999999995</v>
      </c>
    </row>
    <row r="4885" spans="1:19">
      <c r="A4885" s="5" t="str">
        <f>B4885&amp;"-"&amp;COUNTIF($B$2:B4885,B4885)</f>
        <v>SÃO PAULO-174</v>
      </c>
      <c r="B4885" s="5" t="s">
        <v>3122</v>
      </c>
      <c r="C4885" s="5" t="s">
        <v>3242</v>
      </c>
      <c r="D4885" s="6">
        <v>-467481</v>
      </c>
      <c r="E4885" s="6">
        <v>-221913</v>
      </c>
      <c r="F4885" s="7">
        <v>4.9089999999999998</v>
      </c>
      <c r="G4885" s="7">
        <v>5.476</v>
      </c>
      <c r="H4885" s="7">
        <v>5.6449999999999996</v>
      </c>
      <c r="I4885" s="7">
        <v>4.9950000000000001</v>
      </c>
      <c r="J4885" s="7">
        <v>4.66</v>
      </c>
      <c r="K4885" s="7">
        <v>3.9319999999999999</v>
      </c>
      <c r="L4885" s="7">
        <v>3.6669999999999998</v>
      </c>
      <c r="M4885" s="7">
        <v>3.88</v>
      </c>
      <c r="N4885" s="7">
        <v>4.7629999999999999</v>
      </c>
      <c r="O4885" s="7">
        <v>4.9459999999999997</v>
      </c>
      <c r="P4885" s="7">
        <v>5.4649999999999999</v>
      </c>
      <c r="Q4885" s="7">
        <v>5.6260000000000003</v>
      </c>
      <c r="R4885" s="7">
        <v>5.8479999999999999</v>
      </c>
      <c r="S4885" s="7">
        <f t="shared" si="76"/>
        <v>4.9085833333333335</v>
      </c>
    </row>
    <row r="4886" spans="1:19">
      <c r="A4886" s="5" t="str">
        <f>B4886&amp;"-"&amp;COUNTIF($B$2:B4886,B4886)</f>
        <v>SÃO PAULO-175</v>
      </c>
      <c r="B4886" s="5" t="s">
        <v>3122</v>
      </c>
      <c r="C4886" s="5" t="s">
        <v>3243</v>
      </c>
      <c r="D4886" s="6">
        <v>-494299</v>
      </c>
      <c r="E4886" s="6">
        <v>-22692</v>
      </c>
      <c r="F4886" s="7">
        <v>4.9329999999999998</v>
      </c>
      <c r="G4886" s="7">
        <v>5.5979999999999999</v>
      </c>
      <c r="H4886" s="7">
        <v>5.7789999999999999</v>
      </c>
      <c r="I4886" s="7">
        <v>5.2030000000000003</v>
      </c>
      <c r="J4886" s="7">
        <v>4.681</v>
      </c>
      <c r="K4886" s="7">
        <v>3.7589999999999999</v>
      </c>
      <c r="L4886" s="7">
        <v>3.4889999999999999</v>
      </c>
      <c r="M4886" s="7">
        <v>3.7109999999999999</v>
      </c>
      <c r="N4886" s="7">
        <v>4.694</v>
      </c>
      <c r="O4886" s="7">
        <v>4.7439999999999998</v>
      </c>
      <c r="P4886" s="7">
        <v>5.431</v>
      </c>
      <c r="Q4886" s="7">
        <v>5.8929999999999998</v>
      </c>
      <c r="R4886" s="7">
        <v>6.2140000000000004</v>
      </c>
      <c r="S4886" s="7">
        <f t="shared" si="76"/>
        <v>4.9329999999999998</v>
      </c>
    </row>
    <row r="4887" spans="1:19">
      <c r="A4887" s="5" t="str">
        <f>B4887&amp;"-"&amp;COUNTIF($B$2:B4887,B4887)</f>
        <v>SÃO PAULO-176</v>
      </c>
      <c r="B4887" s="5" t="s">
        <v>3122</v>
      </c>
      <c r="C4887" s="5" t="s">
        <v>3244</v>
      </c>
      <c r="D4887" s="6">
        <v>-469485</v>
      </c>
      <c r="E4887" s="6">
        <v>-222718</v>
      </c>
      <c r="F4887" s="7">
        <v>4.9820000000000002</v>
      </c>
      <c r="G4887" s="7">
        <v>5.59</v>
      </c>
      <c r="H4887" s="7">
        <v>5.8090000000000002</v>
      </c>
      <c r="I4887" s="7">
        <v>5.1559999999999997</v>
      </c>
      <c r="J4887" s="7">
        <v>4.6870000000000003</v>
      </c>
      <c r="K4887" s="7">
        <v>3.9220000000000002</v>
      </c>
      <c r="L4887" s="7">
        <v>3.6469999999999998</v>
      </c>
      <c r="M4887" s="7">
        <v>3.847</v>
      </c>
      <c r="N4887" s="7">
        <v>4.7480000000000002</v>
      </c>
      <c r="O4887" s="7">
        <v>4.9489999999999998</v>
      </c>
      <c r="P4887" s="7">
        <v>5.548</v>
      </c>
      <c r="Q4887" s="7">
        <v>5.7720000000000002</v>
      </c>
      <c r="R4887" s="7">
        <v>6.1079999999999997</v>
      </c>
      <c r="S4887" s="7">
        <f t="shared" si="76"/>
        <v>4.9819166666666659</v>
      </c>
    </row>
    <row r="4888" spans="1:19">
      <c r="A4888" s="5" t="str">
        <f>B4888&amp;"-"&amp;COUNTIF($B$2:B4888,B4888)</f>
        <v>SÃO PAULO-177</v>
      </c>
      <c r="B4888" s="5" t="s">
        <v>3122</v>
      </c>
      <c r="C4888" s="5" t="s">
        <v>807</v>
      </c>
      <c r="D4888" s="5" t="s">
        <v>3245</v>
      </c>
      <c r="E4888" s="6">
        <v>-224879</v>
      </c>
      <c r="F4888" s="7">
        <v>5.0460000000000003</v>
      </c>
      <c r="G4888" s="7">
        <v>5.9</v>
      </c>
      <c r="H4888" s="7">
        <v>5.9189999999999996</v>
      </c>
      <c r="I4888" s="7">
        <v>5.4269999999999996</v>
      </c>
      <c r="J4888" s="7">
        <v>4.76</v>
      </c>
      <c r="K4888" s="7">
        <v>3.8079999999999998</v>
      </c>
      <c r="L4888" s="7">
        <v>3.508</v>
      </c>
      <c r="M4888" s="7">
        <v>3.718</v>
      </c>
      <c r="N4888" s="7">
        <v>4.6769999999999996</v>
      </c>
      <c r="O4888" s="7">
        <v>4.819</v>
      </c>
      <c r="P4888" s="7">
        <v>5.5049999999999999</v>
      </c>
      <c r="Q4888" s="7">
        <v>6.0780000000000003</v>
      </c>
      <c r="R4888" s="7">
        <v>6.43</v>
      </c>
      <c r="S4888" s="7">
        <f t="shared" si="76"/>
        <v>5.0457500000000008</v>
      </c>
    </row>
    <row r="4889" spans="1:19">
      <c r="A4889" s="5" t="str">
        <f>B4889&amp;"-"&amp;COUNTIF($B$2:B4889,B4889)</f>
        <v>SÃO PAULO-178</v>
      </c>
      <c r="B4889" s="5" t="s">
        <v>3122</v>
      </c>
      <c r="C4889" s="5" t="s">
        <v>3246</v>
      </c>
      <c r="D4889" s="6">
        <v>-504009</v>
      </c>
      <c r="E4889" s="6">
        <v>-20288</v>
      </c>
      <c r="F4889" s="7">
        <v>5.1890000000000001</v>
      </c>
      <c r="G4889" s="7">
        <v>5.8150000000000004</v>
      </c>
      <c r="H4889" s="7">
        <v>5.9109999999999996</v>
      </c>
      <c r="I4889" s="7">
        <v>5.2949999999999999</v>
      </c>
      <c r="J4889" s="7">
        <v>4.9109999999999996</v>
      </c>
      <c r="K4889" s="7">
        <v>4.2110000000000003</v>
      </c>
      <c r="L4889" s="7">
        <v>3.948</v>
      </c>
      <c r="M4889" s="7">
        <v>4.1619999999999999</v>
      </c>
      <c r="N4889" s="7">
        <v>5.09</v>
      </c>
      <c r="O4889" s="7">
        <v>5.117</v>
      </c>
      <c r="P4889" s="7">
        <v>5.6420000000000003</v>
      </c>
      <c r="Q4889" s="7">
        <v>5.9489999999999998</v>
      </c>
      <c r="R4889" s="7">
        <v>6.2160000000000002</v>
      </c>
      <c r="S4889" s="7">
        <f t="shared" si="76"/>
        <v>5.1889166666666666</v>
      </c>
    </row>
    <row r="4890" spans="1:19">
      <c r="A4890" s="5" t="str">
        <f>B4890&amp;"-"&amp;COUNTIF($B$2:B4890,B4890)</f>
        <v>SÃO PAULO-179</v>
      </c>
      <c r="B4890" s="5" t="s">
        <v>3122</v>
      </c>
      <c r="C4890" s="5" t="s">
        <v>3247</v>
      </c>
      <c r="D4890" s="6">
        <v>-525932</v>
      </c>
      <c r="E4890" s="6">
        <v>-22555</v>
      </c>
      <c r="F4890" s="7">
        <v>5.0119999999999996</v>
      </c>
      <c r="G4890" s="7">
        <v>6.07</v>
      </c>
      <c r="H4890" s="7">
        <v>5.9950000000000001</v>
      </c>
      <c r="I4890" s="7">
        <v>5.4530000000000003</v>
      </c>
      <c r="J4890" s="7">
        <v>4.6900000000000004</v>
      </c>
      <c r="K4890" s="7">
        <v>3.7240000000000002</v>
      </c>
      <c r="L4890" s="7">
        <v>3.3769999999999998</v>
      </c>
      <c r="M4890" s="7">
        <v>3.585</v>
      </c>
      <c r="N4890" s="7">
        <v>4.4939999999999998</v>
      </c>
      <c r="O4890" s="7">
        <v>4.7210000000000001</v>
      </c>
      <c r="P4890" s="7">
        <v>5.4169999999999998</v>
      </c>
      <c r="Q4890" s="7">
        <v>6.1429999999999998</v>
      </c>
      <c r="R4890" s="7">
        <v>6.48</v>
      </c>
      <c r="S4890" s="7">
        <f t="shared" si="76"/>
        <v>5.0124166666666667</v>
      </c>
    </row>
    <row r="4891" spans="1:19">
      <c r="A4891" s="5" t="str">
        <f>B4891&amp;"-"&amp;COUNTIF($B$2:B4891,B4891)</f>
        <v>SÃO PAULO-180</v>
      </c>
      <c r="B4891" s="5" t="s">
        <v>3122</v>
      </c>
      <c r="C4891" s="5" t="s">
        <v>3248</v>
      </c>
      <c r="D4891" s="6">
        <v>-495128</v>
      </c>
      <c r="E4891" s="6">
        <v>-233921</v>
      </c>
      <c r="F4891" s="7">
        <v>4.8890000000000002</v>
      </c>
      <c r="G4891" s="7">
        <v>5.8310000000000004</v>
      </c>
      <c r="H4891" s="7">
        <v>5.907</v>
      </c>
      <c r="I4891" s="7">
        <v>5.2530000000000001</v>
      </c>
      <c r="J4891" s="7">
        <v>4.5549999999999997</v>
      </c>
      <c r="K4891" s="7">
        <v>3.61</v>
      </c>
      <c r="L4891" s="7">
        <v>3.2490000000000001</v>
      </c>
      <c r="M4891" s="7">
        <v>3.4790000000000001</v>
      </c>
      <c r="N4891" s="7">
        <v>4.4489999999999998</v>
      </c>
      <c r="O4891" s="7">
        <v>4.6159999999999997</v>
      </c>
      <c r="P4891" s="7">
        <v>5.3259999999999996</v>
      </c>
      <c r="Q4891" s="7">
        <v>5.95</v>
      </c>
      <c r="R4891" s="7">
        <v>6.4420000000000002</v>
      </c>
      <c r="S4891" s="7">
        <f t="shared" si="76"/>
        <v>4.8889166666666668</v>
      </c>
    </row>
    <row r="4892" spans="1:19">
      <c r="A4892" s="5" t="str">
        <f>B4892&amp;"-"&amp;COUNTIF($B$2:B4892,B4892)</f>
        <v>SÃO PAULO-181</v>
      </c>
      <c r="B4892" s="5" t="s">
        <v>3122</v>
      </c>
      <c r="C4892" s="5" t="s">
        <v>4221</v>
      </c>
      <c r="D4892" s="6">
        <v>-495224</v>
      </c>
      <c r="E4892" s="6">
        <v>-223594</v>
      </c>
      <c r="F4892" s="7">
        <v>4.9569999999999999</v>
      </c>
      <c r="G4892" s="7">
        <v>5.6470000000000002</v>
      </c>
      <c r="H4892" s="7">
        <v>5.7779999999999996</v>
      </c>
      <c r="I4892" s="7">
        <v>5.1239999999999997</v>
      </c>
      <c r="J4892" s="7">
        <v>4.68</v>
      </c>
      <c r="K4892" s="7">
        <v>3.8210000000000002</v>
      </c>
      <c r="L4892" s="7">
        <v>3.5539999999999998</v>
      </c>
      <c r="M4892" s="7">
        <v>3.766</v>
      </c>
      <c r="N4892" s="7">
        <v>4.7489999999999997</v>
      </c>
      <c r="O4892" s="7">
        <v>4.82</v>
      </c>
      <c r="P4892" s="7">
        <v>5.5149999999999997</v>
      </c>
      <c r="Q4892" s="7">
        <v>5.851</v>
      </c>
      <c r="R4892" s="7">
        <v>6.1849999999999996</v>
      </c>
      <c r="S4892" s="7">
        <f t="shared" si="76"/>
        <v>4.9575000000000005</v>
      </c>
    </row>
    <row r="4893" spans="1:19">
      <c r="A4893" s="5" t="str">
        <f>B4893&amp;"-"&amp;COUNTIF($B$2:B4893,B4893)</f>
        <v>SÃO PAULO-182</v>
      </c>
      <c r="B4893" s="5" t="s">
        <v>3122</v>
      </c>
      <c r="C4893" s="5" t="s">
        <v>5238</v>
      </c>
      <c r="D4893" s="6">
        <v>-502475</v>
      </c>
      <c r="E4893" s="6">
        <v>-20281</v>
      </c>
      <c r="F4893" s="7">
        <v>5.1859999999999999</v>
      </c>
      <c r="G4893" s="7">
        <v>5.843</v>
      </c>
      <c r="H4893" s="7">
        <v>5.9429999999999996</v>
      </c>
      <c r="I4893" s="7">
        <v>5.2590000000000003</v>
      </c>
      <c r="J4893" s="7">
        <v>4.8899999999999997</v>
      </c>
      <c r="K4893" s="7">
        <v>4.202</v>
      </c>
      <c r="L4893" s="7">
        <v>3.93</v>
      </c>
      <c r="M4893" s="7">
        <v>4.1689999999999996</v>
      </c>
      <c r="N4893" s="7">
        <v>5.0540000000000003</v>
      </c>
      <c r="O4893" s="7">
        <v>5.1379999999999999</v>
      </c>
      <c r="P4893" s="7">
        <v>5.63</v>
      </c>
      <c r="Q4893" s="7">
        <v>5.931</v>
      </c>
      <c r="R4893" s="7">
        <v>6.242</v>
      </c>
      <c r="S4893" s="7">
        <f t="shared" si="76"/>
        <v>5.1859166666666665</v>
      </c>
    </row>
    <row r="4894" spans="1:19">
      <c r="A4894" s="5" t="str">
        <f>B4894&amp;"-"&amp;COUNTIF($B$2:B4894,B4894)</f>
        <v>SÃO PAULO-183</v>
      </c>
      <c r="B4894" s="5" t="s">
        <v>3122</v>
      </c>
      <c r="C4894" s="5" t="s">
        <v>3249</v>
      </c>
      <c r="D4894" s="6">
        <v>-486878</v>
      </c>
      <c r="E4894" s="6">
        <v>-212665</v>
      </c>
      <c r="F4894" s="7">
        <v>5.1210000000000004</v>
      </c>
      <c r="G4894" s="7">
        <v>5.7380000000000004</v>
      </c>
      <c r="H4894" s="7">
        <v>5.95</v>
      </c>
      <c r="I4894" s="7">
        <v>5.2329999999999997</v>
      </c>
      <c r="J4894" s="7">
        <v>4.8310000000000004</v>
      </c>
      <c r="K4894" s="7">
        <v>4.1109999999999998</v>
      </c>
      <c r="L4894" s="7">
        <v>3.85</v>
      </c>
      <c r="M4894" s="7">
        <v>4.069</v>
      </c>
      <c r="N4894" s="7">
        <v>4.9580000000000002</v>
      </c>
      <c r="O4894" s="7">
        <v>5.0540000000000003</v>
      </c>
      <c r="P4894" s="7">
        <v>5.62</v>
      </c>
      <c r="Q4894" s="7">
        <v>5.8959999999999999</v>
      </c>
      <c r="R4894" s="7">
        <v>6.149</v>
      </c>
      <c r="S4894" s="7">
        <f t="shared" si="76"/>
        <v>5.1215833333333336</v>
      </c>
    </row>
    <row r="4895" spans="1:19">
      <c r="A4895" s="5" t="str">
        <f>B4895&amp;"-"&amp;COUNTIF($B$2:B4895,B4895)</f>
        <v>SÃO PAULO-184</v>
      </c>
      <c r="B4895" s="5" t="s">
        <v>3122</v>
      </c>
      <c r="C4895" s="5" t="s">
        <v>3250</v>
      </c>
      <c r="D4895" s="6">
        <v>-463714</v>
      </c>
      <c r="E4895" s="6">
        <v>-235415</v>
      </c>
      <c r="F4895" s="7">
        <v>4.42</v>
      </c>
      <c r="G4895" s="7">
        <v>5.29</v>
      </c>
      <c r="H4895" s="7">
        <v>5.5039999999999996</v>
      </c>
      <c r="I4895" s="7">
        <v>4.6429999999999998</v>
      </c>
      <c r="J4895" s="7">
        <v>4.1159999999999997</v>
      </c>
      <c r="K4895" s="7">
        <v>3.3460000000000001</v>
      </c>
      <c r="L4895" s="7">
        <v>3.109</v>
      </c>
      <c r="M4895" s="7">
        <v>3.2290000000000001</v>
      </c>
      <c r="N4895" s="7">
        <v>4.1050000000000004</v>
      </c>
      <c r="O4895" s="7">
        <v>4.2030000000000003</v>
      </c>
      <c r="P4895" s="7">
        <v>4.7220000000000004</v>
      </c>
      <c r="Q4895" s="7">
        <v>5.1130000000000004</v>
      </c>
      <c r="R4895" s="7">
        <v>5.6609999999999996</v>
      </c>
      <c r="S4895" s="7">
        <f t="shared" si="76"/>
        <v>4.4200833333333334</v>
      </c>
    </row>
    <row r="4896" spans="1:19">
      <c r="A4896" s="5" t="str">
        <f>B4896&amp;"-"&amp;COUNTIF($B$2:B4896,B4896)</f>
        <v>SÃO PAULO-185</v>
      </c>
      <c r="B4896" s="5" t="s">
        <v>3122</v>
      </c>
      <c r="C4896" s="5" t="s">
        <v>5239</v>
      </c>
      <c r="D4896" s="6">
        <v>-511729</v>
      </c>
      <c r="E4896" s="6">
        <v>-216132</v>
      </c>
      <c r="F4896" s="7">
        <v>5.125</v>
      </c>
      <c r="G4896" s="7">
        <v>5.907</v>
      </c>
      <c r="H4896" s="7">
        <v>5.9960000000000004</v>
      </c>
      <c r="I4896" s="7">
        <v>5.4560000000000004</v>
      </c>
      <c r="J4896" s="7">
        <v>4.8860000000000001</v>
      </c>
      <c r="K4896" s="7">
        <v>4.024</v>
      </c>
      <c r="L4896" s="7">
        <v>3.7160000000000002</v>
      </c>
      <c r="M4896" s="7">
        <v>3.899</v>
      </c>
      <c r="N4896" s="7">
        <v>4.8049999999999997</v>
      </c>
      <c r="O4896" s="7">
        <v>4.8639999999999999</v>
      </c>
      <c r="P4896" s="7">
        <v>5.5629999999999997</v>
      </c>
      <c r="Q4896" s="7">
        <v>6.0640000000000001</v>
      </c>
      <c r="R4896" s="7">
        <v>6.3220000000000001</v>
      </c>
      <c r="S4896" s="7">
        <f t="shared" si="76"/>
        <v>5.1251666666666669</v>
      </c>
    </row>
    <row r="4897" spans="1:19">
      <c r="A4897" s="5" t="str">
        <f>B4897&amp;"-"&amp;COUNTIF($B$2:B4897,B4897)</f>
        <v>SÃO PAULO-186</v>
      </c>
      <c r="B4897" s="5" t="s">
        <v>3122</v>
      </c>
      <c r="C4897" s="5" t="s">
        <v>3251</v>
      </c>
      <c r="D4897" s="6">
        <v>-513806</v>
      </c>
      <c r="E4897" s="6">
        <v>-21676</v>
      </c>
      <c r="F4897" s="7">
        <v>5.1029999999999998</v>
      </c>
      <c r="G4897" s="7">
        <v>5.89</v>
      </c>
      <c r="H4897" s="7">
        <v>5.9480000000000004</v>
      </c>
      <c r="I4897" s="7">
        <v>5.4169999999999998</v>
      </c>
      <c r="J4897" s="7">
        <v>4.8390000000000004</v>
      </c>
      <c r="K4897" s="7">
        <v>4</v>
      </c>
      <c r="L4897" s="7">
        <v>3.694</v>
      </c>
      <c r="M4897" s="7">
        <v>3.8370000000000002</v>
      </c>
      <c r="N4897" s="7">
        <v>4.7889999999999997</v>
      </c>
      <c r="O4897" s="7">
        <v>4.859</v>
      </c>
      <c r="P4897" s="7">
        <v>5.5620000000000003</v>
      </c>
      <c r="Q4897" s="7">
        <v>6.0529999999999999</v>
      </c>
      <c r="R4897" s="7">
        <v>6.3449999999999998</v>
      </c>
      <c r="S4897" s="7">
        <f t="shared" si="76"/>
        <v>5.1027499999999995</v>
      </c>
    </row>
    <row r="4898" spans="1:19">
      <c r="A4898" s="5" t="str">
        <f>B4898&amp;"-"&amp;COUNTIF($B$2:B4898,B4898)</f>
        <v>SÃO PAULO-187</v>
      </c>
      <c r="B4898" s="5" t="s">
        <v>3122</v>
      </c>
      <c r="C4898" s="5" t="s">
        <v>3252</v>
      </c>
      <c r="D4898" s="6">
        <v>-507312</v>
      </c>
      <c r="E4898" s="6">
        <v>-229039</v>
      </c>
      <c r="F4898" s="7">
        <v>4.9880000000000004</v>
      </c>
      <c r="G4898" s="7">
        <v>6.0119999999999996</v>
      </c>
      <c r="H4898" s="7">
        <v>5.9080000000000004</v>
      </c>
      <c r="I4898" s="7">
        <v>5.2869999999999999</v>
      </c>
      <c r="J4898" s="7">
        <v>4.7080000000000002</v>
      </c>
      <c r="K4898" s="7">
        <v>3.7650000000000001</v>
      </c>
      <c r="L4898" s="7">
        <v>3.4289999999999998</v>
      </c>
      <c r="M4898" s="7">
        <v>3.6150000000000002</v>
      </c>
      <c r="N4898" s="7">
        <v>4.5620000000000003</v>
      </c>
      <c r="O4898" s="7">
        <v>4.6870000000000003</v>
      </c>
      <c r="P4898" s="7">
        <v>5.391</v>
      </c>
      <c r="Q4898" s="7">
        <v>6.0350000000000001</v>
      </c>
      <c r="R4898" s="7">
        <v>6.4610000000000003</v>
      </c>
      <c r="S4898" s="7">
        <f t="shared" si="76"/>
        <v>4.9883333333333324</v>
      </c>
    </row>
    <row r="4899" spans="1:19">
      <c r="A4899" s="5" t="str">
        <f>B4899&amp;"-"&amp;COUNTIF($B$2:B4899,B4899)</f>
        <v>SÃO PAULO-188</v>
      </c>
      <c r="B4899" s="5" t="s">
        <v>3122</v>
      </c>
      <c r="C4899" s="5" t="s">
        <v>3253</v>
      </c>
      <c r="D4899" s="6">
        <v>-501449</v>
      </c>
      <c r="E4899" s="6">
        <v>-20677</v>
      </c>
      <c r="F4899" s="7">
        <v>5.1580000000000004</v>
      </c>
      <c r="G4899" s="7">
        <v>5.8620000000000001</v>
      </c>
      <c r="H4899" s="7">
        <v>5.9109999999999996</v>
      </c>
      <c r="I4899" s="7">
        <v>5.298</v>
      </c>
      <c r="J4899" s="7">
        <v>4.8650000000000002</v>
      </c>
      <c r="K4899" s="7">
        <v>4.1289999999999996</v>
      </c>
      <c r="L4899" s="7">
        <v>3.887</v>
      </c>
      <c r="M4899" s="7">
        <v>4.1130000000000004</v>
      </c>
      <c r="N4899" s="7">
        <v>5.0019999999999998</v>
      </c>
      <c r="O4899" s="7">
        <v>5.0129999999999999</v>
      </c>
      <c r="P4899" s="7">
        <v>5.63</v>
      </c>
      <c r="Q4899" s="7">
        <v>5.9580000000000002</v>
      </c>
      <c r="R4899" s="7">
        <v>6.2279999999999998</v>
      </c>
      <c r="S4899" s="7">
        <f t="shared" si="76"/>
        <v>5.1580000000000004</v>
      </c>
    </row>
    <row r="4900" spans="1:19">
      <c r="A4900" s="5" t="str">
        <f>B4900&amp;"-"&amp;COUNTIF($B$2:B4900,B4900)</f>
        <v>SÃO PAULO-189</v>
      </c>
      <c r="B4900" s="5" t="s">
        <v>3122</v>
      </c>
      <c r="C4900" s="5" t="s">
        <v>3254</v>
      </c>
      <c r="D4900" s="6">
        <v>-474043</v>
      </c>
      <c r="E4900" s="6">
        <v>-205357</v>
      </c>
      <c r="F4900" s="7">
        <v>5.0940000000000003</v>
      </c>
      <c r="G4900" s="7">
        <v>5.5659999999999998</v>
      </c>
      <c r="H4900" s="7">
        <v>5.7930000000000001</v>
      </c>
      <c r="I4900" s="7">
        <v>5.0190000000000001</v>
      </c>
      <c r="J4900" s="7">
        <v>4.8470000000000004</v>
      </c>
      <c r="K4900" s="7">
        <v>4.2679999999999998</v>
      </c>
      <c r="L4900" s="7">
        <v>4.0910000000000002</v>
      </c>
      <c r="M4900" s="7">
        <v>4.2830000000000004</v>
      </c>
      <c r="N4900" s="7">
        <v>5.2290000000000001</v>
      </c>
      <c r="O4900" s="7">
        <v>5.1589999999999998</v>
      </c>
      <c r="P4900" s="7">
        <v>5.492</v>
      </c>
      <c r="Q4900" s="7">
        <v>5.5810000000000004</v>
      </c>
      <c r="R4900" s="7">
        <v>5.8040000000000003</v>
      </c>
      <c r="S4900" s="7">
        <f t="shared" si="76"/>
        <v>5.094333333333334</v>
      </c>
    </row>
    <row r="4901" spans="1:19">
      <c r="A4901" s="5" t="str">
        <f>B4901&amp;"-"&amp;COUNTIF($B$2:B4901,B4901)</f>
        <v>SÃO PAULO-190</v>
      </c>
      <c r="B4901" s="5" t="s">
        <v>3122</v>
      </c>
      <c r="C4901" s="5" t="s">
        <v>3255</v>
      </c>
      <c r="D4901" s="6">
        <v>-467452</v>
      </c>
      <c r="E4901" s="6">
        <v>-232797</v>
      </c>
      <c r="F4901" s="7">
        <v>4.665</v>
      </c>
      <c r="G4901" s="7">
        <v>5.3769999999999998</v>
      </c>
      <c r="H4901" s="7">
        <v>5.6719999999999997</v>
      </c>
      <c r="I4901" s="7">
        <v>4.8920000000000003</v>
      </c>
      <c r="J4901" s="7">
        <v>4.367</v>
      </c>
      <c r="K4901" s="7">
        <v>3.5950000000000002</v>
      </c>
      <c r="L4901" s="7">
        <v>3.3530000000000002</v>
      </c>
      <c r="M4901" s="7">
        <v>3.4569999999999999</v>
      </c>
      <c r="N4901" s="7">
        <v>4.4470000000000001</v>
      </c>
      <c r="O4901" s="7">
        <v>4.5019999999999998</v>
      </c>
      <c r="P4901" s="7">
        <v>5.0510000000000002</v>
      </c>
      <c r="Q4901" s="7">
        <v>5.3879999999999999</v>
      </c>
      <c r="R4901" s="7">
        <v>5.8819999999999997</v>
      </c>
      <c r="S4901" s="7">
        <f t="shared" si="76"/>
        <v>4.6652500000000003</v>
      </c>
    </row>
    <row r="4902" spans="1:19">
      <c r="A4902" s="5" t="str">
        <f>B4902&amp;"-"&amp;COUNTIF($B$2:B4902,B4902)</f>
        <v>SÃO PAULO-191</v>
      </c>
      <c r="B4902" s="5" t="s">
        <v>3122</v>
      </c>
      <c r="C4902" s="5" t="s">
        <v>3256</v>
      </c>
      <c r="D4902" s="6">
        <v>-467294</v>
      </c>
      <c r="E4902" s="6">
        <v>-233234</v>
      </c>
      <c r="F4902" s="7">
        <v>4.665</v>
      </c>
      <c r="G4902" s="7">
        <v>5.3769999999999998</v>
      </c>
      <c r="H4902" s="7">
        <v>5.6719999999999997</v>
      </c>
      <c r="I4902" s="7">
        <v>4.8920000000000003</v>
      </c>
      <c r="J4902" s="7">
        <v>4.367</v>
      </c>
      <c r="K4902" s="7">
        <v>3.5950000000000002</v>
      </c>
      <c r="L4902" s="7">
        <v>3.3530000000000002</v>
      </c>
      <c r="M4902" s="7">
        <v>3.4569999999999999</v>
      </c>
      <c r="N4902" s="7">
        <v>4.4470000000000001</v>
      </c>
      <c r="O4902" s="7">
        <v>4.5019999999999998</v>
      </c>
      <c r="P4902" s="7">
        <v>5.0510000000000002</v>
      </c>
      <c r="Q4902" s="7">
        <v>5.3879999999999999</v>
      </c>
      <c r="R4902" s="7">
        <v>5.8819999999999997</v>
      </c>
      <c r="S4902" s="7">
        <f t="shared" si="76"/>
        <v>4.6652500000000003</v>
      </c>
    </row>
    <row r="4903" spans="1:19">
      <c r="A4903" s="5" t="str">
        <f>B4903&amp;"-"&amp;COUNTIF($B$2:B4903,B4903)</f>
        <v>SÃO PAULO-192</v>
      </c>
      <c r="B4903" s="5" t="s">
        <v>3122</v>
      </c>
      <c r="C4903" s="5" t="s">
        <v>5767</v>
      </c>
      <c r="D4903" s="6">
        <v>-495508</v>
      </c>
      <c r="E4903" s="6">
        <v>-222923</v>
      </c>
      <c r="F4903" s="7">
        <v>4.9790000000000001</v>
      </c>
      <c r="G4903" s="7">
        <v>5.6349999999999998</v>
      </c>
      <c r="H4903" s="7">
        <v>5.827</v>
      </c>
      <c r="I4903" s="7">
        <v>5.1840000000000002</v>
      </c>
      <c r="J4903" s="7">
        <v>4.6769999999999996</v>
      </c>
      <c r="K4903" s="7">
        <v>3.855</v>
      </c>
      <c r="L4903" s="7">
        <v>3.5739999999999998</v>
      </c>
      <c r="M4903" s="7">
        <v>3.7909999999999999</v>
      </c>
      <c r="N4903" s="7">
        <v>4.7690000000000001</v>
      </c>
      <c r="O4903" s="7">
        <v>4.8280000000000003</v>
      </c>
      <c r="P4903" s="7">
        <v>5.5350000000000001</v>
      </c>
      <c r="Q4903" s="7">
        <v>5.88</v>
      </c>
      <c r="R4903" s="7">
        <v>6.194</v>
      </c>
      <c r="S4903" s="7">
        <f t="shared" si="76"/>
        <v>4.9790833333333335</v>
      </c>
    </row>
    <row r="4904" spans="1:19">
      <c r="A4904" s="5" t="str">
        <f>B4904&amp;"-"&amp;COUNTIF($B$2:B4904,B4904)</f>
        <v>SÃO PAULO-193</v>
      </c>
      <c r="B4904" s="5" t="s">
        <v>3122</v>
      </c>
      <c r="C4904" s="5" t="s">
        <v>3257</v>
      </c>
      <c r="D4904" s="6">
        <v>-505549</v>
      </c>
      <c r="E4904" s="6">
        <v>-21531</v>
      </c>
      <c r="F4904" s="7">
        <v>5.1210000000000004</v>
      </c>
      <c r="G4904" s="7">
        <v>5.9480000000000004</v>
      </c>
      <c r="H4904" s="7">
        <v>5.9349999999999996</v>
      </c>
      <c r="I4904" s="7">
        <v>5.3789999999999996</v>
      </c>
      <c r="J4904" s="7">
        <v>4.8810000000000002</v>
      </c>
      <c r="K4904" s="7">
        <v>3.9849999999999999</v>
      </c>
      <c r="L4904" s="7">
        <v>3.7160000000000002</v>
      </c>
      <c r="M4904" s="7">
        <v>3.9289999999999998</v>
      </c>
      <c r="N4904" s="7">
        <v>4.8449999999999998</v>
      </c>
      <c r="O4904" s="7">
        <v>4.8899999999999997</v>
      </c>
      <c r="P4904" s="7">
        <v>5.5910000000000002</v>
      </c>
      <c r="Q4904" s="7">
        <v>6.0570000000000004</v>
      </c>
      <c r="R4904" s="7">
        <v>6.2949999999999999</v>
      </c>
      <c r="S4904" s="7">
        <f t="shared" si="76"/>
        <v>5.120916666666667</v>
      </c>
    </row>
    <row r="4905" spans="1:19">
      <c r="A4905" s="5" t="str">
        <f>B4905&amp;"-"&amp;COUNTIF($B$2:B4905,B4905)</f>
        <v>SÃO PAULO-194</v>
      </c>
      <c r="B4905" s="5" t="s">
        <v>3122</v>
      </c>
      <c r="C4905" s="5" t="s">
        <v>4786</v>
      </c>
      <c r="D4905" s="6">
        <v>-49655</v>
      </c>
      <c r="E4905" s="6">
        <v>-22213</v>
      </c>
      <c r="F4905" s="7">
        <v>5.0090000000000003</v>
      </c>
      <c r="G4905" s="7">
        <v>5.6630000000000003</v>
      </c>
      <c r="H4905" s="7">
        <v>5.8280000000000003</v>
      </c>
      <c r="I4905" s="7">
        <v>5.2549999999999999</v>
      </c>
      <c r="J4905" s="7">
        <v>4.7169999999999996</v>
      </c>
      <c r="K4905" s="7">
        <v>3.8849999999999998</v>
      </c>
      <c r="L4905" s="7">
        <v>3.589</v>
      </c>
      <c r="M4905" s="7">
        <v>3.8250000000000002</v>
      </c>
      <c r="N4905" s="7">
        <v>4.7809999999999997</v>
      </c>
      <c r="O4905" s="7">
        <v>4.8449999999999998</v>
      </c>
      <c r="P4905" s="7">
        <v>5.57</v>
      </c>
      <c r="Q4905" s="7">
        <v>5.9139999999999997</v>
      </c>
      <c r="R4905" s="7">
        <v>6.2359999999999998</v>
      </c>
      <c r="S4905" s="7">
        <f t="shared" si="76"/>
        <v>5.0089999999999995</v>
      </c>
    </row>
    <row r="4906" spans="1:19">
      <c r="A4906" s="5" t="str">
        <f>B4906&amp;"-"&amp;COUNTIF($B$2:B4906,B4906)</f>
        <v>SÃO PAULO-195</v>
      </c>
      <c r="B4906" s="5" t="s">
        <v>3122</v>
      </c>
      <c r="C4906" s="5" t="s">
        <v>4222</v>
      </c>
      <c r="D4906" s="6">
        <v>-501869</v>
      </c>
      <c r="E4906" s="6">
        <v>-20799</v>
      </c>
      <c r="F4906" s="7">
        <v>5.1609999999999996</v>
      </c>
      <c r="G4906" s="7">
        <v>5.84</v>
      </c>
      <c r="H4906" s="7">
        <v>5.9409999999999998</v>
      </c>
      <c r="I4906" s="7">
        <v>5.2990000000000004</v>
      </c>
      <c r="J4906" s="7">
        <v>4.9219999999999997</v>
      </c>
      <c r="K4906" s="7">
        <v>4.125</v>
      </c>
      <c r="L4906" s="7">
        <v>3.8650000000000002</v>
      </c>
      <c r="M4906" s="7">
        <v>4.069</v>
      </c>
      <c r="N4906" s="7">
        <v>5.0090000000000003</v>
      </c>
      <c r="O4906" s="7">
        <v>4.9989999999999997</v>
      </c>
      <c r="P4906" s="7">
        <v>5.641</v>
      </c>
      <c r="Q4906" s="7">
        <v>5.9859999999999998</v>
      </c>
      <c r="R4906" s="7">
        <v>6.2329999999999997</v>
      </c>
      <c r="S4906" s="7">
        <f t="shared" si="76"/>
        <v>5.1607499999999993</v>
      </c>
    </row>
    <row r="4907" spans="1:19">
      <c r="A4907" s="5" t="str">
        <f>B4907&amp;"-"&amp;COUNTIF($B$2:B4907,B4907)</f>
        <v>SÃO PAULO-196</v>
      </c>
      <c r="B4907" s="5" t="s">
        <v>3122</v>
      </c>
      <c r="C4907" s="5" t="s">
        <v>4223</v>
      </c>
      <c r="D4907" s="6">
        <v>-484961</v>
      </c>
      <c r="E4907" s="6">
        <v>-218371</v>
      </c>
      <c r="F4907" s="7">
        <v>5.0199999999999996</v>
      </c>
      <c r="G4907" s="7">
        <v>5.6909999999999998</v>
      </c>
      <c r="H4907" s="7">
        <v>5.8730000000000002</v>
      </c>
      <c r="I4907" s="7">
        <v>5.1360000000000001</v>
      </c>
      <c r="J4907" s="7">
        <v>4.7240000000000002</v>
      </c>
      <c r="K4907" s="7">
        <v>3.9820000000000002</v>
      </c>
      <c r="L4907" s="7">
        <v>3.7</v>
      </c>
      <c r="M4907" s="7">
        <v>3.92</v>
      </c>
      <c r="N4907" s="7">
        <v>4.83</v>
      </c>
      <c r="O4907" s="7">
        <v>4.9539999999999997</v>
      </c>
      <c r="P4907" s="7">
        <v>5.5590000000000002</v>
      </c>
      <c r="Q4907" s="7">
        <v>5.798</v>
      </c>
      <c r="R4907" s="7">
        <v>6.077</v>
      </c>
      <c r="S4907" s="7">
        <f t="shared" si="76"/>
        <v>5.0203333333333324</v>
      </c>
    </row>
    <row r="4908" spans="1:19">
      <c r="A4908" s="5" t="str">
        <f>B4908&amp;"-"&amp;COUNTIF($B$2:B4908,B4908)</f>
        <v>SÃO PAULO-197</v>
      </c>
      <c r="B4908" s="5" t="s">
        <v>3122</v>
      </c>
      <c r="C4908" s="5" t="s">
        <v>3258</v>
      </c>
      <c r="D4908" s="6">
        <v>-503609</v>
      </c>
      <c r="E4908" s="6">
        <v>-20648</v>
      </c>
      <c r="F4908" s="7">
        <v>5.1769999999999996</v>
      </c>
      <c r="G4908" s="7">
        <v>5.8579999999999997</v>
      </c>
      <c r="H4908" s="7">
        <v>5.9470000000000001</v>
      </c>
      <c r="I4908" s="7">
        <v>5.3220000000000001</v>
      </c>
      <c r="J4908" s="7">
        <v>4.9020000000000001</v>
      </c>
      <c r="K4908" s="7">
        <v>4.1500000000000004</v>
      </c>
      <c r="L4908" s="7">
        <v>3.891</v>
      </c>
      <c r="M4908" s="7">
        <v>4.1109999999999998</v>
      </c>
      <c r="N4908" s="7">
        <v>5.0279999999999996</v>
      </c>
      <c r="O4908" s="7">
        <v>5.093</v>
      </c>
      <c r="P4908" s="7">
        <v>5.6139999999999999</v>
      </c>
      <c r="Q4908" s="7">
        <v>5.9630000000000001</v>
      </c>
      <c r="R4908" s="7">
        <v>6.242</v>
      </c>
      <c r="S4908" s="7">
        <f t="shared" si="76"/>
        <v>5.1767499999999993</v>
      </c>
    </row>
    <row r="4909" spans="1:19">
      <c r="A4909" s="5" t="str">
        <f>B4909&amp;"-"&amp;COUNTIF($B$2:B4909,B4909)</f>
        <v>SÃO PAULO-198</v>
      </c>
      <c r="B4909" s="5" t="s">
        <v>3122</v>
      </c>
      <c r="C4909" s="5" t="s">
        <v>3259</v>
      </c>
      <c r="D4909" s="6">
        <v>-499289</v>
      </c>
      <c r="E4909" s="6">
        <v>-21799</v>
      </c>
      <c r="F4909" s="7">
        <v>5.0579999999999998</v>
      </c>
      <c r="G4909" s="7">
        <v>5.851</v>
      </c>
      <c r="H4909" s="7">
        <v>5.8940000000000001</v>
      </c>
      <c r="I4909" s="7">
        <v>5.2990000000000004</v>
      </c>
      <c r="J4909" s="7">
        <v>4.8209999999999997</v>
      </c>
      <c r="K4909" s="7">
        <v>3.9260000000000002</v>
      </c>
      <c r="L4909" s="7">
        <v>3.62</v>
      </c>
      <c r="M4909" s="7">
        <v>3.87</v>
      </c>
      <c r="N4909" s="7">
        <v>4.7519999999999998</v>
      </c>
      <c r="O4909" s="7">
        <v>4.8719999999999999</v>
      </c>
      <c r="P4909" s="7">
        <v>5.5819999999999999</v>
      </c>
      <c r="Q4909" s="7">
        <v>5.9359999999999999</v>
      </c>
      <c r="R4909" s="7">
        <v>6.2679999999999998</v>
      </c>
      <c r="S4909" s="7">
        <f t="shared" si="76"/>
        <v>5.0575833333333344</v>
      </c>
    </row>
    <row r="4910" spans="1:19">
      <c r="A4910" s="5" t="str">
        <f>B4910&amp;"-"&amp;COUNTIF($B$2:B4910,B4910)</f>
        <v>SÃO PAULO-199</v>
      </c>
      <c r="B4910" s="5" t="s">
        <v>3122</v>
      </c>
      <c r="C4910" s="5" t="s">
        <v>4508</v>
      </c>
      <c r="D4910" s="6">
        <v>-502109</v>
      </c>
      <c r="E4910" s="6">
        <v>-21384</v>
      </c>
      <c r="F4910" s="7">
        <v>5.1369999999999996</v>
      </c>
      <c r="G4910" s="7">
        <v>5.968</v>
      </c>
      <c r="H4910" s="7">
        <v>6.0430000000000001</v>
      </c>
      <c r="I4910" s="7">
        <v>5.3559999999999999</v>
      </c>
      <c r="J4910" s="7">
        <v>4.8310000000000004</v>
      </c>
      <c r="K4910" s="7">
        <v>4.0149999999999997</v>
      </c>
      <c r="L4910" s="7">
        <v>3.7069999999999999</v>
      </c>
      <c r="M4910" s="7">
        <v>3.9529999999999998</v>
      </c>
      <c r="N4910" s="7">
        <v>4.851</v>
      </c>
      <c r="O4910" s="7">
        <v>4.9189999999999996</v>
      </c>
      <c r="P4910" s="7">
        <v>5.617</v>
      </c>
      <c r="Q4910" s="7">
        <v>6.0519999999999996</v>
      </c>
      <c r="R4910" s="7">
        <v>6.335</v>
      </c>
      <c r="S4910" s="7">
        <f t="shared" si="76"/>
        <v>5.137249999999999</v>
      </c>
    </row>
    <row r="4911" spans="1:19">
      <c r="A4911" s="5" t="str">
        <f>B4911&amp;"-"&amp;COUNTIF($B$2:B4911,B4911)</f>
        <v>SÃO PAULO-200</v>
      </c>
      <c r="B4911" s="5" t="s">
        <v>3122</v>
      </c>
      <c r="C4911" s="5" t="s">
        <v>1993</v>
      </c>
      <c r="D4911" s="6">
        <v>-483124</v>
      </c>
      <c r="E4911" s="6">
        <v>-203201</v>
      </c>
      <c r="F4911" s="7">
        <v>5.2190000000000003</v>
      </c>
      <c r="G4911" s="7">
        <v>5.8819999999999997</v>
      </c>
      <c r="H4911" s="7">
        <v>6.07</v>
      </c>
      <c r="I4911" s="7">
        <v>5.22</v>
      </c>
      <c r="J4911" s="7">
        <v>4.9720000000000004</v>
      </c>
      <c r="K4911" s="7">
        <v>4.3220000000000001</v>
      </c>
      <c r="L4911" s="7">
        <v>4.0270000000000001</v>
      </c>
      <c r="M4911" s="7">
        <v>4.2770000000000001</v>
      </c>
      <c r="N4911" s="7">
        <v>5.1100000000000003</v>
      </c>
      <c r="O4911" s="7">
        <v>5.1539999999999999</v>
      </c>
      <c r="P4911" s="7">
        <v>5.5979999999999999</v>
      </c>
      <c r="Q4911" s="7">
        <v>5.7930000000000001</v>
      </c>
      <c r="R4911" s="7">
        <v>6.2050000000000001</v>
      </c>
      <c r="S4911" s="7">
        <f t="shared" si="76"/>
        <v>5.2191666666666672</v>
      </c>
    </row>
    <row r="4912" spans="1:19">
      <c r="A4912" s="5" t="str">
        <f>B4912&amp;"-"&amp;COUNTIF($B$2:B4912,B4912)</f>
        <v>SÃO PAULO-201</v>
      </c>
      <c r="B4912" s="5" t="s">
        <v>3122</v>
      </c>
      <c r="C4912" s="5" t="s">
        <v>4787</v>
      </c>
      <c r="D4912" s="6">
        <v>-497989</v>
      </c>
      <c r="E4912" s="6">
        <v>-21622</v>
      </c>
      <c r="F4912" s="7">
        <v>5.1150000000000002</v>
      </c>
      <c r="G4912" s="7">
        <v>5.8860000000000001</v>
      </c>
      <c r="H4912" s="7">
        <v>6.01</v>
      </c>
      <c r="I4912" s="7">
        <v>5.3860000000000001</v>
      </c>
      <c r="J4912" s="7">
        <v>4.8579999999999997</v>
      </c>
      <c r="K4912" s="7">
        <v>3.9660000000000002</v>
      </c>
      <c r="L4912" s="7">
        <v>3.6869999999999998</v>
      </c>
      <c r="M4912" s="7">
        <v>3.9249999999999998</v>
      </c>
      <c r="N4912" s="7">
        <v>4.7880000000000003</v>
      </c>
      <c r="O4912" s="7">
        <v>4.9589999999999996</v>
      </c>
      <c r="P4912" s="7">
        <v>5.6470000000000002</v>
      </c>
      <c r="Q4912" s="7">
        <v>6.0039999999999996</v>
      </c>
      <c r="R4912" s="7">
        <v>6.26</v>
      </c>
      <c r="S4912" s="7">
        <f t="shared" si="76"/>
        <v>5.1146666666666665</v>
      </c>
    </row>
    <row r="4913" spans="1:19">
      <c r="A4913" s="5" t="str">
        <f>B4913&amp;"-"&amp;COUNTIF($B$2:B4913,B4913)</f>
        <v>SÃO PAULO-202</v>
      </c>
      <c r="B4913" s="5" t="s">
        <v>3122</v>
      </c>
      <c r="C4913" s="5" t="s">
        <v>5334</v>
      </c>
      <c r="D4913" s="6">
        <v>-49899</v>
      </c>
      <c r="E4913" s="6">
        <v>-219095</v>
      </c>
      <c r="F4913" s="7">
        <v>5.0490000000000004</v>
      </c>
      <c r="G4913" s="7">
        <v>5.7770000000000001</v>
      </c>
      <c r="H4913" s="7">
        <v>5.89</v>
      </c>
      <c r="I4913" s="7">
        <v>5.2839999999999998</v>
      </c>
      <c r="J4913" s="7">
        <v>4.7880000000000003</v>
      </c>
      <c r="K4913" s="7">
        <v>3.9119999999999999</v>
      </c>
      <c r="L4913" s="7">
        <v>3.6230000000000002</v>
      </c>
      <c r="M4913" s="7">
        <v>3.863</v>
      </c>
      <c r="N4913" s="7">
        <v>4.7789999999999999</v>
      </c>
      <c r="O4913" s="7">
        <v>4.8810000000000002</v>
      </c>
      <c r="P4913" s="7">
        <v>5.6050000000000004</v>
      </c>
      <c r="Q4913" s="7">
        <v>5.9429999999999996</v>
      </c>
      <c r="R4913" s="7">
        <v>6.2439999999999998</v>
      </c>
      <c r="S4913" s="7">
        <f t="shared" si="76"/>
        <v>5.0490833333333329</v>
      </c>
    </row>
    <row r="4914" spans="1:19">
      <c r="A4914" s="5" t="str">
        <f>B4914&amp;"-"&amp;COUNTIF($B$2:B4914,B4914)</f>
        <v>SÃO PAULO-203</v>
      </c>
      <c r="B4914" s="5" t="s">
        <v>3122</v>
      </c>
      <c r="C4914" s="5" t="s">
        <v>4788</v>
      </c>
      <c r="D4914" s="6">
        <v>-492199</v>
      </c>
      <c r="E4914" s="6">
        <v>-20795</v>
      </c>
      <c r="F4914" s="7">
        <v>5.1440000000000001</v>
      </c>
      <c r="G4914" s="7">
        <v>5.7830000000000004</v>
      </c>
      <c r="H4914" s="7">
        <v>5.8579999999999997</v>
      </c>
      <c r="I4914" s="7">
        <v>5.218</v>
      </c>
      <c r="J4914" s="7">
        <v>4.851</v>
      </c>
      <c r="K4914" s="7">
        <v>4.117</v>
      </c>
      <c r="L4914" s="7">
        <v>3.9209999999999998</v>
      </c>
      <c r="M4914" s="7">
        <v>4.1340000000000003</v>
      </c>
      <c r="N4914" s="7">
        <v>5.07</v>
      </c>
      <c r="O4914" s="7">
        <v>5.1130000000000004</v>
      </c>
      <c r="P4914" s="7">
        <v>5.5919999999999996</v>
      </c>
      <c r="Q4914" s="7">
        <v>5.9160000000000004</v>
      </c>
      <c r="R4914" s="7">
        <v>6.1580000000000004</v>
      </c>
      <c r="S4914" s="7">
        <f t="shared" si="76"/>
        <v>5.1442500000000004</v>
      </c>
    </row>
    <row r="4915" spans="1:19">
      <c r="A4915" s="5" t="str">
        <f>B4915&amp;"-"&amp;COUNTIF($B$2:B4915,B4915)</f>
        <v>SÃO PAULO-204</v>
      </c>
      <c r="B4915" s="5" t="s">
        <v>3122</v>
      </c>
      <c r="C4915" s="5" t="s">
        <v>3260</v>
      </c>
      <c r="D4915" s="5" t="s">
        <v>3261</v>
      </c>
      <c r="E4915" s="6">
        <v>-241897</v>
      </c>
      <c r="F4915" s="7">
        <v>4.3739999999999997</v>
      </c>
      <c r="G4915" s="7">
        <v>5.3369999999999997</v>
      </c>
      <c r="H4915" s="7">
        <v>5.3879999999999999</v>
      </c>
      <c r="I4915" s="7">
        <v>4.6550000000000002</v>
      </c>
      <c r="J4915" s="7">
        <v>4.0659999999999998</v>
      </c>
      <c r="K4915" s="7">
        <v>3.286</v>
      </c>
      <c r="L4915" s="7">
        <v>2.9830000000000001</v>
      </c>
      <c r="M4915" s="7">
        <v>3.1</v>
      </c>
      <c r="N4915" s="7">
        <v>4.0549999999999997</v>
      </c>
      <c r="O4915" s="7">
        <v>4.0780000000000003</v>
      </c>
      <c r="P4915" s="7">
        <v>4.548</v>
      </c>
      <c r="Q4915" s="7">
        <v>5.2140000000000004</v>
      </c>
      <c r="R4915" s="7">
        <v>5.7709999999999999</v>
      </c>
      <c r="S4915" s="7">
        <f t="shared" si="76"/>
        <v>4.3734166666666674</v>
      </c>
    </row>
    <row r="4916" spans="1:19">
      <c r="A4916" s="5" t="str">
        <f>B4916&amp;"-"&amp;COUNTIF($B$2:B4916,B4916)</f>
        <v>SÃO PAULO-205</v>
      </c>
      <c r="B4916" s="5" t="s">
        <v>3122</v>
      </c>
      <c r="C4916" s="5" t="s">
        <v>5768</v>
      </c>
      <c r="D4916" s="6">
        <v>-47824</v>
      </c>
      <c r="E4916" s="6">
        <v>-204306</v>
      </c>
      <c r="F4916" s="7">
        <v>5.1859999999999999</v>
      </c>
      <c r="G4916" s="7">
        <v>5.7779999999999996</v>
      </c>
      <c r="H4916" s="7">
        <v>6.0389999999999997</v>
      </c>
      <c r="I4916" s="7">
        <v>5.1740000000000004</v>
      </c>
      <c r="J4916" s="7">
        <v>4.9420000000000002</v>
      </c>
      <c r="K4916" s="7">
        <v>4.2960000000000003</v>
      </c>
      <c r="L4916" s="7">
        <v>4.0330000000000004</v>
      </c>
      <c r="M4916" s="7">
        <v>4.2560000000000002</v>
      </c>
      <c r="N4916" s="7">
        <v>5.1879999999999997</v>
      </c>
      <c r="O4916" s="7">
        <v>5.1459999999999999</v>
      </c>
      <c r="P4916" s="7">
        <v>5.5640000000000001</v>
      </c>
      <c r="Q4916" s="7">
        <v>5.7510000000000003</v>
      </c>
      <c r="R4916" s="7">
        <v>6.06</v>
      </c>
      <c r="S4916" s="7">
        <f t="shared" si="76"/>
        <v>5.1855833333333337</v>
      </c>
    </row>
    <row r="4917" spans="1:19">
      <c r="A4917" s="5" t="str">
        <f>B4917&amp;"-"&amp;COUNTIF($B$2:B4917,B4917)</f>
        <v>SÃO PAULO-206</v>
      </c>
      <c r="B4917" s="5" t="s">
        <v>3122</v>
      </c>
      <c r="C4917" s="5" t="s">
        <v>4789</v>
      </c>
      <c r="D4917" s="6">
        <v>-512092</v>
      </c>
      <c r="E4917" s="6">
        <v>-210333</v>
      </c>
      <c r="F4917" s="7">
        <v>5.16</v>
      </c>
      <c r="G4917" s="7">
        <v>5.883</v>
      </c>
      <c r="H4917" s="7">
        <v>5.9269999999999996</v>
      </c>
      <c r="I4917" s="7">
        <v>5.4279999999999999</v>
      </c>
      <c r="J4917" s="7">
        <v>4.923</v>
      </c>
      <c r="K4917" s="7">
        <v>4.0990000000000002</v>
      </c>
      <c r="L4917" s="7">
        <v>3.8</v>
      </c>
      <c r="M4917" s="7">
        <v>3.9660000000000002</v>
      </c>
      <c r="N4917" s="7">
        <v>4.9210000000000003</v>
      </c>
      <c r="O4917" s="7">
        <v>4.9770000000000003</v>
      </c>
      <c r="P4917" s="7">
        <v>5.64</v>
      </c>
      <c r="Q4917" s="7">
        <v>6.0640000000000001</v>
      </c>
      <c r="R4917" s="7">
        <v>6.2880000000000003</v>
      </c>
      <c r="S4917" s="7">
        <f t="shared" si="76"/>
        <v>5.1596666666666673</v>
      </c>
    </row>
    <row r="4918" spans="1:19">
      <c r="A4918" s="5" t="str">
        <f>B4918&amp;"-"&amp;COUNTIF($B$2:B4918,B4918)</f>
        <v>SÃO PAULO-207</v>
      </c>
      <c r="B4918" s="5" t="s">
        <v>3122</v>
      </c>
      <c r="C4918" s="5" t="s">
        <v>1997</v>
      </c>
      <c r="D4918" s="6">
        <v>-489449</v>
      </c>
      <c r="E4918" s="6">
        <v>-20499</v>
      </c>
      <c r="F4918" s="7">
        <v>5.2</v>
      </c>
      <c r="G4918" s="7">
        <v>5.8209999999999997</v>
      </c>
      <c r="H4918" s="7">
        <v>6.1189999999999998</v>
      </c>
      <c r="I4918" s="7">
        <v>5.2690000000000001</v>
      </c>
      <c r="J4918" s="7">
        <v>4.93</v>
      </c>
      <c r="K4918" s="7">
        <v>4.2249999999999996</v>
      </c>
      <c r="L4918" s="7">
        <v>3.944</v>
      </c>
      <c r="M4918" s="7">
        <v>4.18</v>
      </c>
      <c r="N4918" s="7">
        <v>5.1070000000000002</v>
      </c>
      <c r="O4918" s="7">
        <v>5.109</v>
      </c>
      <c r="P4918" s="7">
        <v>5.6260000000000003</v>
      </c>
      <c r="Q4918" s="7">
        <v>5.8760000000000003</v>
      </c>
      <c r="R4918" s="7">
        <v>6.2</v>
      </c>
      <c r="S4918" s="7">
        <f t="shared" si="76"/>
        <v>5.2004999999999999</v>
      </c>
    </row>
    <row r="4919" spans="1:19">
      <c r="A4919" s="5" t="str">
        <f>B4919&amp;"-"&amp;COUNTIF($B$2:B4919,B4919)</f>
        <v>SÃO PAULO-208</v>
      </c>
      <c r="B4919" s="5" t="s">
        <v>3122</v>
      </c>
      <c r="C4919" s="5" t="s">
        <v>3262</v>
      </c>
      <c r="D4919" s="6">
        <v>-503415</v>
      </c>
      <c r="E4919" s="6">
        <v>-200751</v>
      </c>
      <c r="F4919" s="7">
        <v>5.2</v>
      </c>
      <c r="G4919" s="7">
        <v>5.7850000000000001</v>
      </c>
      <c r="H4919" s="7">
        <v>5.9870000000000001</v>
      </c>
      <c r="I4919" s="7">
        <v>5.3179999999999996</v>
      </c>
      <c r="J4919" s="7">
        <v>4.9409999999999998</v>
      </c>
      <c r="K4919" s="7">
        <v>4.2469999999999999</v>
      </c>
      <c r="L4919" s="7">
        <v>3.9729999999999999</v>
      </c>
      <c r="M4919" s="7">
        <v>4.1879999999999997</v>
      </c>
      <c r="N4919" s="7">
        <v>5.093</v>
      </c>
      <c r="O4919" s="7">
        <v>5.13</v>
      </c>
      <c r="P4919" s="7">
        <v>5.6630000000000003</v>
      </c>
      <c r="Q4919" s="7">
        <v>5.8760000000000003</v>
      </c>
      <c r="R4919" s="7">
        <v>6.194</v>
      </c>
      <c r="S4919" s="7">
        <f t="shared" si="76"/>
        <v>5.1995833333333339</v>
      </c>
    </row>
    <row r="4920" spans="1:19">
      <c r="A4920" s="5" t="str">
        <f>B4920&amp;"-"&amp;COUNTIF($B$2:B4920,B4920)</f>
        <v>SÃO PAULO-209</v>
      </c>
      <c r="B4920" s="5" t="s">
        <v>3122</v>
      </c>
      <c r="C4920" s="5" t="s">
        <v>5408</v>
      </c>
      <c r="D4920" s="6">
        <v>-495899</v>
      </c>
      <c r="E4920" s="6">
        <v>-21895</v>
      </c>
      <c r="F4920" s="7">
        <v>5.0380000000000003</v>
      </c>
      <c r="G4920" s="7">
        <v>5.7590000000000003</v>
      </c>
      <c r="H4920" s="7">
        <v>5.8639999999999999</v>
      </c>
      <c r="I4920" s="7">
        <v>5.2549999999999999</v>
      </c>
      <c r="J4920" s="7">
        <v>4.7480000000000002</v>
      </c>
      <c r="K4920" s="7">
        <v>3.9020000000000001</v>
      </c>
      <c r="L4920" s="7">
        <v>3.665</v>
      </c>
      <c r="M4920" s="7">
        <v>3.875</v>
      </c>
      <c r="N4920" s="7">
        <v>4.7699999999999996</v>
      </c>
      <c r="O4920" s="7">
        <v>4.899</v>
      </c>
      <c r="P4920" s="7">
        <v>5.601</v>
      </c>
      <c r="Q4920" s="7">
        <v>5.907</v>
      </c>
      <c r="R4920" s="7">
        <v>6.2149999999999999</v>
      </c>
      <c r="S4920" s="7">
        <f t="shared" si="76"/>
        <v>5.0383333333333331</v>
      </c>
    </row>
    <row r="4921" spans="1:19">
      <c r="A4921" s="5" t="str">
        <f>B4921&amp;"-"&amp;COUNTIF($B$2:B4921,B4921)</f>
        <v>SÃO PAULO-210</v>
      </c>
      <c r="B4921" s="5" t="s">
        <v>3122</v>
      </c>
      <c r="C4921" s="5" t="s">
        <v>3263</v>
      </c>
      <c r="D4921" s="6">
        <v>-506458</v>
      </c>
      <c r="E4921" s="6">
        <v>-212549</v>
      </c>
      <c r="F4921" s="7">
        <v>5.1390000000000002</v>
      </c>
      <c r="G4921" s="7">
        <v>5.9349999999999996</v>
      </c>
      <c r="H4921" s="7">
        <v>5.97</v>
      </c>
      <c r="I4921" s="7">
        <v>5.3890000000000002</v>
      </c>
      <c r="J4921" s="7">
        <v>4.8890000000000002</v>
      </c>
      <c r="K4921" s="7">
        <v>4.0030000000000001</v>
      </c>
      <c r="L4921" s="7">
        <v>3.7170000000000001</v>
      </c>
      <c r="M4921" s="7">
        <v>3.9689999999999999</v>
      </c>
      <c r="N4921" s="7">
        <v>4.8689999999999998</v>
      </c>
      <c r="O4921" s="7">
        <v>4.9169999999999998</v>
      </c>
      <c r="P4921" s="7">
        <v>5.6070000000000002</v>
      </c>
      <c r="Q4921" s="7">
        <v>6.0869999999999997</v>
      </c>
      <c r="R4921" s="7">
        <v>6.3109999999999999</v>
      </c>
      <c r="S4921" s="7">
        <f t="shared" si="76"/>
        <v>5.1385833333333339</v>
      </c>
    </row>
    <row r="4922" spans="1:19">
      <c r="A4922" s="5" t="str">
        <f>B4922&amp;"-"&amp;COUNTIF($B$2:B4922,B4922)</f>
        <v>SÃO PAULO-211</v>
      </c>
      <c r="B4922" s="5" t="s">
        <v>3122</v>
      </c>
      <c r="C4922" s="5" t="s">
        <v>3264</v>
      </c>
      <c r="D4922" s="6">
        <v>-460373</v>
      </c>
      <c r="E4922" s="6">
        <v>-234117</v>
      </c>
      <c r="F4922" s="7">
        <v>4.5149999999999997</v>
      </c>
      <c r="G4922" s="7">
        <v>5.3449999999999998</v>
      </c>
      <c r="H4922" s="7">
        <v>5.6669999999999998</v>
      </c>
      <c r="I4922" s="7">
        <v>4.8</v>
      </c>
      <c r="J4922" s="7">
        <v>4.2270000000000003</v>
      </c>
      <c r="K4922" s="7">
        <v>3.3889999999999998</v>
      </c>
      <c r="L4922" s="7">
        <v>3.0870000000000002</v>
      </c>
      <c r="M4922" s="7">
        <v>3.2429999999999999</v>
      </c>
      <c r="N4922" s="7">
        <v>4.1929999999999996</v>
      </c>
      <c r="O4922" s="7">
        <v>4.3</v>
      </c>
      <c r="P4922" s="7">
        <v>4.9080000000000004</v>
      </c>
      <c r="Q4922" s="7">
        <v>5.2080000000000002</v>
      </c>
      <c r="R4922" s="7">
        <v>5.8079999999999998</v>
      </c>
      <c r="S4922" s="7">
        <f t="shared" si="76"/>
        <v>4.5145833333333334</v>
      </c>
    </row>
    <row r="4923" spans="1:19">
      <c r="A4923" s="5" t="str">
        <f>B4923&amp;"-"&amp;COUNTIF($B$2:B4923,B4923)</f>
        <v>SÃO PAULO-212</v>
      </c>
      <c r="B4923" s="5" t="s">
        <v>3122</v>
      </c>
      <c r="C4923" s="5" t="s">
        <v>5769</v>
      </c>
      <c r="D4923" s="6">
        <v>-451942</v>
      </c>
      <c r="E4923" s="6">
        <v>-22808</v>
      </c>
      <c r="F4923" s="7">
        <v>4.7350000000000003</v>
      </c>
      <c r="G4923" s="7">
        <v>5.5640000000000001</v>
      </c>
      <c r="H4923" s="7">
        <v>5.7939999999999996</v>
      </c>
      <c r="I4923" s="7">
        <v>4.9119999999999999</v>
      </c>
      <c r="J4923" s="7">
        <v>4.4809999999999999</v>
      </c>
      <c r="K4923" s="7">
        <v>3.6760000000000002</v>
      </c>
      <c r="L4923" s="7">
        <v>3.4129999999999998</v>
      </c>
      <c r="M4923" s="7">
        <v>3.548</v>
      </c>
      <c r="N4923" s="7">
        <v>4.5110000000000001</v>
      </c>
      <c r="O4923" s="7">
        <v>4.6710000000000003</v>
      </c>
      <c r="P4923" s="7">
        <v>5.1459999999999999</v>
      </c>
      <c r="Q4923" s="7">
        <v>5.2359999999999998</v>
      </c>
      <c r="R4923" s="7">
        <v>5.867</v>
      </c>
      <c r="S4923" s="7">
        <f t="shared" si="76"/>
        <v>4.734916666666666</v>
      </c>
    </row>
    <row r="4924" spans="1:19">
      <c r="A4924" s="5" t="str">
        <f>B4924&amp;"-"&amp;COUNTIF($B$2:B4924,B4924)</f>
        <v>SÃO PAULO-213</v>
      </c>
      <c r="B4924" s="5" t="s">
        <v>3122</v>
      </c>
      <c r="C4924" s="5" t="s">
        <v>3265</v>
      </c>
      <c r="D4924" s="6">
        <v>-481841</v>
      </c>
      <c r="E4924" s="6">
        <v>-233718</v>
      </c>
      <c r="F4924" s="7">
        <v>4.7300000000000004</v>
      </c>
      <c r="G4924" s="7">
        <v>5.423</v>
      </c>
      <c r="H4924" s="7">
        <v>5.6749999999999998</v>
      </c>
      <c r="I4924" s="7">
        <v>5.008</v>
      </c>
      <c r="J4924" s="7">
        <v>4.4560000000000004</v>
      </c>
      <c r="K4924" s="7">
        <v>3.5960000000000001</v>
      </c>
      <c r="L4924" s="7">
        <v>3.35</v>
      </c>
      <c r="M4924" s="7">
        <v>3.4369999999999998</v>
      </c>
      <c r="N4924" s="7">
        <v>4.4459999999999997</v>
      </c>
      <c r="O4924" s="7">
        <v>4.601</v>
      </c>
      <c r="P4924" s="7">
        <v>5.157</v>
      </c>
      <c r="Q4924" s="7">
        <v>5.6130000000000004</v>
      </c>
      <c r="R4924" s="7">
        <v>6.0039999999999996</v>
      </c>
      <c r="S4924" s="7">
        <f t="shared" si="76"/>
        <v>4.7305000000000001</v>
      </c>
    </row>
    <row r="4925" spans="1:19">
      <c r="A4925" s="5" t="str">
        <f>B4925&amp;"-"&amp;COUNTIF($B$2:B4925,B4925)</f>
        <v>SÃO PAULO-214</v>
      </c>
      <c r="B4925" s="5" t="s">
        <v>3122</v>
      </c>
      <c r="C4925" s="5" t="s">
        <v>3266</v>
      </c>
      <c r="D4925" s="6">
        <v>-48232</v>
      </c>
      <c r="E4925" s="6">
        <v>-213598</v>
      </c>
      <c r="F4925" s="7">
        <v>5.0780000000000003</v>
      </c>
      <c r="G4925" s="7">
        <v>5.742</v>
      </c>
      <c r="H4925" s="7">
        <v>5.97</v>
      </c>
      <c r="I4925" s="7">
        <v>5.17</v>
      </c>
      <c r="J4925" s="7">
        <v>4.7949999999999999</v>
      </c>
      <c r="K4925" s="7">
        <v>4.0880000000000001</v>
      </c>
      <c r="L4925" s="7">
        <v>3.8220000000000001</v>
      </c>
      <c r="M4925" s="7">
        <v>4.0359999999999996</v>
      </c>
      <c r="N4925" s="7">
        <v>4.8680000000000003</v>
      </c>
      <c r="O4925" s="7">
        <v>4.984</v>
      </c>
      <c r="P4925" s="7">
        <v>5.5359999999999996</v>
      </c>
      <c r="Q4925" s="7">
        <v>5.8230000000000004</v>
      </c>
      <c r="R4925" s="7">
        <v>6.0979999999999999</v>
      </c>
      <c r="S4925" s="7">
        <f t="shared" si="76"/>
        <v>5.0776666666666666</v>
      </c>
    </row>
    <row r="4926" spans="1:19">
      <c r="A4926" s="5" t="str">
        <f>B4926&amp;"-"&amp;COUNTIF($B$2:B4926,B4926)</f>
        <v>SÃO PAULO-215</v>
      </c>
      <c r="B4926" s="5" t="s">
        <v>3122</v>
      </c>
      <c r="C4926" s="5" t="s">
        <v>5770</v>
      </c>
      <c r="D4926" s="6">
        <v>-462584</v>
      </c>
      <c r="E4926" s="6">
        <v>-239893</v>
      </c>
      <c r="F4926" s="7">
        <v>4.1829999999999998</v>
      </c>
      <c r="G4926" s="7">
        <v>5.4489999999999998</v>
      </c>
      <c r="H4926" s="7">
        <v>5.4930000000000003</v>
      </c>
      <c r="I4926" s="7">
        <v>4.6189999999999998</v>
      </c>
      <c r="J4926" s="7">
        <v>4.0339999999999998</v>
      </c>
      <c r="K4926" s="7">
        <v>3.2719999999999998</v>
      </c>
      <c r="L4926" s="7">
        <v>2.879</v>
      </c>
      <c r="M4926" s="7">
        <v>2.9140000000000001</v>
      </c>
      <c r="N4926" s="7">
        <v>3.5950000000000002</v>
      </c>
      <c r="O4926" s="7">
        <v>3.5910000000000002</v>
      </c>
      <c r="P4926" s="7">
        <v>4.032</v>
      </c>
      <c r="Q4926" s="7">
        <v>4.8730000000000002</v>
      </c>
      <c r="R4926" s="7">
        <v>5.4489999999999998</v>
      </c>
      <c r="S4926" s="7">
        <f t="shared" si="76"/>
        <v>4.1833333333333327</v>
      </c>
    </row>
    <row r="4927" spans="1:19">
      <c r="A4927" s="5" t="str">
        <f>B4927&amp;"-"&amp;COUNTIF($B$2:B4927,B4927)</f>
        <v>SÃO PAULO-216</v>
      </c>
      <c r="B4927" s="5" t="s">
        <v>3122</v>
      </c>
      <c r="C4927" s="5" t="s">
        <v>3267</v>
      </c>
      <c r="D4927" s="6">
        <v>-465337</v>
      </c>
      <c r="E4927" s="6">
        <v>-234542</v>
      </c>
      <c r="F4927" s="7">
        <v>4.4359999999999999</v>
      </c>
      <c r="G4927" s="7">
        <v>5.1959999999999997</v>
      </c>
      <c r="H4927" s="7">
        <v>5.5090000000000003</v>
      </c>
      <c r="I4927" s="7">
        <v>4.6890000000000001</v>
      </c>
      <c r="J4927" s="7">
        <v>4.1440000000000001</v>
      </c>
      <c r="K4927" s="7">
        <v>3.4020000000000001</v>
      </c>
      <c r="L4927" s="7">
        <v>3.1739999999999999</v>
      </c>
      <c r="M4927" s="7">
        <v>3.2629999999999999</v>
      </c>
      <c r="N4927" s="7">
        <v>4.1970000000000001</v>
      </c>
      <c r="O4927" s="7">
        <v>4.202</v>
      </c>
      <c r="P4927" s="7">
        <v>4.7229999999999999</v>
      </c>
      <c r="Q4927" s="7">
        <v>5.0839999999999996</v>
      </c>
      <c r="R4927" s="7">
        <v>5.6459999999999999</v>
      </c>
      <c r="S4927" s="7">
        <f t="shared" si="76"/>
        <v>4.4357499999999996</v>
      </c>
    </row>
    <row r="4928" spans="1:19">
      <c r="A4928" s="5" t="str">
        <f>B4928&amp;"-"&amp;COUNTIF($B$2:B4928,B4928)</f>
        <v>SÃO PAULO-217</v>
      </c>
      <c r="B4928" s="5" t="s">
        <v>3122</v>
      </c>
      <c r="C4928" s="5" t="s">
        <v>5771</v>
      </c>
      <c r="D4928" s="6">
        <v>-48036</v>
      </c>
      <c r="E4928" s="6">
        <v>-214949</v>
      </c>
      <c r="F4928" s="7">
        <v>5.0609999999999999</v>
      </c>
      <c r="G4928" s="7">
        <v>5.7380000000000004</v>
      </c>
      <c r="H4928" s="7">
        <v>5.9749999999999996</v>
      </c>
      <c r="I4928" s="7">
        <v>5.19</v>
      </c>
      <c r="J4928" s="7">
        <v>4.7640000000000002</v>
      </c>
      <c r="K4928" s="7">
        <v>4.0519999999999996</v>
      </c>
      <c r="L4928" s="7">
        <v>3.819</v>
      </c>
      <c r="M4928" s="7">
        <v>4.0060000000000002</v>
      </c>
      <c r="N4928" s="7">
        <v>4.8609999999999998</v>
      </c>
      <c r="O4928" s="7">
        <v>4.9349999999999996</v>
      </c>
      <c r="P4928" s="7">
        <v>5.5149999999999997</v>
      </c>
      <c r="Q4928" s="7">
        <v>5.7670000000000003</v>
      </c>
      <c r="R4928" s="7">
        <v>6.1070000000000002</v>
      </c>
      <c r="S4928" s="7">
        <f t="shared" si="76"/>
        <v>5.0607499999999996</v>
      </c>
    </row>
    <row r="4929" spans="1:19">
      <c r="A4929" s="5" t="str">
        <f>B4929&amp;"-"&amp;COUNTIF($B$2:B4929,B4929)</f>
        <v>SÃO PAULO-218</v>
      </c>
      <c r="B4929" s="5" t="s">
        <v>3122</v>
      </c>
      <c r="C4929" s="5" t="s">
        <v>5027</v>
      </c>
      <c r="D4929" s="6">
        <v>-506619</v>
      </c>
      <c r="E4929" s="5" t="s">
        <v>3268</v>
      </c>
      <c r="F4929" s="7">
        <v>5.1859999999999999</v>
      </c>
      <c r="G4929" s="7">
        <v>5.8529999999999998</v>
      </c>
      <c r="H4929" s="7">
        <v>6.0140000000000002</v>
      </c>
      <c r="I4929" s="7">
        <v>5.3470000000000004</v>
      </c>
      <c r="J4929" s="7">
        <v>4.899</v>
      </c>
      <c r="K4929" s="7">
        <v>4.1539999999999999</v>
      </c>
      <c r="L4929" s="7">
        <v>3.8620000000000001</v>
      </c>
      <c r="M4929" s="7">
        <v>4.0919999999999996</v>
      </c>
      <c r="N4929" s="7">
        <v>5.0339999999999998</v>
      </c>
      <c r="O4929" s="7">
        <v>5.0629999999999997</v>
      </c>
      <c r="P4929" s="7">
        <v>5.6449999999999996</v>
      </c>
      <c r="Q4929" s="7">
        <v>5.9820000000000002</v>
      </c>
      <c r="R4929" s="7">
        <v>6.2919999999999998</v>
      </c>
      <c r="S4929" s="7">
        <f t="shared" si="76"/>
        <v>5.1864166666666671</v>
      </c>
    </row>
    <row r="4930" spans="1:19">
      <c r="A4930" s="5" t="str">
        <f>B4930&amp;"-"&amp;COUNTIF($B$2:B4930,B4930)</f>
        <v>SÃO PAULO-219</v>
      </c>
      <c r="B4930" s="5" t="s">
        <v>3122</v>
      </c>
      <c r="C4930" s="5" t="s">
        <v>5028</v>
      </c>
      <c r="D4930" s="6">
        <v>-503912</v>
      </c>
      <c r="E4930" s="6">
        <v>-220043</v>
      </c>
      <c r="F4930" s="7">
        <v>5.0510000000000002</v>
      </c>
      <c r="G4930" s="7">
        <v>5.8410000000000002</v>
      </c>
      <c r="H4930" s="7">
        <v>5.92</v>
      </c>
      <c r="I4930" s="7">
        <v>5.3029999999999999</v>
      </c>
      <c r="J4930" s="7">
        <v>4.742</v>
      </c>
      <c r="K4930" s="7">
        <v>3.887</v>
      </c>
      <c r="L4930" s="7">
        <v>3.6219999999999999</v>
      </c>
      <c r="M4930" s="7">
        <v>3.82</v>
      </c>
      <c r="N4930" s="7">
        <v>4.8029999999999999</v>
      </c>
      <c r="O4930" s="7">
        <v>4.819</v>
      </c>
      <c r="P4930" s="7">
        <v>5.5359999999999996</v>
      </c>
      <c r="Q4930" s="7">
        <v>6.0060000000000002</v>
      </c>
      <c r="R4930" s="7">
        <v>6.3129999999999997</v>
      </c>
      <c r="S4930" s="7">
        <f t="shared" si="76"/>
        <v>5.0510000000000002</v>
      </c>
    </row>
    <row r="4931" spans="1:19">
      <c r="A4931" s="5" t="str">
        <f>B4931&amp;"-"&amp;COUNTIF($B$2:B4931,B4931)</f>
        <v>SÃO PAULO-220</v>
      </c>
      <c r="B4931" s="5" t="s">
        <v>3122</v>
      </c>
      <c r="C4931" s="5" t="s">
        <v>3269</v>
      </c>
      <c r="D4931" s="6">
        <v>-470491</v>
      </c>
      <c r="E4931" s="6">
        <v>-22641</v>
      </c>
      <c r="F4931" s="7">
        <v>4.9550000000000001</v>
      </c>
      <c r="G4931" s="7">
        <v>5.5730000000000004</v>
      </c>
      <c r="H4931" s="7">
        <v>5.8310000000000004</v>
      </c>
      <c r="I4931" s="7">
        <v>5.1369999999999996</v>
      </c>
      <c r="J4931" s="7">
        <v>4.6689999999999996</v>
      </c>
      <c r="K4931" s="7">
        <v>3.875</v>
      </c>
      <c r="L4931" s="7">
        <v>3.5760000000000001</v>
      </c>
      <c r="M4931" s="7">
        <v>3.7749999999999999</v>
      </c>
      <c r="N4931" s="7">
        <v>4.7149999999999999</v>
      </c>
      <c r="O4931" s="7">
        <v>4.8840000000000003</v>
      </c>
      <c r="P4931" s="7">
        <v>5.524</v>
      </c>
      <c r="Q4931" s="7">
        <v>5.7359999999999998</v>
      </c>
      <c r="R4931" s="7">
        <v>6.1639999999999997</v>
      </c>
      <c r="S4931" s="7">
        <f t="shared" ref="S4931:S4994" si="77">(G4931+H4931+I4931+J4931+K4931+L4931+M4931+N4931+O4931+P4931+Q4931+R4931)/12</f>
        <v>4.9549166666666666</v>
      </c>
    </row>
    <row r="4932" spans="1:19">
      <c r="A4932" s="5" t="str">
        <f>B4932&amp;"-"&amp;COUNTIF($B$2:B4932,B4932)</f>
        <v>SÃO PAULO-221</v>
      </c>
      <c r="B4932" s="5" t="s">
        <v>3122</v>
      </c>
      <c r="C4932" s="5" t="s">
        <v>5029</v>
      </c>
      <c r="D4932" s="6">
        <v>-472147</v>
      </c>
      <c r="E4932" s="6">
        <v>-228533</v>
      </c>
      <c r="F4932" s="7">
        <v>4.9329999999999998</v>
      </c>
      <c r="G4932" s="7">
        <v>5.6580000000000004</v>
      </c>
      <c r="H4932" s="7">
        <v>5.7679999999999998</v>
      </c>
      <c r="I4932" s="7">
        <v>5.1230000000000002</v>
      </c>
      <c r="J4932" s="7">
        <v>4.6660000000000004</v>
      </c>
      <c r="K4932" s="7">
        <v>3.7909999999999999</v>
      </c>
      <c r="L4932" s="7">
        <v>3.5510000000000002</v>
      </c>
      <c r="M4932" s="7">
        <v>3.6970000000000001</v>
      </c>
      <c r="N4932" s="7">
        <v>4.66</v>
      </c>
      <c r="O4932" s="7">
        <v>4.835</v>
      </c>
      <c r="P4932" s="7">
        <v>5.4880000000000004</v>
      </c>
      <c r="Q4932" s="7">
        <v>5.7649999999999997</v>
      </c>
      <c r="R4932" s="7">
        <v>6.1920000000000002</v>
      </c>
      <c r="S4932" s="7">
        <f t="shared" si="77"/>
        <v>4.9328333333333338</v>
      </c>
    </row>
    <row r="4933" spans="1:19">
      <c r="A4933" s="5" t="str">
        <f>B4933&amp;"-"&amp;COUNTIF($B$2:B4933,B4933)</f>
        <v>SÃO PAULO-222</v>
      </c>
      <c r="B4933" s="5" t="s">
        <v>3122</v>
      </c>
      <c r="C4933" s="5" t="s">
        <v>3270</v>
      </c>
      <c r="D4933" s="6">
        <v>-490249</v>
      </c>
      <c r="E4933" s="5" t="s">
        <v>3271</v>
      </c>
      <c r="F4933" s="7">
        <v>5.0949999999999998</v>
      </c>
      <c r="G4933" s="7">
        <v>5.8470000000000004</v>
      </c>
      <c r="H4933" s="7">
        <v>6.02</v>
      </c>
      <c r="I4933" s="7">
        <v>5.282</v>
      </c>
      <c r="J4933" s="7">
        <v>4.7859999999999996</v>
      </c>
      <c r="K4933" s="7">
        <v>3.92</v>
      </c>
      <c r="L4933" s="7">
        <v>3.6970000000000001</v>
      </c>
      <c r="M4933" s="7">
        <v>3.8849999999999998</v>
      </c>
      <c r="N4933" s="7">
        <v>4.7960000000000003</v>
      </c>
      <c r="O4933" s="7">
        <v>4.907</v>
      </c>
      <c r="P4933" s="7">
        <v>5.6680000000000001</v>
      </c>
      <c r="Q4933" s="7">
        <v>6.0110000000000001</v>
      </c>
      <c r="R4933" s="7">
        <v>6.3170000000000002</v>
      </c>
      <c r="S4933" s="7">
        <f t="shared" si="77"/>
        <v>5.0946666666666669</v>
      </c>
    </row>
    <row r="4934" spans="1:19">
      <c r="A4934" s="5" t="str">
        <f>B4934&amp;"-"&amp;COUNTIF($B$2:B4934,B4934)</f>
        <v>SÃO PAULO-223</v>
      </c>
      <c r="B4934" s="5" t="s">
        <v>3122</v>
      </c>
      <c r="C4934" s="5" t="s">
        <v>3272</v>
      </c>
      <c r="D4934" s="6">
        <v>-506889</v>
      </c>
      <c r="E4934" s="6">
        <v>-21858</v>
      </c>
      <c r="F4934" s="7">
        <v>5.0730000000000004</v>
      </c>
      <c r="G4934" s="7">
        <v>5.8550000000000004</v>
      </c>
      <c r="H4934" s="7">
        <v>5.9080000000000004</v>
      </c>
      <c r="I4934" s="7">
        <v>5.3310000000000004</v>
      </c>
      <c r="J4934" s="7">
        <v>4.7619999999999996</v>
      </c>
      <c r="K4934" s="7">
        <v>3.948</v>
      </c>
      <c r="L4934" s="7">
        <v>3.63</v>
      </c>
      <c r="M4934" s="7">
        <v>3.859</v>
      </c>
      <c r="N4934" s="7">
        <v>4.8490000000000002</v>
      </c>
      <c r="O4934" s="7">
        <v>4.8220000000000001</v>
      </c>
      <c r="P4934" s="7">
        <v>5.5430000000000001</v>
      </c>
      <c r="Q4934" s="7">
        <v>6.0190000000000001</v>
      </c>
      <c r="R4934" s="7">
        <v>6.3449999999999998</v>
      </c>
      <c r="S4934" s="7">
        <f t="shared" si="77"/>
        <v>5.0725833333333332</v>
      </c>
    </row>
    <row r="4935" spans="1:19">
      <c r="A4935" s="5" t="str">
        <f>B4935&amp;"-"&amp;COUNTIF($B$2:B4935,B4935)</f>
        <v>SÃO PAULO-224</v>
      </c>
      <c r="B4935" s="5" t="s">
        <v>3122</v>
      </c>
      <c r="C4935" s="5" t="s">
        <v>3273</v>
      </c>
      <c r="D4935" s="6">
        <v>-491629</v>
      </c>
      <c r="E4935" s="6">
        <v>-22871</v>
      </c>
      <c r="F4935" s="7">
        <v>4.8789999999999996</v>
      </c>
      <c r="G4935" s="7">
        <v>5.5119999999999996</v>
      </c>
      <c r="H4935" s="7">
        <v>5.726</v>
      </c>
      <c r="I4935" s="7">
        <v>5.101</v>
      </c>
      <c r="J4935" s="7">
        <v>4.6420000000000003</v>
      </c>
      <c r="K4935" s="7">
        <v>3.7029999999999998</v>
      </c>
      <c r="L4935" s="7">
        <v>3.4609999999999999</v>
      </c>
      <c r="M4935" s="7">
        <v>3.6579999999999999</v>
      </c>
      <c r="N4935" s="7">
        <v>4.6539999999999999</v>
      </c>
      <c r="O4935" s="7">
        <v>4.742</v>
      </c>
      <c r="P4935" s="7">
        <v>5.3659999999999997</v>
      </c>
      <c r="Q4935" s="7">
        <v>5.83</v>
      </c>
      <c r="R4935" s="7">
        <v>6.1550000000000002</v>
      </c>
      <c r="S4935" s="7">
        <f t="shared" si="77"/>
        <v>4.8791666666666655</v>
      </c>
    </row>
    <row r="4936" spans="1:19">
      <c r="A4936" s="5" t="str">
        <f>B4936&amp;"-"&amp;COUNTIF($B$2:B4936,B4936)</f>
        <v>SÃO PAULO-225</v>
      </c>
      <c r="B4936" s="5" t="s">
        <v>3122</v>
      </c>
      <c r="C4936" s="5" t="s">
        <v>4509</v>
      </c>
      <c r="D4936" s="6">
        <v>-48004</v>
      </c>
      <c r="E4936" s="6">
        <v>-219566</v>
      </c>
      <c r="F4936" s="7">
        <v>4.9690000000000003</v>
      </c>
      <c r="G4936" s="7">
        <v>5.5369999999999999</v>
      </c>
      <c r="H4936" s="7">
        <v>5.8529999999999998</v>
      </c>
      <c r="I4936" s="7">
        <v>5.1539999999999999</v>
      </c>
      <c r="J4936" s="7">
        <v>4.6749999999999998</v>
      </c>
      <c r="K4936" s="7">
        <v>3.948</v>
      </c>
      <c r="L4936" s="7">
        <v>3.7189999999999999</v>
      </c>
      <c r="M4936" s="7">
        <v>3.8450000000000002</v>
      </c>
      <c r="N4936" s="7">
        <v>4.7809999999999997</v>
      </c>
      <c r="O4936" s="7">
        <v>4.907</v>
      </c>
      <c r="P4936" s="7">
        <v>5.4969999999999999</v>
      </c>
      <c r="Q4936" s="7">
        <v>5.6909999999999998</v>
      </c>
      <c r="R4936" s="7">
        <v>6.0229999999999997</v>
      </c>
      <c r="S4936" s="7">
        <f t="shared" si="77"/>
        <v>4.9691666666666663</v>
      </c>
    </row>
    <row r="4937" spans="1:19">
      <c r="A4937" s="5" t="str">
        <f>B4937&amp;"-"&amp;COUNTIF($B$2:B4937,B4937)</f>
        <v>SÃO PAULO-226</v>
      </c>
      <c r="B4937" s="5" t="s">
        <v>3122</v>
      </c>
      <c r="C4937" s="5" t="s">
        <v>4886</v>
      </c>
      <c r="D4937" s="6">
        <v>-472234</v>
      </c>
      <c r="E4937" s="6">
        <v>-236601</v>
      </c>
      <c r="F4937" s="7">
        <v>4.55</v>
      </c>
      <c r="G4937" s="7">
        <v>5.2629999999999999</v>
      </c>
      <c r="H4937" s="7">
        <v>5.548</v>
      </c>
      <c r="I4937" s="7">
        <v>4.8090000000000002</v>
      </c>
      <c r="J4937" s="7">
        <v>4.2770000000000001</v>
      </c>
      <c r="K4937" s="7">
        <v>3.48</v>
      </c>
      <c r="L4937" s="7">
        <v>3.2250000000000001</v>
      </c>
      <c r="M4937" s="7">
        <v>3.3079999999999998</v>
      </c>
      <c r="N4937" s="7">
        <v>4.2809999999999997</v>
      </c>
      <c r="O4937" s="7">
        <v>4.3529999999999998</v>
      </c>
      <c r="P4937" s="7">
        <v>4.8739999999999997</v>
      </c>
      <c r="Q4937" s="7">
        <v>5.3540000000000001</v>
      </c>
      <c r="R4937" s="7">
        <v>5.8289999999999997</v>
      </c>
      <c r="S4937" s="7">
        <f t="shared" si="77"/>
        <v>4.5500833333333341</v>
      </c>
    </row>
    <row r="4938" spans="1:19">
      <c r="A4938" s="5" t="str">
        <f>B4938&amp;"-"&amp;COUNTIF($B$2:B4938,B4938)</f>
        <v>SÃO PAULO-227</v>
      </c>
      <c r="B4938" s="5" t="s">
        <v>3122</v>
      </c>
      <c r="C4938" s="5" t="s">
        <v>5772</v>
      </c>
      <c r="D4938" s="6">
        <v>-492452</v>
      </c>
      <c r="E4938" s="6">
        <v>-210835</v>
      </c>
      <c r="F4938" s="7">
        <v>5.13</v>
      </c>
      <c r="G4938" s="7">
        <v>5.8330000000000002</v>
      </c>
      <c r="H4938" s="7">
        <v>5.9409999999999998</v>
      </c>
      <c r="I4938" s="7">
        <v>5.2350000000000003</v>
      </c>
      <c r="J4938" s="7">
        <v>4.835</v>
      </c>
      <c r="K4938" s="7">
        <v>4.0949999999999998</v>
      </c>
      <c r="L4938" s="7">
        <v>3.81</v>
      </c>
      <c r="M4938" s="7">
        <v>4.0590000000000002</v>
      </c>
      <c r="N4938" s="7">
        <v>4.9640000000000004</v>
      </c>
      <c r="O4938" s="7">
        <v>5.0789999999999997</v>
      </c>
      <c r="P4938" s="7">
        <v>5.6219999999999999</v>
      </c>
      <c r="Q4938" s="7">
        <v>5.93</v>
      </c>
      <c r="R4938" s="7">
        <v>6.15</v>
      </c>
      <c r="S4938" s="7">
        <f t="shared" si="77"/>
        <v>5.1294166666666667</v>
      </c>
    </row>
    <row r="4939" spans="1:19">
      <c r="A4939" s="5" t="str">
        <f>B4939&amp;"-"&amp;COUNTIF($B$2:B4939,B4939)</f>
        <v>SÃO PAULO-228</v>
      </c>
      <c r="B4939" s="5" t="s">
        <v>3122</v>
      </c>
      <c r="C4939" s="5" t="s">
        <v>3274</v>
      </c>
      <c r="D4939" s="6">
        <v>-500729</v>
      </c>
      <c r="E4939" s="6">
        <v>-22818</v>
      </c>
      <c r="F4939" s="7">
        <v>4.9269999999999996</v>
      </c>
      <c r="G4939" s="7">
        <v>5.6580000000000004</v>
      </c>
      <c r="H4939" s="7">
        <v>5.7850000000000001</v>
      </c>
      <c r="I4939" s="7">
        <v>5.1429999999999998</v>
      </c>
      <c r="J4939" s="7">
        <v>4.6870000000000003</v>
      </c>
      <c r="K4939" s="7">
        <v>3.758</v>
      </c>
      <c r="L4939" s="7">
        <v>3.46</v>
      </c>
      <c r="M4939" s="7">
        <v>3.6739999999999999</v>
      </c>
      <c r="N4939" s="7">
        <v>4.6120000000000001</v>
      </c>
      <c r="O4939" s="7">
        <v>4.7510000000000003</v>
      </c>
      <c r="P4939" s="7">
        <v>5.41</v>
      </c>
      <c r="Q4939" s="7">
        <v>5.8819999999999997</v>
      </c>
      <c r="R4939" s="7">
        <v>6.3040000000000003</v>
      </c>
      <c r="S4939" s="7">
        <f t="shared" si="77"/>
        <v>4.9270000000000005</v>
      </c>
    </row>
    <row r="4940" spans="1:19">
      <c r="A4940" s="5" t="str">
        <f>B4940&amp;"-"&amp;COUNTIF($B$2:B4940,B4940)</f>
        <v>SÃO PAULO-229</v>
      </c>
      <c r="B4940" s="5" t="s">
        <v>3122</v>
      </c>
      <c r="C4940" s="5" t="s">
        <v>3275</v>
      </c>
      <c r="D4940" s="6">
        <v>-488323</v>
      </c>
      <c r="E4940" s="6">
        <v>-217567</v>
      </c>
      <c r="F4940" s="7">
        <v>5.056</v>
      </c>
      <c r="G4940" s="7">
        <v>5.8150000000000004</v>
      </c>
      <c r="H4940" s="7">
        <v>5.9660000000000002</v>
      </c>
      <c r="I4940" s="7">
        <v>5.2210000000000001</v>
      </c>
      <c r="J4940" s="7">
        <v>4.742</v>
      </c>
      <c r="K4940" s="7">
        <v>3.93</v>
      </c>
      <c r="L4940" s="7">
        <v>3.6640000000000001</v>
      </c>
      <c r="M4940" s="7">
        <v>3.9079999999999999</v>
      </c>
      <c r="N4940" s="7">
        <v>4.7729999999999997</v>
      </c>
      <c r="O4940" s="7">
        <v>4.9359999999999999</v>
      </c>
      <c r="P4940" s="7">
        <v>5.6050000000000004</v>
      </c>
      <c r="Q4940" s="7">
        <v>5.8840000000000003</v>
      </c>
      <c r="R4940" s="7">
        <v>6.2210000000000001</v>
      </c>
      <c r="S4940" s="7">
        <f t="shared" si="77"/>
        <v>5.0554166666666669</v>
      </c>
    </row>
    <row r="4941" spans="1:19">
      <c r="A4941" s="5" t="str">
        <f>B4941&amp;"-"&amp;COUNTIF($B$2:B4941,B4941)</f>
        <v>SÃO PAULO-230</v>
      </c>
      <c r="B4941" s="5" t="s">
        <v>3122</v>
      </c>
      <c r="C4941" s="5" t="s">
        <v>4510</v>
      </c>
      <c r="D4941" s="6">
        <v>-491949</v>
      </c>
      <c r="E4941" s="6">
        <v>-20342</v>
      </c>
      <c r="F4941" s="7">
        <v>5.16</v>
      </c>
      <c r="G4941" s="7">
        <v>5.7850000000000001</v>
      </c>
      <c r="H4941" s="7">
        <v>6.008</v>
      </c>
      <c r="I4941" s="7">
        <v>5.2380000000000004</v>
      </c>
      <c r="J4941" s="7">
        <v>4.97</v>
      </c>
      <c r="K4941" s="7">
        <v>4.2030000000000003</v>
      </c>
      <c r="L4941" s="7">
        <v>3.891</v>
      </c>
      <c r="M4941" s="7">
        <v>4.1890000000000001</v>
      </c>
      <c r="N4941" s="7">
        <v>5.0199999999999996</v>
      </c>
      <c r="O4941" s="7">
        <v>5.0259999999999998</v>
      </c>
      <c r="P4941" s="7">
        <v>5.57</v>
      </c>
      <c r="Q4941" s="7">
        <v>5.827</v>
      </c>
      <c r="R4941" s="7">
        <v>6.1870000000000003</v>
      </c>
      <c r="S4941" s="7">
        <f t="shared" si="77"/>
        <v>5.1594999999999995</v>
      </c>
    </row>
    <row r="4942" spans="1:19">
      <c r="A4942" s="5" t="str">
        <f>B4942&amp;"-"&amp;COUNTIF($B$2:B4942,B4942)</f>
        <v>SÃO PAULO-231</v>
      </c>
      <c r="B4942" s="5" t="s">
        <v>3122</v>
      </c>
      <c r="C4942" s="5" t="s">
        <v>5335</v>
      </c>
      <c r="D4942" s="6">
        <v>-510783</v>
      </c>
      <c r="E4942" s="6">
        <v>-226606</v>
      </c>
      <c r="F4942" s="7">
        <v>4.9950000000000001</v>
      </c>
      <c r="G4942" s="7">
        <v>5.8940000000000001</v>
      </c>
      <c r="H4942" s="7">
        <v>5.8470000000000004</v>
      </c>
      <c r="I4942" s="7">
        <v>5.3639999999999999</v>
      </c>
      <c r="J4942" s="7">
        <v>4.7270000000000003</v>
      </c>
      <c r="K4942" s="7">
        <v>3.7759999999999998</v>
      </c>
      <c r="L4942" s="7">
        <v>3.4260000000000002</v>
      </c>
      <c r="M4942" s="7">
        <v>3.66</v>
      </c>
      <c r="N4942" s="7">
        <v>4.63</v>
      </c>
      <c r="O4942" s="7">
        <v>4.7279999999999998</v>
      </c>
      <c r="P4942" s="7">
        <v>5.4409999999999998</v>
      </c>
      <c r="Q4942" s="7">
        <v>6.0529999999999999</v>
      </c>
      <c r="R4942" s="7">
        <v>6.4020000000000001</v>
      </c>
      <c r="S4942" s="7">
        <f t="shared" si="77"/>
        <v>4.9956666666666676</v>
      </c>
    </row>
    <row r="4943" spans="1:19">
      <c r="A4943" s="5" t="str">
        <f>B4943&amp;"-"&amp;COUNTIF($B$2:B4943,B4943)</f>
        <v>SÃO PAULO-232</v>
      </c>
      <c r="B4943" s="5" t="s">
        <v>3122</v>
      </c>
      <c r="C4943" s="5" t="s">
        <v>5336</v>
      </c>
      <c r="D4943" s="6">
        <v>-485601</v>
      </c>
      <c r="E4943" s="6">
        <v>-225095</v>
      </c>
      <c r="F4943" s="7">
        <v>5.0090000000000003</v>
      </c>
      <c r="G4943" s="7">
        <v>5.6669999999999998</v>
      </c>
      <c r="H4943" s="7">
        <v>5.9649999999999999</v>
      </c>
      <c r="I4943" s="7">
        <v>5.298</v>
      </c>
      <c r="J4943" s="7">
        <v>4.7039999999999997</v>
      </c>
      <c r="K4943" s="7">
        <v>3.8140000000000001</v>
      </c>
      <c r="L4943" s="7">
        <v>3.5379999999999998</v>
      </c>
      <c r="M4943" s="7">
        <v>3.73</v>
      </c>
      <c r="N4943" s="7">
        <v>4.6769999999999996</v>
      </c>
      <c r="O4943" s="7">
        <v>4.8520000000000003</v>
      </c>
      <c r="P4943" s="7">
        <v>5.56</v>
      </c>
      <c r="Q4943" s="7">
        <v>5.9939999999999998</v>
      </c>
      <c r="R4943" s="7">
        <v>6.3140000000000001</v>
      </c>
      <c r="S4943" s="7">
        <f t="shared" si="77"/>
        <v>5.0094166666666675</v>
      </c>
    </row>
    <row r="4944" spans="1:19">
      <c r="A4944" s="5" t="str">
        <f>B4944&amp;"-"&amp;COUNTIF($B$2:B4944,B4944)</f>
        <v>SÃO PAULO-233</v>
      </c>
      <c r="B4944" s="5" t="s">
        <v>3122</v>
      </c>
      <c r="C4944" s="5" t="s">
        <v>3276</v>
      </c>
      <c r="D4944" s="6">
        <v>-47747</v>
      </c>
      <c r="E4944" s="6">
        <v>-200412</v>
      </c>
      <c r="F4944" s="7">
        <v>5.1550000000000002</v>
      </c>
      <c r="G4944" s="7">
        <v>5.5730000000000004</v>
      </c>
      <c r="H4944" s="7">
        <v>5.89</v>
      </c>
      <c r="I4944" s="7">
        <v>5.101</v>
      </c>
      <c r="J4944" s="7">
        <v>5.0190000000000001</v>
      </c>
      <c r="K4944" s="7">
        <v>4.343</v>
      </c>
      <c r="L4944" s="7">
        <v>4.1189999999999998</v>
      </c>
      <c r="M4944" s="7">
        <v>4.3869999999999996</v>
      </c>
      <c r="N4944" s="7">
        <v>5.2750000000000004</v>
      </c>
      <c r="O4944" s="7">
        <v>5.1790000000000003</v>
      </c>
      <c r="P4944" s="7">
        <v>5.58</v>
      </c>
      <c r="Q4944" s="7">
        <v>5.5720000000000001</v>
      </c>
      <c r="R4944" s="7">
        <v>5.8209999999999997</v>
      </c>
      <c r="S4944" s="7">
        <f t="shared" si="77"/>
        <v>5.1549166666666659</v>
      </c>
    </row>
    <row r="4945" spans="1:19">
      <c r="A4945" s="5" t="str">
        <f>B4945&amp;"-"&amp;COUNTIF($B$2:B4945,B4945)</f>
        <v>SÃO PAULO-234</v>
      </c>
      <c r="B4945" s="5" t="s">
        <v>3122</v>
      </c>
      <c r="C4945" s="5" t="s">
        <v>5773</v>
      </c>
      <c r="D4945" s="6">
        <v>-461574</v>
      </c>
      <c r="E4945" s="6">
        <v>-232041</v>
      </c>
      <c r="F4945" s="7">
        <v>4.4690000000000003</v>
      </c>
      <c r="G4945" s="7">
        <v>5.2380000000000004</v>
      </c>
      <c r="H4945" s="7">
        <v>5.516</v>
      </c>
      <c r="I4945" s="7">
        <v>4.7380000000000004</v>
      </c>
      <c r="J4945" s="7">
        <v>4.242</v>
      </c>
      <c r="K4945" s="7">
        <v>3.387</v>
      </c>
      <c r="L4945" s="7">
        <v>3.1669999999999998</v>
      </c>
      <c r="M4945" s="7">
        <v>3.2429999999999999</v>
      </c>
      <c r="N4945" s="7">
        <v>4.2480000000000002</v>
      </c>
      <c r="O4945" s="7">
        <v>4.2789999999999999</v>
      </c>
      <c r="P4945" s="7">
        <v>4.8280000000000003</v>
      </c>
      <c r="Q4945" s="7">
        <v>5.0860000000000003</v>
      </c>
      <c r="R4945" s="7">
        <v>5.6589999999999998</v>
      </c>
      <c r="S4945" s="7">
        <f t="shared" si="77"/>
        <v>4.4692500000000006</v>
      </c>
    </row>
    <row r="4946" spans="1:19">
      <c r="A4946" s="5" t="str">
        <f>B4946&amp;"-"&amp;COUNTIF($B$2:B4946,B4946)</f>
        <v>SÃO PAULO-235</v>
      </c>
      <c r="B4946" s="5" t="s">
        <v>3122</v>
      </c>
      <c r="C4946" s="5" t="s">
        <v>3277</v>
      </c>
      <c r="D4946" s="6">
        <v>-47555</v>
      </c>
      <c r="E4946" s="6">
        <v>-24708</v>
      </c>
      <c r="F4946" s="7">
        <v>4.1100000000000003</v>
      </c>
      <c r="G4946" s="7">
        <v>5.5579999999999998</v>
      </c>
      <c r="H4946" s="7">
        <v>5.5490000000000004</v>
      </c>
      <c r="I4946" s="7">
        <v>4.5919999999999996</v>
      </c>
      <c r="J4946" s="7">
        <v>3.9329999999999998</v>
      </c>
      <c r="K4946" s="7">
        <v>3.0670000000000002</v>
      </c>
      <c r="L4946" s="7">
        <v>2.6160000000000001</v>
      </c>
      <c r="M4946" s="7">
        <v>2.5950000000000002</v>
      </c>
      <c r="N4946" s="7">
        <v>3.2589999999999999</v>
      </c>
      <c r="O4946" s="7">
        <v>3.4990000000000001</v>
      </c>
      <c r="P4946" s="7">
        <v>3.9710000000000001</v>
      </c>
      <c r="Q4946" s="7">
        <v>5.0209999999999999</v>
      </c>
      <c r="R4946" s="7">
        <v>5.6580000000000004</v>
      </c>
      <c r="S4946" s="7">
        <f t="shared" si="77"/>
        <v>4.1098333333333334</v>
      </c>
    </row>
    <row r="4947" spans="1:19">
      <c r="A4947" s="5" t="str">
        <f>B4947&amp;"-"&amp;COUNTIF($B$2:B4947,B4947)</f>
        <v>SÃO PAULO-236</v>
      </c>
      <c r="B4947" s="5" t="s">
        <v>3122</v>
      </c>
      <c r="C4947" s="5" t="s">
        <v>3278</v>
      </c>
      <c r="D4947" s="6">
        <v>-475401</v>
      </c>
      <c r="E4947" s="6">
        <v>-247364</v>
      </c>
      <c r="F4947" s="7">
        <v>4.1100000000000003</v>
      </c>
      <c r="G4947" s="7">
        <v>5.5579999999999998</v>
      </c>
      <c r="H4947" s="7">
        <v>5.5490000000000004</v>
      </c>
      <c r="I4947" s="7">
        <v>4.5919999999999996</v>
      </c>
      <c r="J4947" s="7">
        <v>3.9329999999999998</v>
      </c>
      <c r="K4947" s="7">
        <v>3.0670000000000002</v>
      </c>
      <c r="L4947" s="7">
        <v>2.6160000000000001</v>
      </c>
      <c r="M4947" s="7">
        <v>2.5950000000000002</v>
      </c>
      <c r="N4947" s="7">
        <v>3.2589999999999999</v>
      </c>
      <c r="O4947" s="7">
        <v>3.4990000000000001</v>
      </c>
      <c r="P4947" s="7">
        <v>3.9710000000000001</v>
      </c>
      <c r="Q4947" s="7">
        <v>5.0209999999999999</v>
      </c>
      <c r="R4947" s="7">
        <v>5.6580000000000004</v>
      </c>
      <c r="S4947" s="7">
        <f t="shared" si="77"/>
        <v>4.1098333333333334</v>
      </c>
    </row>
    <row r="4948" spans="1:19">
      <c r="A4948" s="5" t="str">
        <f>B4948&amp;"-"&amp;COUNTIF($B$2:B4948,B4948)</f>
        <v>SÃO PAULO-237</v>
      </c>
      <c r="B4948" s="5" t="s">
        <v>3122</v>
      </c>
      <c r="C4948" s="5" t="s">
        <v>3279</v>
      </c>
      <c r="D4948" s="6">
        <v>-51343</v>
      </c>
      <c r="E4948" s="6">
        <v>-204331</v>
      </c>
      <c r="F4948" s="7">
        <v>5.18</v>
      </c>
      <c r="G4948" s="7">
        <v>5.859</v>
      </c>
      <c r="H4948" s="7">
        <v>6.0289999999999999</v>
      </c>
      <c r="I4948" s="7">
        <v>5.4939999999999998</v>
      </c>
      <c r="J4948" s="7">
        <v>4.9489999999999998</v>
      </c>
      <c r="K4948" s="7">
        <v>4.1689999999999996</v>
      </c>
      <c r="L4948" s="7">
        <v>3.83</v>
      </c>
      <c r="M4948" s="7">
        <v>4.024</v>
      </c>
      <c r="N4948" s="7">
        <v>4.9749999999999996</v>
      </c>
      <c r="O4948" s="7">
        <v>4.9050000000000002</v>
      </c>
      <c r="P4948" s="7">
        <v>5.5990000000000002</v>
      </c>
      <c r="Q4948" s="7">
        <v>5.98</v>
      </c>
      <c r="R4948" s="7">
        <v>6.3479999999999999</v>
      </c>
      <c r="S4948" s="7">
        <f t="shared" si="77"/>
        <v>5.1800833333333332</v>
      </c>
    </row>
    <row r="4949" spans="1:19">
      <c r="A4949" s="5" t="str">
        <f>B4949&amp;"-"&amp;COUNTIF($B$2:B4949,B4949)</f>
        <v>SÃO PAULO-238</v>
      </c>
      <c r="B4949" s="5" t="s">
        <v>3122</v>
      </c>
      <c r="C4949" s="5" t="s">
        <v>3280</v>
      </c>
      <c r="D4949" s="6">
        <v>-453556</v>
      </c>
      <c r="E4949" s="6">
        <v>-23779</v>
      </c>
      <c r="F4949" s="7">
        <v>4.3869999999999996</v>
      </c>
      <c r="G4949" s="7">
        <v>5.68</v>
      </c>
      <c r="H4949" s="7">
        <v>5.8319999999999999</v>
      </c>
      <c r="I4949" s="7">
        <v>4.7300000000000004</v>
      </c>
      <c r="J4949" s="7">
        <v>4.2300000000000004</v>
      </c>
      <c r="K4949" s="7">
        <v>3.3730000000000002</v>
      </c>
      <c r="L4949" s="7">
        <v>3.0209999999999999</v>
      </c>
      <c r="M4949" s="7">
        <v>3.1120000000000001</v>
      </c>
      <c r="N4949" s="7">
        <v>3.8929999999999998</v>
      </c>
      <c r="O4949" s="7">
        <v>3.855</v>
      </c>
      <c r="P4949" s="7">
        <v>4.4340000000000002</v>
      </c>
      <c r="Q4949" s="7">
        <v>4.9340000000000002</v>
      </c>
      <c r="R4949" s="7">
        <v>5.5529999999999999</v>
      </c>
      <c r="S4949" s="7">
        <f t="shared" si="77"/>
        <v>4.387249999999999</v>
      </c>
    </row>
    <row r="4950" spans="1:19">
      <c r="A4950" s="5" t="str">
        <f>B4950&amp;"-"&amp;COUNTIF($B$2:B4950,B4950)</f>
        <v>SÃO PAULO-239</v>
      </c>
      <c r="B4950" s="5" t="s">
        <v>3122</v>
      </c>
      <c r="C4950" s="5" t="s">
        <v>4887</v>
      </c>
      <c r="D4950" s="6">
        <v>-509619</v>
      </c>
      <c r="E4950" s="5" t="s">
        <v>3281</v>
      </c>
      <c r="F4950" s="7">
        <v>5.1050000000000004</v>
      </c>
      <c r="G4950" s="7">
        <v>5.9390000000000001</v>
      </c>
      <c r="H4950" s="7">
        <v>5.9429999999999996</v>
      </c>
      <c r="I4950" s="7">
        <v>5.4130000000000003</v>
      </c>
      <c r="J4950" s="7">
        <v>4.819</v>
      </c>
      <c r="K4950" s="7">
        <v>3.9820000000000002</v>
      </c>
      <c r="L4950" s="7">
        <v>3.6739999999999999</v>
      </c>
      <c r="M4950" s="7">
        <v>3.8490000000000002</v>
      </c>
      <c r="N4950" s="7">
        <v>4.8330000000000002</v>
      </c>
      <c r="O4950" s="7">
        <v>4.8719999999999999</v>
      </c>
      <c r="P4950" s="7">
        <v>5.5590000000000002</v>
      </c>
      <c r="Q4950" s="7">
        <v>6.0570000000000004</v>
      </c>
      <c r="R4950" s="7">
        <v>6.3209999999999997</v>
      </c>
      <c r="S4950" s="7">
        <f t="shared" si="77"/>
        <v>5.105083333333333</v>
      </c>
    </row>
    <row r="4951" spans="1:19">
      <c r="A4951" s="5" t="str">
        <f>B4951&amp;"-"&amp;COUNTIF($B$2:B4951,B4951)</f>
        <v>SÃO PAULO-240</v>
      </c>
      <c r="B4951" s="5" t="s">
        <v>3122</v>
      </c>
      <c r="C4951" s="5" t="s">
        <v>3282</v>
      </c>
      <c r="D4951" s="6">
        <v>-472105</v>
      </c>
      <c r="E4951" s="6">
        <v>-230821</v>
      </c>
      <c r="F4951" s="7">
        <v>4.8840000000000003</v>
      </c>
      <c r="G4951" s="7">
        <v>5.681</v>
      </c>
      <c r="H4951" s="7">
        <v>5.8280000000000003</v>
      </c>
      <c r="I4951" s="7">
        <v>5.09</v>
      </c>
      <c r="J4951" s="7">
        <v>4.601</v>
      </c>
      <c r="K4951" s="7">
        <v>3.7130000000000001</v>
      </c>
      <c r="L4951" s="7">
        <v>3.456</v>
      </c>
      <c r="M4951" s="7">
        <v>3.625</v>
      </c>
      <c r="N4951" s="7">
        <v>4.5599999999999996</v>
      </c>
      <c r="O4951" s="7">
        <v>4.7549999999999999</v>
      </c>
      <c r="P4951" s="7">
        <v>5.3940000000000001</v>
      </c>
      <c r="Q4951" s="7">
        <v>5.7030000000000003</v>
      </c>
      <c r="R4951" s="7">
        <v>6.2089999999999996</v>
      </c>
      <c r="S4951" s="7">
        <f t="shared" si="77"/>
        <v>4.8845833333333344</v>
      </c>
    </row>
    <row r="4952" spans="1:19">
      <c r="A4952" s="5" t="str">
        <f>B4952&amp;"-"&amp;COUNTIF($B$2:B4952,B4952)</f>
        <v>SÃO PAULO-241</v>
      </c>
      <c r="B4952" s="5" t="s">
        <v>3122</v>
      </c>
      <c r="C4952" s="5" t="s">
        <v>3283</v>
      </c>
      <c r="D4952" s="6">
        <v>-512559</v>
      </c>
      <c r="E4952" s="6">
        <v>-221742</v>
      </c>
      <c r="F4952" s="7">
        <v>5.0949999999999998</v>
      </c>
      <c r="G4952" s="7">
        <v>5.9859999999999998</v>
      </c>
      <c r="H4952" s="7">
        <v>5.9569999999999999</v>
      </c>
      <c r="I4952" s="7">
        <v>5.4329999999999998</v>
      </c>
      <c r="J4952" s="7">
        <v>4.7859999999999996</v>
      </c>
      <c r="K4952" s="7">
        <v>3.899</v>
      </c>
      <c r="L4952" s="7">
        <v>3.6070000000000002</v>
      </c>
      <c r="M4952" s="7">
        <v>3.7759999999999998</v>
      </c>
      <c r="N4952" s="7">
        <v>4.7720000000000002</v>
      </c>
      <c r="O4952" s="7">
        <v>4.8529999999999998</v>
      </c>
      <c r="P4952" s="7">
        <v>5.524</v>
      </c>
      <c r="Q4952" s="7">
        <v>6.0979999999999999</v>
      </c>
      <c r="R4952" s="7">
        <v>6.4470000000000001</v>
      </c>
      <c r="S4952" s="7">
        <f t="shared" si="77"/>
        <v>5.0948333333333338</v>
      </c>
    </row>
    <row r="4953" spans="1:19">
      <c r="A4953" s="5" t="str">
        <f>B4953&amp;"-"&amp;COUNTIF($B$2:B4953,B4953)</f>
        <v>SÃO PAULO-242</v>
      </c>
      <c r="B4953" s="5" t="s">
        <v>3122</v>
      </c>
      <c r="C4953" s="5" t="s">
        <v>5409</v>
      </c>
      <c r="D4953" s="6">
        <v>-502913</v>
      </c>
      <c r="E4953" s="6">
        <v>-199794</v>
      </c>
      <c r="F4953" s="7">
        <v>5.21</v>
      </c>
      <c r="G4953" s="7">
        <v>5.7969999999999997</v>
      </c>
      <c r="H4953" s="7">
        <v>6.024</v>
      </c>
      <c r="I4953" s="7">
        <v>5.3550000000000004</v>
      </c>
      <c r="J4953" s="7">
        <v>4.9619999999999997</v>
      </c>
      <c r="K4953" s="7">
        <v>4.266</v>
      </c>
      <c r="L4953" s="7">
        <v>3.95</v>
      </c>
      <c r="M4953" s="7">
        <v>4.2030000000000003</v>
      </c>
      <c r="N4953" s="7">
        <v>5.0540000000000003</v>
      </c>
      <c r="O4953" s="7">
        <v>5.0990000000000002</v>
      </c>
      <c r="P4953" s="7">
        <v>5.6840000000000002</v>
      </c>
      <c r="Q4953" s="7">
        <v>5.9269999999999996</v>
      </c>
      <c r="R4953" s="7">
        <v>6.1920000000000002</v>
      </c>
      <c r="S4953" s="7">
        <f t="shared" si="77"/>
        <v>5.2094166666666668</v>
      </c>
    </row>
    <row r="4954" spans="1:19">
      <c r="A4954" s="5" t="str">
        <f>B4954&amp;"-"&amp;COUNTIF($B$2:B4954,B4954)</f>
        <v>SÃO PAULO-243</v>
      </c>
      <c r="B4954" s="5" t="s">
        <v>3122</v>
      </c>
      <c r="C4954" s="5" t="s">
        <v>3284</v>
      </c>
      <c r="D4954" s="6">
        <v>-496259</v>
      </c>
      <c r="E4954" s="6">
        <v>-23057</v>
      </c>
      <c r="F4954" s="7">
        <v>4.899</v>
      </c>
      <c r="G4954" s="7">
        <v>5.64</v>
      </c>
      <c r="H4954" s="7">
        <v>5.8019999999999996</v>
      </c>
      <c r="I4954" s="7">
        <v>5.2329999999999997</v>
      </c>
      <c r="J4954" s="7">
        <v>4.6630000000000003</v>
      </c>
      <c r="K4954" s="7">
        <v>3.68</v>
      </c>
      <c r="L4954" s="7">
        <v>3.3809999999999998</v>
      </c>
      <c r="M4954" s="7">
        <v>3.577</v>
      </c>
      <c r="N4954" s="7">
        <v>4.5670000000000002</v>
      </c>
      <c r="O4954" s="7">
        <v>4.6870000000000003</v>
      </c>
      <c r="P4954" s="7">
        <v>5.3810000000000002</v>
      </c>
      <c r="Q4954" s="7">
        <v>5.8920000000000003</v>
      </c>
      <c r="R4954" s="7">
        <v>6.2859999999999996</v>
      </c>
      <c r="S4954" s="7">
        <f t="shared" si="77"/>
        <v>4.8990833333333335</v>
      </c>
    </row>
    <row r="4955" spans="1:19">
      <c r="A4955" s="5" t="str">
        <f>B4955&amp;"-"&amp;COUNTIF($B$2:B4955,B4955)</f>
        <v>SÃO PAULO-244</v>
      </c>
      <c r="B4955" s="5" t="s">
        <v>3122</v>
      </c>
      <c r="C4955" s="5" t="s">
        <v>4888</v>
      </c>
      <c r="D4955" s="6">
        <v>-477155</v>
      </c>
      <c r="E4955" s="6">
        <v>-22436</v>
      </c>
      <c r="F4955" s="7">
        <v>4.8860000000000001</v>
      </c>
      <c r="G4955" s="7">
        <v>5.47</v>
      </c>
      <c r="H4955" s="7">
        <v>5.6849999999999996</v>
      </c>
      <c r="I4955" s="7">
        <v>5.0439999999999996</v>
      </c>
      <c r="J4955" s="7">
        <v>4.6440000000000001</v>
      </c>
      <c r="K4955" s="7">
        <v>3.835</v>
      </c>
      <c r="L4955" s="7">
        <v>3.589</v>
      </c>
      <c r="M4955" s="7">
        <v>3.7610000000000001</v>
      </c>
      <c r="N4955" s="7">
        <v>4.7469999999999999</v>
      </c>
      <c r="O4955" s="7">
        <v>4.827</v>
      </c>
      <c r="P4955" s="7">
        <v>5.42</v>
      </c>
      <c r="Q4955" s="7">
        <v>5.6760000000000002</v>
      </c>
      <c r="R4955" s="7">
        <v>5.9340000000000002</v>
      </c>
      <c r="S4955" s="7">
        <f t="shared" si="77"/>
        <v>4.8860000000000001</v>
      </c>
    </row>
    <row r="4956" spans="1:19">
      <c r="A4956" s="5" t="str">
        <f>B4956&amp;"-"&amp;COUNTIF($B$2:B4956,B4956)</f>
        <v>SÃO PAULO-245</v>
      </c>
      <c r="B4956" s="5" t="s">
        <v>3122</v>
      </c>
      <c r="C4956" s="5" t="s">
        <v>5240</v>
      </c>
      <c r="D4956" s="6">
        <v>-476931</v>
      </c>
      <c r="E4956" s="6">
        <v>-233518</v>
      </c>
      <c r="F4956" s="7">
        <v>4.806</v>
      </c>
      <c r="G4956" s="7">
        <v>5.5529999999999999</v>
      </c>
      <c r="H4956" s="7">
        <v>5.7869999999999999</v>
      </c>
      <c r="I4956" s="7">
        <v>5.0869999999999997</v>
      </c>
      <c r="J4956" s="7">
        <v>4.5149999999999997</v>
      </c>
      <c r="K4956" s="7">
        <v>3.6520000000000001</v>
      </c>
      <c r="L4956" s="7">
        <v>3.3929999999999998</v>
      </c>
      <c r="M4956" s="7">
        <v>3.49</v>
      </c>
      <c r="N4956" s="7">
        <v>4.4989999999999997</v>
      </c>
      <c r="O4956" s="7">
        <v>4.6680000000000001</v>
      </c>
      <c r="P4956" s="7">
        <v>5.2460000000000004</v>
      </c>
      <c r="Q4956" s="7">
        <v>5.6550000000000002</v>
      </c>
      <c r="R4956" s="7">
        <v>6.1230000000000002</v>
      </c>
      <c r="S4956" s="7">
        <f t="shared" si="77"/>
        <v>4.8056666666666672</v>
      </c>
    </row>
    <row r="4957" spans="1:19">
      <c r="A4957" s="5" t="str">
        <f>B4957&amp;"-"&amp;COUNTIF($B$2:B4957,B4957)</f>
        <v>SÃO PAULO-246</v>
      </c>
      <c r="B4957" s="5" t="s">
        <v>3122</v>
      </c>
      <c r="C4957" s="5" t="s">
        <v>5774</v>
      </c>
      <c r="D4957" s="6">
        <v>-493846</v>
      </c>
      <c r="E4957" s="6">
        <v>-206562</v>
      </c>
      <c r="F4957" s="7">
        <v>5.149</v>
      </c>
      <c r="G4957" s="7">
        <v>5.7729999999999997</v>
      </c>
      <c r="H4957" s="7">
        <v>5.8719999999999999</v>
      </c>
      <c r="I4957" s="7">
        <v>5.2009999999999996</v>
      </c>
      <c r="J4957" s="7">
        <v>4.8810000000000002</v>
      </c>
      <c r="K4957" s="7">
        <v>4.1360000000000001</v>
      </c>
      <c r="L4957" s="7">
        <v>3.9340000000000002</v>
      </c>
      <c r="M4957" s="7">
        <v>4.1500000000000004</v>
      </c>
      <c r="N4957" s="7">
        <v>5.0789999999999997</v>
      </c>
      <c r="O4957" s="7">
        <v>5.0860000000000003</v>
      </c>
      <c r="P4957" s="7">
        <v>5.6050000000000004</v>
      </c>
      <c r="Q4957" s="7">
        <v>5.931</v>
      </c>
      <c r="R4957" s="7">
        <v>6.1390000000000002</v>
      </c>
      <c r="S4957" s="7">
        <f t="shared" si="77"/>
        <v>5.1489166666666666</v>
      </c>
    </row>
    <row r="4958" spans="1:19">
      <c r="A4958" s="5" t="str">
        <f>B4958&amp;"-"&amp;COUNTIF($B$2:B4958,B4958)</f>
        <v>SÃO PAULO-247</v>
      </c>
      <c r="B4958" s="5" t="s">
        <v>3122</v>
      </c>
      <c r="C4958" s="5" t="s">
        <v>3285</v>
      </c>
      <c r="D4958" s="6">
        <v>-485929</v>
      </c>
      <c r="E4958" s="6">
        <v>-24586</v>
      </c>
      <c r="F4958" s="7">
        <v>4.0679999999999996</v>
      </c>
      <c r="G4958" s="7">
        <v>5.2709999999999999</v>
      </c>
      <c r="H4958" s="7">
        <v>5.2290000000000001</v>
      </c>
      <c r="I4958" s="7">
        <v>4.4950000000000001</v>
      </c>
      <c r="J4958" s="7">
        <v>3.8610000000000002</v>
      </c>
      <c r="K4958" s="7">
        <v>3.085</v>
      </c>
      <c r="L4958" s="7">
        <v>2.66</v>
      </c>
      <c r="M4958" s="7">
        <v>2.7109999999999999</v>
      </c>
      <c r="N4958" s="7">
        <v>3.5409999999999999</v>
      </c>
      <c r="O4958" s="7">
        <v>3.5979999999999999</v>
      </c>
      <c r="P4958" s="7">
        <v>4.0919999999999996</v>
      </c>
      <c r="Q4958" s="7">
        <v>4.8449999999999998</v>
      </c>
      <c r="R4958" s="7">
        <v>5.4269999999999996</v>
      </c>
      <c r="S4958" s="7">
        <f t="shared" si="77"/>
        <v>4.0679166666666662</v>
      </c>
    </row>
    <row r="4959" spans="1:19">
      <c r="A4959" s="5" t="str">
        <f>B4959&amp;"-"&amp;COUNTIF($B$2:B4959,B4959)</f>
        <v>SÃO PAULO-248</v>
      </c>
      <c r="B4959" s="5" t="s">
        <v>3122</v>
      </c>
      <c r="C4959" s="5" t="s">
        <v>5410</v>
      </c>
      <c r="D4959" s="6">
        <v>-480133</v>
      </c>
      <c r="E4959" s="6">
        <v>-204443</v>
      </c>
      <c r="F4959" s="7">
        <v>5.2009999999999996</v>
      </c>
      <c r="G4959" s="7">
        <v>5.8369999999999997</v>
      </c>
      <c r="H4959" s="7">
        <v>6.0750000000000002</v>
      </c>
      <c r="I4959" s="7">
        <v>5.1559999999999997</v>
      </c>
      <c r="J4959" s="7">
        <v>4.9649999999999999</v>
      </c>
      <c r="K4959" s="7">
        <v>4.2919999999999998</v>
      </c>
      <c r="L4959" s="7">
        <v>4.0380000000000003</v>
      </c>
      <c r="M4959" s="7">
        <v>4.2880000000000003</v>
      </c>
      <c r="N4959" s="7">
        <v>5.1909999999999998</v>
      </c>
      <c r="O4959" s="7">
        <v>5.101</v>
      </c>
      <c r="P4959" s="7">
        <v>5.5960000000000001</v>
      </c>
      <c r="Q4959" s="7">
        <v>5.7619999999999996</v>
      </c>
      <c r="R4959" s="7">
        <v>6.1079999999999997</v>
      </c>
      <c r="S4959" s="7">
        <f t="shared" si="77"/>
        <v>5.2007500000000002</v>
      </c>
    </row>
    <row r="4960" spans="1:19">
      <c r="A4960" s="5" t="str">
        <f>B4960&amp;"-"&amp;COUNTIF($B$2:B4960,B4960)</f>
        <v>SÃO PAULO-249</v>
      </c>
      <c r="B4960" s="5" t="s">
        <v>3122</v>
      </c>
      <c r="C4960" s="5" t="s">
        <v>5775</v>
      </c>
      <c r="D4960" s="6">
        <v>-475234</v>
      </c>
      <c r="E4960" s="6">
        <v>-225837</v>
      </c>
      <c r="F4960" s="7">
        <v>4.9039999999999999</v>
      </c>
      <c r="G4960" s="7">
        <v>5.63</v>
      </c>
      <c r="H4960" s="7">
        <v>5.8209999999999997</v>
      </c>
      <c r="I4960" s="7">
        <v>5.1239999999999997</v>
      </c>
      <c r="J4960" s="7">
        <v>4.625</v>
      </c>
      <c r="K4960" s="7">
        <v>3.8079999999999998</v>
      </c>
      <c r="L4960" s="7">
        <v>3.5249999999999999</v>
      </c>
      <c r="M4960" s="7">
        <v>3.7269999999999999</v>
      </c>
      <c r="N4960" s="7">
        <v>4.7080000000000002</v>
      </c>
      <c r="O4960" s="7">
        <v>4.8289999999999997</v>
      </c>
      <c r="P4960" s="7">
        <v>5.4489999999999998</v>
      </c>
      <c r="Q4960" s="7">
        <v>5.5960000000000001</v>
      </c>
      <c r="R4960" s="7">
        <v>6.0010000000000003</v>
      </c>
      <c r="S4960" s="7">
        <f t="shared" si="77"/>
        <v>4.9035833333333327</v>
      </c>
    </row>
    <row r="4961" spans="1:19">
      <c r="A4961" s="5" t="str">
        <f>B4961&amp;"-"&amp;COUNTIF($B$2:B4961,B4961)</f>
        <v>SÃO PAULO-250</v>
      </c>
      <c r="B4961" s="5" t="s">
        <v>3122</v>
      </c>
      <c r="C4961" s="5" t="s">
        <v>5411</v>
      </c>
      <c r="D4961" s="6">
        <v>-494116</v>
      </c>
      <c r="E4961" s="6">
        <v>-212782</v>
      </c>
      <c r="F4961" s="7">
        <v>5.1219999999999999</v>
      </c>
      <c r="G4961" s="7">
        <v>5.92</v>
      </c>
      <c r="H4961" s="7">
        <v>5.9589999999999996</v>
      </c>
      <c r="I4961" s="7">
        <v>5.3040000000000003</v>
      </c>
      <c r="J4961" s="7">
        <v>4.8410000000000002</v>
      </c>
      <c r="K4961" s="7">
        <v>4.0220000000000002</v>
      </c>
      <c r="L4961" s="7">
        <v>3.7679999999999998</v>
      </c>
      <c r="M4961" s="7">
        <v>3.9870000000000001</v>
      </c>
      <c r="N4961" s="7">
        <v>4.8540000000000001</v>
      </c>
      <c r="O4961" s="7">
        <v>4.9749999999999996</v>
      </c>
      <c r="P4961" s="7">
        <v>5.6280000000000001</v>
      </c>
      <c r="Q4961" s="7">
        <v>5.9470000000000001</v>
      </c>
      <c r="R4961" s="7">
        <v>6.2549999999999999</v>
      </c>
      <c r="S4961" s="7">
        <f t="shared" si="77"/>
        <v>5.121666666666667</v>
      </c>
    </row>
    <row r="4962" spans="1:19">
      <c r="A4962" s="5" t="str">
        <f>B4962&amp;"-"&amp;COUNTIF($B$2:B4962,B4962)</f>
        <v>SÃO PAULO-251</v>
      </c>
      <c r="B4962" s="5" t="s">
        <v>3122</v>
      </c>
      <c r="C4962" s="5" t="s">
        <v>3286</v>
      </c>
      <c r="D4962" s="6">
        <v>-513476</v>
      </c>
      <c r="E4962" s="6">
        <v>-215689</v>
      </c>
      <c r="F4962" s="7">
        <v>5.1100000000000003</v>
      </c>
      <c r="G4962" s="7">
        <v>5.9039999999999999</v>
      </c>
      <c r="H4962" s="7">
        <v>6.0010000000000003</v>
      </c>
      <c r="I4962" s="7">
        <v>5.3719999999999999</v>
      </c>
      <c r="J4962" s="7">
        <v>4.8479999999999999</v>
      </c>
      <c r="K4962" s="7">
        <v>3.9910000000000001</v>
      </c>
      <c r="L4962" s="7">
        <v>3.6709999999999998</v>
      </c>
      <c r="M4962" s="7">
        <v>3.8860000000000001</v>
      </c>
      <c r="N4962" s="7">
        <v>4.8049999999999997</v>
      </c>
      <c r="O4962" s="7">
        <v>4.9009999999999998</v>
      </c>
      <c r="P4962" s="7">
        <v>5.5609999999999999</v>
      </c>
      <c r="Q4962" s="7">
        <v>6.04</v>
      </c>
      <c r="R4962" s="7">
        <v>6.34</v>
      </c>
      <c r="S4962" s="7">
        <f t="shared" si="77"/>
        <v>5.1100000000000003</v>
      </c>
    </row>
    <row r="4963" spans="1:19">
      <c r="A4963" s="5" t="str">
        <f>B4963&amp;"-"&amp;COUNTIF($B$2:B4963,B4963)</f>
        <v>SÃO PAULO-252</v>
      </c>
      <c r="B4963" s="5" t="s">
        <v>3122</v>
      </c>
      <c r="C4963" s="5" t="s">
        <v>5776</v>
      </c>
      <c r="D4963" s="6">
        <v>-488153</v>
      </c>
      <c r="E4963" s="6">
        <v>-215947</v>
      </c>
      <c r="F4963" s="7">
        <v>5.0640000000000001</v>
      </c>
      <c r="G4963" s="7">
        <v>5.7779999999999996</v>
      </c>
      <c r="H4963" s="7">
        <v>5.9560000000000004</v>
      </c>
      <c r="I4963" s="7">
        <v>5.2060000000000004</v>
      </c>
      <c r="J4963" s="7">
        <v>4.7489999999999997</v>
      </c>
      <c r="K4963" s="7">
        <v>3.9929999999999999</v>
      </c>
      <c r="L4963" s="7">
        <v>3.7450000000000001</v>
      </c>
      <c r="M4963" s="7">
        <v>3.97</v>
      </c>
      <c r="N4963" s="7">
        <v>4.8239999999999998</v>
      </c>
      <c r="O4963" s="7">
        <v>4.984</v>
      </c>
      <c r="P4963" s="7">
        <v>5.5940000000000003</v>
      </c>
      <c r="Q4963" s="7">
        <v>5.8380000000000001</v>
      </c>
      <c r="R4963" s="7">
        <v>6.1340000000000003</v>
      </c>
      <c r="S4963" s="7">
        <f t="shared" si="77"/>
        <v>5.0642500000000004</v>
      </c>
    </row>
    <row r="4964" spans="1:19">
      <c r="A4964" s="5" t="str">
        <f>B4964&amp;"-"&amp;COUNTIF($B$2:B4964,B4964)</f>
        <v>SÃO PAULO-253</v>
      </c>
      <c r="B4964" s="5" t="s">
        <v>3122</v>
      </c>
      <c r="C4964" s="5" t="s">
        <v>3287</v>
      </c>
      <c r="D4964" s="6">
        <v>-490924</v>
      </c>
      <c r="E4964" s="6">
        <v>-234218</v>
      </c>
      <c r="F4964" s="7">
        <v>4.8029999999999999</v>
      </c>
      <c r="G4964" s="7">
        <v>5.6139999999999999</v>
      </c>
      <c r="H4964" s="7">
        <v>5.7850000000000001</v>
      </c>
      <c r="I4964" s="7">
        <v>5.125</v>
      </c>
      <c r="J4964" s="7">
        <v>4.5140000000000002</v>
      </c>
      <c r="K4964" s="7">
        <v>3.5830000000000002</v>
      </c>
      <c r="L4964" s="7">
        <v>3.2679999999999998</v>
      </c>
      <c r="M4964" s="7">
        <v>3.4470000000000001</v>
      </c>
      <c r="N4964" s="7">
        <v>4.4320000000000004</v>
      </c>
      <c r="O4964" s="7">
        <v>4.5890000000000004</v>
      </c>
      <c r="P4964" s="7">
        <v>5.266</v>
      </c>
      <c r="Q4964" s="7">
        <v>5.8369999999999997</v>
      </c>
      <c r="R4964" s="7">
        <v>6.1769999999999996</v>
      </c>
      <c r="S4964" s="7">
        <f t="shared" si="77"/>
        <v>4.8030833333333325</v>
      </c>
    </row>
    <row r="4965" spans="1:19">
      <c r="A4965" s="5" t="str">
        <f>B4965&amp;"-"&amp;COUNTIF($B$2:B4965,B4965)</f>
        <v>SÃO PAULO-254</v>
      </c>
      <c r="B4965" s="5" t="s">
        <v>3122</v>
      </c>
      <c r="C4965" s="5" t="s">
        <v>5241</v>
      </c>
      <c r="D4965" s="6">
        <v>-488417</v>
      </c>
      <c r="E4965" s="6">
        <v>-246397</v>
      </c>
      <c r="F4965" s="7">
        <v>4.1289999999999996</v>
      </c>
      <c r="G4965" s="7">
        <v>5.2190000000000003</v>
      </c>
      <c r="H4965" s="7">
        <v>5.2190000000000003</v>
      </c>
      <c r="I4965" s="7">
        <v>4.4939999999999998</v>
      </c>
      <c r="J4965" s="7">
        <v>3.84</v>
      </c>
      <c r="K4965" s="7">
        <v>3.06</v>
      </c>
      <c r="L4965" s="7">
        <v>2.6859999999999999</v>
      </c>
      <c r="M4965" s="7">
        <v>2.7850000000000001</v>
      </c>
      <c r="N4965" s="7">
        <v>3.702</v>
      </c>
      <c r="O4965" s="7">
        <v>3.7639999999999998</v>
      </c>
      <c r="P4965" s="7">
        <v>4.2770000000000001</v>
      </c>
      <c r="Q4965" s="7">
        <v>5.0090000000000003</v>
      </c>
      <c r="R4965" s="7">
        <v>5.4960000000000004</v>
      </c>
      <c r="S4965" s="7">
        <f t="shared" si="77"/>
        <v>4.1292499999999999</v>
      </c>
    </row>
    <row r="4966" spans="1:19">
      <c r="A4966" s="5" t="str">
        <f>B4966&amp;"-"&amp;COUNTIF($B$2:B4966,B4966)</f>
        <v>SÃO PAULO-255</v>
      </c>
      <c r="B4966" s="5" t="s">
        <v>3122</v>
      </c>
      <c r="C4966" s="5" t="s">
        <v>5777</v>
      </c>
      <c r="D4966" s="6">
        <v>-491404</v>
      </c>
      <c r="E4966" s="6">
        <v>-238643</v>
      </c>
      <c r="F4966" s="7">
        <v>4.7279999999999998</v>
      </c>
      <c r="G4966" s="7">
        <v>5.6920000000000002</v>
      </c>
      <c r="H4966" s="7">
        <v>5.7119999999999997</v>
      </c>
      <c r="I4966" s="7">
        <v>5.0220000000000002</v>
      </c>
      <c r="J4966" s="7">
        <v>4.3929999999999998</v>
      </c>
      <c r="K4966" s="7">
        <v>3.4780000000000002</v>
      </c>
      <c r="L4966" s="7">
        <v>3.1579999999999999</v>
      </c>
      <c r="M4966" s="7">
        <v>3.3610000000000002</v>
      </c>
      <c r="N4966" s="7">
        <v>4.3449999999999998</v>
      </c>
      <c r="O4966" s="7">
        <v>4.5179999999999998</v>
      </c>
      <c r="P4966" s="7">
        <v>5.1029999999999998</v>
      </c>
      <c r="Q4966" s="7">
        <v>5.7439999999999998</v>
      </c>
      <c r="R4966" s="7">
        <v>6.2110000000000003</v>
      </c>
      <c r="S4966" s="7">
        <f t="shared" si="77"/>
        <v>4.7280833333333341</v>
      </c>
    </row>
    <row r="4967" spans="1:19">
      <c r="A4967" s="5" t="str">
        <f>B4967&amp;"-"&amp;COUNTIF($B$2:B4967,B4967)</f>
        <v>SÃO PAULO-256</v>
      </c>
      <c r="B4967" s="5" t="s">
        <v>3122</v>
      </c>
      <c r="C4967" s="5" t="s">
        <v>3288</v>
      </c>
      <c r="D4967" s="6">
        <v>-490539</v>
      </c>
      <c r="E4967" s="6">
        <v>-21318</v>
      </c>
      <c r="F4967" s="7">
        <v>5.1029999999999998</v>
      </c>
      <c r="G4967" s="7">
        <v>5.85</v>
      </c>
      <c r="H4967" s="7">
        <v>5.8840000000000003</v>
      </c>
      <c r="I4967" s="7">
        <v>5.2160000000000002</v>
      </c>
      <c r="J4967" s="7">
        <v>4.7859999999999996</v>
      </c>
      <c r="K4967" s="7">
        <v>4.0609999999999999</v>
      </c>
      <c r="L4967" s="7">
        <v>3.8050000000000002</v>
      </c>
      <c r="M4967" s="7">
        <v>4.0199999999999996</v>
      </c>
      <c r="N4967" s="7">
        <v>4.9530000000000003</v>
      </c>
      <c r="O4967" s="7">
        <v>5.04</v>
      </c>
      <c r="P4967" s="7">
        <v>5.6040000000000001</v>
      </c>
      <c r="Q4967" s="7">
        <v>5.88</v>
      </c>
      <c r="R4967" s="7">
        <v>6.1349999999999998</v>
      </c>
      <c r="S4967" s="7">
        <f t="shared" si="77"/>
        <v>5.1028333333333338</v>
      </c>
    </row>
    <row r="4968" spans="1:19">
      <c r="A4968" s="5" t="str">
        <f>B4968&amp;"-"&amp;COUNTIF($B$2:B4968,B4968)</f>
        <v>SÃO PAULO-257</v>
      </c>
      <c r="B4968" s="5" t="s">
        <v>3122</v>
      </c>
      <c r="C4968" s="5" t="s">
        <v>3289</v>
      </c>
      <c r="D4968" s="6">
        <v>-488107</v>
      </c>
      <c r="E4968" s="6">
        <v>-219859</v>
      </c>
      <c r="F4968" s="7">
        <v>5.0679999999999996</v>
      </c>
      <c r="G4968" s="7">
        <v>5.835</v>
      </c>
      <c r="H4968" s="7">
        <v>5.9539999999999997</v>
      </c>
      <c r="I4968" s="7">
        <v>5.3049999999999997</v>
      </c>
      <c r="J4968" s="7">
        <v>4.774</v>
      </c>
      <c r="K4968" s="7">
        <v>3.89</v>
      </c>
      <c r="L4968" s="7">
        <v>3.673</v>
      </c>
      <c r="M4968" s="7">
        <v>3.8530000000000002</v>
      </c>
      <c r="N4968" s="7">
        <v>4.7300000000000004</v>
      </c>
      <c r="O4968" s="7">
        <v>4.8760000000000003</v>
      </c>
      <c r="P4968" s="7">
        <v>5.6219999999999999</v>
      </c>
      <c r="Q4968" s="7">
        <v>5.9870000000000001</v>
      </c>
      <c r="R4968" s="7">
        <v>6.31</v>
      </c>
      <c r="S4968" s="7">
        <f t="shared" si="77"/>
        <v>5.0674166666666673</v>
      </c>
    </row>
    <row r="4969" spans="1:19">
      <c r="A4969" s="5" t="str">
        <f>B4969&amp;"-"&amp;COUNTIF($B$2:B4969,B4969)</f>
        <v>SÃO PAULO-258</v>
      </c>
      <c r="B4969" s="5" t="s">
        <v>3122</v>
      </c>
      <c r="C4969" s="5" t="s">
        <v>4511</v>
      </c>
      <c r="D4969" s="6">
        <v>-46786</v>
      </c>
      <c r="E4969" s="6">
        <v>-241777</v>
      </c>
      <c r="F4969" s="7">
        <v>4.1420000000000003</v>
      </c>
      <c r="G4969" s="7">
        <v>5.383</v>
      </c>
      <c r="H4969" s="7">
        <v>5.4530000000000003</v>
      </c>
      <c r="I4969" s="7">
        <v>4.57</v>
      </c>
      <c r="J4969" s="7">
        <v>4.056</v>
      </c>
      <c r="K4969" s="7">
        <v>3.2109999999999999</v>
      </c>
      <c r="L4969" s="7">
        <v>2.8260000000000001</v>
      </c>
      <c r="M4969" s="7">
        <v>2.8540000000000001</v>
      </c>
      <c r="N4969" s="7">
        <v>3.51</v>
      </c>
      <c r="O4969" s="7">
        <v>3.5659999999999998</v>
      </c>
      <c r="P4969" s="7">
        <v>3.968</v>
      </c>
      <c r="Q4969" s="7">
        <v>4.8879999999999999</v>
      </c>
      <c r="R4969" s="7">
        <v>5.4169999999999998</v>
      </c>
      <c r="S4969" s="7">
        <f t="shared" si="77"/>
        <v>4.1418333333333335</v>
      </c>
    </row>
    <row r="4970" spans="1:19">
      <c r="A4970" s="5" t="str">
        <f>B4970&amp;"-"&amp;COUNTIF($B$2:B4970,B4970)</f>
        <v>SÃO PAULO-259</v>
      </c>
      <c r="B4970" s="5" t="s">
        <v>3122</v>
      </c>
      <c r="C4970" s="5" t="s">
        <v>3290</v>
      </c>
      <c r="D4970" s="6">
        <v>-468576</v>
      </c>
      <c r="E4970" s="6">
        <v>-237166</v>
      </c>
      <c r="F4970" s="7">
        <v>4.3970000000000002</v>
      </c>
      <c r="G4970" s="7">
        <v>5.2380000000000004</v>
      </c>
      <c r="H4970" s="7">
        <v>5.49</v>
      </c>
      <c r="I4970" s="7">
        <v>4.6760000000000002</v>
      </c>
      <c r="J4970" s="7">
        <v>4.1619999999999999</v>
      </c>
      <c r="K4970" s="7">
        <v>3.3479999999999999</v>
      </c>
      <c r="L4970" s="7">
        <v>3.1080000000000001</v>
      </c>
      <c r="M4970" s="7">
        <v>3.1909999999999998</v>
      </c>
      <c r="N4970" s="7">
        <v>4.1340000000000003</v>
      </c>
      <c r="O4970" s="7">
        <v>4.1189999999999998</v>
      </c>
      <c r="P4970" s="7">
        <v>4.5739999999999998</v>
      </c>
      <c r="Q4970" s="7">
        <v>5.0819999999999999</v>
      </c>
      <c r="R4970" s="7">
        <v>5.6479999999999997</v>
      </c>
      <c r="S4970" s="7">
        <f t="shared" si="77"/>
        <v>4.3975</v>
      </c>
    </row>
    <row r="4971" spans="1:19">
      <c r="A4971" s="5" t="str">
        <f>B4971&amp;"-"&amp;COUNTIF($B$2:B4971,B4971)</f>
        <v>SÃO PAULO-260</v>
      </c>
      <c r="B4971" s="5" t="s">
        <v>3122</v>
      </c>
      <c r="C4971" s="5" t="s">
        <v>3291</v>
      </c>
      <c r="D4971" s="6">
        <v>-480487</v>
      </c>
      <c r="E4971" s="6">
        <v>-235891</v>
      </c>
      <c r="F4971" s="7">
        <v>4.6710000000000003</v>
      </c>
      <c r="G4971" s="7">
        <v>5.4050000000000002</v>
      </c>
      <c r="H4971" s="7">
        <v>5.6349999999999998</v>
      </c>
      <c r="I4971" s="7">
        <v>4.9139999999999997</v>
      </c>
      <c r="J4971" s="7">
        <v>4.3810000000000002</v>
      </c>
      <c r="K4971" s="7">
        <v>3.516</v>
      </c>
      <c r="L4971" s="7">
        <v>3.2709999999999999</v>
      </c>
      <c r="M4971" s="7">
        <v>3.4009999999999998</v>
      </c>
      <c r="N4971" s="7">
        <v>4.3710000000000004</v>
      </c>
      <c r="O4971" s="7">
        <v>4.5330000000000004</v>
      </c>
      <c r="P4971" s="7">
        <v>5.048</v>
      </c>
      <c r="Q4971" s="7">
        <v>5.54</v>
      </c>
      <c r="R4971" s="7">
        <v>6.032</v>
      </c>
      <c r="S4971" s="7">
        <f t="shared" si="77"/>
        <v>4.6705833333333331</v>
      </c>
    </row>
    <row r="4972" spans="1:19">
      <c r="A4972" s="5" t="str">
        <f>B4972&amp;"-"&amp;COUNTIF($B$2:B4972,B4972)</f>
        <v>SÃO PAULO-261</v>
      </c>
      <c r="B4972" s="5" t="s">
        <v>3122</v>
      </c>
      <c r="C4972" s="5" t="s">
        <v>1387</v>
      </c>
      <c r="D4972" s="6">
        <v>-488768</v>
      </c>
      <c r="E4972" s="6">
        <v>-239793</v>
      </c>
      <c r="F4972" s="7">
        <v>4.63</v>
      </c>
      <c r="G4972" s="7">
        <v>5.5880000000000001</v>
      </c>
      <c r="H4972" s="7">
        <v>5.6020000000000003</v>
      </c>
      <c r="I4972" s="7">
        <v>4.9210000000000003</v>
      </c>
      <c r="J4972" s="7">
        <v>4.2930000000000001</v>
      </c>
      <c r="K4972" s="7">
        <v>3.4209999999999998</v>
      </c>
      <c r="L4972" s="7">
        <v>3.1120000000000001</v>
      </c>
      <c r="M4972" s="7">
        <v>3.2949999999999999</v>
      </c>
      <c r="N4972" s="7">
        <v>4.2649999999999997</v>
      </c>
      <c r="O4972" s="7">
        <v>4.399</v>
      </c>
      <c r="P4972" s="7">
        <v>4.9610000000000003</v>
      </c>
      <c r="Q4972" s="7">
        <v>5.6050000000000004</v>
      </c>
      <c r="R4972" s="7">
        <v>6.0960000000000001</v>
      </c>
      <c r="S4972" s="7">
        <f t="shared" si="77"/>
        <v>4.6298333333333339</v>
      </c>
    </row>
    <row r="4973" spans="1:19">
      <c r="A4973" s="5" t="str">
        <f>B4973&amp;"-"&amp;COUNTIF($B$2:B4973,B4973)</f>
        <v>SÃO PAULO-262</v>
      </c>
      <c r="B4973" s="5" t="s">
        <v>3122</v>
      </c>
      <c r="C4973" s="5" t="s">
        <v>3292</v>
      </c>
      <c r="D4973" s="6">
        <v>-469331</v>
      </c>
      <c r="E4973" s="6">
        <v>-235493</v>
      </c>
      <c r="F4973" s="7">
        <v>4.5579999999999998</v>
      </c>
      <c r="G4973" s="7">
        <v>5.3140000000000001</v>
      </c>
      <c r="H4973" s="7">
        <v>5.556</v>
      </c>
      <c r="I4973" s="7">
        <v>4.8029999999999999</v>
      </c>
      <c r="J4973" s="7">
        <v>4.2939999999999996</v>
      </c>
      <c r="K4973" s="7">
        <v>3.5179999999999998</v>
      </c>
      <c r="L4973" s="7">
        <v>3.2440000000000002</v>
      </c>
      <c r="M4973" s="7">
        <v>3.331</v>
      </c>
      <c r="N4973" s="7">
        <v>4.3099999999999996</v>
      </c>
      <c r="O4973" s="7">
        <v>4.3449999999999998</v>
      </c>
      <c r="P4973" s="7">
        <v>4.8849999999999998</v>
      </c>
      <c r="Q4973" s="7">
        <v>5.3029999999999999</v>
      </c>
      <c r="R4973" s="7">
        <v>5.7990000000000004</v>
      </c>
      <c r="S4973" s="7">
        <f t="shared" si="77"/>
        <v>4.5584999999999996</v>
      </c>
    </row>
    <row r="4974" spans="1:19">
      <c r="A4974" s="5" t="str">
        <f>B4974&amp;"-"&amp;COUNTIF($B$2:B4974,B4974)</f>
        <v>SÃO PAULO-263</v>
      </c>
      <c r="B4974" s="5" t="s">
        <v>3122</v>
      </c>
      <c r="C4974" s="5" t="s">
        <v>3293</v>
      </c>
      <c r="D4974" s="6">
        <v>-468228</v>
      </c>
      <c r="E4974" s="6">
        <v>-224362</v>
      </c>
      <c r="F4974" s="7">
        <v>4.97</v>
      </c>
      <c r="G4974" s="7">
        <v>5.5590000000000002</v>
      </c>
      <c r="H4974" s="7">
        <v>5.8419999999999996</v>
      </c>
      <c r="I4974" s="7">
        <v>5.1310000000000002</v>
      </c>
      <c r="J4974" s="7">
        <v>4.7130000000000001</v>
      </c>
      <c r="K4974" s="7">
        <v>3.9060000000000001</v>
      </c>
      <c r="L4974" s="7">
        <v>3.6280000000000001</v>
      </c>
      <c r="M4974" s="7">
        <v>3.8359999999999999</v>
      </c>
      <c r="N4974" s="7">
        <v>4.71</v>
      </c>
      <c r="O4974" s="7">
        <v>4.9470000000000001</v>
      </c>
      <c r="P4974" s="7">
        <v>5.5640000000000001</v>
      </c>
      <c r="Q4974" s="7">
        <v>5.7370000000000001</v>
      </c>
      <c r="R4974" s="7">
        <v>6.0650000000000004</v>
      </c>
      <c r="S4974" s="7">
        <f t="shared" si="77"/>
        <v>4.9698333333333338</v>
      </c>
    </row>
    <row r="4975" spans="1:19">
      <c r="A4975" s="5" t="str">
        <f>B4975&amp;"-"&amp;COUNTIF($B$2:B4975,B4975)</f>
        <v>SÃO PAULO-264</v>
      </c>
      <c r="B4975" s="5" t="s">
        <v>3122</v>
      </c>
      <c r="C4975" s="5" t="s">
        <v>5412</v>
      </c>
      <c r="D4975" s="6">
        <v>-491688</v>
      </c>
      <c r="E4975" s="6">
        <v>-245739</v>
      </c>
      <c r="F4975" s="7">
        <v>4.1820000000000004</v>
      </c>
      <c r="G4975" s="7">
        <v>5.2270000000000003</v>
      </c>
      <c r="H4975" s="7">
        <v>5.1769999999999996</v>
      </c>
      <c r="I4975" s="7">
        <v>4.569</v>
      </c>
      <c r="J4975" s="7">
        <v>3.8769999999999998</v>
      </c>
      <c r="K4975" s="7">
        <v>3.093</v>
      </c>
      <c r="L4975" s="7">
        <v>2.718</v>
      </c>
      <c r="M4975" s="7">
        <v>2.7879999999999998</v>
      </c>
      <c r="N4975" s="7">
        <v>3.78</v>
      </c>
      <c r="O4975" s="7">
        <v>3.8290000000000002</v>
      </c>
      <c r="P4975" s="7">
        <v>4.3890000000000002</v>
      </c>
      <c r="Q4975" s="7">
        <v>5.1749999999999998</v>
      </c>
      <c r="R4975" s="7">
        <v>5.5579999999999998</v>
      </c>
      <c r="S4975" s="7">
        <f t="shared" si="77"/>
        <v>4.1816666666666666</v>
      </c>
    </row>
    <row r="4976" spans="1:19">
      <c r="A4976" s="5" t="str">
        <f>B4976&amp;"-"&amp;COUNTIF($B$2:B4976,B4976)</f>
        <v>SÃO PAULO-265</v>
      </c>
      <c r="B4976" s="5" t="s">
        <v>3122</v>
      </c>
      <c r="C4976" s="5" t="s">
        <v>1852</v>
      </c>
      <c r="D4976" s="6">
        <v>-494823</v>
      </c>
      <c r="E4976" s="6">
        <v>-237047</v>
      </c>
      <c r="F4976" s="7">
        <v>4.7969999999999997</v>
      </c>
      <c r="G4976" s="7">
        <v>5.7240000000000002</v>
      </c>
      <c r="H4976" s="7">
        <v>5.8129999999999997</v>
      </c>
      <c r="I4976" s="7">
        <v>5.1280000000000001</v>
      </c>
      <c r="J4976" s="7">
        <v>4.4800000000000004</v>
      </c>
      <c r="K4976" s="7">
        <v>3.536</v>
      </c>
      <c r="L4976" s="7">
        <v>3.1709999999999998</v>
      </c>
      <c r="M4976" s="7">
        <v>3.379</v>
      </c>
      <c r="N4976" s="7">
        <v>4.3959999999999999</v>
      </c>
      <c r="O4976" s="7">
        <v>4.5890000000000004</v>
      </c>
      <c r="P4976" s="7">
        <v>5.2069999999999999</v>
      </c>
      <c r="Q4976" s="7">
        <v>5.8410000000000002</v>
      </c>
      <c r="R4976" s="7">
        <v>6.3070000000000004</v>
      </c>
      <c r="S4976" s="7">
        <f t="shared" si="77"/>
        <v>4.7975833333333338</v>
      </c>
    </row>
    <row r="4977" spans="1:19">
      <c r="A4977" s="5" t="str">
        <f>B4977&amp;"-"&amp;COUNTIF($B$2:B4977,B4977)</f>
        <v>SÃO PAULO-266</v>
      </c>
      <c r="B4977" s="5" t="s">
        <v>3122</v>
      </c>
      <c r="C4977" s="5" t="s">
        <v>3294</v>
      </c>
      <c r="D4977" s="6">
        <v>-487201</v>
      </c>
      <c r="E4977" s="6">
        <v>-222329</v>
      </c>
      <c r="F4977" s="7">
        <v>5.0209999999999999</v>
      </c>
      <c r="G4977" s="7">
        <v>5.7720000000000002</v>
      </c>
      <c r="H4977" s="7">
        <v>5.9669999999999996</v>
      </c>
      <c r="I4977" s="7">
        <v>5.2779999999999996</v>
      </c>
      <c r="J4977" s="7">
        <v>4.7149999999999999</v>
      </c>
      <c r="K4977" s="7">
        <v>3.8769999999999998</v>
      </c>
      <c r="L4977" s="7">
        <v>3.597</v>
      </c>
      <c r="M4977" s="7">
        <v>3.7730000000000001</v>
      </c>
      <c r="N4977" s="7">
        <v>4.6349999999999998</v>
      </c>
      <c r="O4977" s="7">
        <v>4.8159999999999998</v>
      </c>
      <c r="P4977" s="7">
        <v>5.57</v>
      </c>
      <c r="Q4977" s="7">
        <v>5.9390000000000001</v>
      </c>
      <c r="R4977" s="7">
        <v>6.3140000000000001</v>
      </c>
      <c r="S4977" s="7">
        <f t="shared" si="77"/>
        <v>5.0210833333333333</v>
      </c>
    </row>
    <row r="4978" spans="1:19">
      <c r="A4978" s="5" t="str">
        <f>B4978&amp;"-"&amp;COUNTIF($B$2:B4978,B4978)</f>
        <v>SÃO PAULO-267</v>
      </c>
      <c r="B4978" s="5" t="s">
        <v>3122</v>
      </c>
      <c r="C4978" s="5" t="s">
        <v>3295</v>
      </c>
      <c r="D4978" s="6">
        <v>-515067</v>
      </c>
      <c r="E4978" s="6">
        <v>-206424</v>
      </c>
      <c r="F4978" s="7">
        <v>5.141</v>
      </c>
      <c r="G4978" s="7">
        <v>5.8849999999999998</v>
      </c>
      <c r="H4978" s="7">
        <v>5.9660000000000002</v>
      </c>
      <c r="I4978" s="7">
        <v>5.47</v>
      </c>
      <c r="J4978" s="7">
        <v>4.8730000000000002</v>
      </c>
      <c r="K4978" s="7">
        <v>4.1059999999999999</v>
      </c>
      <c r="L4978" s="7">
        <v>3.7850000000000001</v>
      </c>
      <c r="M4978" s="7">
        <v>3.9889999999999999</v>
      </c>
      <c r="N4978" s="7">
        <v>4.9039999999999999</v>
      </c>
      <c r="O4978" s="7">
        <v>4.8959999999999999</v>
      </c>
      <c r="P4978" s="7">
        <v>5.55</v>
      </c>
      <c r="Q4978" s="7">
        <v>5.9669999999999996</v>
      </c>
      <c r="R4978" s="7">
        <v>6.3049999999999997</v>
      </c>
      <c r="S4978" s="7">
        <f t="shared" si="77"/>
        <v>5.1413333333333329</v>
      </c>
    </row>
    <row r="4979" spans="1:19">
      <c r="A4979" s="5" t="str">
        <f>B4979&amp;"-"&amp;COUNTIF($B$2:B4979,B4979)</f>
        <v>SÃO PAULO-268</v>
      </c>
      <c r="B4979" s="5" t="s">
        <v>3122</v>
      </c>
      <c r="C4979" s="5" t="s">
        <v>3296</v>
      </c>
      <c r="D4979" s="6">
        <v>-463461</v>
      </c>
      <c r="E4979" s="6">
        <v>-23484</v>
      </c>
      <c r="F4979" s="7">
        <v>4.42</v>
      </c>
      <c r="G4979" s="7">
        <v>5.29</v>
      </c>
      <c r="H4979" s="7">
        <v>5.5039999999999996</v>
      </c>
      <c r="I4979" s="7">
        <v>4.6429999999999998</v>
      </c>
      <c r="J4979" s="7">
        <v>4.1159999999999997</v>
      </c>
      <c r="K4979" s="7">
        <v>3.3460000000000001</v>
      </c>
      <c r="L4979" s="7">
        <v>3.109</v>
      </c>
      <c r="M4979" s="7">
        <v>3.2290000000000001</v>
      </c>
      <c r="N4979" s="7">
        <v>4.1050000000000004</v>
      </c>
      <c r="O4979" s="7">
        <v>4.2030000000000003</v>
      </c>
      <c r="P4979" s="7">
        <v>4.7220000000000004</v>
      </c>
      <c r="Q4979" s="7">
        <v>5.1130000000000004</v>
      </c>
      <c r="R4979" s="7">
        <v>5.6609999999999996</v>
      </c>
      <c r="S4979" s="7">
        <f t="shared" si="77"/>
        <v>4.4200833333333334</v>
      </c>
    </row>
    <row r="4980" spans="1:19">
      <c r="A4980" s="5" t="str">
        <f>B4980&amp;"-"&amp;COUNTIF($B$2:B4980,B4980)</f>
        <v>SÃO PAULO-269</v>
      </c>
      <c r="B4980" s="5" t="s">
        <v>3122</v>
      </c>
      <c r="C4980" s="5" t="s">
        <v>4512</v>
      </c>
      <c r="D4980" s="6">
        <v>-493356</v>
      </c>
      <c r="E4980" s="6">
        <v>-241089</v>
      </c>
      <c r="F4980" s="7">
        <v>4.6980000000000004</v>
      </c>
      <c r="G4980" s="7">
        <v>5.5659999999999998</v>
      </c>
      <c r="H4980" s="7">
        <v>5.673</v>
      </c>
      <c r="I4980" s="7">
        <v>4.9880000000000004</v>
      </c>
      <c r="J4980" s="7">
        <v>4.33</v>
      </c>
      <c r="K4980" s="7">
        <v>3.4649999999999999</v>
      </c>
      <c r="L4980" s="7">
        <v>3.117</v>
      </c>
      <c r="M4980" s="7">
        <v>3.3620000000000001</v>
      </c>
      <c r="N4980" s="7">
        <v>4.3390000000000004</v>
      </c>
      <c r="O4980" s="7">
        <v>4.5250000000000004</v>
      </c>
      <c r="P4980" s="7">
        <v>5.0679999999999996</v>
      </c>
      <c r="Q4980" s="7">
        <v>5.758</v>
      </c>
      <c r="R4980" s="7">
        <v>6.1870000000000003</v>
      </c>
      <c r="S4980" s="7">
        <f t="shared" si="77"/>
        <v>4.6981666666666664</v>
      </c>
    </row>
    <row r="4981" spans="1:19">
      <c r="A4981" s="5" t="str">
        <f>B4981&amp;"-"&amp;COUNTIF($B$2:B4981,B4981)</f>
        <v>SÃO PAULO-270</v>
      </c>
      <c r="B4981" s="5" t="s">
        <v>3122</v>
      </c>
      <c r="C4981" s="5" t="s">
        <v>3297</v>
      </c>
      <c r="D4981" s="6">
        <v>-47174</v>
      </c>
      <c r="E4981" s="6">
        <v>-24289</v>
      </c>
      <c r="F4981" s="7">
        <v>4.1310000000000002</v>
      </c>
      <c r="G4981" s="7">
        <v>5.2439999999999998</v>
      </c>
      <c r="H4981" s="7">
        <v>5.4249999999999998</v>
      </c>
      <c r="I4981" s="7">
        <v>4.57</v>
      </c>
      <c r="J4981" s="7">
        <v>3.952</v>
      </c>
      <c r="K4981" s="7">
        <v>3.1909999999999998</v>
      </c>
      <c r="L4981" s="7">
        <v>2.819</v>
      </c>
      <c r="M4981" s="7">
        <v>2.855</v>
      </c>
      <c r="N4981" s="7">
        <v>3.5779999999999998</v>
      </c>
      <c r="O4981" s="7">
        <v>3.6110000000000002</v>
      </c>
      <c r="P4981" s="7">
        <v>4.0469999999999997</v>
      </c>
      <c r="Q4981" s="7">
        <v>4.7969999999999997</v>
      </c>
      <c r="R4981" s="7">
        <v>5.4829999999999997</v>
      </c>
      <c r="S4981" s="7">
        <f t="shared" si="77"/>
        <v>4.1309999999999993</v>
      </c>
    </row>
    <row r="4982" spans="1:19">
      <c r="A4982" s="5" t="str">
        <f>B4982&amp;"-"&amp;COUNTIF($B$2:B4982,B4982)</f>
        <v>SÃO PAULO-271</v>
      </c>
      <c r="B4982" s="5" t="s">
        <v>3122</v>
      </c>
      <c r="C4982" s="5" t="s">
        <v>3298</v>
      </c>
      <c r="D4982" s="6">
        <v>-468468</v>
      </c>
      <c r="E4982" s="6">
        <v>-23004</v>
      </c>
      <c r="F4982" s="7">
        <v>4.8769999999999998</v>
      </c>
      <c r="G4982" s="7">
        <v>5.5209999999999999</v>
      </c>
      <c r="H4982" s="7">
        <v>5.8079999999999998</v>
      </c>
      <c r="I4982" s="7">
        <v>5.0670000000000002</v>
      </c>
      <c r="J4982" s="7">
        <v>4.6100000000000003</v>
      </c>
      <c r="K4982" s="7">
        <v>3.774</v>
      </c>
      <c r="L4982" s="7">
        <v>3.5139999999999998</v>
      </c>
      <c r="M4982" s="7">
        <v>3.67</v>
      </c>
      <c r="N4982" s="7">
        <v>4.6230000000000002</v>
      </c>
      <c r="O4982" s="7">
        <v>4.7789999999999999</v>
      </c>
      <c r="P4982" s="7">
        <v>5.3890000000000002</v>
      </c>
      <c r="Q4982" s="7">
        <v>5.6760000000000002</v>
      </c>
      <c r="R4982" s="7">
        <v>6.0910000000000002</v>
      </c>
      <c r="S4982" s="7">
        <f t="shared" si="77"/>
        <v>4.8768333333333338</v>
      </c>
    </row>
    <row r="4983" spans="1:19">
      <c r="A4983" s="5" t="str">
        <f>B4983&amp;"-"&amp;COUNTIF($B$2:B4983,B4983)</f>
        <v>SÃO PAULO-272</v>
      </c>
      <c r="B4983" s="5" t="s">
        <v>3122</v>
      </c>
      <c r="C4983" s="5" t="s">
        <v>3299</v>
      </c>
      <c r="D4983" s="6">
        <v>-486161</v>
      </c>
      <c r="E4983" s="6">
        <v>-231052</v>
      </c>
      <c r="F4983" s="7">
        <v>4.78</v>
      </c>
      <c r="G4983" s="7">
        <v>5.4359999999999999</v>
      </c>
      <c r="H4983" s="7">
        <v>5.6130000000000004</v>
      </c>
      <c r="I4983" s="7">
        <v>5.016</v>
      </c>
      <c r="J4983" s="7">
        <v>4.5460000000000003</v>
      </c>
      <c r="K4983" s="7">
        <v>3.641</v>
      </c>
      <c r="L4983" s="7">
        <v>3.3969999999999998</v>
      </c>
      <c r="M4983" s="7">
        <v>3.536</v>
      </c>
      <c r="N4983" s="7">
        <v>4.5659999999999998</v>
      </c>
      <c r="O4983" s="7">
        <v>4.6909999999999998</v>
      </c>
      <c r="P4983" s="7">
        <v>5.2380000000000004</v>
      </c>
      <c r="Q4983" s="7">
        <v>5.6959999999999997</v>
      </c>
      <c r="R4983" s="7">
        <v>5.9850000000000003</v>
      </c>
      <c r="S4983" s="7">
        <f t="shared" si="77"/>
        <v>4.7800833333333328</v>
      </c>
    </row>
    <row r="4984" spans="1:19">
      <c r="A4984" s="5" t="str">
        <f>B4984&amp;"-"&amp;COUNTIF($B$2:B4984,B4984)</f>
        <v>SÃO PAULO-273</v>
      </c>
      <c r="B4984" s="5" t="s">
        <v>3122</v>
      </c>
      <c r="C4984" s="5" t="s">
        <v>3300</v>
      </c>
      <c r="D4984" s="6">
        <v>-47817</v>
      </c>
      <c r="E4984" s="6">
        <v>-222567</v>
      </c>
      <c r="F4984" s="7">
        <v>4.8879999999999999</v>
      </c>
      <c r="G4984" s="7">
        <v>5.4249999999999998</v>
      </c>
      <c r="H4984" s="7">
        <v>5.6470000000000002</v>
      </c>
      <c r="I4984" s="7">
        <v>5.0279999999999996</v>
      </c>
      <c r="J4984" s="7">
        <v>4.633</v>
      </c>
      <c r="K4984" s="7">
        <v>3.863</v>
      </c>
      <c r="L4984" s="7">
        <v>3.6349999999999998</v>
      </c>
      <c r="M4984" s="7">
        <v>3.8180000000000001</v>
      </c>
      <c r="N4984" s="7">
        <v>4.7709999999999999</v>
      </c>
      <c r="O4984" s="7">
        <v>4.8520000000000003</v>
      </c>
      <c r="P4984" s="7">
        <v>5.4480000000000004</v>
      </c>
      <c r="Q4984" s="7">
        <v>5.649</v>
      </c>
      <c r="R4984" s="7">
        <v>5.8920000000000003</v>
      </c>
      <c r="S4984" s="7">
        <f t="shared" si="77"/>
        <v>4.8884166666666671</v>
      </c>
    </row>
    <row r="4985" spans="1:19">
      <c r="A4985" s="5" t="str">
        <f>B4985&amp;"-"&amp;COUNTIF($B$2:B4985,B4985)</f>
        <v>SÃO PAULO-274</v>
      </c>
      <c r="B4985" s="5" t="s">
        <v>3122</v>
      </c>
      <c r="C4985" s="5" t="s">
        <v>5413</v>
      </c>
      <c r="D4985" s="6">
        <v>-472198</v>
      </c>
      <c r="E4985" s="6">
        <v>-206421</v>
      </c>
      <c r="F4985" s="7">
        <v>5.0659999999999998</v>
      </c>
      <c r="G4985" s="7">
        <v>5.5380000000000003</v>
      </c>
      <c r="H4985" s="7">
        <v>5.7880000000000003</v>
      </c>
      <c r="I4985" s="7">
        <v>4.9800000000000004</v>
      </c>
      <c r="J4985" s="7">
        <v>4.8250000000000002</v>
      </c>
      <c r="K4985" s="7">
        <v>4.2439999999999998</v>
      </c>
      <c r="L4985" s="7">
        <v>4.0419999999999998</v>
      </c>
      <c r="M4985" s="7">
        <v>4.282</v>
      </c>
      <c r="N4985" s="7">
        <v>5.2370000000000001</v>
      </c>
      <c r="O4985" s="7">
        <v>5.1429999999999998</v>
      </c>
      <c r="P4985" s="7">
        <v>5.476</v>
      </c>
      <c r="Q4985" s="7">
        <v>5.5460000000000003</v>
      </c>
      <c r="R4985" s="7">
        <v>5.6879999999999997</v>
      </c>
      <c r="S4985" s="7">
        <f t="shared" si="77"/>
        <v>5.0657500000000004</v>
      </c>
    </row>
    <row r="4986" spans="1:19">
      <c r="A4986" s="5" t="str">
        <f>B4986&amp;"-"&amp;COUNTIF($B$2:B4986,B4986)</f>
        <v>SÃO PAULO-275</v>
      </c>
      <c r="B4986" s="5" t="s">
        <v>3122</v>
      </c>
      <c r="C4986" s="5" t="s">
        <v>3301</v>
      </c>
      <c r="D4986" s="6">
        <v>-469747</v>
      </c>
      <c r="E4986" s="6">
        <v>-217313</v>
      </c>
      <c r="F4986" s="7">
        <v>5.0679999999999996</v>
      </c>
      <c r="G4986" s="7">
        <v>5.6959999999999997</v>
      </c>
      <c r="H4986" s="7">
        <v>5.8780000000000001</v>
      </c>
      <c r="I4986" s="7">
        <v>5.2149999999999999</v>
      </c>
      <c r="J4986" s="7">
        <v>4.8579999999999997</v>
      </c>
      <c r="K4986" s="7">
        <v>4.0519999999999996</v>
      </c>
      <c r="L4986" s="7">
        <v>3.8050000000000002</v>
      </c>
      <c r="M4986" s="7">
        <v>3.984</v>
      </c>
      <c r="N4986" s="7">
        <v>4.8659999999999997</v>
      </c>
      <c r="O4986" s="7">
        <v>5.0279999999999996</v>
      </c>
      <c r="P4986" s="7">
        <v>5.5940000000000003</v>
      </c>
      <c r="Q4986" s="7">
        <v>5.8360000000000003</v>
      </c>
      <c r="R4986" s="7">
        <v>6</v>
      </c>
      <c r="S4986" s="7">
        <f t="shared" si="77"/>
        <v>5.0676666666666668</v>
      </c>
    </row>
    <row r="4987" spans="1:19">
      <c r="A4987" s="5" t="str">
        <f>B4987&amp;"-"&amp;COUNTIF($B$2:B4987,B4987)</f>
        <v>SÃO PAULO-276</v>
      </c>
      <c r="B4987" s="5" t="s">
        <v>3122</v>
      </c>
      <c r="C4987" s="5" t="s">
        <v>3302</v>
      </c>
      <c r="D4987" s="6">
        <v>-472931</v>
      </c>
      <c r="E4987" s="6">
        <v>-232549</v>
      </c>
      <c r="F4987" s="7">
        <v>4.8410000000000002</v>
      </c>
      <c r="G4987" s="7">
        <v>5.5620000000000003</v>
      </c>
      <c r="H4987" s="7">
        <v>5.8019999999999996</v>
      </c>
      <c r="I4987" s="7">
        <v>5.0869999999999997</v>
      </c>
      <c r="J4987" s="7">
        <v>4.5629999999999997</v>
      </c>
      <c r="K4987" s="7">
        <v>3.7080000000000002</v>
      </c>
      <c r="L4987" s="7">
        <v>3.4060000000000001</v>
      </c>
      <c r="M4987" s="7">
        <v>3.5579999999999998</v>
      </c>
      <c r="N4987" s="7">
        <v>4.524</v>
      </c>
      <c r="O4987" s="7">
        <v>4.7050000000000001</v>
      </c>
      <c r="P4987" s="7">
        <v>5.3070000000000004</v>
      </c>
      <c r="Q4987" s="7">
        <v>5.7309999999999999</v>
      </c>
      <c r="R4987" s="7">
        <v>6.1429999999999998</v>
      </c>
      <c r="S4987" s="7">
        <f t="shared" si="77"/>
        <v>4.8413333333333339</v>
      </c>
    </row>
    <row r="4988" spans="1:19">
      <c r="A4988" s="5" t="str">
        <f>B4988&amp;"-"&amp;COUNTIF($B$2:B4988,B4988)</f>
        <v>SÃO PAULO-277</v>
      </c>
      <c r="B4988" s="5" t="s">
        <v>3122</v>
      </c>
      <c r="C4988" s="5" t="s">
        <v>3303</v>
      </c>
      <c r="D4988" s="6">
        <v>-470597</v>
      </c>
      <c r="E4988" s="6">
        <v>-231531</v>
      </c>
      <c r="F4988" s="7">
        <v>4.843</v>
      </c>
      <c r="G4988" s="7">
        <v>5.4809999999999999</v>
      </c>
      <c r="H4988" s="7">
        <v>5.766</v>
      </c>
      <c r="I4988" s="7">
        <v>5.0609999999999999</v>
      </c>
      <c r="J4988" s="7">
        <v>4.5510000000000002</v>
      </c>
      <c r="K4988" s="7">
        <v>3.7240000000000002</v>
      </c>
      <c r="L4988" s="7">
        <v>3.456</v>
      </c>
      <c r="M4988" s="7">
        <v>3.6019999999999999</v>
      </c>
      <c r="N4988" s="7">
        <v>4.5810000000000004</v>
      </c>
      <c r="O4988" s="7">
        <v>4.7309999999999999</v>
      </c>
      <c r="P4988" s="7">
        <v>5.3630000000000004</v>
      </c>
      <c r="Q4988" s="7">
        <v>5.6829999999999998</v>
      </c>
      <c r="R4988" s="7">
        <v>6.1210000000000004</v>
      </c>
      <c r="S4988" s="7">
        <f t="shared" si="77"/>
        <v>4.8433333333333337</v>
      </c>
    </row>
    <row r="4989" spans="1:19">
      <c r="A4989" s="5" t="str">
        <f>B4989&amp;"-"&amp;COUNTIF($B$2:B4989,B4989)</f>
        <v>SÃO PAULO-278</v>
      </c>
      <c r="B4989" s="5" t="s">
        <v>3122</v>
      </c>
      <c r="C4989" s="5" t="s">
        <v>3304</v>
      </c>
      <c r="D4989" s="6">
        <v>-477906</v>
      </c>
      <c r="E4989" s="6">
        <v>-203359</v>
      </c>
      <c r="F4989" s="7">
        <v>5.1840000000000002</v>
      </c>
      <c r="G4989" s="7">
        <v>5.6870000000000003</v>
      </c>
      <c r="H4989" s="7">
        <v>5.9690000000000003</v>
      </c>
      <c r="I4989" s="7">
        <v>5.1890000000000001</v>
      </c>
      <c r="J4989" s="7">
        <v>4.9489999999999998</v>
      </c>
      <c r="K4989" s="7">
        <v>4.2960000000000003</v>
      </c>
      <c r="L4989" s="7">
        <v>4.0650000000000004</v>
      </c>
      <c r="M4989" s="7">
        <v>4.3140000000000001</v>
      </c>
      <c r="N4989" s="7">
        <v>5.2350000000000003</v>
      </c>
      <c r="O4989" s="7">
        <v>5.1589999999999998</v>
      </c>
      <c r="P4989" s="7">
        <v>5.5650000000000004</v>
      </c>
      <c r="Q4989" s="7">
        <v>5.7220000000000004</v>
      </c>
      <c r="R4989" s="7">
        <v>6.0519999999999996</v>
      </c>
      <c r="S4989" s="7">
        <f t="shared" si="77"/>
        <v>5.1834999999999996</v>
      </c>
    </row>
    <row r="4990" spans="1:19">
      <c r="A4990" s="5" t="str">
        <f>B4990&amp;"-"&amp;COUNTIF($B$2:B4990,B4990)</f>
        <v>SÃO PAULO-279</v>
      </c>
      <c r="B4990" s="5" t="s">
        <v>3122</v>
      </c>
      <c r="C4990" s="5" t="s">
        <v>4889</v>
      </c>
      <c r="D4990" s="6">
        <v>-485596</v>
      </c>
      <c r="E4990" s="6">
        <v>-222941</v>
      </c>
      <c r="F4990" s="7">
        <v>5.0140000000000002</v>
      </c>
      <c r="G4990" s="7">
        <v>5.6870000000000003</v>
      </c>
      <c r="H4990" s="7">
        <v>5.923</v>
      </c>
      <c r="I4990" s="7">
        <v>5.2380000000000004</v>
      </c>
      <c r="J4990" s="7">
        <v>4.7140000000000004</v>
      </c>
      <c r="K4990" s="7">
        <v>3.8780000000000001</v>
      </c>
      <c r="L4990" s="7">
        <v>3.63</v>
      </c>
      <c r="M4990" s="7">
        <v>3.8319999999999999</v>
      </c>
      <c r="N4990" s="7">
        <v>4.7450000000000001</v>
      </c>
      <c r="O4990" s="7">
        <v>4.8920000000000003</v>
      </c>
      <c r="P4990" s="7">
        <v>5.5720000000000001</v>
      </c>
      <c r="Q4990" s="7">
        <v>5.87</v>
      </c>
      <c r="R4990" s="7">
        <v>6.1840000000000002</v>
      </c>
      <c r="S4990" s="7">
        <f t="shared" si="77"/>
        <v>5.013749999999999</v>
      </c>
    </row>
    <row r="4991" spans="1:19">
      <c r="A4991" s="5" t="str">
        <f>B4991&amp;"-"&amp;COUNTIF($B$2:B4991,B4991)</f>
        <v>SÃO PAULO-280</v>
      </c>
      <c r="B4991" s="5" t="s">
        <v>3122</v>
      </c>
      <c r="C4991" s="5" t="s">
        <v>431</v>
      </c>
      <c r="D4991" s="6">
        <v>-484116</v>
      </c>
      <c r="E4991" s="6">
        <v>-206889</v>
      </c>
      <c r="F4991" s="7">
        <v>5.1719999999999997</v>
      </c>
      <c r="G4991" s="7">
        <v>5.8239999999999998</v>
      </c>
      <c r="H4991" s="7">
        <v>6.0609999999999999</v>
      </c>
      <c r="I4991" s="7">
        <v>5.2160000000000002</v>
      </c>
      <c r="J4991" s="7">
        <v>4.8650000000000002</v>
      </c>
      <c r="K4991" s="7">
        <v>4.234</v>
      </c>
      <c r="L4991" s="7">
        <v>3.9710000000000001</v>
      </c>
      <c r="M4991" s="7">
        <v>4.2030000000000003</v>
      </c>
      <c r="N4991" s="7">
        <v>5.0620000000000003</v>
      </c>
      <c r="O4991" s="7">
        <v>5.0419999999999998</v>
      </c>
      <c r="P4991" s="7">
        <v>5.5990000000000002</v>
      </c>
      <c r="Q4991" s="7">
        <v>5.8179999999999996</v>
      </c>
      <c r="R4991" s="7">
        <v>6.17</v>
      </c>
      <c r="S4991" s="7">
        <f t="shared" si="77"/>
        <v>5.1720833333333331</v>
      </c>
    </row>
    <row r="4992" spans="1:19">
      <c r="A4992" s="5" t="str">
        <f>B4992&amp;"-"&amp;COUNTIF($B$2:B4992,B4992)</f>
        <v>SÃO PAULO-281</v>
      </c>
      <c r="B4992" s="5" t="s">
        <v>3122</v>
      </c>
      <c r="C4992" s="5" t="s">
        <v>3305</v>
      </c>
      <c r="D4992" s="6">
        <v>-483256</v>
      </c>
      <c r="E4992" s="6">
        <v>-212525</v>
      </c>
      <c r="F4992" s="7">
        <v>5.0990000000000002</v>
      </c>
      <c r="G4992" s="7">
        <v>5.782</v>
      </c>
      <c r="H4992" s="7">
        <v>5.9480000000000004</v>
      </c>
      <c r="I4992" s="7">
        <v>5.17</v>
      </c>
      <c r="J4992" s="7">
        <v>4.7990000000000004</v>
      </c>
      <c r="K4992" s="7">
        <v>4.1130000000000004</v>
      </c>
      <c r="L4992" s="7">
        <v>3.859</v>
      </c>
      <c r="M4992" s="7">
        <v>4.0759999999999996</v>
      </c>
      <c r="N4992" s="7">
        <v>4.8819999999999997</v>
      </c>
      <c r="O4992" s="7">
        <v>5.0049999999999999</v>
      </c>
      <c r="P4992" s="7">
        <v>5.585</v>
      </c>
      <c r="Q4992" s="7">
        <v>5.8419999999999996</v>
      </c>
      <c r="R4992" s="7">
        <v>6.1189999999999998</v>
      </c>
      <c r="S4992" s="7">
        <f t="shared" si="77"/>
        <v>5.0983333333333336</v>
      </c>
    </row>
    <row r="4993" spans="1:19">
      <c r="A4993" s="5" t="str">
        <f>B4993&amp;"-"&amp;COUNTIF($B$2:B4993,B4993)</f>
        <v>SÃO PAULO-282</v>
      </c>
      <c r="B4993" s="5" t="s">
        <v>3122</v>
      </c>
      <c r="C4993" s="5" t="s">
        <v>3306</v>
      </c>
      <c r="D4993" s="6">
        <v>-459662</v>
      </c>
      <c r="E4993" s="6">
        <v>-232988</v>
      </c>
      <c r="F4993" s="7">
        <v>4.5430000000000001</v>
      </c>
      <c r="G4993" s="7">
        <v>5.3780000000000001</v>
      </c>
      <c r="H4993" s="7">
        <v>5.657</v>
      </c>
      <c r="I4993" s="7">
        <v>4.8090000000000002</v>
      </c>
      <c r="J4993" s="7">
        <v>4.2640000000000002</v>
      </c>
      <c r="K4993" s="7">
        <v>3.403</v>
      </c>
      <c r="L4993" s="7">
        <v>3.1440000000000001</v>
      </c>
      <c r="M4993" s="7">
        <v>3.2730000000000001</v>
      </c>
      <c r="N4993" s="7">
        <v>4.2279999999999998</v>
      </c>
      <c r="O4993" s="7">
        <v>4.33</v>
      </c>
      <c r="P4993" s="7">
        <v>4.9829999999999997</v>
      </c>
      <c r="Q4993" s="7">
        <v>5.2359999999999998</v>
      </c>
      <c r="R4993" s="7">
        <v>5.8090000000000002</v>
      </c>
      <c r="S4993" s="7">
        <f t="shared" si="77"/>
        <v>4.5428333333333324</v>
      </c>
    </row>
    <row r="4994" spans="1:19">
      <c r="A4994" s="5" t="str">
        <f>B4994&amp;"-"&amp;COUNTIF($B$2:B4994,B4994)</f>
        <v>SÃO PAULO-283</v>
      </c>
      <c r="B4994" s="5" t="s">
        <v>3122</v>
      </c>
      <c r="C4994" s="5" t="s">
        <v>3307</v>
      </c>
      <c r="D4994" s="6">
        <v>-495801</v>
      </c>
      <c r="E4994" s="6">
        <v>-208809</v>
      </c>
      <c r="F4994" s="7">
        <v>5.141</v>
      </c>
      <c r="G4994" s="7">
        <v>5.8170000000000002</v>
      </c>
      <c r="H4994" s="7">
        <v>5.8710000000000004</v>
      </c>
      <c r="I4994" s="7">
        <v>5.2169999999999996</v>
      </c>
      <c r="J4994" s="7">
        <v>4.8620000000000001</v>
      </c>
      <c r="K4994" s="7">
        <v>4.085</v>
      </c>
      <c r="L4994" s="7">
        <v>3.863</v>
      </c>
      <c r="M4994" s="7">
        <v>4.1239999999999997</v>
      </c>
      <c r="N4994" s="7">
        <v>5.0259999999999998</v>
      </c>
      <c r="O4994" s="7">
        <v>5.069</v>
      </c>
      <c r="P4994" s="7">
        <v>5.62</v>
      </c>
      <c r="Q4994" s="7">
        <v>5.9619999999999997</v>
      </c>
      <c r="R4994" s="7">
        <v>6.1769999999999996</v>
      </c>
      <c r="S4994" s="7">
        <f t="shared" si="77"/>
        <v>5.1410833333333334</v>
      </c>
    </row>
    <row r="4995" spans="1:19">
      <c r="A4995" s="5" t="str">
        <f>B4995&amp;"-"&amp;COUNTIF($B$2:B4995,B4995)</f>
        <v>SÃO PAULO-284</v>
      </c>
      <c r="B4995" s="5" t="s">
        <v>3122</v>
      </c>
      <c r="C4995" s="5" t="s">
        <v>3308</v>
      </c>
      <c r="D4995" s="6">
        <v>-480068</v>
      </c>
      <c r="E4995" s="6">
        <v>-246968</v>
      </c>
      <c r="F4995" s="7">
        <v>4.0750000000000002</v>
      </c>
      <c r="G4995" s="7">
        <v>5.4139999999999997</v>
      </c>
      <c r="H4995" s="7">
        <v>5.3879999999999999</v>
      </c>
      <c r="I4995" s="7">
        <v>4.5339999999999998</v>
      </c>
      <c r="J4995" s="7">
        <v>3.875</v>
      </c>
      <c r="K4995" s="7">
        <v>3.13</v>
      </c>
      <c r="L4995" s="7">
        <v>2.6989999999999998</v>
      </c>
      <c r="M4995" s="7">
        <v>2.6960000000000002</v>
      </c>
      <c r="N4995" s="7">
        <v>3.3650000000000002</v>
      </c>
      <c r="O4995" s="7">
        <v>3.4940000000000002</v>
      </c>
      <c r="P4995" s="7">
        <v>4.0030000000000001</v>
      </c>
      <c r="Q4995" s="7">
        <v>4.8550000000000004</v>
      </c>
      <c r="R4995" s="7">
        <v>5.4470000000000001</v>
      </c>
      <c r="S4995" s="7">
        <f t="shared" ref="S4995:S5058" si="78">(G4995+H4995+I4995+J4995+K4995+L4995+M4995+N4995+O4995+P4995+Q4995+R4995)/12</f>
        <v>4.0750000000000002</v>
      </c>
    </row>
    <row r="4996" spans="1:19">
      <c r="A4996" s="5" t="str">
        <f>B4996&amp;"-"&amp;COUNTIF($B$2:B4996,B4996)</f>
        <v>SÃO PAULO-285</v>
      </c>
      <c r="B4996" s="5" t="s">
        <v>3122</v>
      </c>
      <c r="C4996" s="5" t="s">
        <v>4890</v>
      </c>
      <c r="D4996" s="6">
        <v>-469855</v>
      </c>
      <c r="E4996" s="6">
        <v>-227042</v>
      </c>
      <c r="F4996" s="7">
        <v>4.9550000000000001</v>
      </c>
      <c r="G4996" s="7">
        <v>5.585</v>
      </c>
      <c r="H4996" s="7">
        <v>5.8120000000000003</v>
      </c>
      <c r="I4996" s="7">
        <v>5.1719999999999997</v>
      </c>
      <c r="J4996" s="7">
        <v>4.6749999999999998</v>
      </c>
      <c r="K4996" s="7">
        <v>3.8730000000000002</v>
      </c>
      <c r="L4996" s="7">
        <v>3.573</v>
      </c>
      <c r="M4996" s="7">
        <v>3.7829999999999999</v>
      </c>
      <c r="N4996" s="7">
        <v>4.6920000000000002</v>
      </c>
      <c r="O4996" s="7">
        <v>4.88</v>
      </c>
      <c r="P4996" s="7">
        <v>5.524</v>
      </c>
      <c r="Q4996" s="7">
        <v>5.7320000000000002</v>
      </c>
      <c r="R4996" s="7">
        <v>6.1669999999999998</v>
      </c>
      <c r="S4996" s="7">
        <f t="shared" si="78"/>
        <v>4.9556666666666667</v>
      </c>
    </row>
    <row r="4997" spans="1:19">
      <c r="A4997" s="5" t="str">
        <f>B4997&amp;"-"&amp;COUNTIF($B$2:B4997,B4997)</f>
        <v>SÃO PAULO-286</v>
      </c>
      <c r="B4997" s="5" t="s">
        <v>3122</v>
      </c>
      <c r="C4997" s="5" t="s">
        <v>3309</v>
      </c>
      <c r="D4997" s="6">
        <v>-505499</v>
      </c>
      <c r="E4997" s="6">
        <v>-202677</v>
      </c>
      <c r="F4997" s="7">
        <v>5.1909999999999998</v>
      </c>
      <c r="G4997" s="7">
        <v>5.7990000000000004</v>
      </c>
      <c r="H4997" s="7">
        <v>5.9039999999999999</v>
      </c>
      <c r="I4997" s="7">
        <v>5.3289999999999997</v>
      </c>
      <c r="J4997" s="7">
        <v>4.8890000000000002</v>
      </c>
      <c r="K4997" s="7">
        <v>4.202</v>
      </c>
      <c r="L4997" s="7">
        <v>3.9329999999999998</v>
      </c>
      <c r="M4997" s="7">
        <v>4.1529999999999996</v>
      </c>
      <c r="N4997" s="7">
        <v>5.0739999999999998</v>
      </c>
      <c r="O4997" s="7">
        <v>5.1210000000000004</v>
      </c>
      <c r="P4997" s="7">
        <v>5.6769999999999996</v>
      </c>
      <c r="Q4997" s="7">
        <v>5.9530000000000003</v>
      </c>
      <c r="R4997" s="7">
        <v>6.2629999999999999</v>
      </c>
      <c r="S4997" s="7">
        <f t="shared" si="78"/>
        <v>5.1914166666666661</v>
      </c>
    </row>
    <row r="4998" spans="1:19">
      <c r="A4998" s="5" t="str">
        <f>B4998&amp;"-"&amp;COUNTIF($B$2:B4998,B4998)</f>
        <v>SÃO PAULO-287</v>
      </c>
      <c r="B4998" s="5" t="s">
        <v>3122</v>
      </c>
      <c r="C4998" s="5" t="s">
        <v>3310</v>
      </c>
      <c r="D4998" s="6">
        <v>-456946</v>
      </c>
      <c r="E4998" s="6">
        <v>-232527</v>
      </c>
      <c r="F4998" s="7">
        <v>4.6509999999999998</v>
      </c>
      <c r="G4998" s="7">
        <v>5.6</v>
      </c>
      <c r="H4998" s="7">
        <v>5.819</v>
      </c>
      <c r="I4998" s="7">
        <v>4.8879999999999999</v>
      </c>
      <c r="J4998" s="7">
        <v>4.3710000000000004</v>
      </c>
      <c r="K4998" s="7">
        <v>3.5190000000000001</v>
      </c>
      <c r="L4998" s="7">
        <v>3.2850000000000001</v>
      </c>
      <c r="M4998" s="7">
        <v>3.383</v>
      </c>
      <c r="N4998" s="7">
        <v>4.3109999999999999</v>
      </c>
      <c r="O4998" s="7">
        <v>4.3959999999999999</v>
      </c>
      <c r="P4998" s="7">
        <v>5.0540000000000003</v>
      </c>
      <c r="Q4998" s="7">
        <v>5.3029999999999999</v>
      </c>
      <c r="R4998" s="7">
        <v>5.883</v>
      </c>
      <c r="S4998" s="7">
        <f t="shared" si="78"/>
        <v>4.6510000000000007</v>
      </c>
    </row>
    <row r="4999" spans="1:19">
      <c r="A4999" s="5" t="str">
        <f>B4999&amp;"-"&amp;COUNTIF($B$2:B4999,B4999)</f>
        <v>SÃO PAULO-288</v>
      </c>
      <c r="B4999" s="5" t="s">
        <v>3122</v>
      </c>
      <c r="C4999" s="5" t="s">
        <v>3311</v>
      </c>
      <c r="D4999" s="6">
        <v>-469027</v>
      </c>
      <c r="E4999" s="6">
        <v>-23528</v>
      </c>
      <c r="F4999" s="7">
        <v>4.5579999999999998</v>
      </c>
      <c r="G4999" s="7">
        <v>5.3140000000000001</v>
      </c>
      <c r="H4999" s="7">
        <v>5.556</v>
      </c>
      <c r="I4999" s="7">
        <v>4.8029999999999999</v>
      </c>
      <c r="J4999" s="7">
        <v>4.2939999999999996</v>
      </c>
      <c r="K4999" s="7">
        <v>3.5179999999999998</v>
      </c>
      <c r="L4999" s="7">
        <v>3.2440000000000002</v>
      </c>
      <c r="M4999" s="7">
        <v>3.331</v>
      </c>
      <c r="N4999" s="7">
        <v>4.3099999999999996</v>
      </c>
      <c r="O4999" s="7">
        <v>4.3449999999999998</v>
      </c>
      <c r="P4999" s="7">
        <v>4.8849999999999998</v>
      </c>
      <c r="Q4999" s="7">
        <v>5.3029999999999999</v>
      </c>
      <c r="R4999" s="7">
        <v>5.7990000000000004</v>
      </c>
      <c r="S4999" s="7">
        <f t="shared" si="78"/>
        <v>4.5584999999999996</v>
      </c>
    </row>
    <row r="5000" spans="1:19">
      <c r="A5000" s="5" t="str">
        <f>B5000&amp;"-"&amp;COUNTIF($B$2:B5000,B5000)</f>
        <v>SÃO PAULO-289</v>
      </c>
      <c r="B5000" s="5" t="s">
        <v>3122</v>
      </c>
      <c r="C5000" s="5" t="s">
        <v>4891</v>
      </c>
      <c r="D5000" s="6">
        <v>-497869</v>
      </c>
      <c r="E5000" s="6">
        <v>-22009</v>
      </c>
      <c r="F5000" s="7">
        <v>5.0270000000000001</v>
      </c>
      <c r="G5000" s="7">
        <v>5.718</v>
      </c>
      <c r="H5000" s="7">
        <v>5.8789999999999996</v>
      </c>
      <c r="I5000" s="7">
        <v>5.2270000000000003</v>
      </c>
      <c r="J5000" s="7">
        <v>4.7729999999999997</v>
      </c>
      <c r="K5000" s="7">
        <v>3.9049999999999998</v>
      </c>
      <c r="L5000" s="7">
        <v>3.605</v>
      </c>
      <c r="M5000" s="7">
        <v>3.8410000000000002</v>
      </c>
      <c r="N5000" s="7">
        <v>4.7530000000000001</v>
      </c>
      <c r="O5000" s="7">
        <v>4.8449999999999998</v>
      </c>
      <c r="P5000" s="7">
        <v>5.5970000000000004</v>
      </c>
      <c r="Q5000" s="7">
        <v>5.9489999999999998</v>
      </c>
      <c r="R5000" s="7">
        <v>6.2320000000000002</v>
      </c>
      <c r="S5000" s="7">
        <f t="shared" si="78"/>
        <v>5.0270000000000001</v>
      </c>
    </row>
    <row r="5001" spans="1:19">
      <c r="A5001" s="5" t="str">
        <f>B5001&amp;"-"&amp;COUNTIF($B$2:B5001,B5001)</f>
        <v>SÃO PAULO-290</v>
      </c>
      <c r="B5001" s="5" t="s">
        <v>3122</v>
      </c>
      <c r="C5001" s="5" t="s">
        <v>5224</v>
      </c>
      <c r="D5001" s="6">
        <v>-47761</v>
      </c>
      <c r="E5001" s="6">
        <v>-210181</v>
      </c>
      <c r="F5001" s="7">
        <v>5.0940000000000003</v>
      </c>
      <c r="G5001" s="7">
        <v>5.6669999999999998</v>
      </c>
      <c r="H5001" s="7">
        <v>5.8890000000000002</v>
      </c>
      <c r="I5001" s="7">
        <v>5.15</v>
      </c>
      <c r="J5001" s="7">
        <v>4.8730000000000002</v>
      </c>
      <c r="K5001" s="7">
        <v>4.1630000000000003</v>
      </c>
      <c r="L5001" s="7">
        <v>3.9470000000000001</v>
      </c>
      <c r="M5001" s="7">
        <v>4.1580000000000004</v>
      </c>
      <c r="N5001" s="7">
        <v>5.0179999999999998</v>
      </c>
      <c r="O5001" s="7">
        <v>5.05</v>
      </c>
      <c r="P5001" s="7">
        <v>5.5259999999999998</v>
      </c>
      <c r="Q5001" s="7">
        <v>5.6989999999999998</v>
      </c>
      <c r="R5001" s="7">
        <v>5.99</v>
      </c>
      <c r="S5001" s="7">
        <f t="shared" si="78"/>
        <v>5.0941666666666672</v>
      </c>
    </row>
    <row r="5002" spans="1:19">
      <c r="A5002" s="5" t="str">
        <f>B5002&amp;"-"&amp;COUNTIF($B$2:B5002,B5002)</f>
        <v>SÃO PAULO-291</v>
      </c>
      <c r="B5002" s="5" t="s">
        <v>3122</v>
      </c>
      <c r="C5002" s="5" t="s">
        <v>3312</v>
      </c>
      <c r="D5002" s="6">
        <v>-467284</v>
      </c>
      <c r="E5002" s="6">
        <v>-231043</v>
      </c>
      <c r="F5002" s="7">
        <v>4.8230000000000004</v>
      </c>
      <c r="G5002" s="7">
        <v>5.524</v>
      </c>
      <c r="H5002" s="7">
        <v>5.77</v>
      </c>
      <c r="I5002" s="7">
        <v>5.0570000000000004</v>
      </c>
      <c r="J5002" s="7">
        <v>4.5170000000000003</v>
      </c>
      <c r="K5002" s="7">
        <v>3.7309999999999999</v>
      </c>
      <c r="L5002" s="7">
        <v>3.456</v>
      </c>
      <c r="M5002" s="7">
        <v>3.6070000000000002</v>
      </c>
      <c r="N5002" s="7">
        <v>4.5720000000000001</v>
      </c>
      <c r="O5002" s="7">
        <v>4.6980000000000004</v>
      </c>
      <c r="P5002" s="7">
        <v>5.3209999999999997</v>
      </c>
      <c r="Q5002" s="7">
        <v>5.58</v>
      </c>
      <c r="R5002" s="7">
        <v>6.0449999999999999</v>
      </c>
      <c r="S5002" s="7">
        <f t="shared" si="78"/>
        <v>4.8231666666666664</v>
      </c>
    </row>
    <row r="5003" spans="1:19">
      <c r="A5003" s="5" t="str">
        <f>B5003&amp;"-"&amp;COUNTIF($B$2:B5003,B5003)</f>
        <v>SÃO PAULO-292</v>
      </c>
      <c r="B5003" s="5" t="s">
        <v>3122</v>
      </c>
      <c r="C5003" s="5" t="s">
        <v>3313</v>
      </c>
      <c r="D5003" s="6">
        <v>-475922</v>
      </c>
      <c r="E5003" s="6">
        <v>-20312</v>
      </c>
      <c r="F5003" s="7">
        <v>5.1529999999999996</v>
      </c>
      <c r="G5003" s="7">
        <v>5.5910000000000002</v>
      </c>
      <c r="H5003" s="7">
        <v>5.9160000000000004</v>
      </c>
      <c r="I5003" s="7">
        <v>5.1189999999999998</v>
      </c>
      <c r="J5003" s="7">
        <v>4.931</v>
      </c>
      <c r="K5003" s="7">
        <v>4.3310000000000004</v>
      </c>
      <c r="L5003" s="7">
        <v>4.1120000000000001</v>
      </c>
      <c r="M5003" s="7">
        <v>4.359</v>
      </c>
      <c r="N5003" s="7">
        <v>5.2389999999999999</v>
      </c>
      <c r="O5003" s="7">
        <v>5.1909999999999998</v>
      </c>
      <c r="P5003" s="7">
        <v>5.4939999999999998</v>
      </c>
      <c r="Q5003" s="7">
        <v>5.6289999999999996</v>
      </c>
      <c r="R5003" s="7">
        <v>5.9240000000000004</v>
      </c>
      <c r="S5003" s="7">
        <f t="shared" si="78"/>
        <v>5.1529999999999996</v>
      </c>
    </row>
    <row r="5004" spans="1:19">
      <c r="A5004" s="5" t="str">
        <f>B5004&amp;"-"&amp;COUNTIF($B$2:B5004,B5004)</f>
        <v>SÃO PAULO-293</v>
      </c>
      <c r="B5004" s="5" t="s">
        <v>3122</v>
      </c>
      <c r="C5004" s="5" t="s">
        <v>4224</v>
      </c>
      <c r="D5004" s="6">
        <v>-507679</v>
      </c>
      <c r="E5004" s="5" t="s">
        <v>3314</v>
      </c>
      <c r="F5004" s="7">
        <v>5.0410000000000004</v>
      </c>
      <c r="G5004" s="7">
        <v>5.8890000000000002</v>
      </c>
      <c r="H5004" s="7">
        <v>5.8780000000000001</v>
      </c>
      <c r="I5004" s="7">
        <v>5.3390000000000004</v>
      </c>
      <c r="J5004" s="7">
        <v>4.726</v>
      </c>
      <c r="K5004" s="7">
        <v>3.88</v>
      </c>
      <c r="L5004" s="7">
        <v>3.6139999999999999</v>
      </c>
      <c r="M5004" s="7">
        <v>3.7829999999999999</v>
      </c>
      <c r="N5004" s="7">
        <v>4.7380000000000004</v>
      </c>
      <c r="O5004" s="7">
        <v>4.8310000000000004</v>
      </c>
      <c r="P5004" s="7">
        <v>5.4880000000000004</v>
      </c>
      <c r="Q5004" s="7">
        <v>5.9749999999999996</v>
      </c>
      <c r="R5004" s="7">
        <v>6.3520000000000003</v>
      </c>
      <c r="S5004" s="7">
        <f t="shared" si="78"/>
        <v>5.0410833333333338</v>
      </c>
    </row>
    <row r="5005" spans="1:19">
      <c r="A5005" s="5" t="str">
        <f>B5005&amp;"-"&amp;COUNTIF($B$2:B5005,B5005)</f>
        <v>SÃO PAULO-294</v>
      </c>
      <c r="B5005" s="5" t="s">
        <v>3122</v>
      </c>
      <c r="C5005" s="5" t="s">
        <v>5242</v>
      </c>
      <c r="D5005" s="6">
        <v>-462745</v>
      </c>
      <c r="E5005" s="6">
        <v>-229275</v>
      </c>
      <c r="F5005" s="7">
        <v>4.718</v>
      </c>
      <c r="G5005" s="7">
        <v>5.2110000000000003</v>
      </c>
      <c r="H5005" s="7">
        <v>5.4850000000000003</v>
      </c>
      <c r="I5005" s="7">
        <v>4.7770000000000001</v>
      </c>
      <c r="J5005" s="7">
        <v>4.4820000000000002</v>
      </c>
      <c r="K5005" s="7">
        <v>3.7410000000000001</v>
      </c>
      <c r="L5005" s="7">
        <v>3.4969999999999999</v>
      </c>
      <c r="M5005" s="7">
        <v>3.6440000000000001</v>
      </c>
      <c r="N5005" s="7">
        <v>4.6280000000000001</v>
      </c>
      <c r="O5005" s="7">
        <v>4.7610000000000001</v>
      </c>
      <c r="P5005" s="7">
        <v>5.2869999999999999</v>
      </c>
      <c r="Q5005" s="7">
        <v>5.3680000000000003</v>
      </c>
      <c r="R5005" s="7">
        <v>5.74</v>
      </c>
      <c r="S5005" s="7">
        <f t="shared" si="78"/>
        <v>4.7184166666666671</v>
      </c>
    </row>
    <row r="5006" spans="1:19">
      <c r="A5006" s="5" t="str">
        <f>B5006&amp;"-"&amp;COUNTIF($B$2:B5006,B5006)</f>
        <v>SÃO PAULO-295</v>
      </c>
      <c r="B5006" s="5" t="s">
        <v>3122</v>
      </c>
      <c r="C5006" s="5" t="s">
        <v>5778</v>
      </c>
      <c r="D5006" s="6">
        <v>-496896</v>
      </c>
      <c r="E5006" s="6">
        <v>-210555</v>
      </c>
      <c r="F5006" s="7">
        <v>5.125</v>
      </c>
      <c r="G5006" s="7">
        <v>5.8890000000000002</v>
      </c>
      <c r="H5006" s="7">
        <v>5.8780000000000001</v>
      </c>
      <c r="I5006" s="7">
        <v>5.2629999999999999</v>
      </c>
      <c r="J5006" s="7">
        <v>4.8419999999999996</v>
      </c>
      <c r="K5006" s="7">
        <v>4.0549999999999997</v>
      </c>
      <c r="L5006" s="7">
        <v>3.8050000000000002</v>
      </c>
      <c r="M5006" s="7">
        <v>4.0529999999999999</v>
      </c>
      <c r="N5006" s="7">
        <v>4.9320000000000004</v>
      </c>
      <c r="O5006" s="7">
        <v>5.0309999999999997</v>
      </c>
      <c r="P5006" s="7">
        <v>5.6109999999999998</v>
      </c>
      <c r="Q5006" s="7">
        <v>5.9450000000000003</v>
      </c>
      <c r="R5006" s="7">
        <v>6.1950000000000003</v>
      </c>
      <c r="S5006" s="7">
        <f t="shared" si="78"/>
        <v>5.1249166666666666</v>
      </c>
    </row>
    <row r="5007" spans="1:19">
      <c r="A5007" s="5" t="str">
        <f>B5007&amp;"-"&amp;COUNTIF($B$2:B5007,B5007)</f>
        <v>SÃO PAULO-296</v>
      </c>
      <c r="B5007" s="5" t="s">
        <v>3122</v>
      </c>
      <c r="C5007" s="5" t="s">
        <v>3315</v>
      </c>
      <c r="D5007" s="6">
        <v>-477872</v>
      </c>
      <c r="E5007" s="6">
        <v>-230888</v>
      </c>
      <c r="F5007" s="7">
        <v>4.899</v>
      </c>
      <c r="G5007" s="7">
        <v>5.62</v>
      </c>
      <c r="H5007" s="7">
        <v>5.8860000000000001</v>
      </c>
      <c r="I5007" s="7">
        <v>5.1689999999999996</v>
      </c>
      <c r="J5007" s="7">
        <v>4.62</v>
      </c>
      <c r="K5007" s="7">
        <v>3.74</v>
      </c>
      <c r="L5007" s="7">
        <v>3.476</v>
      </c>
      <c r="M5007" s="7">
        <v>3.585</v>
      </c>
      <c r="N5007" s="7">
        <v>4.5679999999999996</v>
      </c>
      <c r="O5007" s="7">
        <v>4.7530000000000001</v>
      </c>
      <c r="P5007" s="7">
        <v>5.39</v>
      </c>
      <c r="Q5007" s="7">
        <v>5.8</v>
      </c>
      <c r="R5007" s="7">
        <v>6.1790000000000003</v>
      </c>
      <c r="S5007" s="7">
        <f t="shared" si="78"/>
        <v>4.8988333333333332</v>
      </c>
    </row>
    <row r="5008" spans="1:19">
      <c r="A5008" s="5" t="str">
        <f>B5008&amp;"-"&amp;COUNTIF($B$2:B5008,B5008)</f>
        <v>SÃO PAULO-297</v>
      </c>
      <c r="B5008" s="5" t="s">
        <v>3122</v>
      </c>
      <c r="C5008" s="5" t="s">
        <v>3316</v>
      </c>
      <c r="D5008" s="6">
        <v>-468978</v>
      </c>
      <c r="E5008" s="6">
        <v>-231857</v>
      </c>
      <c r="F5008" s="7">
        <v>4.7850000000000001</v>
      </c>
      <c r="G5008" s="7">
        <v>5.4809999999999999</v>
      </c>
      <c r="H5008" s="7">
        <v>5.7130000000000001</v>
      </c>
      <c r="I5008" s="7">
        <v>5.0229999999999997</v>
      </c>
      <c r="J5008" s="7">
        <v>4.4569999999999999</v>
      </c>
      <c r="K5008" s="7">
        <v>3.6720000000000002</v>
      </c>
      <c r="L5008" s="7">
        <v>3.4209999999999998</v>
      </c>
      <c r="M5008" s="7">
        <v>3.5529999999999999</v>
      </c>
      <c r="N5008" s="7">
        <v>4.5259999999999998</v>
      </c>
      <c r="O5008" s="7">
        <v>4.6749999999999998</v>
      </c>
      <c r="P5008" s="7">
        <v>5.2919999999999998</v>
      </c>
      <c r="Q5008" s="7">
        <v>5.5990000000000002</v>
      </c>
      <c r="R5008" s="7">
        <v>6.01</v>
      </c>
      <c r="S5008" s="7">
        <f t="shared" si="78"/>
        <v>4.785166666666667</v>
      </c>
    </row>
    <row r="5009" spans="1:19">
      <c r="A5009" s="5" t="str">
        <f>B5009&amp;"-"&amp;COUNTIF($B$2:B5009,B5009)</f>
        <v>SÃO PAULO-298</v>
      </c>
      <c r="B5009" s="5" t="s">
        <v>3122</v>
      </c>
      <c r="C5009" s="5" t="s">
        <v>5243</v>
      </c>
      <c r="D5009" s="6">
        <v>-514346</v>
      </c>
      <c r="E5009" s="6">
        <v>-215108</v>
      </c>
      <c r="F5009" s="7">
        <v>5.1180000000000003</v>
      </c>
      <c r="G5009" s="7">
        <v>5.9160000000000004</v>
      </c>
      <c r="H5009" s="7">
        <v>5.9790000000000001</v>
      </c>
      <c r="I5009" s="7">
        <v>5.423</v>
      </c>
      <c r="J5009" s="7">
        <v>4.8070000000000004</v>
      </c>
      <c r="K5009" s="7">
        <v>4.0350000000000001</v>
      </c>
      <c r="L5009" s="7">
        <v>3.7080000000000002</v>
      </c>
      <c r="M5009" s="7">
        <v>3.8940000000000001</v>
      </c>
      <c r="N5009" s="7">
        <v>4.8040000000000003</v>
      </c>
      <c r="O5009" s="7">
        <v>4.88</v>
      </c>
      <c r="P5009" s="7">
        <v>5.5819999999999999</v>
      </c>
      <c r="Q5009" s="7">
        <v>6.0469999999999997</v>
      </c>
      <c r="R5009" s="7">
        <v>6.3419999999999996</v>
      </c>
      <c r="S5009" s="7">
        <f t="shared" si="78"/>
        <v>5.1180833333333338</v>
      </c>
    </row>
    <row r="5010" spans="1:19">
      <c r="A5010" s="5" t="str">
        <f>B5010&amp;"-"&amp;COUNTIF($B$2:B5010,B5010)</f>
        <v>SÃO PAULO-299</v>
      </c>
      <c r="B5010" s="5" t="s">
        <v>3122</v>
      </c>
      <c r="C5010" s="5" t="s">
        <v>5779</v>
      </c>
      <c r="D5010" s="6">
        <v>-47635</v>
      </c>
      <c r="E5010" s="6">
        <v>-24321</v>
      </c>
      <c r="F5010" s="7">
        <v>3.9750000000000001</v>
      </c>
      <c r="G5010" s="7">
        <v>5.16</v>
      </c>
      <c r="H5010" s="7">
        <v>5.2910000000000004</v>
      </c>
      <c r="I5010" s="7">
        <v>4.4000000000000004</v>
      </c>
      <c r="J5010" s="7">
        <v>3.8319999999999999</v>
      </c>
      <c r="K5010" s="7">
        <v>3.0350000000000001</v>
      </c>
      <c r="L5010" s="7">
        <v>2.6840000000000002</v>
      </c>
      <c r="M5010" s="7">
        <v>2.6829999999999998</v>
      </c>
      <c r="N5010" s="7">
        <v>3.347</v>
      </c>
      <c r="O5010" s="7">
        <v>3.4430000000000001</v>
      </c>
      <c r="P5010" s="7">
        <v>3.82</v>
      </c>
      <c r="Q5010" s="7">
        <v>4.6749999999999998</v>
      </c>
      <c r="R5010" s="7">
        <v>5.3280000000000003</v>
      </c>
      <c r="S5010" s="7">
        <f t="shared" si="78"/>
        <v>3.9748333333333332</v>
      </c>
    </row>
    <row r="5011" spans="1:19">
      <c r="A5011" s="5" t="str">
        <f>B5011&amp;"-"&amp;COUNTIF($B$2:B5011,B5011)</f>
        <v>SÃO PAULO-300</v>
      </c>
      <c r="B5011" s="5" t="s">
        <v>3122</v>
      </c>
      <c r="C5011" s="5" t="s">
        <v>3317</v>
      </c>
      <c r="D5011" s="6">
        <v>-470657</v>
      </c>
      <c r="E5011" s="6">
        <v>-239249</v>
      </c>
      <c r="F5011" s="7">
        <v>4.2069999999999999</v>
      </c>
      <c r="G5011" s="7">
        <v>4.9720000000000004</v>
      </c>
      <c r="H5011" s="7">
        <v>5.2750000000000004</v>
      </c>
      <c r="I5011" s="7">
        <v>4.4770000000000003</v>
      </c>
      <c r="J5011" s="7">
        <v>3.9809999999999999</v>
      </c>
      <c r="K5011" s="7">
        <v>3.29</v>
      </c>
      <c r="L5011" s="7">
        <v>3.044</v>
      </c>
      <c r="M5011" s="7">
        <v>3.0939999999999999</v>
      </c>
      <c r="N5011" s="7">
        <v>3.9569999999999999</v>
      </c>
      <c r="O5011" s="7">
        <v>3.919</v>
      </c>
      <c r="P5011" s="7">
        <v>4.2569999999999997</v>
      </c>
      <c r="Q5011" s="7">
        <v>4.8330000000000002</v>
      </c>
      <c r="R5011" s="7">
        <v>5.3869999999999996</v>
      </c>
      <c r="S5011" s="7">
        <f t="shared" si="78"/>
        <v>4.2071666666666658</v>
      </c>
    </row>
    <row r="5012" spans="1:19">
      <c r="A5012" s="5" t="str">
        <f>B5012&amp;"-"&amp;COUNTIF($B$2:B5012,B5012)</f>
        <v>SÃO PAULO-301</v>
      </c>
      <c r="B5012" s="5" t="s">
        <v>3122</v>
      </c>
      <c r="C5012" s="5" t="s">
        <v>3318</v>
      </c>
      <c r="D5012" s="6">
        <v>-451948</v>
      </c>
      <c r="E5012" s="6">
        <v>-230851</v>
      </c>
      <c r="F5012" s="7">
        <v>4.6779999999999999</v>
      </c>
      <c r="G5012" s="7">
        <v>5.5179999999999998</v>
      </c>
      <c r="H5012" s="7">
        <v>5.734</v>
      </c>
      <c r="I5012" s="7">
        <v>4.8289999999999997</v>
      </c>
      <c r="J5012" s="7">
        <v>4.41</v>
      </c>
      <c r="K5012" s="7">
        <v>3.6379999999999999</v>
      </c>
      <c r="L5012" s="7">
        <v>3.4279999999999999</v>
      </c>
      <c r="M5012" s="7">
        <v>3.5369999999999999</v>
      </c>
      <c r="N5012" s="7">
        <v>4.4550000000000001</v>
      </c>
      <c r="O5012" s="7">
        <v>4.5279999999999996</v>
      </c>
      <c r="P5012" s="7">
        <v>5.0880000000000001</v>
      </c>
      <c r="Q5012" s="7">
        <v>5.202</v>
      </c>
      <c r="R5012" s="7">
        <v>5.7679999999999998</v>
      </c>
      <c r="S5012" s="7">
        <f t="shared" si="78"/>
        <v>4.6779166666666665</v>
      </c>
    </row>
    <row r="5013" spans="1:19">
      <c r="A5013" s="5" t="str">
        <f>B5013&amp;"-"&amp;COUNTIF($B$2:B5013,B5013)</f>
        <v>SÃO PAULO-302</v>
      </c>
      <c r="B5013" s="5" t="s">
        <v>3122</v>
      </c>
      <c r="C5013" s="5" t="s">
        <v>3319</v>
      </c>
      <c r="D5013" s="6">
        <v>-47838</v>
      </c>
      <c r="E5013" s="6">
        <v>-23051</v>
      </c>
      <c r="F5013" s="7">
        <v>4.88</v>
      </c>
      <c r="G5013" s="7">
        <v>5.6289999999999996</v>
      </c>
      <c r="H5013" s="7">
        <v>5.8360000000000003</v>
      </c>
      <c r="I5013" s="7">
        <v>5.1079999999999997</v>
      </c>
      <c r="J5013" s="7">
        <v>4.6210000000000004</v>
      </c>
      <c r="K5013" s="7">
        <v>3.698</v>
      </c>
      <c r="L5013" s="7">
        <v>3.4550000000000001</v>
      </c>
      <c r="M5013" s="7">
        <v>3.5870000000000002</v>
      </c>
      <c r="N5013" s="7">
        <v>4.5759999999999996</v>
      </c>
      <c r="O5013" s="7">
        <v>4.74</v>
      </c>
      <c r="P5013" s="7">
        <v>5.3860000000000001</v>
      </c>
      <c r="Q5013" s="7">
        <v>5.7560000000000002</v>
      </c>
      <c r="R5013" s="7">
        <v>6.1749999999999998</v>
      </c>
      <c r="S5013" s="7">
        <f t="shared" si="78"/>
        <v>4.8805833333333331</v>
      </c>
    </row>
    <row r="5014" spans="1:19">
      <c r="A5014" s="5" t="str">
        <f>B5014&amp;"-"&amp;COUNTIF($B$2:B5014,B5014)</f>
        <v>SÃO PAULO-303</v>
      </c>
      <c r="B5014" s="5" t="s">
        <v>3122</v>
      </c>
      <c r="C5014" s="5" t="s">
        <v>3320</v>
      </c>
      <c r="D5014" s="6">
        <v>-510399</v>
      </c>
      <c r="E5014" s="6">
        <v>-211679</v>
      </c>
      <c r="F5014" s="7">
        <v>5.1340000000000003</v>
      </c>
      <c r="G5014" s="7">
        <v>5.9009999999999998</v>
      </c>
      <c r="H5014" s="7">
        <v>5.9669999999999996</v>
      </c>
      <c r="I5014" s="7">
        <v>5.431</v>
      </c>
      <c r="J5014" s="7">
        <v>4.891</v>
      </c>
      <c r="K5014" s="7">
        <v>4.048</v>
      </c>
      <c r="L5014" s="7">
        <v>3.766</v>
      </c>
      <c r="M5014" s="7">
        <v>3.9430000000000001</v>
      </c>
      <c r="N5014" s="7">
        <v>4.8810000000000002</v>
      </c>
      <c r="O5014" s="7">
        <v>4.91</v>
      </c>
      <c r="P5014" s="7">
        <v>5.5650000000000004</v>
      </c>
      <c r="Q5014" s="7">
        <v>6.032</v>
      </c>
      <c r="R5014" s="7">
        <v>6.2789999999999999</v>
      </c>
      <c r="S5014" s="7">
        <f t="shared" si="78"/>
        <v>5.1344999999999992</v>
      </c>
    </row>
    <row r="5015" spans="1:19">
      <c r="A5015" s="5" t="str">
        <f>B5015&amp;"-"&amp;COUNTIF($B$2:B5015,B5015)</f>
        <v>SÃO PAULO-304</v>
      </c>
      <c r="B5015" s="5" t="s">
        <v>3122</v>
      </c>
      <c r="C5015" s="5" t="s">
        <v>3321</v>
      </c>
      <c r="D5015" s="6">
        <v>-449027</v>
      </c>
      <c r="E5015" s="6">
        <v>-225705</v>
      </c>
      <c r="F5015" s="7">
        <v>4.681</v>
      </c>
      <c r="G5015" s="7">
        <v>5.4340000000000002</v>
      </c>
      <c r="H5015" s="7">
        <v>5.641</v>
      </c>
      <c r="I5015" s="7">
        <v>4.7949999999999999</v>
      </c>
      <c r="J5015" s="7">
        <v>4.4210000000000003</v>
      </c>
      <c r="K5015" s="7">
        <v>3.6850000000000001</v>
      </c>
      <c r="L5015" s="7">
        <v>3.4929999999999999</v>
      </c>
      <c r="M5015" s="7">
        <v>3.6059999999999999</v>
      </c>
      <c r="N5015" s="7">
        <v>4.5369999999999999</v>
      </c>
      <c r="O5015" s="7">
        <v>4.6630000000000003</v>
      </c>
      <c r="P5015" s="7">
        <v>5.0810000000000004</v>
      </c>
      <c r="Q5015" s="7">
        <v>5.0860000000000003</v>
      </c>
      <c r="R5015" s="7">
        <v>5.7309999999999999</v>
      </c>
      <c r="S5015" s="7">
        <f t="shared" si="78"/>
        <v>4.6810833333333326</v>
      </c>
    </row>
    <row r="5016" spans="1:19">
      <c r="A5016" s="5" t="str">
        <f>B5016&amp;"-"&amp;COUNTIF($B$2:B5016,B5016)</f>
        <v>SÃO PAULO-305</v>
      </c>
      <c r="B5016" s="5" t="s">
        <v>3122</v>
      </c>
      <c r="C5016" s="5" t="s">
        <v>3322</v>
      </c>
      <c r="D5016" s="6">
        <v>-473845</v>
      </c>
      <c r="E5016" s="6">
        <v>-221813</v>
      </c>
      <c r="F5016" s="7">
        <v>4.9740000000000002</v>
      </c>
      <c r="G5016" s="7">
        <v>5.6</v>
      </c>
      <c r="H5016" s="7">
        <v>5.8550000000000004</v>
      </c>
      <c r="I5016" s="7">
        <v>5.1349999999999998</v>
      </c>
      <c r="J5016" s="7">
        <v>4.6790000000000003</v>
      </c>
      <c r="K5016" s="7">
        <v>3.919</v>
      </c>
      <c r="L5016" s="7">
        <v>3.6869999999999998</v>
      </c>
      <c r="M5016" s="7">
        <v>3.8239999999999998</v>
      </c>
      <c r="N5016" s="7">
        <v>4.7889999999999997</v>
      </c>
      <c r="O5016" s="7">
        <v>4.9489999999999998</v>
      </c>
      <c r="P5016" s="7">
        <v>5.5110000000000001</v>
      </c>
      <c r="Q5016" s="7">
        <v>5.7140000000000004</v>
      </c>
      <c r="R5016" s="7">
        <v>6.0259999999999998</v>
      </c>
      <c r="S5016" s="7">
        <f t="shared" si="78"/>
        <v>4.9740000000000002</v>
      </c>
    </row>
    <row r="5017" spans="1:19">
      <c r="A5017" s="5" t="str">
        <f>B5017&amp;"-"&amp;COUNTIF($B$2:B5017,B5017)</f>
        <v>SÃO PAULO-306</v>
      </c>
      <c r="B5017" s="5" t="s">
        <v>3122</v>
      </c>
      <c r="C5017" s="5" t="s">
        <v>5244</v>
      </c>
      <c r="D5017" s="6">
        <v>-488041</v>
      </c>
      <c r="E5017" s="6">
        <v>-226032</v>
      </c>
      <c r="F5017" s="7">
        <v>4.9409999999999998</v>
      </c>
      <c r="G5017" s="7">
        <v>5.5519999999999996</v>
      </c>
      <c r="H5017" s="7">
        <v>5.7960000000000003</v>
      </c>
      <c r="I5017" s="7">
        <v>5.1710000000000003</v>
      </c>
      <c r="J5017" s="7">
        <v>4.6660000000000004</v>
      </c>
      <c r="K5017" s="7">
        <v>3.81</v>
      </c>
      <c r="L5017" s="7">
        <v>3.5609999999999999</v>
      </c>
      <c r="M5017" s="7">
        <v>3.7090000000000001</v>
      </c>
      <c r="N5017" s="7">
        <v>4.6959999999999997</v>
      </c>
      <c r="O5017" s="7">
        <v>4.8019999999999996</v>
      </c>
      <c r="P5017" s="7">
        <v>5.476</v>
      </c>
      <c r="Q5017" s="7">
        <v>5.8689999999999998</v>
      </c>
      <c r="R5017" s="7">
        <v>6.19</v>
      </c>
      <c r="S5017" s="7">
        <f t="shared" si="78"/>
        <v>4.9414999999999996</v>
      </c>
    </row>
    <row r="5018" spans="1:19">
      <c r="A5018" s="5" t="str">
        <f>B5018&amp;"-"&amp;COUNTIF($B$2:B5018,B5018)</f>
        <v>SÃO PAULO-307</v>
      </c>
      <c r="B5018" s="5" t="s">
        <v>3122</v>
      </c>
      <c r="C5018" s="5" t="s">
        <v>3323</v>
      </c>
      <c r="D5018" s="6">
        <v>-473974</v>
      </c>
      <c r="E5018" s="6">
        <v>-225665</v>
      </c>
      <c r="F5018" s="7">
        <v>4.9029999999999996</v>
      </c>
      <c r="G5018" s="7">
        <v>5.5670000000000002</v>
      </c>
      <c r="H5018" s="7">
        <v>5.7439999999999998</v>
      </c>
      <c r="I5018" s="7">
        <v>5.1109999999999998</v>
      </c>
      <c r="J5018" s="7">
        <v>4.5979999999999999</v>
      </c>
      <c r="K5018" s="7">
        <v>3.8239999999999998</v>
      </c>
      <c r="L5018" s="7">
        <v>3.577</v>
      </c>
      <c r="M5018" s="7">
        <v>3.7250000000000001</v>
      </c>
      <c r="N5018" s="7">
        <v>4.6959999999999997</v>
      </c>
      <c r="O5018" s="7">
        <v>4.8449999999999998</v>
      </c>
      <c r="P5018" s="7">
        <v>5.4569999999999999</v>
      </c>
      <c r="Q5018" s="7">
        <v>5.657</v>
      </c>
      <c r="R5018" s="7">
        <v>6.04</v>
      </c>
      <c r="S5018" s="7">
        <f t="shared" si="78"/>
        <v>4.9034166666666668</v>
      </c>
    </row>
    <row r="5019" spans="1:19">
      <c r="A5019" s="5" t="str">
        <f>B5019&amp;"-"&amp;COUNTIF($B$2:B5019,B5019)</f>
        <v>SÃO PAULO-308</v>
      </c>
      <c r="B5019" s="5" t="s">
        <v>3122</v>
      </c>
      <c r="C5019" s="5" t="s">
        <v>5245</v>
      </c>
      <c r="D5019" s="6">
        <v>-466504</v>
      </c>
      <c r="E5019" s="6">
        <v>-22523</v>
      </c>
      <c r="F5019" s="7">
        <v>4.931</v>
      </c>
      <c r="G5019" s="7">
        <v>5.53</v>
      </c>
      <c r="H5019" s="7">
        <v>5.7160000000000002</v>
      </c>
      <c r="I5019" s="7">
        <v>5.1050000000000004</v>
      </c>
      <c r="J5019" s="7">
        <v>4.6970000000000001</v>
      </c>
      <c r="K5019" s="7">
        <v>3.9260000000000002</v>
      </c>
      <c r="L5019" s="7">
        <v>3.6339999999999999</v>
      </c>
      <c r="M5019" s="7">
        <v>3.8380000000000001</v>
      </c>
      <c r="N5019" s="7">
        <v>4.6909999999999998</v>
      </c>
      <c r="O5019" s="7">
        <v>4.9329999999999998</v>
      </c>
      <c r="P5019" s="7">
        <v>5.4859999999999998</v>
      </c>
      <c r="Q5019" s="7">
        <v>5.6619999999999999</v>
      </c>
      <c r="R5019" s="7">
        <v>5.952</v>
      </c>
      <c r="S5019" s="7">
        <f t="shared" si="78"/>
        <v>4.9308333333333332</v>
      </c>
    </row>
    <row r="5020" spans="1:19">
      <c r="A5020" s="5" t="str">
        <f>B5020&amp;"-"&amp;COUNTIF($B$2:B5020,B5020)</f>
        <v>SÃO PAULO-309</v>
      </c>
      <c r="B5020" s="5" t="s">
        <v>3122</v>
      </c>
      <c r="C5020" s="5" t="s">
        <v>3324</v>
      </c>
      <c r="D5020" s="6">
        <v>-49753</v>
      </c>
      <c r="E5020" s="6">
        <v>-216723</v>
      </c>
      <c r="F5020" s="7">
        <v>5.0780000000000003</v>
      </c>
      <c r="G5020" s="7">
        <v>5.8490000000000002</v>
      </c>
      <c r="H5020" s="7">
        <v>5.9539999999999997</v>
      </c>
      <c r="I5020" s="7">
        <v>5.306</v>
      </c>
      <c r="J5020" s="7">
        <v>4.8090000000000002</v>
      </c>
      <c r="K5020" s="7">
        <v>3.9380000000000002</v>
      </c>
      <c r="L5020" s="7">
        <v>3.6429999999999998</v>
      </c>
      <c r="M5020" s="7">
        <v>3.903</v>
      </c>
      <c r="N5020" s="7">
        <v>4.8</v>
      </c>
      <c r="O5020" s="7">
        <v>4.9340000000000002</v>
      </c>
      <c r="P5020" s="7">
        <v>5.625</v>
      </c>
      <c r="Q5020" s="7">
        <v>5.9480000000000004</v>
      </c>
      <c r="R5020" s="7">
        <v>6.2249999999999996</v>
      </c>
      <c r="S5020" s="7">
        <f t="shared" si="78"/>
        <v>5.0778333333333334</v>
      </c>
    </row>
    <row r="5021" spans="1:19">
      <c r="A5021" s="5" t="str">
        <f>B5021&amp;"-"&amp;COUNTIF($B$2:B5021,B5021)</f>
        <v>SÃO PAULO-310</v>
      </c>
      <c r="B5021" s="5" t="s">
        <v>3122</v>
      </c>
      <c r="C5021" s="5" t="s">
        <v>3325</v>
      </c>
      <c r="D5021" s="6">
        <v>-451201</v>
      </c>
      <c r="E5021" s="6">
        <v>-227339</v>
      </c>
      <c r="F5021" s="7">
        <v>4.6050000000000004</v>
      </c>
      <c r="G5021" s="7">
        <v>5.3380000000000001</v>
      </c>
      <c r="H5021" s="7">
        <v>5.6109999999999998</v>
      </c>
      <c r="I5021" s="7">
        <v>4.7679999999999998</v>
      </c>
      <c r="J5021" s="7">
        <v>4.3380000000000001</v>
      </c>
      <c r="K5021" s="7">
        <v>3.6280000000000001</v>
      </c>
      <c r="L5021" s="7">
        <v>3.4089999999999998</v>
      </c>
      <c r="M5021" s="7">
        <v>3.544</v>
      </c>
      <c r="N5021" s="7">
        <v>4.4939999999999998</v>
      </c>
      <c r="O5021" s="7">
        <v>4.5730000000000004</v>
      </c>
      <c r="P5021" s="7">
        <v>4.9809999999999999</v>
      </c>
      <c r="Q5021" s="7">
        <v>4.9859999999999998</v>
      </c>
      <c r="R5021" s="7">
        <v>5.5869999999999997</v>
      </c>
      <c r="S5021" s="7">
        <f t="shared" si="78"/>
        <v>4.6047499999999992</v>
      </c>
    </row>
    <row r="5022" spans="1:19">
      <c r="A5022" s="5" t="str">
        <f>B5022&amp;"-"&amp;COUNTIF($B$2:B5022,B5022)</f>
        <v>SÃO PAULO-311</v>
      </c>
      <c r="B5022" s="5" t="s">
        <v>3122</v>
      </c>
      <c r="C5022" s="5" t="s">
        <v>3326</v>
      </c>
      <c r="D5022" s="6">
        <v>-502267</v>
      </c>
      <c r="E5022" s="6">
        <v>-209665</v>
      </c>
      <c r="F5022" s="7">
        <v>5.1349999999999998</v>
      </c>
      <c r="G5022" s="7">
        <v>5.85</v>
      </c>
      <c r="H5022" s="7">
        <v>5.9009999999999998</v>
      </c>
      <c r="I5022" s="7">
        <v>5.3090000000000002</v>
      </c>
      <c r="J5022" s="7">
        <v>4.9059999999999997</v>
      </c>
      <c r="K5022" s="7">
        <v>4.0819999999999999</v>
      </c>
      <c r="L5022" s="7">
        <v>3.754</v>
      </c>
      <c r="M5022" s="7">
        <v>4.0190000000000001</v>
      </c>
      <c r="N5022" s="7">
        <v>4.9119999999999999</v>
      </c>
      <c r="O5022" s="7">
        <v>4.9400000000000004</v>
      </c>
      <c r="P5022" s="7">
        <v>5.63</v>
      </c>
      <c r="Q5022" s="7">
        <v>6.0179999999999998</v>
      </c>
      <c r="R5022" s="7">
        <v>6.2990000000000004</v>
      </c>
      <c r="S5022" s="7">
        <f t="shared" si="78"/>
        <v>5.1349999999999998</v>
      </c>
    </row>
    <row r="5023" spans="1:19">
      <c r="A5023" s="5" t="str">
        <f>B5023&amp;"-"&amp;COUNTIF($B$2:B5023,B5023)</f>
        <v>SÃO PAULO-312</v>
      </c>
      <c r="B5023" s="5" t="s">
        <v>3122</v>
      </c>
      <c r="C5023" s="5" t="s">
        <v>3327</v>
      </c>
      <c r="D5023" s="6">
        <v>-469488</v>
      </c>
      <c r="E5023" s="6">
        <v>-23086</v>
      </c>
      <c r="F5023" s="7">
        <v>4.8680000000000003</v>
      </c>
      <c r="G5023" s="7">
        <v>5.5410000000000004</v>
      </c>
      <c r="H5023" s="7">
        <v>5.7809999999999997</v>
      </c>
      <c r="I5023" s="7">
        <v>5.0549999999999997</v>
      </c>
      <c r="J5023" s="7">
        <v>4.5629999999999997</v>
      </c>
      <c r="K5023" s="7">
        <v>3.7549999999999999</v>
      </c>
      <c r="L5023" s="7">
        <v>3.4990000000000001</v>
      </c>
      <c r="M5023" s="7">
        <v>3.6520000000000001</v>
      </c>
      <c r="N5023" s="7">
        <v>4.6020000000000003</v>
      </c>
      <c r="O5023" s="7">
        <v>4.7569999999999997</v>
      </c>
      <c r="P5023" s="7">
        <v>5.4169999999999998</v>
      </c>
      <c r="Q5023" s="7">
        <v>5.6989999999999998</v>
      </c>
      <c r="R5023" s="7">
        <v>6.1</v>
      </c>
      <c r="S5023" s="7">
        <f t="shared" si="78"/>
        <v>4.8684166666666657</v>
      </c>
    </row>
    <row r="5024" spans="1:19">
      <c r="A5024" s="5" t="str">
        <f>B5024&amp;"-"&amp;COUNTIF($B$2:B5024,B5024)</f>
        <v>SÃO PAULO-313</v>
      </c>
      <c r="B5024" s="5" t="s">
        <v>3122</v>
      </c>
      <c r="C5024" s="5" t="s">
        <v>4588</v>
      </c>
      <c r="D5024" s="6">
        <v>-477012</v>
      </c>
      <c r="E5024" s="6">
        <v>-215511</v>
      </c>
      <c r="F5024" s="7">
        <v>5.0129999999999999</v>
      </c>
      <c r="G5024" s="7">
        <v>5.6180000000000003</v>
      </c>
      <c r="H5024" s="7">
        <v>5.9029999999999996</v>
      </c>
      <c r="I5024" s="7">
        <v>5.101</v>
      </c>
      <c r="J5024" s="7">
        <v>4.7869999999999999</v>
      </c>
      <c r="K5024" s="7">
        <v>4.0359999999999996</v>
      </c>
      <c r="L5024" s="7">
        <v>3.7989999999999999</v>
      </c>
      <c r="M5024" s="7">
        <v>3.9750000000000001</v>
      </c>
      <c r="N5024" s="7">
        <v>4.8810000000000002</v>
      </c>
      <c r="O5024" s="7">
        <v>4.9210000000000003</v>
      </c>
      <c r="P5024" s="7">
        <v>5.48</v>
      </c>
      <c r="Q5024" s="7">
        <v>5.6520000000000001</v>
      </c>
      <c r="R5024" s="7">
        <v>6.0019999999999998</v>
      </c>
      <c r="S5024" s="7">
        <f t="shared" si="78"/>
        <v>5.0129166666666674</v>
      </c>
    </row>
    <row r="5025" spans="1:19">
      <c r="A5025" s="5" t="str">
        <f>B5025&amp;"-"&amp;COUNTIF($B$2:B5025,B5025)</f>
        <v>SÃO PAULO-314</v>
      </c>
      <c r="B5025" s="5" t="s">
        <v>3122</v>
      </c>
      <c r="C5025" s="5" t="s">
        <v>4513</v>
      </c>
      <c r="D5025" s="6">
        <v>-510219</v>
      </c>
      <c r="E5025" s="6">
        <v>-217187</v>
      </c>
      <c r="F5025" s="7">
        <v>5.125</v>
      </c>
      <c r="G5025" s="7">
        <v>5.9539999999999997</v>
      </c>
      <c r="H5025" s="7">
        <v>5.944</v>
      </c>
      <c r="I5025" s="7">
        <v>5.48</v>
      </c>
      <c r="J5025" s="7">
        <v>4.8719999999999999</v>
      </c>
      <c r="K5025" s="7">
        <v>4.0039999999999996</v>
      </c>
      <c r="L5025" s="7">
        <v>3.673</v>
      </c>
      <c r="M5025" s="7">
        <v>3.88</v>
      </c>
      <c r="N5025" s="7">
        <v>4.8289999999999997</v>
      </c>
      <c r="O5025" s="7">
        <v>4.891</v>
      </c>
      <c r="P5025" s="7">
        <v>5.5670000000000002</v>
      </c>
      <c r="Q5025" s="7">
        <v>6.06</v>
      </c>
      <c r="R5025" s="7">
        <v>6.3520000000000003</v>
      </c>
      <c r="S5025" s="7">
        <f t="shared" si="78"/>
        <v>5.1254999999999997</v>
      </c>
    </row>
    <row r="5026" spans="1:19">
      <c r="A5026" s="5" t="str">
        <f>B5026&amp;"-"&amp;COUNTIF($B$2:B5026,B5026)</f>
        <v>SÃO PAULO-315</v>
      </c>
      <c r="B5026" s="5" t="s">
        <v>3122</v>
      </c>
      <c r="C5026" s="5" t="s">
        <v>5246</v>
      </c>
      <c r="D5026" s="6">
        <v>-495224</v>
      </c>
      <c r="E5026" s="6">
        <v>-224299</v>
      </c>
      <c r="F5026" s="7">
        <v>4.9569999999999999</v>
      </c>
      <c r="G5026" s="7">
        <v>5.6470000000000002</v>
      </c>
      <c r="H5026" s="7">
        <v>5.7779999999999996</v>
      </c>
      <c r="I5026" s="7">
        <v>5.1239999999999997</v>
      </c>
      <c r="J5026" s="7">
        <v>4.68</v>
      </c>
      <c r="K5026" s="7">
        <v>3.8210000000000002</v>
      </c>
      <c r="L5026" s="7">
        <v>3.5539999999999998</v>
      </c>
      <c r="M5026" s="7">
        <v>3.766</v>
      </c>
      <c r="N5026" s="7">
        <v>4.7489999999999997</v>
      </c>
      <c r="O5026" s="7">
        <v>4.82</v>
      </c>
      <c r="P5026" s="7">
        <v>5.5149999999999997</v>
      </c>
      <c r="Q5026" s="7">
        <v>5.851</v>
      </c>
      <c r="R5026" s="7">
        <v>6.1849999999999996</v>
      </c>
      <c r="S5026" s="7">
        <f t="shared" si="78"/>
        <v>4.9575000000000005</v>
      </c>
    </row>
    <row r="5027" spans="1:19">
      <c r="A5027" s="5" t="str">
        <f>B5027&amp;"-"&amp;COUNTIF($B$2:B5027,B5027)</f>
        <v>SÃO PAULO-316</v>
      </c>
      <c r="B5027" s="5" t="s">
        <v>3122</v>
      </c>
      <c r="C5027" s="5" t="s">
        <v>5030</v>
      </c>
      <c r="D5027" s="6">
        <v>-503269</v>
      </c>
      <c r="E5027" s="6">
        <v>-21676</v>
      </c>
      <c r="F5027" s="7">
        <v>5.093</v>
      </c>
      <c r="G5027" s="7">
        <v>5.9349999999999996</v>
      </c>
      <c r="H5027" s="7">
        <v>5.9459999999999997</v>
      </c>
      <c r="I5027" s="7">
        <v>5.3380000000000001</v>
      </c>
      <c r="J5027" s="7">
        <v>4.8170000000000002</v>
      </c>
      <c r="K5027" s="7">
        <v>3.9620000000000002</v>
      </c>
      <c r="L5027" s="7">
        <v>3.6549999999999998</v>
      </c>
      <c r="M5027" s="7">
        <v>3.883</v>
      </c>
      <c r="N5027" s="7">
        <v>4.7880000000000003</v>
      </c>
      <c r="O5027" s="7">
        <v>4.859</v>
      </c>
      <c r="P5027" s="7">
        <v>5.5709999999999997</v>
      </c>
      <c r="Q5027" s="7">
        <v>6.0179999999999998</v>
      </c>
      <c r="R5027" s="7">
        <v>6.3440000000000003</v>
      </c>
      <c r="S5027" s="7">
        <f t="shared" si="78"/>
        <v>5.093</v>
      </c>
    </row>
    <row r="5028" spans="1:19">
      <c r="A5028" s="5" t="str">
        <f>B5028&amp;"-"&amp;COUNTIF($B$2:B5028,B5028)</f>
        <v>SÃO PAULO-317</v>
      </c>
      <c r="B5028" s="5" t="s">
        <v>3122</v>
      </c>
      <c r="C5028" s="5" t="s">
        <v>4514</v>
      </c>
      <c r="D5028" s="6">
        <v>-498184</v>
      </c>
      <c r="E5028" s="6">
        <v>-224151</v>
      </c>
      <c r="F5028" s="7">
        <v>4.9870000000000001</v>
      </c>
      <c r="G5028" s="7">
        <v>5.65</v>
      </c>
      <c r="H5028" s="7">
        <v>5.8129999999999997</v>
      </c>
      <c r="I5028" s="7">
        <v>5.2359999999999998</v>
      </c>
      <c r="J5028" s="7">
        <v>4.7530000000000001</v>
      </c>
      <c r="K5028" s="7">
        <v>3.8439999999999999</v>
      </c>
      <c r="L5028" s="7">
        <v>3.5379999999999998</v>
      </c>
      <c r="M5028" s="7">
        <v>3.7749999999999999</v>
      </c>
      <c r="N5028" s="7">
        <v>4.7670000000000003</v>
      </c>
      <c r="O5028" s="7">
        <v>4.8239999999999998</v>
      </c>
      <c r="P5028" s="7">
        <v>5.4930000000000003</v>
      </c>
      <c r="Q5028" s="7">
        <v>5.9020000000000001</v>
      </c>
      <c r="R5028" s="7">
        <v>6.25</v>
      </c>
      <c r="S5028" s="7">
        <f t="shared" si="78"/>
        <v>4.9870833333333335</v>
      </c>
    </row>
    <row r="5029" spans="1:19">
      <c r="A5029" s="5" t="str">
        <f>B5029&amp;"-"&amp;COUNTIF($B$2:B5029,B5029)</f>
        <v>SÃO PAULO-318</v>
      </c>
      <c r="B5029" s="5" t="s">
        <v>3122</v>
      </c>
      <c r="C5029" s="5" t="s">
        <v>4515</v>
      </c>
      <c r="D5029" s="6">
        <v>-503944</v>
      </c>
      <c r="E5029" s="6">
        <v>-223388</v>
      </c>
      <c r="F5029" s="7">
        <v>5.0250000000000004</v>
      </c>
      <c r="G5029" s="7">
        <v>5.8120000000000003</v>
      </c>
      <c r="H5029" s="7">
        <v>5.87</v>
      </c>
      <c r="I5029" s="7">
        <v>5.3070000000000004</v>
      </c>
      <c r="J5029" s="7">
        <v>4.7629999999999999</v>
      </c>
      <c r="K5029" s="7">
        <v>3.8620000000000001</v>
      </c>
      <c r="L5029" s="7">
        <v>3.5659999999999998</v>
      </c>
      <c r="M5029" s="7">
        <v>3.79</v>
      </c>
      <c r="N5029" s="7">
        <v>4.7469999999999999</v>
      </c>
      <c r="O5029" s="7">
        <v>4.7969999999999997</v>
      </c>
      <c r="P5029" s="7">
        <v>5.49</v>
      </c>
      <c r="Q5029" s="7">
        <v>5.9969999999999999</v>
      </c>
      <c r="R5029" s="7">
        <v>6.3010000000000002</v>
      </c>
      <c r="S5029" s="7">
        <f t="shared" si="78"/>
        <v>5.0251666666666672</v>
      </c>
    </row>
    <row r="5030" spans="1:19">
      <c r="A5030" s="5" t="str">
        <f>B5030&amp;"-"&amp;COUNTIF($B$2:B5030,B5030)</f>
        <v>SÃO PAULO-319</v>
      </c>
      <c r="B5030" s="5" t="s">
        <v>3122</v>
      </c>
      <c r="C5030" s="5" t="s">
        <v>3328</v>
      </c>
      <c r="D5030" s="6">
        <v>-487106</v>
      </c>
      <c r="E5030" s="6">
        <v>-225007</v>
      </c>
      <c r="F5030" s="7">
        <v>5.0049999999999999</v>
      </c>
      <c r="G5030" s="7">
        <v>5.6680000000000001</v>
      </c>
      <c r="H5030" s="7">
        <v>5.9160000000000004</v>
      </c>
      <c r="I5030" s="7">
        <v>5.2709999999999999</v>
      </c>
      <c r="J5030" s="7">
        <v>4.6840000000000002</v>
      </c>
      <c r="K5030" s="7">
        <v>3.8180000000000001</v>
      </c>
      <c r="L5030" s="7">
        <v>3.5760000000000001</v>
      </c>
      <c r="M5030" s="7">
        <v>3.75</v>
      </c>
      <c r="N5030" s="7">
        <v>4.7229999999999999</v>
      </c>
      <c r="O5030" s="7">
        <v>4.8689999999999998</v>
      </c>
      <c r="P5030" s="7">
        <v>5.5549999999999997</v>
      </c>
      <c r="Q5030" s="7">
        <v>5.944</v>
      </c>
      <c r="R5030" s="7">
        <v>6.2910000000000004</v>
      </c>
      <c r="S5030" s="7">
        <f t="shared" si="78"/>
        <v>5.005416666666668</v>
      </c>
    </row>
    <row r="5031" spans="1:19">
      <c r="A5031" s="5" t="str">
        <f>B5031&amp;"-"&amp;COUNTIF($B$2:B5031,B5031)</f>
        <v>SÃO PAULO-320</v>
      </c>
      <c r="B5031" s="5" t="s">
        <v>3122</v>
      </c>
      <c r="C5031" s="5" t="s">
        <v>3329</v>
      </c>
      <c r="D5031" s="6">
        <v>-499639</v>
      </c>
      <c r="E5031" s="6">
        <v>-20806</v>
      </c>
      <c r="F5031" s="7">
        <v>5.1509999999999998</v>
      </c>
      <c r="G5031" s="7">
        <v>5.8330000000000002</v>
      </c>
      <c r="H5031" s="7">
        <v>5.8860000000000001</v>
      </c>
      <c r="I5031" s="7">
        <v>5.266</v>
      </c>
      <c r="J5031" s="7">
        <v>4.9050000000000002</v>
      </c>
      <c r="K5031" s="7">
        <v>4.1310000000000002</v>
      </c>
      <c r="L5031" s="7">
        <v>3.8580000000000001</v>
      </c>
      <c r="M5031" s="7">
        <v>4.1210000000000004</v>
      </c>
      <c r="N5031" s="7">
        <v>5.0309999999999997</v>
      </c>
      <c r="O5031" s="7">
        <v>5.0289999999999999</v>
      </c>
      <c r="P5031" s="7">
        <v>5.63</v>
      </c>
      <c r="Q5031" s="7">
        <v>5.952</v>
      </c>
      <c r="R5031" s="7">
        <v>6.1769999999999996</v>
      </c>
      <c r="S5031" s="7">
        <f t="shared" si="78"/>
        <v>5.1515833333333338</v>
      </c>
    </row>
    <row r="5032" spans="1:19">
      <c r="A5032" s="5" t="str">
        <f>B5032&amp;"-"&amp;COUNTIF($B$2:B5032,B5032)</f>
        <v>SÃO PAULO-321</v>
      </c>
      <c r="B5032" s="5" t="s">
        <v>3122</v>
      </c>
      <c r="C5032" s="5" t="s">
        <v>4589</v>
      </c>
      <c r="D5032" s="6">
        <v>-501939</v>
      </c>
      <c r="E5032" s="6">
        <v>-20146</v>
      </c>
      <c r="F5032" s="7">
        <v>5.2229999999999999</v>
      </c>
      <c r="G5032" s="7">
        <v>5.843</v>
      </c>
      <c r="H5032" s="7">
        <v>6.0110000000000001</v>
      </c>
      <c r="I5032" s="7">
        <v>5.3330000000000002</v>
      </c>
      <c r="J5032" s="7">
        <v>4.9359999999999999</v>
      </c>
      <c r="K5032" s="7">
        <v>4.2670000000000003</v>
      </c>
      <c r="L5032" s="7">
        <v>3.988</v>
      </c>
      <c r="M5032" s="7">
        <v>4.2450000000000001</v>
      </c>
      <c r="N5032" s="7">
        <v>5.0880000000000001</v>
      </c>
      <c r="O5032" s="7">
        <v>5.1360000000000001</v>
      </c>
      <c r="P5032" s="7">
        <v>5.6970000000000001</v>
      </c>
      <c r="Q5032" s="7">
        <v>5.915</v>
      </c>
      <c r="R5032" s="7">
        <v>6.2210000000000001</v>
      </c>
      <c r="S5032" s="7">
        <f t="shared" si="78"/>
        <v>5.2233333333333336</v>
      </c>
    </row>
    <row r="5033" spans="1:19">
      <c r="A5033" s="5" t="str">
        <f>B5033&amp;"-"&amp;COUNTIF($B$2:B5033,B5033)</f>
        <v>SÃO PAULO-322</v>
      </c>
      <c r="B5033" s="5" t="s">
        <v>3122</v>
      </c>
      <c r="C5033" s="5" t="s">
        <v>3330</v>
      </c>
      <c r="D5033" s="6">
        <v>-502259</v>
      </c>
      <c r="E5033" s="6">
        <v>-20644</v>
      </c>
      <c r="F5033" s="7">
        <v>5.16</v>
      </c>
      <c r="G5033" s="7">
        <v>5.8609999999999998</v>
      </c>
      <c r="H5033" s="7">
        <v>5.9119999999999999</v>
      </c>
      <c r="I5033" s="7">
        <v>5.3150000000000004</v>
      </c>
      <c r="J5033" s="7">
        <v>4.8780000000000001</v>
      </c>
      <c r="K5033" s="7">
        <v>4.1390000000000002</v>
      </c>
      <c r="L5033" s="7">
        <v>3.8849999999999998</v>
      </c>
      <c r="M5033" s="7">
        <v>4.1100000000000003</v>
      </c>
      <c r="N5033" s="7">
        <v>5.0030000000000001</v>
      </c>
      <c r="O5033" s="7">
        <v>5.0670000000000002</v>
      </c>
      <c r="P5033" s="7">
        <v>5.601</v>
      </c>
      <c r="Q5033" s="7">
        <v>5.9429999999999996</v>
      </c>
      <c r="R5033" s="7">
        <v>6.21</v>
      </c>
      <c r="S5033" s="7">
        <f t="shared" si="78"/>
        <v>5.160333333333333</v>
      </c>
    </row>
    <row r="5034" spans="1:19">
      <c r="A5034" s="5" t="str">
        <f>B5034&amp;"-"&amp;COUNTIF($B$2:B5034,B5034)</f>
        <v>SÃO PAULO-323</v>
      </c>
      <c r="B5034" s="5" t="s">
        <v>3122</v>
      </c>
      <c r="C5034" s="5" t="s">
        <v>3331</v>
      </c>
      <c r="D5034" s="6">
        <v>-471854</v>
      </c>
      <c r="E5034" s="6">
        <v>-235403</v>
      </c>
      <c r="F5034" s="7">
        <v>4.7060000000000004</v>
      </c>
      <c r="G5034" s="7">
        <v>5.4390000000000001</v>
      </c>
      <c r="H5034" s="7">
        <v>5.6859999999999999</v>
      </c>
      <c r="I5034" s="7">
        <v>4.9909999999999997</v>
      </c>
      <c r="J5034" s="7">
        <v>4.41</v>
      </c>
      <c r="K5034" s="7">
        <v>3.5910000000000002</v>
      </c>
      <c r="L5034" s="7">
        <v>3.3460000000000001</v>
      </c>
      <c r="M5034" s="7">
        <v>3.4340000000000002</v>
      </c>
      <c r="N5034" s="7">
        <v>4.4429999999999996</v>
      </c>
      <c r="O5034" s="7">
        <v>4.54</v>
      </c>
      <c r="P5034" s="7">
        <v>5.069</v>
      </c>
      <c r="Q5034" s="7">
        <v>5.516</v>
      </c>
      <c r="R5034" s="7">
        <v>6.0019999999999998</v>
      </c>
      <c r="S5034" s="7">
        <f t="shared" si="78"/>
        <v>4.7055833333333341</v>
      </c>
    </row>
    <row r="5035" spans="1:19">
      <c r="A5035" s="5" t="str">
        <f>B5035&amp;"-"&amp;COUNTIF($B$2:B5035,B5035)</f>
        <v>SÃO PAULO-324</v>
      </c>
      <c r="B5035" s="5" t="s">
        <v>3122</v>
      </c>
      <c r="C5035" s="5" t="s">
        <v>5414</v>
      </c>
      <c r="D5035" s="6">
        <v>-465901</v>
      </c>
      <c r="E5035" s="6">
        <v>-233176</v>
      </c>
      <c r="F5035" s="7">
        <v>4.6280000000000001</v>
      </c>
      <c r="G5035" s="7">
        <v>5.3010000000000002</v>
      </c>
      <c r="H5035" s="7">
        <v>5.6269999999999998</v>
      </c>
      <c r="I5035" s="7">
        <v>4.875</v>
      </c>
      <c r="J5035" s="7">
        <v>4.3499999999999996</v>
      </c>
      <c r="K5035" s="7">
        <v>3.5640000000000001</v>
      </c>
      <c r="L5035" s="7">
        <v>3.3559999999999999</v>
      </c>
      <c r="M5035" s="7">
        <v>3.4460000000000002</v>
      </c>
      <c r="N5035" s="7">
        <v>4.4429999999999996</v>
      </c>
      <c r="O5035" s="7">
        <v>4.4800000000000004</v>
      </c>
      <c r="P5035" s="7">
        <v>5.0030000000000001</v>
      </c>
      <c r="Q5035" s="7">
        <v>5.26</v>
      </c>
      <c r="R5035" s="7">
        <v>5.83</v>
      </c>
      <c r="S5035" s="7">
        <f t="shared" si="78"/>
        <v>4.6279166666666667</v>
      </c>
    </row>
    <row r="5036" spans="1:19">
      <c r="A5036" s="5" t="str">
        <f>B5036&amp;"-"&amp;COUNTIF($B$2:B5036,B5036)</f>
        <v>SÃO PAULO-325</v>
      </c>
      <c r="B5036" s="5" t="s">
        <v>3122</v>
      </c>
      <c r="C5036" s="5" t="s">
        <v>3332</v>
      </c>
      <c r="D5036" s="6">
        <v>-493206</v>
      </c>
      <c r="E5036" s="6">
        <v>-23006</v>
      </c>
      <c r="F5036" s="7">
        <v>4.8819999999999997</v>
      </c>
      <c r="G5036" s="7">
        <v>5.5549999999999997</v>
      </c>
      <c r="H5036" s="7">
        <v>5.75</v>
      </c>
      <c r="I5036" s="7">
        <v>5.1449999999999996</v>
      </c>
      <c r="J5036" s="7">
        <v>4.6379999999999999</v>
      </c>
      <c r="K5036" s="7">
        <v>3.7069999999999999</v>
      </c>
      <c r="L5036" s="7">
        <v>3.4169999999999998</v>
      </c>
      <c r="M5036" s="7">
        <v>3.6230000000000002</v>
      </c>
      <c r="N5036" s="7">
        <v>4.6109999999999998</v>
      </c>
      <c r="O5036" s="7">
        <v>4.6980000000000004</v>
      </c>
      <c r="P5036" s="7">
        <v>5.3680000000000003</v>
      </c>
      <c r="Q5036" s="7">
        <v>5.8529999999999998</v>
      </c>
      <c r="R5036" s="7">
        <v>6.2220000000000004</v>
      </c>
      <c r="S5036" s="7">
        <f t="shared" si="78"/>
        <v>4.8822500000000009</v>
      </c>
    </row>
    <row r="5037" spans="1:19">
      <c r="A5037" s="5" t="str">
        <f>B5037&amp;"-"&amp;COUNTIF($B$2:B5037,B5037)</f>
        <v>SÃO PAULO-326</v>
      </c>
      <c r="B5037" s="5" t="s">
        <v>3122</v>
      </c>
      <c r="C5037" s="5" t="s">
        <v>5780</v>
      </c>
      <c r="D5037" s="6">
        <v>-519621</v>
      </c>
      <c r="E5037" s="6">
        <v>-221072</v>
      </c>
      <c r="F5037" s="7">
        <v>5.0940000000000003</v>
      </c>
      <c r="G5037" s="7">
        <v>6.0019999999999998</v>
      </c>
      <c r="H5037" s="7">
        <v>5.9660000000000002</v>
      </c>
      <c r="I5037" s="7">
        <v>5.4249999999999998</v>
      </c>
      <c r="J5037" s="7">
        <v>4.7649999999999997</v>
      </c>
      <c r="K5037" s="7">
        <v>3.9089999999999998</v>
      </c>
      <c r="L5037" s="7">
        <v>3.6019999999999999</v>
      </c>
      <c r="M5037" s="7">
        <v>3.774</v>
      </c>
      <c r="N5037" s="7">
        <v>4.7160000000000002</v>
      </c>
      <c r="O5037" s="7">
        <v>4.8230000000000004</v>
      </c>
      <c r="P5037" s="7">
        <v>5.56</v>
      </c>
      <c r="Q5037" s="7">
        <v>6.1180000000000003</v>
      </c>
      <c r="R5037" s="7">
        <v>6.4690000000000003</v>
      </c>
      <c r="S5037" s="7">
        <f t="shared" si="78"/>
        <v>5.0940833333333337</v>
      </c>
    </row>
    <row r="5038" spans="1:19">
      <c r="A5038" s="5" t="str">
        <f>B5038&amp;"-"&amp;COUNTIF($B$2:B5038,B5038)</f>
        <v>SÃO PAULO-327</v>
      </c>
      <c r="B5038" s="5" t="s">
        <v>3122</v>
      </c>
      <c r="C5038" s="5" t="s">
        <v>3333</v>
      </c>
      <c r="D5038" s="6">
        <v>-506717</v>
      </c>
      <c r="E5038" s="6">
        <v>-226154</v>
      </c>
      <c r="F5038" s="7">
        <v>4.9809999999999999</v>
      </c>
      <c r="G5038" s="7">
        <v>5.7969999999999997</v>
      </c>
      <c r="H5038" s="7">
        <v>5.7759999999999998</v>
      </c>
      <c r="I5038" s="7">
        <v>5.282</v>
      </c>
      <c r="J5038" s="7">
        <v>4.7320000000000002</v>
      </c>
      <c r="K5038" s="7">
        <v>3.8069999999999999</v>
      </c>
      <c r="L5038" s="7">
        <v>3.5049999999999999</v>
      </c>
      <c r="M5038" s="7">
        <v>3.7080000000000002</v>
      </c>
      <c r="N5038" s="7">
        <v>4.6790000000000003</v>
      </c>
      <c r="O5038" s="7">
        <v>4.8099999999999996</v>
      </c>
      <c r="P5038" s="7">
        <v>5.4379999999999997</v>
      </c>
      <c r="Q5038" s="7">
        <v>5.99</v>
      </c>
      <c r="R5038" s="7">
        <v>6.2519999999999998</v>
      </c>
      <c r="S5038" s="7">
        <f t="shared" si="78"/>
        <v>4.9813333333333345</v>
      </c>
    </row>
    <row r="5039" spans="1:19">
      <c r="A5039" s="5" t="str">
        <f>B5039&amp;"-"&amp;COUNTIF($B$2:B5039,B5039)</f>
        <v>SÃO PAULO-328</v>
      </c>
      <c r="B5039" s="5" t="s">
        <v>3122</v>
      </c>
      <c r="C5039" s="5" t="s">
        <v>3334</v>
      </c>
      <c r="D5039" s="6">
        <v>-499505</v>
      </c>
      <c r="E5039" s="6">
        <v>-222176</v>
      </c>
      <c r="F5039" s="7">
        <v>5.0069999999999997</v>
      </c>
      <c r="G5039" s="7">
        <v>5.7149999999999999</v>
      </c>
      <c r="H5039" s="7">
        <v>5.8719999999999999</v>
      </c>
      <c r="I5039" s="7">
        <v>5.27</v>
      </c>
      <c r="J5039" s="7">
        <v>4.7610000000000001</v>
      </c>
      <c r="K5039" s="7">
        <v>3.8410000000000002</v>
      </c>
      <c r="L5039" s="7">
        <v>3.5539999999999998</v>
      </c>
      <c r="M5039" s="7">
        <v>3.8130000000000002</v>
      </c>
      <c r="N5039" s="7">
        <v>4.7759999999999998</v>
      </c>
      <c r="O5039" s="7">
        <v>4.8330000000000002</v>
      </c>
      <c r="P5039" s="7">
        <v>5.5250000000000004</v>
      </c>
      <c r="Q5039" s="7">
        <v>5.9480000000000004</v>
      </c>
      <c r="R5039" s="7">
        <v>6.1689999999999996</v>
      </c>
      <c r="S5039" s="7">
        <f t="shared" si="78"/>
        <v>5.0064166666666665</v>
      </c>
    </row>
    <row r="5040" spans="1:19">
      <c r="A5040" s="5" t="str">
        <f>B5040&amp;"-"&amp;COUNTIF($B$2:B5040,B5040)</f>
        <v>SÃO PAULO-329</v>
      </c>
      <c r="B5040" s="5" t="s">
        <v>3122</v>
      </c>
      <c r="C5040" s="5" t="s">
        <v>3335</v>
      </c>
      <c r="D5040" s="6">
        <v>-491304</v>
      </c>
      <c r="E5040" s="6">
        <v>-212592</v>
      </c>
      <c r="F5040" s="7">
        <v>5.1109999999999998</v>
      </c>
      <c r="G5040" s="7">
        <v>5.8520000000000003</v>
      </c>
      <c r="H5040" s="7">
        <v>5.91</v>
      </c>
      <c r="I5040" s="7">
        <v>5.2519999999999998</v>
      </c>
      <c r="J5040" s="7">
        <v>4.7949999999999999</v>
      </c>
      <c r="K5040" s="7">
        <v>4.048</v>
      </c>
      <c r="L5040" s="7">
        <v>3.8109999999999999</v>
      </c>
      <c r="M5040" s="7">
        <v>4.0289999999999999</v>
      </c>
      <c r="N5040" s="7">
        <v>4.9409999999999998</v>
      </c>
      <c r="O5040" s="7">
        <v>5.0389999999999997</v>
      </c>
      <c r="P5040" s="7">
        <v>5.6239999999999997</v>
      </c>
      <c r="Q5040" s="7">
        <v>5.8739999999999997</v>
      </c>
      <c r="R5040" s="7">
        <v>6.1609999999999996</v>
      </c>
      <c r="S5040" s="7">
        <f t="shared" si="78"/>
        <v>5.1113333333333344</v>
      </c>
    </row>
    <row r="5041" spans="1:19">
      <c r="A5041" s="5" t="str">
        <f>B5041&amp;"-"&amp;COUNTIF($B$2:B5041,B5041)</f>
        <v>SÃO PAULO-330</v>
      </c>
      <c r="B5041" s="5" t="s">
        <v>3122</v>
      </c>
      <c r="C5041" s="5" t="s">
        <v>5781</v>
      </c>
      <c r="D5041" s="6">
        <v>-511829</v>
      </c>
      <c r="E5041" s="6">
        <v>-217964</v>
      </c>
      <c r="F5041" s="7">
        <v>5.1180000000000003</v>
      </c>
      <c r="G5041" s="7">
        <v>5.944</v>
      </c>
      <c r="H5041" s="7">
        <v>5.976</v>
      </c>
      <c r="I5041" s="7">
        <v>5.4749999999999996</v>
      </c>
      <c r="J5041" s="7">
        <v>4.8319999999999999</v>
      </c>
      <c r="K5041" s="7">
        <v>3.9940000000000002</v>
      </c>
      <c r="L5041" s="7">
        <v>3.673</v>
      </c>
      <c r="M5041" s="7">
        <v>3.8530000000000002</v>
      </c>
      <c r="N5041" s="7">
        <v>4.83</v>
      </c>
      <c r="O5041" s="7">
        <v>4.8540000000000001</v>
      </c>
      <c r="P5041" s="7">
        <v>5.5570000000000004</v>
      </c>
      <c r="Q5041" s="7">
        <v>6.0570000000000004</v>
      </c>
      <c r="R5041" s="7">
        <v>6.3730000000000002</v>
      </c>
      <c r="S5041" s="7">
        <f t="shared" si="78"/>
        <v>5.1181666666666663</v>
      </c>
    </row>
    <row r="5042" spans="1:19">
      <c r="A5042" s="5" t="str">
        <f>B5042&amp;"-"&amp;COUNTIF($B$2:B5042,B5042)</f>
        <v>SÃO PAULO-331</v>
      </c>
      <c r="B5042" s="5" t="s">
        <v>3122</v>
      </c>
      <c r="C5042" s="5" t="s">
        <v>5247</v>
      </c>
      <c r="D5042" s="6">
        <v>-508229</v>
      </c>
      <c r="E5042" s="6">
        <v>-20441</v>
      </c>
      <c r="F5042" s="7">
        <v>5.202</v>
      </c>
      <c r="G5042" s="7">
        <v>5.851</v>
      </c>
      <c r="H5042" s="7">
        <v>5.9820000000000002</v>
      </c>
      <c r="I5042" s="7">
        <v>5.367</v>
      </c>
      <c r="J5042" s="7">
        <v>4.8730000000000002</v>
      </c>
      <c r="K5042" s="7">
        <v>4.1950000000000003</v>
      </c>
      <c r="L5042" s="7">
        <v>3.887</v>
      </c>
      <c r="M5042" s="7">
        <v>4.109</v>
      </c>
      <c r="N5042" s="7">
        <v>5.0519999999999996</v>
      </c>
      <c r="O5042" s="7">
        <v>5.0609999999999999</v>
      </c>
      <c r="P5042" s="7">
        <v>5.6980000000000004</v>
      </c>
      <c r="Q5042" s="7">
        <v>6.008</v>
      </c>
      <c r="R5042" s="7">
        <v>6.3460000000000001</v>
      </c>
      <c r="S5042" s="7">
        <f t="shared" si="78"/>
        <v>5.2024166666666671</v>
      </c>
    </row>
    <row r="5043" spans="1:19">
      <c r="A5043" s="5" t="str">
        <f>B5043&amp;"-"&amp;COUNTIF($B$2:B5043,B5043)</f>
        <v>SÃO PAULO-332</v>
      </c>
      <c r="B5043" s="5" t="s">
        <v>3122</v>
      </c>
      <c r="C5043" s="5" t="s">
        <v>5248</v>
      </c>
      <c r="D5043" s="6">
        <v>-511714</v>
      </c>
      <c r="E5043" s="6">
        <v>-221466</v>
      </c>
      <c r="F5043" s="7">
        <v>5.1070000000000002</v>
      </c>
      <c r="G5043" s="7">
        <v>5.9850000000000003</v>
      </c>
      <c r="H5043" s="7">
        <v>5.9390000000000001</v>
      </c>
      <c r="I5043" s="7">
        <v>5.4610000000000003</v>
      </c>
      <c r="J5043" s="7">
        <v>4.819</v>
      </c>
      <c r="K5043" s="7">
        <v>3.9369999999999998</v>
      </c>
      <c r="L5043" s="7">
        <v>3.6269999999999998</v>
      </c>
      <c r="M5043" s="7">
        <v>3.8170000000000002</v>
      </c>
      <c r="N5043" s="7">
        <v>4.7969999999999997</v>
      </c>
      <c r="O5043" s="7">
        <v>4.835</v>
      </c>
      <c r="P5043" s="7">
        <v>5.5540000000000003</v>
      </c>
      <c r="Q5043" s="7">
        <v>6.0860000000000003</v>
      </c>
      <c r="R5043" s="7">
        <v>6.4219999999999997</v>
      </c>
      <c r="S5043" s="7">
        <f t="shared" si="78"/>
        <v>5.1065833333333321</v>
      </c>
    </row>
    <row r="5044" spans="1:19">
      <c r="A5044" s="5" t="str">
        <f>B5044&amp;"-"&amp;COUNTIF($B$2:B5044,B5044)</f>
        <v>SÃO PAULO-333</v>
      </c>
      <c r="B5044" s="5" t="s">
        <v>3122</v>
      </c>
      <c r="C5044" s="5" t="s">
        <v>4225</v>
      </c>
      <c r="D5044" s="6">
        <v>-483644</v>
      </c>
      <c r="E5044" s="6">
        <v>-21603</v>
      </c>
      <c r="F5044" s="7">
        <v>5.0529999999999999</v>
      </c>
      <c r="G5044" s="7">
        <v>5.7510000000000003</v>
      </c>
      <c r="H5044" s="7">
        <v>5.92</v>
      </c>
      <c r="I5044" s="7">
        <v>5.1740000000000004</v>
      </c>
      <c r="J5044" s="7">
        <v>4.7110000000000003</v>
      </c>
      <c r="K5044" s="7">
        <v>4.0250000000000004</v>
      </c>
      <c r="L5044" s="7">
        <v>3.782</v>
      </c>
      <c r="M5044" s="7">
        <v>3.9580000000000002</v>
      </c>
      <c r="N5044" s="7">
        <v>4.8650000000000002</v>
      </c>
      <c r="O5044" s="7">
        <v>4.9660000000000002</v>
      </c>
      <c r="P5044" s="7">
        <v>5.5830000000000002</v>
      </c>
      <c r="Q5044" s="7">
        <v>5.8129999999999997</v>
      </c>
      <c r="R5044" s="7">
        <v>6.0890000000000004</v>
      </c>
      <c r="S5044" s="7">
        <f t="shared" si="78"/>
        <v>5.0530833333333334</v>
      </c>
    </row>
    <row r="5045" spans="1:19">
      <c r="A5045" s="5" t="str">
        <f>B5045&amp;"-"&amp;COUNTIF($B$2:B5045,B5045)</f>
        <v>SÃO PAULO-334</v>
      </c>
      <c r="B5045" s="5" t="s">
        <v>3122</v>
      </c>
      <c r="C5045" s="5" t="s">
        <v>5782</v>
      </c>
      <c r="D5045" s="6">
        <v>-464617</v>
      </c>
      <c r="E5045" s="6">
        <v>-236682</v>
      </c>
      <c r="F5045" s="7">
        <v>4.2789999999999999</v>
      </c>
      <c r="G5045" s="7">
        <v>5.03</v>
      </c>
      <c r="H5045" s="7">
        <v>5.3970000000000002</v>
      </c>
      <c r="I5045" s="7">
        <v>4.5490000000000004</v>
      </c>
      <c r="J5045" s="7">
        <v>4.0259999999999998</v>
      </c>
      <c r="K5045" s="7">
        <v>3.3029999999999999</v>
      </c>
      <c r="L5045" s="7">
        <v>3.03</v>
      </c>
      <c r="M5045" s="7">
        <v>3.1440000000000001</v>
      </c>
      <c r="N5045" s="7">
        <v>3.9689999999999999</v>
      </c>
      <c r="O5045" s="7">
        <v>4.0129999999999999</v>
      </c>
      <c r="P5045" s="7">
        <v>4.4530000000000003</v>
      </c>
      <c r="Q5045" s="7">
        <v>4.9279999999999999</v>
      </c>
      <c r="R5045" s="7">
        <v>5.5060000000000002</v>
      </c>
      <c r="S5045" s="7">
        <f t="shared" si="78"/>
        <v>4.2789999999999999</v>
      </c>
    </row>
    <row r="5046" spans="1:19">
      <c r="A5046" s="5" t="str">
        <f>B5046&amp;"-"&amp;COUNTIF($B$2:B5046,B5046)</f>
        <v>SÃO PAULO-335</v>
      </c>
      <c r="B5046" s="5" t="s">
        <v>3122</v>
      </c>
      <c r="C5046" s="5" t="s">
        <v>4790</v>
      </c>
      <c r="D5046" s="6">
        <v>-495791</v>
      </c>
      <c r="E5046" s="6">
        <v>-211841</v>
      </c>
      <c r="F5046" s="7">
        <v>5.1130000000000004</v>
      </c>
      <c r="G5046" s="7">
        <v>5.91</v>
      </c>
      <c r="H5046" s="7">
        <v>5.9219999999999997</v>
      </c>
      <c r="I5046" s="7">
        <v>5.2919999999999998</v>
      </c>
      <c r="J5046" s="7">
        <v>4.8319999999999999</v>
      </c>
      <c r="K5046" s="7">
        <v>4.024</v>
      </c>
      <c r="L5046" s="7">
        <v>3.7639999999999998</v>
      </c>
      <c r="M5046" s="7">
        <v>3.9929999999999999</v>
      </c>
      <c r="N5046" s="7">
        <v>4.8460000000000001</v>
      </c>
      <c r="O5046" s="7">
        <v>4.9960000000000004</v>
      </c>
      <c r="P5046" s="7">
        <v>5.6280000000000001</v>
      </c>
      <c r="Q5046" s="7">
        <v>5.9480000000000004</v>
      </c>
      <c r="R5046" s="7">
        <v>6.2009999999999996</v>
      </c>
      <c r="S5046" s="7">
        <f t="shared" si="78"/>
        <v>5.1130000000000004</v>
      </c>
    </row>
    <row r="5047" spans="1:19">
      <c r="A5047" s="5" t="str">
        <f>B5047&amp;"-"&amp;COUNTIF($B$2:B5047,B5047)</f>
        <v>SÃO PAULO-336</v>
      </c>
      <c r="B5047" s="5" t="s">
        <v>3122</v>
      </c>
      <c r="C5047" s="5" t="s">
        <v>3336</v>
      </c>
      <c r="D5047" s="6">
        <v>-501821</v>
      </c>
      <c r="E5047" s="6">
        <v>-203499</v>
      </c>
      <c r="F5047" s="7">
        <v>5.1820000000000004</v>
      </c>
      <c r="G5047" s="7">
        <v>5.7990000000000004</v>
      </c>
      <c r="H5047" s="7">
        <v>5.9169999999999998</v>
      </c>
      <c r="I5047" s="7">
        <v>5.2629999999999999</v>
      </c>
      <c r="J5047" s="7">
        <v>4.9279999999999999</v>
      </c>
      <c r="K5047" s="7">
        <v>4.2140000000000004</v>
      </c>
      <c r="L5047" s="7">
        <v>3.9180000000000001</v>
      </c>
      <c r="M5047" s="7">
        <v>4.1980000000000004</v>
      </c>
      <c r="N5047" s="7">
        <v>5.0640000000000001</v>
      </c>
      <c r="O5047" s="7">
        <v>5.1369999999999996</v>
      </c>
      <c r="P5047" s="7">
        <v>5.6239999999999997</v>
      </c>
      <c r="Q5047" s="7">
        <v>5.9029999999999996</v>
      </c>
      <c r="R5047" s="7">
        <v>6.2190000000000003</v>
      </c>
      <c r="S5047" s="7">
        <f t="shared" si="78"/>
        <v>5.1820000000000004</v>
      </c>
    </row>
    <row r="5048" spans="1:19">
      <c r="A5048" s="5" t="str">
        <f>B5048&amp;"-"&amp;COUNTIF($B$2:B5048,B5048)</f>
        <v>SÃO PAULO-337</v>
      </c>
      <c r="B5048" s="5" t="s">
        <v>3122</v>
      </c>
      <c r="C5048" s="5" t="s">
        <v>5249</v>
      </c>
      <c r="D5048" s="6">
        <v>-50617</v>
      </c>
      <c r="E5048" s="6">
        <v>-199698</v>
      </c>
      <c r="F5048" s="7">
        <v>5.1909999999999998</v>
      </c>
      <c r="G5048" s="7">
        <v>5.8159999999999998</v>
      </c>
      <c r="H5048" s="7">
        <v>5.9249999999999998</v>
      </c>
      <c r="I5048" s="7">
        <v>5.39</v>
      </c>
      <c r="J5048" s="7">
        <v>4.9039999999999999</v>
      </c>
      <c r="K5048" s="7">
        <v>4.2380000000000004</v>
      </c>
      <c r="L5048" s="7">
        <v>3.9660000000000002</v>
      </c>
      <c r="M5048" s="7">
        <v>4.1559999999999997</v>
      </c>
      <c r="N5048" s="7">
        <v>5.0720000000000001</v>
      </c>
      <c r="O5048" s="7">
        <v>5.0430000000000001</v>
      </c>
      <c r="P5048" s="7">
        <v>5.6849999999999996</v>
      </c>
      <c r="Q5048" s="7">
        <v>5.875</v>
      </c>
      <c r="R5048" s="7">
        <v>6.2240000000000002</v>
      </c>
      <c r="S5048" s="7">
        <f t="shared" si="78"/>
        <v>5.1911666666666676</v>
      </c>
    </row>
    <row r="5049" spans="1:19">
      <c r="A5049" s="5" t="str">
        <f>B5049&amp;"-"&amp;COUNTIF($B$2:B5049,B5049)</f>
        <v>SÃO PAULO-338</v>
      </c>
      <c r="B5049" s="5" t="s">
        <v>3122</v>
      </c>
      <c r="C5049" s="5" t="s">
        <v>5250</v>
      </c>
      <c r="D5049" s="6">
        <v>-480314</v>
      </c>
      <c r="E5049" s="6">
        <v>-201801</v>
      </c>
      <c r="F5049" s="7">
        <v>5.2110000000000003</v>
      </c>
      <c r="G5049" s="7">
        <v>5.7750000000000004</v>
      </c>
      <c r="H5049" s="7">
        <v>6.1050000000000004</v>
      </c>
      <c r="I5049" s="7">
        <v>5.2220000000000004</v>
      </c>
      <c r="J5049" s="7">
        <v>5.0209999999999999</v>
      </c>
      <c r="K5049" s="7">
        <v>4.3360000000000003</v>
      </c>
      <c r="L5049" s="7">
        <v>4.0220000000000002</v>
      </c>
      <c r="M5049" s="7">
        <v>4.3040000000000003</v>
      </c>
      <c r="N5049" s="7">
        <v>5.1479999999999997</v>
      </c>
      <c r="O5049" s="7">
        <v>5.0990000000000002</v>
      </c>
      <c r="P5049" s="7">
        <v>5.6230000000000002</v>
      </c>
      <c r="Q5049" s="7">
        <v>5.782</v>
      </c>
      <c r="R5049" s="7">
        <v>6.101</v>
      </c>
      <c r="S5049" s="7">
        <f t="shared" si="78"/>
        <v>5.2115000000000009</v>
      </c>
    </row>
    <row r="5050" spans="1:19">
      <c r="A5050" s="5" t="str">
        <f>B5050&amp;"-"&amp;COUNTIF($B$2:B5050,B5050)</f>
        <v>SÃO PAULO-339</v>
      </c>
      <c r="B5050" s="5" t="s">
        <v>3122</v>
      </c>
      <c r="C5050" s="5" t="s">
        <v>5337</v>
      </c>
      <c r="D5050" s="6">
        <v>-484514</v>
      </c>
      <c r="E5050" s="6">
        <v>-224125</v>
      </c>
      <c r="F5050" s="7">
        <v>4.9800000000000004</v>
      </c>
      <c r="G5050" s="7">
        <v>5.5739999999999998</v>
      </c>
      <c r="H5050" s="7">
        <v>5.8479999999999999</v>
      </c>
      <c r="I5050" s="7">
        <v>5.1950000000000003</v>
      </c>
      <c r="J5050" s="7">
        <v>4.6859999999999999</v>
      </c>
      <c r="K5050" s="7">
        <v>3.8639999999999999</v>
      </c>
      <c r="L5050" s="7">
        <v>3.5939999999999999</v>
      </c>
      <c r="M5050" s="7">
        <v>3.7789999999999999</v>
      </c>
      <c r="N5050" s="7">
        <v>4.7130000000000001</v>
      </c>
      <c r="O5050" s="7">
        <v>4.8840000000000003</v>
      </c>
      <c r="P5050" s="7">
        <v>5.5519999999999996</v>
      </c>
      <c r="Q5050" s="7">
        <v>5.8869999999999996</v>
      </c>
      <c r="R5050" s="7">
        <v>6.1840000000000002</v>
      </c>
      <c r="S5050" s="7">
        <f t="shared" si="78"/>
        <v>4.9800000000000004</v>
      </c>
    </row>
    <row r="5051" spans="1:19">
      <c r="A5051" s="5" t="str">
        <f>B5051&amp;"-"&amp;COUNTIF($B$2:B5051,B5051)</f>
        <v>SÃO PAULO-340</v>
      </c>
      <c r="B5051" s="5" t="s">
        <v>3122</v>
      </c>
      <c r="C5051" s="5" t="s">
        <v>3337</v>
      </c>
      <c r="D5051" s="6">
        <v>-501369</v>
      </c>
      <c r="E5051" s="6">
        <v>-19979</v>
      </c>
      <c r="F5051" s="7">
        <v>5.2220000000000004</v>
      </c>
      <c r="G5051" s="7">
        <v>5.843</v>
      </c>
      <c r="H5051" s="7">
        <v>6.0570000000000004</v>
      </c>
      <c r="I5051" s="7">
        <v>5.367</v>
      </c>
      <c r="J5051" s="7">
        <v>4.95</v>
      </c>
      <c r="K5051" s="7">
        <v>4.2709999999999999</v>
      </c>
      <c r="L5051" s="7">
        <v>3.927</v>
      </c>
      <c r="M5051" s="7">
        <v>4.2060000000000004</v>
      </c>
      <c r="N5051" s="7">
        <v>5.0430000000000001</v>
      </c>
      <c r="O5051" s="7">
        <v>5.0960000000000001</v>
      </c>
      <c r="P5051" s="7">
        <v>5.7149999999999999</v>
      </c>
      <c r="Q5051" s="7">
        <v>5.9749999999999996</v>
      </c>
      <c r="R5051" s="7">
        <v>6.2160000000000002</v>
      </c>
      <c r="S5051" s="7">
        <f t="shared" si="78"/>
        <v>5.2221666666666673</v>
      </c>
    </row>
    <row r="5052" spans="1:19">
      <c r="A5052" s="5" t="str">
        <f>B5052&amp;"-"&amp;COUNTIF($B$2:B5052,B5052)</f>
        <v>SÃO PAULO-341</v>
      </c>
      <c r="B5052" s="5" t="s">
        <v>3122</v>
      </c>
      <c r="C5052" s="5" t="s">
        <v>3338</v>
      </c>
      <c r="D5052" s="6">
        <v>-474629</v>
      </c>
      <c r="E5052" s="6">
        <v>-242771</v>
      </c>
      <c r="F5052" s="7">
        <v>4.05</v>
      </c>
      <c r="G5052" s="7">
        <v>5.1950000000000003</v>
      </c>
      <c r="H5052" s="7">
        <v>5.3540000000000001</v>
      </c>
      <c r="I5052" s="7">
        <v>4.5019999999999998</v>
      </c>
      <c r="J5052" s="7">
        <v>3.887</v>
      </c>
      <c r="K5052" s="7">
        <v>3.1040000000000001</v>
      </c>
      <c r="L5052" s="7">
        <v>2.7349999999999999</v>
      </c>
      <c r="M5052" s="7">
        <v>2.7589999999999999</v>
      </c>
      <c r="N5052" s="7">
        <v>3.45</v>
      </c>
      <c r="O5052" s="7">
        <v>3.5489999999999999</v>
      </c>
      <c r="P5052" s="7">
        <v>3.883</v>
      </c>
      <c r="Q5052" s="7">
        <v>4.7439999999999998</v>
      </c>
      <c r="R5052" s="7">
        <v>5.4379999999999997</v>
      </c>
      <c r="S5052" s="7">
        <f t="shared" si="78"/>
        <v>4.05</v>
      </c>
    </row>
    <row r="5053" spans="1:19">
      <c r="A5053" s="5" t="str">
        <f>B5053&amp;"-"&amp;COUNTIF($B$2:B5053,B5053)</f>
        <v>SÃO PAULO-342</v>
      </c>
      <c r="B5053" s="5" t="s">
        <v>3122</v>
      </c>
      <c r="C5053" s="5" t="s">
        <v>5251</v>
      </c>
      <c r="D5053" s="6">
        <v>-511039</v>
      </c>
      <c r="E5053" s="6">
        <v>-211318</v>
      </c>
      <c r="F5053" s="7">
        <v>5.1529999999999996</v>
      </c>
      <c r="G5053" s="7">
        <v>5.8810000000000002</v>
      </c>
      <c r="H5053" s="7">
        <v>5.9509999999999996</v>
      </c>
      <c r="I5053" s="7">
        <v>5.431</v>
      </c>
      <c r="J5053" s="7">
        <v>4.88</v>
      </c>
      <c r="K5053" s="7">
        <v>4.0880000000000001</v>
      </c>
      <c r="L5053" s="7">
        <v>3.7829999999999999</v>
      </c>
      <c r="M5053" s="7">
        <v>3.9569999999999999</v>
      </c>
      <c r="N5053" s="7">
        <v>4.9349999999999996</v>
      </c>
      <c r="O5053" s="7">
        <v>4.9660000000000002</v>
      </c>
      <c r="P5053" s="7">
        <v>5.5979999999999999</v>
      </c>
      <c r="Q5053" s="7">
        <v>6.0750000000000002</v>
      </c>
      <c r="R5053" s="7">
        <v>6.2969999999999997</v>
      </c>
      <c r="S5053" s="7">
        <f t="shared" si="78"/>
        <v>5.1535000000000002</v>
      </c>
    </row>
    <row r="5054" spans="1:19">
      <c r="A5054" s="5" t="str">
        <f>B5054&amp;"-"&amp;COUNTIF($B$2:B5054,B5054)</f>
        <v>SÃO PAULO-343</v>
      </c>
      <c r="B5054" s="5" t="s">
        <v>3122</v>
      </c>
      <c r="C5054" s="5" t="s">
        <v>3339</v>
      </c>
      <c r="D5054" s="6">
        <v>-519088</v>
      </c>
      <c r="E5054" s="6">
        <v>-222909</v>
      </c>
      <c r="F5054" s="7">
        <v>5.0810000000000004</v>
      </c>
      <c r="G5054" s="7">
        <v>6.0330000000000004</v>
      </c>
      <c r="H5054" s="7">
        <v>5.9770000000000003</v>
      </c>
      <c r="I5054" s="7">
        <v>5.43</v>
      </c>
      <c r="J5054" s="7">
        <v>4.7670000000000003</v>
      </c>
      <c r="K5054" s="7">
        <v>3.851</v>
      </c>
      <c r="L5054" s="7">
        <v>3.5289999999999999</v>
      </c>
      <c r="M5054" s="7">
        <v>3.7330000000000001</v>
      </c>
      <c r="N5054" s="7">
        <v>4.6870000000000003</v>
      </c>
      <c r="O5054" s="7">
        <v>4.806</v>
      </c>
      <c r="P5054" s="7">
        <v>5.5510000000000002</v>
      </c>
      <c r="Q5054" s="7">
        <v>6.1319999999999997</v>
      </c>
      <c r="R5054" s="7">
        <v>6.4809999999999999</v>
      </c>
      <c r="S5054" s="7">
        <f t="shared" si="78"/>
        <v>5.0814166666666667</v>
      </c>
    </row>
    <row r="5055" spans="1:19">
      <c r="A5055" s="5" t="str">
        <f>B5055&amp;"-"&amp;COUNTIF($B$2:B5055,B5055)</f>
        <v>SÃO PAULO-344</v>
      </c>
      <c r="B5055" s="5" t="s">
        <v>3122</v>
      </c>
      <c r="C5055" s="5" t="s">
        <v>3340</v>
      </c>
      <c r="D5055" s="6">
        <v>-49521</v>
      </c>
      <c r="E5055" s="6">
        <v>-208173</v>
      </c>
      <c r="F5055" s="7">
        <v>5.1449999999999996</v>
      </c>
      <c r="G5055" s="7">
        <v>5.8529999999999998</v>
      </c>
      <c r="H5055" s="7">
        <v>5.859</v>
      </c>
      <c r="I5055" s="7">
        <v>5.2030000000000003</v>
      </c>
      <c r="J5055" s="7">
        <v>4.867</v>
      </c>
      <c r="K5055" s="7">
        <v>4.1159999999999997</v>
      </c>
      <c r="L5055" s="7">
        <v>3.88</v>
      </c>
      <c r="M5055" s="7">
        <v>4.1369999999999996</v>
      </c>
      <c r="N5055" s="7">
        <v>5.0419999999999998</v>
      </c>
      <c r="O5055" s="7">
        <v>5.0640000000000001</v>
      </c>
      <c r="P5055" s="7">
        <v>5.6260000000000003</v>
      </c>
      <c r="Q5055" s="7">
        <v>5.944</v>
      </c>
      <c r="R5055" s="7">
        <v>6.1509999999999998</v>
      </c>
      <c r="S5055" s="7">
        <f t="shared" si="78"/>
        <v>5.1451666666666673</v>
      </c>
    </row>
    <row r="5056" spans="1:19">
      <c r="A5056" s="5" t="str">
        <f>B5056&amp;"-"&amp;COUNTIF($B$2:B5056,B5056)</f>
        <v>SÃO PAULO-345</v>
      </c>
      <c r="B5056" s="5" t="s">
        <v>3122</v>
      </c>
      <c r="C5056" s="5" t="s">
        <v>5031</v>
      </c>
      <c r="D5056" s="6">
        <v>-494639</v>
      </c>
      <c r="E5056" s="6">
        <v>-20617</v>
      </c>
      <c r="F5056" s="7">
        <v>5.1559999999999997</v>
      </c>
      <c r="G5056" s="7">
        <v>5.7629999999999999</v>
      </c>
      <c r="H5056" s="7">
        <v>5.8860000000000001</v>
      </c>
      <c r="I5056" s="7">
        <v>5.194</v>
      </c>
      <c r="J5056" s="7">
        <v>4.93</v>
      </c>
      <c r="K5056" s="7">
        <v>4.1689999999999996</v>
      </c>
      <c r="L5056" s="7">
        <v>3.9430000000000001</v>
      </c>
      <c r="M5056" s="7">
        <v>4.1639999999999997</v>
      </c>
      <c r="N5056" s="7">
        <v>5.0819999999999999</v>
      </c>
      <c r="O5056" s="7">
        <v>5.0910000000000002</v>
      </c>
      <c r="P5056" s="7">
        <v>5.6109999999999998</v>
      </c>
      <c r="Q5056" s="7">
        <v>5.9240000000000004</v>
      </c>
      <c r="R5056" s="7">
        <v>6.117</v>
      </c>
      <c r="S5056" s="7">
        <f t="shared" si="78"/>
        <v>5.1561666666666666</v>
      </c>
    </row>
    <row r="5057" spans="1:19">
      <c r="A5057" s="5" t="str">
        <f>B5057&amp;"-"&amp;COUNTIF($B$2:B5057,B5057)</f>
        <v>SÃO PAULO-346</v>
      </c>
      <c r="B5057" s="5" t="s">
        <v>3122</v>
      </c>
      <c r="C5057" s="5" t="s">
        <v>3341</v>
      </c>
      <c r="D5057" s="6">
        <v>-470028</v>
      </c>
      <c r="E5057" s="6">
        <v>-214652</v>
      </c>
      <c r="F5057" s="7">
        <v>5.032</v>
      </c>
      <c r="G5057" s="7">
        <v>5.6459999999999999</v>
      </c>
      <c r="H5057" s="7">
        <v>5.8250000000000002</v>
      </c>
      <c r="I5057" s="7">
        <v>5.1239999999999997</v>
      </c>
      <c r="J5057" s="7">
        <v>4.8</v>
      </c>
      <c r="K5057" s="7">
        <v>4.0670000000000002</v>
      </c>
      <c r="L5057" s="7">
        <v>3.8220000000000001</v>
      </c>
      <c r="M5057" s="7">
        <v>4.0359999999999996</v>
      </c>
      <c r="N5057" s="7">
        <v>4.8949999999999996</v>
      </c>
      <c r="O5057" s="7">
        <v>4.9790000000000001</v>
      </c>
      <c r="P5057" s="7">
        <v>5.5369999999999999</v>
      </c>
      <c r="Q5057" s="7">
        <v>5.7380000000000004</v>
      </c>
      <c r="R5057" s="7">
        <v>5.9139999999999997</v>
      </c>
      <c r="S5057" s="7">
        <f t="shared" si="78"/>
        <v>5.0319166666666666</v>
      </c>
    </row>
    <row r="5058" spans="1:19">
      <c r="A5058" s="5" t="str">
        <f>B5058&amp;"-"&amp;COUNTIF($B$2:B5058,B5058)</f>
        <v>SÃO PAULO-347</v>
      </c>
      <c r="B5058" s="5" t="s">
        <v>3122</v>
      </c>
      <c r="C5058" s="5" t="s">
        <v>3342</v>
      </c>
      <c r="D5058" s="6">
        <v>-461858</v>
      </c>
      <c r="E5058" s="6">
        <v>-235213</v>
      </c>
      <c r="F5058" s="7">
        <v>4.4249999999999998</v>
      </c>
      <c r="G5058" s="7">
        <v>5.2969999999999997</v>
      </c>
      <c r="H5058" s="7">
        <v>5.5789999999999997</v>
      </c>
      <c r="I5058" s="7">
        <v>4.7240000000000002</v>
      </c>
      <c r="J5058" s="7">
        <v>4.1130000000000004</v>
      </c>
      <c r="K5058" s="7">
        <v>3.3340000000000001</v>
      </c>
      <c r="L5058" s="7">
        <v>3.07</v>
      </c>
      <c r="M5058" s="7">
        <v>3.1970000000000001</v>
      </c>
      <c r="N5058" s="7">
        <v>4.1189999999999998</v>
      </c>
      <c r="O5058" s="7">
        <v>4.1669999999999998</v>
      </c>
      <c r="P5058" s="7">
        <v>4.7439999999999998</v>
      </c>
      <c r="Q5058" s="7">
        <v>5.0960000000000001</v>
      </c>
      <c r="R5058" s="7">
        <v>5.6609999999999996</v>
      </c>
      <c r="S5058" s="7">
        <f t="shared" si="78"/>
        <v>4.4250833333333333</v>
      </c>
    </row>
    <row r="5059" spans="1:19">
      <c r="A5059" s="5" t="str">
        <f>B5059&amp;"-"&amp;COUNTIF($B$2:B5059,B5059)</f>
        <v>SÃO PAULO-348</v>
      </c>
      <c r="B5059" s="5" t="s">
        <v>3122</v>
      </c>
      <c r="C5059" s="5" t="s">
        <v>4791</v>
      </c>
      <c r="D5059" s="6">
        <v>-469432</v>
      </c>
      <c r="E5059" s="6">
        <v>-223679</v>
      </c>
      <c r="F5059" s="7">
        <v>4.968</v>
      </c>
      <c r="G5059" s="7">
        <v>5.577</v>
      </c>
      <c r="H5059" s="7">
        <v>5.8449999999999998</v>
      </c>
      <c r="I5059" s="7">
        <v>5.1429999999999998</v>
      </c>
      <c r="J5059" s="7">
        <v>4.6859999999999999</v>
      </c>
      <c r="K5059" s="7">
        <v>3.9039999999999999</v>
      </c>
      <c r="L5059" s="7">
        <v>3.63</v>
      </c>
      <c r="M5059" s="7">
        <v>3.8290000000000002</v>
      </c>
      <c r="N5059" s="7">
        <v>4.7069999999999999</v>
      </c>
      <c r="O5059" s="7">
        <v>4.9290000000000003</v>
      </c>
      <c r="P5059" s="7">
        <v>5.54</v>
      </c>
      <c r="Q5059" s="7">
        <v>5.7359999999999998</v>
      </c>
      <c r="R5059" s="7">
        <v>6.0979999999999999</v>
      </c>
      <c r="S5059" s="7">
        <f t="shared" ref="S5059:S5122" si="79">(G5059+H5059+I5059+J5059+K5059+L5059+M5059+N5059+O5059+P5059+Q5059+R5059)/12</f>
        <v>4.9686666666666666</v>
      </c>
    </row>
    <row r="5060" spans="1:19">
      <c r="A5060" s="5" t="str">
        <f>B5060&amp;"-"&amp;COUNTIF($B$2:B5060,B5060)</f>
        <v>SÃO PAULO-349</v>
      </c>
      <c r="B5060" s="5" t="s">
        <v>3122</v>
      </c>
      <c r="C5060" s="5" t="s">
        <v>3343</v>
      </c>
      <c r="D5060" s="6">
        <v>-469509</v>
      </c>
      <c r="E5060" s="6">
        <v>-224324</v>
      </c>
      <c r="F5060" s="7">
        <v>4.968</v>
      </c>
      <c r="G5060" s="7">
        <v>5.577</v>
      </c>
      <c r="H5060" s="7">
        <v>5.8449999999999998</v>
      </c>
      <c r="I5060" s="7">
        <v>5.1429999999999998</v>
      </c>
      <c r="J5060" s="7">
        <v>4.6859999999999999</v>
      </c>
      <c r="K5060" s="7">
        <v>3.9039999999999999</v>
      </c>
      <c r="L5060" s="7">
        <v>3.63</v>
      </c>
      <c r="M5060" s="7">
        <v>3.8290000000000002</v>
      </c>
      <c r="N5060" s="7">
        <v>4.7069999999999999</v>
      </c>
      <c r="O5060" s="7">
        <v>4.9290000000000003</v>
      </c>
      <c r="P5060" s="7">
        <v>5.54</v>
      </c>
      <c r="Q5060" s="7">
        <v>5.7359999999999998</v>
      </c>
      <c r="R5060" s="7">
        <v>6.0979999999999999</v>
      </c>
      <c r="S5060" s="7">
        <f t="shared" si="79"/>
        <v>4.9686666666666666</v>
      </c>
    </row>
    <row r="5061" spans="1:19">
      <c r="A5061" s="5" t="str">
        <f>B5061&amp;"-"&amp;COUNTIF($B$2:B5061,B5061)</f>
        <v>SÃO PAULO-350</v>
      </c>
      <c r="B5061" s="5" t="s">
        <v>3122</v>
      </c>
      <c r="C5061" s="5" t="s">
        <v>3344</v>
      </c>
      <c r="D5061" s="6">
        <v>-475594</v>
      </c>
      <c r="E5061" s="6">
        <v>-22929</v>
      </c>
      <c r="F5061" s="7">
        <v>4.9000000000000004</v>
      </c>
      <c r="G5061" s="7">
        <v>5.68</v>
      </c>
      <c r="H5061" s="7">
        <v>5.8449999999999998</v>
      </c>
      <c r="I5061" s="7">
        <v>5.1260000000000003</v>
      </c>
      <c r="J5061" s="7">
        <v>4.5839999999999996</v>
      </c>
      <c r="K5061" s="7">
        <v>3.7850000000000001</v>
      </c>
      <c r="L5061" s="7">
        <v>3.4830000000000001</v>
      </c>
      <c r="M5061" s="7">
        <v>3.6709999999999998</v>
      </c>
      <c r="N5061" s="7">
        <v>4.6189999999999998</v>
      </c>
      <c r="O5061" s="7">
        <v>4.7759999999999998</v>
      </c>
      <c r="P5061" s="7">
        <v>5.4249999999999998</v>
      </c>
      <c r="Q5061" s="7">
        <v>5.6840000000000002</v>
      </c>
      <c r="R5061" s="7">
        <v>6.1180000000000003</v>
      </c>
      <c r="S5061" s="7">
        <f t="shared" si="79"/>
        <v>4.8996666666666666</v>
      </c>
    </row>
    <row r="5062" spans="1:19">
      <c r="A5062" s="5" t="str">
        <f>B5062&amp;"-"&amp;COUNTIF($B$2:B5062,B5062)</f>
        <v>SÃO PAULO-351</v>
      </c>
      <c r="B5062" s="5" t="s">
        <v>3122</v>
      </c>
      <c r="C5062" s="5" t="s">
        <v>5455</v>
      </c>
      <c r="D5062" s="6">
        <v>-500919</v>
      </c>
      <c r="E5062" s="5" t="s">
        <v>3345</v>
      </c>
      <c r="F5062" s="7">
        <v>5.149</v>
      </c>
      <c r="G5062" s="7">
        <v>5.8410000000000002</v>
      </c>
      <c r="H5062" s="7">
        <v>5.8949999999999996</v>
      </c>
      <c r="I5062" s="7">
        <v>5.2489999999999997</v>
      </c>
      <c r="J5062" s="7">
        <v>4.9039999999999999</v>
      </c>
      <c r="K5062" s="7">
        <v>4.1420000000000003</v>
      </c>
      <c r="L5062" s="7">
        <v>3.8479999999999999</v>
      </c>
      <c r="M5062" s="7">
        <v>4.1070000000000002</v>
      </c>
      <c r="N5062" s="7">
        <v>5.0149999999999997</v>
      </c>
      <c r="O5062" s="7">
        <v>5.0069999999999997</v>
      </c>
      <c r="P5062" s="7">
        <v>5.6269999999999998</v>
      </c>
      <c r="Q5062" s="7">
        <v>5.9820000000000002</v>
      </c>
      <c r="R5062" s="7">
        <v>6.1779999999999999</v>
      </c>
      <c r="S5062" s="7">
        <f t="shared" si="79"/>
        <v>5.1495833333333332</v>
      </c>
    </row>
    <row r="5063" spans="1:19">
      <c r="A5063" s="5" t="str">
        <f>B5063&amp;"-"&amp;COUNTIF($B$2:B5063,B5063)</f>
        <v>SÃO PAULO-352</v>
      </c>
      <c r="B5063" s="5" t="s">
        <v>3122</v>
      </c>
      <c r="C5063" s="5" t="s">
        <v>5783</v>
      </c>
      <c r="D5063" s="6">
        <v>-46629</v>
      </c>
      <c r="E5063" s="6">
        <v>-24087</v>
      </c>
      <c r="F5063" s="7">
        <v>3.9319999999999999</v>
      </c>
      <c r="G5063" s="7">
        <v>5.09</v>
      </c>
      <c r="H5063" s="7">
        <v>5.1619999999999999</v>
      </c>
      <c r="I5063" s="7">
        <v>4.2960000000000003</v>
      </c>
      <c r="J5063" s="7">
        <v>3.8839999999999999</v>
      </c>
      <c r="K5063" s="7">
        <v>3.1360000000000001</v>
      </c>
      <c r="L5063" s="7">
        <v>2.7530000000000001</v>
      </c>
      <c r="M5063" s="7">
        <v>2.7909999999999999</v>
      </c>
      <c r="N5063" s="7">
        <v>3.3780000000000001</v>
      </c>
      <c r="O5063" s="7">
        <v>3.3650000000000002</v>
      </c>
      <c r="P5063" s="7">
        <v>3.7029999999999998</v>
      </c>
      <c r="Q5063" s="7">
        <v>4.54</v>
      </c>
      <c r="R5063" s="7">
        <v>5.0869999999999997</v>
      </c>
      <c r="S5063" s="7">
        <f t="shared" si="79"/>
        <v>3.9320833333333334</v>
      </c>
    </row>
    <row r="5064" spans="1:19">
      <c r="A5064" s="5" t="str">
        <f>B5064&amp;"-"&amp;COUNTIF($B$2:B5064,B5064)</f>
        <v>SÃO PAULO-353</v>
      </c>
      <c r="B5064" s="5" t="s">
        <v>3122</v>
      </c>
      <c r="C5064" s="5" t="s">
        <v>3346</v>
      </c>
      <c r="D5064" s="6">
        <v>-466814</v>
      </c>
      <c r="E5064" s="6">
        <v>-226822</v>
      </c>
      <c r="F5064" s="7">
        <v>4.8780000000000001</v>
      </c>
      <c r="G5064" s="7">
        <v>5.3819999999999997</v>
      </c>
      <c r="H5064" s="7">
        <v>5.7160000000000002</v>
      </c>
      <c r="I5064" s="7">
        <v>5.0179999999999998</v>
      </c>
      <c r="J5064" s="7">
        <v>4.5940000000000003</v>
      </c>
      <c r="K5064" s="7">
        <v>3.8610000000000002</v>
      </c>
      <c r="L5064" s="7">
        <v>3.581</v>
      </c>
      <c r="M5064" s="7">
        <v>3.7690000000000001</v>
      </c>
      <c r="N5064" s="7">
        <v>4.7039999999999997</v>
      </c>
      <c r="O5064" s="7">
        <v>4.8890000000000002</v>
      </c>
      <c r="P5064" s="7">
        <v>5.4569999999999999</v>
      </c>
      <c r="Q5064" s="7">
        <v>5.6059999999999999</v>
      </c>
      <c r="R5064" s="7">
        <v>5.9619999999999997</v>
      </c>
      <c r="S5064" s="7">
        <f t="shared" si="79"/>
        <v>4.8782500000000004</v>
      </c>
    </row>
    <row r="5065" spans="1:19">
      <c r="A5065" s="5" t="str">
        <f>B5065&amp;"-"&amp;COUNTIF($B$2:B5065,B5065)</f>
        <v>SÃO PAULO-354</v>
      </c>
      <c r="B5065" s="5" t="s">
        <v>3122</v>
      </c>
      <c r="C5065" s="5" t="s">
        <v>3347</v>
      </c>
      <c r="D5065" s="6">
        <v>-484975</v>
      </c>
      <c r="E5065" s="6">
        <v>-21266</v>
      </c>
      <c r="F5065" s="7">
        <v>5.0999999999999996</v>
      </c>
      <c r="G5065" s="7">
        <v>5.7089999999999996</v>
      </c>
      <c r="H5065" s="7">
        <v>5.92</v>
      </c>
      <c r="I5065" s="7">
        <v>5.1360000000000001</v>
      </c>
      <c r="J5065" s="7">
        <v>4.7839999999999998</v>
      </c>
      <c r="K5065" s="7">
        <v>4.1139999999999999</v>
      </c>
      <c r="L5065" s="7">
        <v>3.85</v>
      </c>
      <c r="M5065" s="7">
        <v>4.0789999999999997</v>
      </c>
      <c r="N5065" s="7">
        <v>4.9260000000000002</v>
      </c>
      <c r="O5065" s="7">
        <v>5.0279999999999996</v>
      </c>
      <c r="P5065" s="7">
        <v>5.617</v>
      </c>
      <c r="Q5065" s="7">
        <v>5.899</v>
      </c>
      <c r="R5065" s="7">
        <v>6.133</v>
      </c>
      <c r="S5065" s="7">
        <f t="shared" si="79"/>
        <v>5.0995833333333334</v>
      </c>
    </row>
    <row r="5066" spans="1:19">
      <c r="A5066" s="5" t="str">
        <f>B5066&amp;"-"&amp;COUNTIF($B$2:B5066,B5066)</f>
        <v>SÃO PAULO-355</v>
      </c>
      <c r="B5066" s="5" t="s">
        <v>3122</v>
      </c>
      <c r="C5066" s="5" t="s">
        <v>3348</v>
      </c>
      <c r="D5066" s="6">
        <v>-497139</v>
      </c>
      <c r="E5066" s="6">
        <v>-20773</v>
      </c>
      <c r="F5066" s="7">
        <v>5.157</v>
      </c>
      <c r="G5066" s="7">
        <v>5.8040000000000003</v>
      </c>
      <c r="H5066" s="7">
        <v>5.8710000000000004</v>
      </c>
      <c r="I5066" s="7">
        <v>5.26</v>
      </c>
      <c r="J5066" s="7">
        <v>4.8890000000000002</v>
      </c>
      <c r="K5066" s="7">
        <v>4.1449999999999996</v>
      </c>
      <c r="L5066" s="7">
        <v>3.8839999999999999</v>
      </c>
      <c r="M5066" s="7">
        <v>4.1269999999999998</v>
      </c>
      <c r="N5066" s="7">
        <v>5.0629999999999997</v>
      </c>
      <c r="O5066" s="7">
        <v>5.0590000000000002</v>
      </c>
      <c r="P5066" s="7">
        <v>5.6289999999999996</v>
      </c>
      <c r="Q5066" s="7">
        <v>5.96</v>
      </c>
      <c r="R5066" s="7">
        <v>6.1920000000000002</v>
      </c>
      <c r="S5066" s="7">
        <f t="shared" si="79"/>
        <v>5.1569166666666666</v>
      </c>
    </row>
    <row r="5067" spans="1:19">
      <c r="A5067" s="5" t="str">
        <f>B5067&amp;"-"&amp;COUNTIF($B$2:B5067,B5067)</f>
        <v>SÃO PAULO-356</v>
      </c>
      <c r="B5067" s="5" t="s">
        <v>3122</v>
      </c>
      <c r="C5067" s="5" t="s">
        <v>3349</v>
      </c>
      <c r="D5067" s="6">
        <v>-486391</v>
      </c>
      <c r="E5067" s="6">
        <v>-20907</v>
      </c>
      <c r="F5067" s="7">
        <v>5.1559999999999997</v>
      </c>
      <c r="G5067" s="7">
        <v>5.8929999999999998</v>
      </c>
      <c r="H5067" s="7">
        <v>6.0119999999999996</v>
      </c>
      <c r="I5067" s="7">
        <v>5.2089999999999996</v>
      </c>
      <c r="J5067" s="7">
        <v>4.8630000000000004</v>
      </c>
      <c r="K5067" s="7">
        <v>4.1639999999999997</v>
      </c>
      <c r="L5067" s="7">
        <v>3.9169999999999998</v>
      </c>
      <c r="M5067" s="7">
        <v>4.1500000000000004</v>
      </c>
      <c r="N5067" s="7">
        <v>5.0140000000000002</v>
      </c>
      <c r="O5067" s="7">
        <v>5.0579999999999998</v>
      </c>
      <c r="P5067" s="7">
        <v>5.5640000000000001</v>
      </c>
      <c r="Q5067" s="7">
        <v>5.9169999999999998</v>
      </c>
      <c r="R5067" s="7">
        <v>6.109</v>
      </c>
      <c r="S5067" s="7">
        <f t="shared" si="79"/>
        <v>5.1558333333333337</v>
      </c>
    </row>
    <row r="5068" spans="1:19">
      <c r="A5068" s="5" t="str">
        <f>B5068&amp;"-"&amp;COUNTIF($B$2:B5068,B5068)</f>
        <v>SÃO PAULO-357</v>
      </c>
      <c r="B5068" s="5" t="s">
        <v>3122</v>
      </c>
      <c r="C5068" s="5" t="s">
        <v>3041</v>
      </c>
      <c r="D5068" s="6">
        <v>-515683</v>
      </c>
      <c r="E5068" s="6">
        <v>-212986</v>
      </c>
      <c r="F5068" s="7">
        <v>5.1319999999999997</v>
      </c>
      <c r="G5068" s="7">
        <v>5.867</v>
      </c>
      <c r="H5068" s="7">
        <v>5.9630000000000001</v>
      </c>
      <c r="I5068" s="7">
        <v>5.4189999999999996</v>
      </c>
      <c r="J5068" s="7">
        <v>4.8579999999999997</v>
      </c>
      <c r="K5068" s="7">
        <v>4.0590000000000002</v>
      </c>
      <c r="L5068" s="7">
        <v>3.7210000000000001</v>
      </c>
      <c r="M5068" s="7">
        <v>3.911</v>
      </c>
      <c r="N5068" s="7">
        <v>4.8220000000000001</v>
      </c>
      <c r="O5068" s="7">
        <v>4.9119999999999999</v>
      </c>
      <c r="P5068" s="7">
        <v>5.5789999999999997</v>
      </c>
      <c r="Q5068" s="7">
        <v>6.0810000000000004</v>
      </c>
      <c r="R5068" s="7">
        <v>6.3879999999999999</v>
      </c>
      <c r="S5068" s="7">
        <f t="shared" si="79"/>
        <v>5.1316666666666668</v>
      </c>
    </row>
    <row r="5069" spans="1:19">
      <c r="A5069" s="5" t="str">
        <f>B5069&amp;"-"&amp;COUNTIF($B$2:B5069,B5069)</f>
        <v>SÃO PAULO-358</v>
      </c>
      <c r="B5069" s="5" t="s">
        <v>3122</v>
      </c>
      <c r="C5069" s="5" t="s">
        <v>3350</v>
      </c>
      <c r="D5069" s="6">
        <v>-473126</v>
      </c>
      <c r="E5069" s="6">
        <v>-229455</v>
      </c>
      <c r="F5069" s="7">
        <v>4.93</v>
      </c>
      <c r="G5069" s="7">
        <v>5.7110000000000003</v>
      </c>
      <c r="H5069" s="7">
        <v>5.819</v>
      </c>
      <c r="I5069" s="7">
        <v>5.1420000000000003</v>
      </c>
      <c r="J5069" s="7">
        <v>4.6669999999999998</v>
      </c>
      <c r="K5069" s="7">
        <v>3.8039999999999998</v>
      </c>
      <c r="L5069" s="7">
        <v>3.524</v>
      </c>
      <c r="M5069" s="7">
        <v>3.6789999999999998</v>
      </c>
      <c r="N5069" s="7">
        <v>4.6340000000000003</v>
      </c>
      <c r="O5069" s="7">
        <v>4.8170000000000002</v>
      </c>
      <c r="P5069" s="7">
        <v>5.4619999999999997</v>
      </c>
      <c r="Q5069" s="7">
        <v>5.7489999999999997</v>
      </c>
      <c r="R5069" s="7">
        <v>6.1520000000000001</v>
      </c>
      <c r="S5069" s="7">
        <f t="shared" si="79"/>
        <v>4.9300000000000006</v>
      </c>
    </row>
    <row r="5070" spans="1:19">
      <c r="A5070" s="5" t="str">
        <f>B5070&amp;"-"&amp;COUNTIF($B$2:B5070,B5070)</f>
        <v>SÃO PAULO-359</v>
      </c>
      <c r="B5070" s="5" t="s">
        <v>3122</v>
      </c>
      <c r="C5070" s="5" t="s">
        <v>3351</v>
      </c>
      <c r="D5070" s="6">
        <v>-458411</v>
      </c>
      <c r="E5070" s="6">
        <v>-229549</v>
      </c>
      <c r="F5070" s="7">
        <v>4.4379999999999997</v>
      </c>
      <c r="G5070" s="7">
        <v>4.9950000000000001</v>
      </c>
      <c r="H5070" s="7">
        <v>5.319</v>
      </c>
      <c r="I5070" s="7">
        <v>4.5730000000000004</v>
      </c>
      <c r="J5070" s="7">
        <v>4.2210000000000001</v>
      </c>
      <c r="K5070" s="7">
        <v>3.5419999999999998</v>
      </c>
      <c r="L5070" s="7">
        <v>3.35</v>
      </c>
      <c r="M5070" s="7">
        <v>3.4319999999999999</v>
      </c>
      <c r="N5070" s="7">
        <v>4.4080000000000004</v>
      </c>
      <c r="O5070" s="7">
        <v>4.3849999999999998</v>
      </c>
      <c r="P5070" s="7">
        <v>4.7750000000000004</v>
      </c>
      <c r="Q5070" s="7">
        <v>4.891</v>
      </c>
      <c r="R5070" s="7">
        <v>5.359</v>
      </c>
      <c r="S5070" s="7">
        <f t="shared" si="79"/>
        <v>4.4374999999999991</v>
      </c>
    </row>
    <row r="5071" spans="1:19">
      <c r="A5071" s="5" t="str">
        <f>B5071&amp;"-"&amp;COUNTIF($B$2:B5071,B5071)</f>
        <v>SÃO PAULO-360</v>
      </c>
      <c r="B5071" s="5" t="s">
        <v>3122</v>
      </c>
      <c r="C5071" s="5" t="s">
        <v>3352</v>
      </c>
      <c r="D5071" s="6">
        <v>-480585</v>
      </c>
      <c r="E5071" s="6">
        <v>-207293</v>
      </c>
      <c r="F5071" s="7">
        <v>5.1449999999999996</v>
      </c>
      <c r="G5071" s="7">
        <v>5.7930000000000001</v>
      </c>
      <c r="H5071" s="7">
        <v>5.9989999999999997</v>
      </c>
      <c r="I5071" s="7">
        <v>5.165</v>
      </c>
      <c r="J5071" s="7">
        <v>4.835</v>
      </c>
      <c r="K5071" s="7">
        <v>4.2140000000000004</v>
      </c>
      <c r="L5071" s="7">
        <v>3.9660000000000002</v>
      </c>
      <c r="M5071" s="7">
        <v>4.17</v>
      </c>
      <c r="N5071" s="7">
        <v>5.0780000000000003</v>
      </c>
      <c r="O5071" s="7">
        <v>5.0599999999999996</v>
      </c>
      <c r="P5071" s="7">
        <v>5.5469999999999997</v>
      </c>
      <c r="Q5071" s="7">
        <v>5.7809999999999997</v>
      </c>
      <c r="R5071" s="7">
        <v>6.13</v>
      </c>
      <c r="S5071" s="7">
        <f t="shared" si="79"/>
        <v>5.1448333333333336</v>
      </c>
    </row>
    <row r="5072" spans="1:19">
      <c r="A5072" s="5" t="str">
        <f>B5072&amp;"-"&amp;COUNTIF($B$2:B5072,B5072)</f>
        <v>SÃO PAULO-361</v>
      </c>
      <c r="B5072" s="5" t="s">
        <v>3122</v>
      </c>
      <c r="C5072" s="5" t="s">
        <v>3353</v>
      </c>
      <c r="D5072" s="5" t="s">
        <v>3354</v>
      </c>
      <c r="E5072" s="6">
        <v>-228815</v>
      </c>
      <c r="F5072" s="7">
        <v>4.8639999999999999</v>
      </c>
      <c r="G5072" s="7">
        <v>5.4509999999999996</v>
      </c>
      <c r="H5072" s="7">
        <v>5.7830000000000004</v>
      </c>
      <c r="I5072" s="7">
        <v>5.0359999999999996</v>
      </c>
      <c r="J5072" s="7">
        <v>4.6040000000000001</v>
      </c>
      <c r="K5072" s="7">
        <v>3.7949999999999999</v>
      </c>
      <c r="L5072" s="7">
        <v>3.5</v>
      </c>
      <c r="M5072" s="7">
        <v>3.67</v>
      </c>
      <c r="N5072" s="7">
        <v>4.6539999999999999</v>
      </c>
      <c r="O5072" s="7">
        <v>4.7990000000000004</v>
      </c>
      <c r="P5072" s="7">
        <v>5.3929999999999998</v>
      </c>
      <c r="Q5072" s="7">
        <v>5.6269999999999998</v>
      </c>
      <c r="R5072" s="7">
        <v>6.0579999999999998</v>
      </c>
      <c r="S5072" s="7">
        <f t="shared" si="79"/>
        <v>4.8641666666666667</v>
      </c>
    </row>
    <row r="5073" spans="1:19">
      <c r="A5073" s="5" t="str">
        <f>B5073&amp;"-"&amp;COUNTIF($B$2:B5073,B5073)</f>
        <v>SÃO PAULO-362</v>
      </c>
      <c r="B5073" s="5" t="s">
        <v>3122</v>
      </c>
      <c r="C5073" s="5" t="s">
        <v>3355</v>
      </c>
      <c r="D5073" s="6">
        <v>-48151</v>
      </c>
      <c r="E5073" s="6">
        <v>-21508</v>
      </c>
      <c r="F5073" s="7">
        <v>5.0490000000000004</v>
      </c>
      <c r="G5073" s="7">
        <v>5.6909999999999998</v>
      </c>
      <c r="H5073" s="7">
        <v>5.9109999999999996</v>
      </c>
      <c r="I5073" s="7">
        <v>5.149</v>
      </c>
      <c r="J5073" s="7">
        <v>4.8029999999999999</v>
      </c>
      <c r="K5073" s="7">
        <v>4.069</v>
      </c>
      <c r="L5073" s="7">
        <v>3.8290000000000002</v>
      </c>
      <c r="M5073" s="7">
        <v>4.01</v>
      </c>
      <c r="N5073" s="7">
        <v>4.8330000000000002</v>
      </c>
      <c r="O5073" s="7">
        <v>4.9640000000000004</v>
      </c>
      <c r="P5073" s="7">
        <v>5.4969999999999999</v>
      </c>
      <c r="Q5073" s="7">
        <v>5.7640000000000002</v>
      </c>
      <c r="R5073" s="7">
        <v>6.07</v>
      </c>
      <c r="S5073" s="7">
        <f t="shared" si="79"/>
        <v>5.0491666666666672</v>
      </c>
    </row>
    <row r="5074" spans="1:19">
      <c r="A5074" s="5" t="str">
        <f>B5074&amp;"-"&amp;COUNTIF($B$2:B5074,B5074)</f>
        <v>SÃO PAULO-363</v>
      </c>
      <c r="B5074" s="5" t="s">
        <v>3122</v>
      </c>
      <c r="C5074" s="5" t="s">
        <v>3356</v>
      </c>
      <c r="D5074" s="6">
        <v>-512778</v>
      </c>
      <c r="E5074" s="6">
        <v>-209913</v>
      </c>
      <c r="F5074" s="7">
        <v>5.16</v>
      </c>
      <c r="G5074" s="7">
        <v>5.883</v>
      </c>
      <c r="H5074" s="7">
        <v>5.9269999999999996</v>
      </c>
      <c r="I5074" s="7">
        <v>5.4279999999999999</v>
      </c>
      <c r="J5074" s="7">
        <v>4.923</v>
      </c>
      <c r="K5074" s="7">
        <v>4.0990000000000002</v>
      </c>
      <c r="L5074" s="7">
        <v>3.8</v>
      </c>
      <c r="M5074" s="7">
        <v>3.9660000000000002</v>
      </c>
      <c r="N5074" s="7">
        <v>4.9210000000000003</v>
      </c>
      <c r="O5074" s="7">
        <v>4.9770000000000003</v>
      </c>
      <c r="P5074" s="7">
        <v>5.64</v>
      </c>
      <c r="Q5074" s="7">
        <v>6.0640000000000001</v>
      </c>
      <c r="R5074" s="7">
        <v>6.2880000000000003</v>
      </c>
      <c r="S5074" s="7">
        <f t="shared" si="79"/>
        <v>5.1596666666666673</v>
      </c>
    </row>
    <row r="5075" spans="1:19">
      <c r="A5075" s="5" t="str">
        <f>B5075&amp;"-"&amp;COUNTIF($B$2:B5075,B5075)</f>
        <v>SÃO PAULO-364</v>
      </c>
      <c r="B5075" s="5" t="s">
        <v>3122</v>
      </c>
      <c r="C5075" s="5" t="s">
        <v>3357</v>
      </c>
      <c r="D5075" s="6">
        <v>-512375</v>
      </c>
      <c r="E5075" s="6">
        <v>-226195</v>
      </c>
      <c r="F5075" s="7">
        <v>4.9909999999999997</v>
      </c>
      <c r="G5075" s="7">
        <v>5.86</v>
      </c>
      <c r="H5075" s="7">
        <v>5.8319999999999999</v>
      </c>
      <c r="I5075" s="7">
        <v>5.3559999999999999</v>
      </c>
      <c r="J5075" s="7">
        <v>4.7240000000000002</v>
      </c>
      <c r="K5075" s="7">
        <v>3.7909999999999999</v>
      </c>
      <c r="L5075" s="7">
        <v>3.423</v>
      </c>
      <c r="M5075" s="7">
        <v>3.6949999999999998</v>
      </c>
      <c r="N5075" s="7">
        <v>4.6310000000000002</v>
      </c>
      <c r="O5075" s="7">
        <v>4.734</v>
      </c>
      <c r="P5075" s="7">
        <v>5.4459999999999997</v>
      </c>
      <c r="Q5075" s="7">
        <v>6.0529999999999999</v>
      </c>
      <c r="R5075" s="7">
        <v>6.351</v>
      </c>
      <c r="S5075" s="7">
        <f t="shared" si="79"/>
        <v>4.9913333333333334</v>
      </c>
    </row>
    <row r="5076" spans="1:19">
      <c r="A5076" s="5" t="str">
        <f>B5076&amp;"-"&amp;COUNTIF($B$2:B5076,B5076)</f>
        <v>SÃO PAULO-365</v>
      </c>
      <c r="B5076" s="5" t="s">
        <v>3122</v>
      </c>
      <c r="C5076" s="5" t="s">
        <v>3358</v>
      </c>
      <c r="D5076" s="6">
        <v>-515239</v>
      </c>
      <c r="E5076" s="6">
        <v>-224069</v>
      </c>
      <c r="F5076" s="7">
        <v>5.0629999999999997</v>
      </c>
      <c r="G5076" s="7">
        <v>5.9580000000000002</v>
      </c>
      <c r="H5076" s="7">
        <v>5.9390000000000001</v>
      </c>
      <c r="I5076" s="7">
        <v>5.4279999999999999</v>
      </c>
      <c r="J5076" s="7">
        <v>4.7649999999999997</v>
      </c>
      <c r="K5076" s="7">
        <v>3.8319999999999999</v>
      </c>
      <c r="L5076" s="7">
        <v>3.488</v>
      </c>
      <c r="M5076" s="7">
        <v>3.7410000000000001</v>
      </c>
      <c r="N5076" s="7">
        <v>4.673</v>
      </c>
      <c r="O5076" s="7">
        <v>4.8170000000000002</v>
      </c>
      <c r="P5076" s="7">
        <v>5.5229999999999997</v>
      </c>
      <c r="Q5076" s="7">
        <v>6.0970000000000004</v>
      </c>
      <c r="R5076" s="7">
        <v>6.49</v>
      </c>
      <c r="S5076" s="7">
        <f t="shared" si="79"/>
        <v>5.0625833333333334</v>
      </c>
    </row>
    <row r="5077" spans="1:19">
      <c r="A5077" s="5" t="str">
        <f>B5077&amp;"-"&amp;COUNTIF($B$2:B5077,B5077)</f>
        <v>SÃO PAULO-366</v>
      </c>
      <c r="B5077" s="5" t="s">
        <v>3122</v>
      </c>
      <c r="C5077" s="5" t="s">
        <v>3359</v>
      </c>
      <c r="D5077" s="6">
        <v>-454472</v>
      </c>
      <c r="E5077" s="6">
        <v>-233711</v>
      </c>
      <c r="F5077" s="7">
        <v>4.6050000000000004</v>
      </c>
      <c r="G5077" s="7">
        <v>5.6639999999999997</v>
      </c>
      <c r="H5077" s="7">
        <v>5.8120000000000003</v>
      </c>
      <c r="I5077" s="7">
        <v>4.8520000000000003</v>
      </c>
      <c r="J5077" s="7">
        <v>4.343</v>
      </c>
      <c r="K5077" s="7">
        <v>3.524</v>
      </c>
      <c r="L5077" s="7">
        <v>3.26</v>
      </c>
      <c r="M5077" s="7">
        <v>3.3610000000000002</v>
      </c>
      <c r="N5077" s="7">
        <v>4.2610000000000001</v>
      </c>
      <c r="O5077" s="7">
        <v>4.3120000000000003</v>
      </c>
      <c r="P5077" s="7">
        <v>4.915</v>
      </c>
      <c r="Q5077" s="7">
        <v>5.1379999999999999</v>
      </c>
      <c r="R5077" s="7">
        <v>5.819</v>
      </c>
      <c r="S5077" s="7">
        <f t="shared" si="79"/>
        <v>4.605083333333333</v>
      </c>
    </row>
    <row r="5078" spans="1:19">
      <c r="A5078" s="5" t="str">
        <f>B5078&amp;"-"&amp;COUNTIF($B$2:B5078,B5078)</f>
        <v>SÃO PAULO-367</v>
      </c>
      <c r="B5078" s="5" t="s">
        <v>3122</v>
      </c>
      <c r="C5078" s="5" t="s">
        <v>4516</v>
      </c>
      <c r="D5078" s="6">
        <v>-463987</v>
      </c>
      <c r="E5078" s="6">
        <v>-231752</v>
      </c>
      <c r="F5078" s="7">
        <v>4.6260000000000003</v>
      </c>
      <c r="G5078" s="7">
        <v>5.3869999999999996</v>
      </c>
      <c r="H5078" s="7">
        <v>5.7030000000000003</v>
      </c>
      <c r="I5078" s="7">
        <v>4.8470000000000004</v>
      </c>
      <c r="J5078" s="7">
        <v>4.3280000000000003</v>
      </c>
      <c r="K5078" s="7">
        <v>3.5529999999999999</v>
      </c>
      <c r="L5078" s="7">
        <v>3.3050000000000002</v>
      </c>
      <c r="M5078" s="7">
        <v>3.3959999999999999</v>
      </c>
      <c r="N5078" s="7">
        <v>4.4059999999999997</v>
      </c>
      <c r="O5078" s="7">
        <v>4.4409999999999998</v>
      </c>
      <c r="P5078" s="7">
        <v>5.0049999999999999</v>
      </c>
      <c r="Q5078" s="7">
        <v>5.2649999999999997</v>
      </c>
      <c r="R5078" s="7">
        <v>5.8760000000000003</v>
      </c>
      <c r="S5078" s="7">
        <f t="shared" si="79"/>
        <v>4.6260000000000003</v>
      </c>
    </row>
    <row r="5079" spans="1:19">
      <c r="A5079" s="5" t="str">
        <f>B5079&amp;"-"&amp;COUNTIF($B$2:B5079,B5079)</f>
        <v>SÃO PAULO-368</v>
      </c>
      <c r="B5079" s="5" t="s">
        <v>3122</v>
      </c>
      <c r="C5079" s="5" t="s">
        <v>3360</v>
      </c>
      <c r="D5079" s="6">
        <v>-496299</v>
      </c>
      <c r="E5079" s="6">
        <v>-20846</v>
      </c>
      <c r="F5079" s="7">
        <v>5.1529999999999996</v>
      </c>
      <c r="G5079" s="7">
        <v>5.8230000000000004</v>
      </c>
      <c r="H5079" s="7">
        <v>5.8739999999999997</v>
      </c>
      <c r="I5079" s="7">
        <v>5.2370000000000001</v>
      </c>
      <c r="J5079" s="7">
        <v>4.875</v>
      </c>
      <c r="K5079" s="7">
        <v>4.1529999999999996</v>
      </c>
      <c r="L5079" s="7">
        <v>3.875</v>
      </c>
      <c r="M5079" s="7">
        <v>4.1230000000000002</v>
      </c>
      <c r="N5079" s="7">
        <v>5.0369999999999999</v>
      </c>
      <c r="O5079" s="7">
        <v>5.0579999999999998</v>
      </c>
      <c r="P5079" s="7">
        <v>5.6269999999999998</v>
      </c>
      <c r="Q5079" s="7">
        <v>5.9720000000000004</v>
      </c>
      <c r="R5079" s="7">
        <v>6.1779999999999999</v>
      </c>
      <c r="S5079" s="7">
        <f t="shared" si="79"/>
        <v>5.1526666666666658</v>
      </c>
    </row>
    <row r="5080" spans="1:19">
      <c r="A5080" s="5" t="str">
        <f>B5080&amp;"-"&amp;COUNTIF($B$2:B5080,B5080)</f>
        <v>SÃO PAULO-369</v>
      </c>
      <c r="B5080" s="5" t="s">
        <v>3122</v>
      </c>
      <c r="C5080" s="5" t="s">
        <v>3361</v>
      </c>
      <c r="D5080" s="6">
        <v>-50044</v>
      </c>
      <c r="E5080" s="6">
        <v>-20695</v>
      </c>
      <c r="F5080" s="7">
        <v>5.1420000000000003</v>
      </c>
      <c r="G5080" s="7">
        <v>5.8410000000000002</v>
      </c>
      <c r="H5080" s="7">
        <v>5.8860000000000001</v>
      </c>
      <c r="I5080" s="7">
        <v>5.2480000000000002</v>
      </c>
      <c r="J5080" s="7">
        <v>4.883</v>
      </c>
      <c r="K5080" s="7">
        <v>4.1280000000000001</v>
      </c>
      <c r="L5080" s="7">
        <v>3.879</v>
      </c>
      <c r="M5080" s="7">
        <v>4.1219999999999999</v>
      </c>
      <c r="N5080" s="7">
        <v>4.9800000000000004</v>
      </c>
      <c r="O5080" s="7">
        <v>5</v>
      </c>
      <c r="P5080" s="7">
        <v>5.6219999999999999</v>
      </c>
      <c r="Q5080" s="7">
        <v>5.9349999999999996</v>
      </c>
      <c r="R5080" s="7">
        <v>6.1760000000000002</v>
      </c>
      <c r="S5080" s="7">
        <f t="shared" si="79"/>
        <v>5.1416666666666666</v>
      </c>
    </row>
    <row r="5081" spans="1:19">
      <c r="A5081" s="5" t="str">
        <f>B5081&amp;"-"&amp;COUNTIF($B$2:B5081,B5081)</f>
        <v>SÃO PAULO-370</v>
      </c>
      <c r="B5081" s="5" t="s">
        <v>3122</v>
      </c>
      <c r="C5081" s="5" t="s">
        <v>5415</v>
      </c>
      <c r="D5081" s="6">
        <v>-497779</v>
      </c>
      <c r="E5081" s="6">
        <v>-20913</v>
      </c>
      <c r="F5081" s="7">
        <v>5.1470000000000002</v>
      </c>
      <c r="G5081" s="7">
        <v>5.84</v>
      </c>
      <c r="H5081" s="7">
        <v>5.9009999999999998</v>
      </c>
      <c r="I5081" s="7">
        <v>5.2750000000000004</v>
      </c>
      <c r="J5081" s="7">
        <v>4.87</v>
      </c>
      <c r="K5081" s="7">
        <v>4.1029999999999998</v>
      </c>
      <c r="L5081" s="7">
        <v>3.855</v>
      </c>
      <c r="M5081" s="7">
        <v>4.101</v>
      </c>
      <c r="N5081" s="7">
        <v>5.0129999999999999</v>
      </c>
      <c r="O5081" s="7">
        <v>5.0650000000000004</v>
      </c>
      <c r="P5081" s="7">
        <v>5.6070000000000002</v>
      </c>
      <c r="Q5081" s="7">
        <v>5.9539999999999997</v>
      </c>
      <c r="R5081" s="7">
        <v>6.1790000000000003</v>
      </c>
      <c r="S5081" s="7">
        <f t="shared" si="79"/>
        <v>5.1469166666666668</v>
      </c>
    </row>
    <row r="5082" spans="1:19">
      <c r="A5082" s="5" t="str">
        <f>B5082&amp;"-"&amp;COUNTIF($B$2:B5082,B5082)</f>
        <v>SÃO PAULO-371</v>
      </c>
      <c r="B5082" s="5" t="s">
        <v>3122</v>
      </c>
      <c r="C5082" s="5" t="s">
        <v>4792</v>
      </c>
      <c r="D5082" s="6">
        <v>-494991</v>
      </c>
      <c r="E5082" s="6">
        <v>-210161</v>
      </c>
      <c r="F5082" s="7">
        <v>5.1269999999999998</v>
      </c>
      <c r="G5082" s="7">
        <v>5.7619999999999996</v>
      </c>
      <c r="H5082" s="7">
        <v>5.9089999999999998</v>
      </c>
      <c r="I5082" s="7">
        <v>5.2270000000000003</v>
      </c>
      <c r="J5082" s="7">
        <v>4.8449999999999998</v>
      </c>
      <c r="K5082" s="7">
        <v>4.0830000000000002</v>
      </c>
      <c r="L5082" s="7">
        <v>3.8460000000000001</v>
      </c>
      <c r="M5082" s="7">
        <v>4.1040000000000001</v>
      </c>
      <c r="N5082" s="7">
        <v>4.9809999999999999</v>
      </c>
      <c r="O5082" s="7">
        <v>5.0659999999999998</v>
      </c>
      <c r="P5082" s="7">
        <v>5.5979999999999999</v>
      </c>
      <c r="Q5082" s="7">
        <v>5.9279999999999999</v>
      </c>
      <c r="R5082" s="7">
        <v>6.1790000000000003</v>
      </c>
      <c r="S5082" s="7">
        <f t="shared" si="79"/>
        <v>5.1273333333333335</v>
      </c>
    </row>
    <row r="5083" spans="1:19">
      <c r="A5083" s="5" t="str">
        <f>B5083&amp;"-"&amp;COUNTIF($B$2:B5083,B5083)</f>
        <v>SÃO PAULO-372</v>
      </c>
      <c r="B5083" s="5" t="s">
        <v>3122</v>
      </c>
      <c r="C5083" s="5" t="s">
        <v>3362</v>
      </c>
      <c r="D5083" s="6">
        <v>-489026</v>
      </c>
      <c r="E5083" s="6">
        <v>-241228</v>
      </c>
      <c r="F5083" s="7">
        <v>4.6150000000000002</v>
      </c>
      <c r="G5083" s="7">
        <v>5.548</v>
      </c>
      <c r="H5083" s="7">
        <v>5.6029999999999998</v>
      </c>
      <c r="I5083" s="7">
        <v>4.9279999999999999</v>
      </c>
      <c r="J5083" s="7">
        <v>4.2679999999999998</v>
      </c>
      <c r="K5083" s="7">
        <v>3.427</v>
      </c>
      <c r="L5083" s="7">
        <v>3.089</v>
      </c>
      <c r="M5083" s="7">
        <v>3.2749999999999999</v>
      </c>
      <c r="N5083" s="7">
        <v>4.2649999999999997</v>
      </c>
      <c r="O5083" s="7">
        <v>4.4139999999999997</v>
      </c>
      <c r="P5083" s="7">
        <v>4.9210000000000003</v>
      </c>
      <c r="Q5083" s="7">
        <v>5.5940000000000003</v>
      </c>
      <c r="R5083" s="7">
        <v>6.0449999999999999</v>
      </c>
      <c r="S5083" s="7">
        <f t="shared" si="79"/>
        <v>4.6147499999999999</v>
      </c>
    </row>
    <row r="5084" spans="1:19">
      <c r="A5084" s="5" t="str">
        <f>B5084&amp;"-"&amp;COUNTIF($B$2:B5084,B5084)</f>
        <v>SÃO PAULO-373</v>
      </c>
      <c r="B5084" s="5" t="s">
        <v>3122</v>
      </c>
      <c r="C5084" s="5" t="s">
        <v>5416</v>
      </c>
      <c r="D5084" s="6">
        <v>-509489</v>
      </c>
      <c r="E5084" s="6">
        <v>-20386</v>
      </c>
      <c r="F5084" s="7">
        <v>5.218</v>
      </c>
      <c r="G5084" s="7">
        <v>5.875</v>
      </c>
      <c r="H5084" s="7">
        <v>6.0430000000000001</v>
      </c>
      <c r="I5084" s="7">
        <v>5.4240000000000004</v>
      </c>
      <c r="J5084" s="7">
        <v>4.9580000000000002</v>
      </c>
      <c r="K5084" s="7">
        <v>4.2069999999999999</v>
      </c>
      <c r="L5084" s="7">
        <v>3.839</v>
      </c>
      <c r="M5084" s="7">
        <v>4.0999999999999996</v>
      </c>
      <c r="N5084" s="7">
        <v>5.0410000000000004</v>
      </c>
      <c r="O5084" s="7">
        <v>5.0140000000000002</v>
      </c>
      <c r="P5084" s="7">
        <v>5.6859999999999999</v>
      </c>
      <c r="Q5084" s="7">
        <v>6.04</v>
      </c>
      <c r="R5084" s="7">
        <v>6.383</v>
      </c>
      <c r="S5084" s="7">
        <f t="shared" si="79"/>
        <v>5.2175000000000002</v>
      </c>
    </row>
    <row r="5085" spans="1:19">
      <c r="A5085" s="5" t="str">
        <f>B5085&amp;"-"&amp;COUNTIF($B$2:B5085,B5085)</f>
        <v>SÃO PAULO-374</v>
      </c>
      <c r="B5085" s="5" t="s">
        <v>3122</v>
      </c>
      <c r="C5085" s="5" t="s">
        <v>3363</v>
      </c>
      <c r="D5085" s="6">
        <v>-503429</v>
      </c>
      <c r="E5085" s="6">
        <v>-20763</v>
      </c>
      <c r="F5085" s="7">
        <v>5.165</v>
      </c>
      <c r="G5085" s="7">
        <v>5.8849999999999998</v>
      </c>
      <c r="H5085" s="7">
        <v>5.9459999999999997</v>
      </c>
      <c r="I5085" s="7">
        <v>5.3339999999999996</v>
      </c>
      <c r="J5085" s="7">
        <v>4.8970000000000002</v>
      </c>
      <c r="K5085" s="7">
        <v>4.1180000000000003</v>
      </c>
      <c r="L5085" s="7">
        <v>3.843</v>
      </c>
      <c r="M5085" s="7">
        <v>4.0720000000000001</v>
      </c>
      <c r="N5085" s="7">
        <v>4.9909999999999997</v>
      </c>
      <c r="O5085" s="7">
        <v>4.9969999999999999</v>
      </c>
      <c r="P5085" s="7">
        <v>5.633</v>
      </c>
      <c r="Q5085" s="7">
        <v>5.9950000000000001</v>
      </c>
      <c r="R5085" s="7">
        <v>6.2690000000000001</v>
      </c>
      <c r="S5085" s="7">
        <f t="shared" si="79"/>
        <v>5.165</v>
      </c>
    </row>
    <row r="5086" spans="1:19">
      <c r="A5086" s="5" t="str">
        <f>B5086&amp;"-"&amp;COUNTIF($B$2:B5086,B5086)</f>
        <v>SÃO PAULO-375</v>
      </c>
      <c r="B5086" s="5" t="s">
        <v>3122</v>
      </c>
      <c r="C5086" s="5" t="s">
        <v>3364</v>
      </c>
      <c r="D5086" s="6">
        <v>-48561</v>
      </c>
      <c r="E5086" s="6">
        <v>-21778</v>
      </c>
      <c r="F5086" s="7">
        <v>5.032</v>
      </c>
      <c r="G5086" s="7">
        <v>5.7279999999999998</v>
      </c>
      <c r="H5086" s="7">
        <v>5.8869999999999996</v>
      </c>
      <c r="I5086" s="7">
        <v>5.1470000000000002</v>
      </c>
      <c r="J5086" s="7">
        <v>4.7370000000000001</v>
      </c>
      <c r="K5086" s="7">
        <v>3.956</v>
      </c>
      <c r="L5086" s="7">
        <v>3.7160000000000002</v>
      </c>
      <c r="M5086" s="7">
        <v>3.9119999999999999</v>
      </c>
      <c r="N5086" s="7">
        <v>4.8150000000000004</v>
      </c>
      <c r="O5086" s="7">
        <v>4.9279999999999999</v>
      </c>
      <c r="P5086" s="7">
        <v>5.5650000000000004</v>
      </c>
      <c r="Q5086" s="7">
        <v>5.8339999999999996</v>
      </c>
      <c r="R5086" s="7">
        <v>6.157</v>
      </c>
      <c r="S5086" s="7">
        <f t="shared" si="79"/>
        <v>5.0318333333333323</v>
      </c>
    </row>
    <row r="5087" spans="1:19">
      <c r="A5087" s="5" t="str">
        <f>B5087&amp;"-"&amp;COUNTIF($B$2:B5087,B5087)</f>
        <v>SÃO PAULO-376</v>
      </c>
      <c r="B5087" s="5" t="s">
        <v>3122</v>
      </c>
      <c r="C5087" s="5" t="s">
        <v>3365</v>
      </c>
      <c r="D5087" s="6">
        <v>-493127</v>
      </c>
      <c r="E5087" s="6">
        <v>-205325</v>
      </c>
      <c r="F5087" s="7">
        <v>5.1589999999999998</v>
      </c>
      <c r="G5087" s="7">
        <v>5.7610000000000001</v>
      </c>
      <c r="H5087" s="7">
        <v>5.8819999999999997</v>
      </c>
      <c r="I5087" s="7">
        <v>5.19</v>
      </c>
      <c r="J5087" s="7">
        <v>4.9400000000000004</v>
      </c>
      <c r="K5087" s="7">
        <v>4.202</v>
      </c>
      <c r="L5087" s="7">
        <v>3.9319999999999999</v>
      </c>
      <c r="M5087" s="7">
        <v>4.1909999999999998</v>
      </c>
      <c r="N5087" s="7">
        <v>5.0890000000000004</v>
      </c>
      <c r="O5087" s="7">
        <v>5.0919999999999996</v>
      </c>
      <c r="P5087" s="7">
        <v>5.6050000000000004</v>
      </c>
      <c r="Q5087" s="7">
        <v>5.9180000000000001</v>
      </c>
      <c r="R5087" s="7">
        <v>6.109</v>
      </c>
      <c r="S5087" s="7">
        <f t="shared" si="79"/>
        <v>5.1592500000000001</v>
      </c>
    </row>
    <row r="5088" spans="1:19">
      <c r="A5088" s="5" t="str">
        <f>B5088&amp;"-"&amp;COUNTIF($B$2:B5088,B5088)</f>
        <v>SÃO PAULO-377</v>
      </c>
      <c r="B5088" s="5" t="s">
        <v>3122</v>
      </c>
      <c r="C5088" s="5" t="s">
        <v>3366</v>
      </c>
      <c r="D5088" s="6">
        <v>-516439</v>
      </c>
      <c r="E5088" s="6">
        <v>-21334</v>
      </c>
      <c r="F5088" s="7">
        <v>5.1440000000000001</v>
      </c>
      <c r="G5088" s="7">
        <v>5.968</v>
      </c>
      <c r="H5088" s="7">
        <v>5.9729999999999999</v>
      </c>
      <c r="I5088" s="7">
        <v>5.4859999999999998</v>
      </c>
      <c r="J5088" s="7">
        <v>4.843</v>
      </c>
      <c r="K5088" s="7">
        <v>4.0469999999999997</v>
      </c>
      <c r="L5088" s="7">
        <v>3.7149999999999999</v>
      </c>
      <c r="M5088" s="7">
        <v>3.9020000000000001</v>
      </c>
      <c r="N5088" s="7">
        <v>4.8460000000000001</v>
      </c>
      <c r="O5088" s="7">
        <v>4.9039999999999999</v>
      </c>
      <c r="P5088" s="7">
        <v>5.5860000000000003</v>
      </c>
      <c r="Q5088" s="7">
        <v>6.0880000000000001</v>
      </c>
      <c r="R5088" s="7">
        <v>6.3710000000000004</v>
      </c>
      <c r="S5088" s="7">
        <f t="shared" si="79"/>
        <v>5.1440833333333336</v>
      </c>
    </row>
    <row r="5089" spans="1:19">
      <c r="A5089" s="5" t="str">
        <f>B5089&amp;"-"&amp;COUNTIF($B$2:B5089,B5089)</f>
        <v>SÃO PAULO-378</v>
      </c>
      <c r="B5089" s="5" t="s">
        <v>3122</v>
      </c>
      <c r="C5089" s="5" t="s">
        <v>5338</v>
      </c>
      <c r="D5089" s="6">
        <v>-51491</v>
      </c>
      <c r="E5089" s="6">
        <v>-211031</v>
      </c>
      <c r="F5089" s="7">
        <v>5.1429999999999998</v>
      </c>
      <c r="G5089" s="7">
        <v>5.8719999999999999</v>
      </c>
      <c r="H5089" s="7">
        <v>5.9379999999999997</v>
      </c>
      <c r="I5089" s="7">
        <v>5.423</v>
      </c>
      <c r="J5089" s="7">
        <v>4.8760000000000003</v>
      </c>
      <c r="K5089" s="7">
        <v>4.0869999999999997</v>
      </c>
      <c r="L5089" s="7">
        <v>3.76</v>
      </c>
      <c r="M5089" s="7">
        <v>3.9609999999999999</v>
      </c>
      <c r="N5089" s="7">
        <v>4.8899999999999997</v>
      </c>
      <c r="O5089" s="7">
        <v>4.92</v>
      </c>
      <c r="P5089" s="7">
        <v>5.6070000000000002</v>
      </c>
      <c r="Q5089" s="7">
        <v>6.02</v>
      </c>
      <c r="R5089" s="7">
        <v>6.3579999999999997</v>
      </c>
      <c r="S5089" s="7">
        <f t="shared" si="79"/>
        <v>5.1426666666666661</v>
      </c>
    </row>
    <row r="5090" spans="1:19">
      <c r="A5090" s="5" t="str">
        <f>B5090&amp;"-"&amp;COUNTIF($B$2:B5090,B5090)</f>
        <v>SÃO PAULO-379</v>
      </c>
      <c r="B5090" s="5" t="s">
        <v>3122</v>
      </c>
      <c r="C5090" s="5" t="s">
        <v>5032</v>
      </c>
      <c r="D5090" s="6">
        <v>-502621</v>
      </c>
      <c r="E5090" s="6">
        <v>-208564</v>
      </c>
      <c r="F5090" s="7">
        <v>5.1470000000000002</v>
      </c>
      <c r="G5090" s="7">
        <v>5.8520000000000003</v>
      </c>
      <c r="H5090" s="7">
        <v>5.9169999999999998</v>
      </c>
      <c r="I5090" s="7">
        <v>5.3140000000000001</v>
      </c>
      <c r="J5090" s="7">
        <v>4.9290000000000003</v>
      </c>
      <c r="K5090" s="7">
        <v>4.09</v>
      </c>
      <c r="L5090" s="7">
        <v>3.7919999999999998</v>
      </c>
      <c r="M5090" s="7">
        <v>4.0410000000000004</v>
      </c>
      <c r="N5090" s="7">
        <v>4.9459999999999997</v>
      </c>
      <c r="O5090" s="7">
        <v>4.9530000000000003</v>
      </c>
      <c r="P5090" s="7">
        <v>5.641</v>
      </c>
      <c r="Q5090" s="7">
        <v>6.0129999999999999</v>
      </c>
      <c r="R5090" s="7">
        <v>6.274</v>
      </c>
      <c r="S5090" s="7">
        <f t="shared" si="79"/>
        <v>5.1468333333333334</v>
      </c>
    </row>
    <row r="5091" spans="1:19">
      <c r="A5091" s="5" t="str">
        <f>B5091&amp;"-"&amp;COUNTIF($B$2:B5091,B5091)</f>
        <v>SÃO PAULO-380</v>
      </c>
      <c r="B5091" s="5" t="s">
        <v>3122</v>
      </c>
      <c r="C5091" s="5" t="s">
        <v>3367</v>
      </c>
      <c r="D5091" s="6">
        <v>-472945</v>
      </c>
      <c r="E5091" s="6">
        <v>-227837</v>
      </c>
      <c r="F5091" s="7">
        <v>4.9290000000000003</v>
      </c>
      <c r="G5091" s="7">
        <v>5.641</v>
      </c>
      <c r="H5091" s="7">
        <v>5.7809999999999997</v>
      </c>
      <c r="I5091" s="7">
        <v>5.157</v>
      </c>
      <c r="J5091" s="7">
        <v>4.6379999999999999</v>
      </c>
      <c r="K5091" s="7">
        <v>3.7930000000000001</v>
      </c>
      <c r="L5091" s="7">
        <v>3.5569999999999999</v>
      </c>
      <c r="M5091" s="7">
        <v>3.7029999999999998</v>
      </c>
      <c r="N5091" s="7">
        <v>4.6609999999999996</v>
      </c>
      <c r="O5091" s="7">
        <v>4.8440000000000003</v>
      </c>
      <c r="P5091" s="7">
        <v>5.4749999999999996</v>
      </c>
      <c r="Q5091" s="7">
        <v>5.734</v>
      </c>
      <c r="R5091" s="7">
        <v>6.165</v>
      </c>
      <c r="S5091" s="7">
        <f t="shared" si="79"/>
        <v>4.9290833333333337</v>
      </c>
    </row>
    <row r="5092" spans="1:19">
      <c r="A5092" s="5" t="str">
        <f>B5092&amp;"-"&amp;COUNTIF($B$2:B5092,B5092)</f>
        <v>SÃO PAULO-381</v>
      </c>
      <c r="B5092" s="5" t="s">
        <v>3122</v>
      </c>
      <c r="C5092" s="5" t="s">
        <v>3368</v>
      </c>
      <c r="D5092" s="6">
        <v>-489189</v>
      </c>
      <c r="E5092" s="6">
        <v>-20992</v>
      </c>
      <c r="F5092" s="7">
        <v>5.1310000000000002</v>
      </c>
      <c r="G5092" s="7">
        <v>5.8339999999999996</v>
      </c>
      <c r="H5092" s="7">
        <v>5.8789999999999996</v>
      </c>
      <c r="I5092" s="7">
        <v>5.1970000000000001</v>
      </c>
      <c r="J5092" s="7">
        <v>4.8010000000000002</v>
      </c>
      <c r="K5092" s="7">
        <v>4.1029999999999998</v>
      </c>
      <c r="L5092" s="7">
        <v>3.8959999999999999</v>
      </c>
      <c r="M5092" s="7">
        <v>4.1239999999999997</v>
      </c>
      <c r="N5092" s="7">
        <v>5.0140000000000002</v>
      </c>
      <c r="O5092" s="7">
        <v>5.0979999999999999</v>
      </c>
      <c r="P5092" s="7">
        <v>5.5869999999999997</v>
      </c>
      <c r="Q5092" s="7">
        <v>5.9119999999999999</v>
      </c>
      <c r="R5092" s="7">
        <v>6.1210000000000004</v>
      </c>
      <c r="S5092" s="7">
        <f t="shared" si="79"/>
        <v>5.1305000000000005</v>
      </c>
    </row>
    <row r="5093" spans="1:19">
      <c r="A5093" s="5" t="str">
        <f>B5093&amp;"-"&amp;COUNTIF($B$2:B5093,B5093)</f>
        <v>SÃO PAULO-382</v>
      </c>
      <c r="B5093" s="5" t="s">
        <v>3122</v>
      </c>
      <c r="C5093" s="5" t="s">
        <v>481</v>
      </c>
      <c r="D5093" s="6">
        <v>-492238</v>
      </c>
      <c r="E5093" s="6">
        <v>-214656</v>
      </c>
      <c r="F5093" s="7">
        <v>5.1070000000000002</v>
      </c>
      <c r="G5093" s="7">
        <v>5.8890000000000002</v>
      </c>
      <c r="H5093" s="7">
        <v>5.9610000000000003</v>
      </c>
      <c r="I5093" s="7">
        <v>5.298</v>
      </c>
      <c r="J5093" s="7">
        <v>4.8019999999999996</v>
      </c>
      <c r="K5093" s="7">
        <v>4.008</v>
      </c>
      <c r="L5093" s="7">
        <v>3.7349999999999999</v>
      </c>
      <c r="M5093" s="7">
        <v>3.9889999999999999</v>
      </c>
      <c r="N5093" s="7">
        <v>4.8739999999999997</v>
      </c>
      <c r="O5093" s="7">
        <v>4.9649999999999999</v>
      </c>
      <c r="P5093" s="7">
        <v>5.6219999999999999</v>
      </c>
      <c r="Q5093" s="7">
        <v>5.9340000000000002</v>
      </c>
      <c r="R5093" s="7">
        <v>6.2009999999999996</v>
      </c>
      <c r="S5093" s="7">
        <f t="shared" si="79"/>
        <v>5.1064999999999996</v>
      </c>
    </row>
    <row r="5094" spans="1:19">
      <c r="A5094" s="5" t="str">
        <f>B5094&amp;"-"&amp;COUNTIF($B$2:B5094,B5094)</f>
        <v>SÃO PAULO-383</v>
      </c>
      <c r="B5094" s="5" t="s">
        <v>3122</v>
      </c>
      <c r="C5094" s="5" t="s">
        <v>3369</v>
      </c>
      <c r="D5094" s="6">
        <v>-477433</v>
      </c>
      <c r="E5094" s="6">
        <v>-207301</v>
      </c>
      <c r="F5094" s="7">
        <v>5.1180000000000003</v>
      </c>
      <c r="G5094" s="7">
        <v>5.6779999999999999</v>
      </c>
      <c r="H5094" s="7">
        <v>5.931</v>
      </c>
      <c r="I5094" s="7">
        <v>5.056</v>
      </c>
      <c r="J5094" s="7">
        <v>4.9089999999999998</v>
      </c>
      <c r="K5094" s="7">
        <v>4.2279999999999998</v>
      </c>
      <c r="L5094" s="7">
        <v>4.0129999999999999</v>
      </c>
      <c r="M5094" s="7">
        <v>4.1859999999999999</v>
      </c>
      <c r="N5094" s="7">
        <v>5.1120000000000001</v>
      </c>
      <c r="O5094" s="7">
        <v>5.0730000000000004</v>
      </c>
      <c r="P5094" s="7">
        <v>5.5449999999999999</v>
      </c>
      <c r="Q5094" s="7">
        <v>5.7169999999999996</v>
      </c>
      <c r="R5094" s="7">
        <v>5.9669999999999996</v>
      </c>
      <c r="S5094" s="7">
        <f t="shared" si="79"/>
        <v>5.1179166666666669</v>
      </c>
    </row>
    <row r="5095" spans="1:19">
      <c r="A5095" s="5" t="str">
        <f>B5095&amp;"-"&amp;COUNTIF($B$2:B5095,B5095)</f>
        <v>SÃO PAULO-384</v>
      </c>
      <c r="B5095" s="5" t="s">
        <v>3122</v>
      </c>
      <c r="C5095" s="5" t="s">
        <v>4793</v>
      </c>
      <c r="D5095" s="6">
        <v>-499224</v>
      </c>
      <c r="E5095" s="6">
        <v>-224384</v>
      </c>
      <c r="F5095" s="7">
        <v>4.9960000000000004</v>
      </c>
      <c r="G5095" s="7">
        <v>5.6639999999999997</v>
      </c>
      <c r="H5095" s="7">
        <v>5.8449999999999998</v>
      </c>
      <c r="I5095" s="7">
        <v>5.2969999999999997</v>
      </c>
      <c r="J5095" s="7">
        <v>4.7539999999999996</v>
      </c>
      <c r="K5095" s="7">
        <v>3.8460000000000001</v>
      </c>
      <c r="L5095" s="7">
        <v>3.5409999999999999</v>
      </c>
      <c r="M5095" s="7">
        <v>3.7650000000000001</v>
      </c>
      <c r="N5095" s="7">
        <v>4.7519999999999998</v>
      </c>
      <c r="O5095" s="7">
        <v>4.827</v>
      </c>
      <c r="P5095" s="7">
        <v>5.492</v>
      </c>
      <c r="Q5095" s="7">
        <v>5.92</v>
      </c>
      <c r="R5095" s="7">
        <v>6.2510000000000003</v>
      </c>
      <c r="S5095" s="7">
        <f t="shared" si="79"/>
        <v>4.9961666666666664</v>
      </c>
    </row>
    <row r="5096" spans="1:19">
      <c r="A5096" s="5" t="str">
        <f>B5096&amp;"-"&amp;COUNTIF($B$2:B5096,B5096)</f>
        <v>SÃO PAULO-385</v>
      </c>
      <c r="B5096" s="5" t="s">
        <v>3122</v>
      </c>
      <c r="C5096" s="5" t="s">
        <v>3370</v>
      </c>
      <c r="D5096" s="6">
        <v>-48911</v>
      </c>
      <c r="E5096" s="6">
        <v>-207371</v>
      </c>
      <c r="F5096" s="7">
        <v>5.1609999999999996</v>
      </c>
      <c r="G5096" s="7">
        <v>5.7859999999999996</v>
      </c>
      <c r="H5096" s="7">
        <v>5.9889999999999999</v>
      </c>
      <c r="I5096" s="7">
        <v>5.2270000000000003</v>
      </c>
      <c r="J5096" s="7">
        <v>4.8540000000000001</v>
      </c>
      <c r="K5096" s="7">
        <v>4.2140000000000004</v>
      </c>
      <c r="L5096" s="7">
        <v>3.9470000000000001</v>
      </c>
      <c r="M5096" s="7">
        <v>4.1630000000000003</v>
      </c>
      <c r="N5096" s="7">
        <v>5.0869999999999997</v>
      </c>
      <c r="O5096" s="7">
        <v>5.0650000000000004</v>
      </c>
      <c r="P5096" s="7">
        <v>5.5880000000000001</v>
      </c>
      <c r="Q5096" s="7">
        <v>5.8869999999999996</v>
      </c>
      <c r="R5096" s="7">
        <v>6.1239999999999997</v>
      </c>
      <c r="S5096" s="7">
        <f t="shared" si="79"/>
        <v>5.1609166666666662</v>
      </c>
    </row>
    <row r="5097" spans="1:19">
      <c r="A5097" s="5" t="str">
        <f>B5097&amp;"-"&amp;COUNTIF($B$2:B5097,B5097)</f>
        <v>SÃO PAULO-386</v>
      </c>
      <c r="B5097" s="5" t="s">
        <v>3122</v>
      </c>
      <c r="C5097" s="5" t="s">
        <v>3371</v>
      </c>
      <c r="D5097" s="6">
        <v>-492953</v>
      </c>
      <c r="E5097" s="6">
        <v>-206072</v>
      </c>
      <c r="F5097" s="7">
        <v>5.15</v>
      </c>
      <c r="G5097" s="7">
        <v>5.77</v>
      </c>
      <c r="H5097" s="7">
        <v>5.9139999999999997</v>
      </c>
      <c r="I5097" s="7">
        <v>5.2160000000000002</v>
      </c>
      <c r="J5097" s="7">
        <v>4.9210000000000003</v>
      </c>
      <c r="K5097" s="7">
        <v>4.1609999999999996</v>
      </c>
      <c r="L5097" s="7">
        <v>3.94</v>
      </c>
      <c r="M5097" s="7">
        <v>4.1719999999999997</v>
      </c>
      <c r="N5097" s="7">
        <v>5.0430000000000001</v>
      </c>
      <c r="O5097" s="7">
        <v>5.0819999999999999</v>
      </c>
      <c r="P5097" s="7">
        <v>5.5860000000000003</v>
      </c>
      <c r="Q5097" s="7">
        <v>5.9080000000000004</v>
      </c>
      <c r="R5097" s="7">
        <v>6.0949999999999998</v>
      </c>
      <c r="S5097" s="7">
        <f t="shared" si="79"/>
        <v>5.1506666666666669</v>
      </c>
    </row>
    <row r="5098" spans="1:19">
      <c r="A5098" s="5" t="str">
        <f>B5098&amp;"-"&amp;COUNTIF($B$2:B5098,B5098)</f>
        <v>SÃO PAULO-387</v>
      </c>
      <c r="B5098" s="5" t="s">
        <v>3122</v>
      </c>
      <c r="C5098" s="5" t="s">
        <v>3372</v>
      </c>
      <c r="D5098" s="6">
        <v>-500909</v>
      </c>
      <c r="E5098" s="6">
        <v>-22153</v>
      </c>
      <c r="F5098" s="7">
        <v>5.0179999999999998</v>
      </c>
      <c r="G5098" s="7">
        <v>5.742</v>
      </c>
      <c r="H5098" s="7">
        <v>5.8929999999999998</v>
      </c>
      <c r="I5098" s="7">
        <v>5.2910000000000004</v>
      </c>
      <c r="J5098" s="7">
        <v>4.7839999999999998</v>
      </c>
      <c r="K5098" s="7">
        <v>3.8620000000000001</v>
      </c>
      <c r="L5098" s="7">
        <v>3.5659999999999998</v>
      </c>
      <c r="M5098" s="7">
        <v>3.8</v>
      </c>
      <c r="N5098" s="7">
        <v>4.7910000000000004</v>
      </c>
      <c r="O5098" s="7">
        <v>4.8179999999999996</v>
      </c>
      <c r="P5098" s="7">
        <v>5.5149999999999997</v>
      </c>
      <c r="Q5098" s="7">
        <v>5.9610000000000003</v>
      </c>
      <c r="R5098" s="7">
        <v>6.1890000000000001</v>
      </c>
      <c r="S5098" s="7">
        <f t="shared" si="79"/>
        <v>5.0176666666666661</v>
      </c>
    </row>
    <row r="5099" spans="1:19">
      <c r="A5099" s="5" t="str">
        <f>B5099&amp;"-"&amp;COUNTIF($B$2:B5099,B5099)</f>
        <v>SÃO PAULO-388</v>
      </c>
      <c r="B5099" s="5" t="s">
        <v>3122</v>
      </c>
      <c r="C5099" s="5" t="s">
        <v>4892</v>
      </c>
      <c r="D5099" s="6">
        <v>-493509</v>
      </c>
      <c r="E5099" s="6">
        <v>-20182</v>
      </c>
      <c r="F5099" s="7">
        <v>5.1760000000000002</v>
      </c>
      <c r="G5099" s="7">
        <v>5.7430000000000003</v>
      </c>
      <c r="H5099" s="7">
        <v>5.9210000000000003</v>
      </c>
      <c r="I5099" s="7">
        <v>5.2080000000000002</v>
      </c>
      <c r="J5099" s="7">
        <v>4.99</v>
      </c>
      <c r="K5099" s="7">
        <v>4.2270000000000003</v>
      </c>
      <c r="L5099" s="7">
        <v>3.9710000000000001</v>
      </c>
      <c r="M5099" s="7">
        <v>4.2469999999999999</v>
      </c>
      <c r="N5099" s="7">
        <v>5.1269999999999998</v>
      </c>
      <c r="O5099" s="7">
        <v>5.085</v>
      </c>
      <c r="P5099" s="7">
        <v>5.5629999999999997</v>
      </c>
      <c r="Q5099" s="7">
        <v>5.8369999999999997</v>
      </c>
      <c r="R5099" s="7">
        <v>6.1950000000000003</v>
      </c>
      <c r="S5099" s="7">
        <f t="shared" si="79"/>
        <v>5.1761666666666679</v>
      </c>
    </row>
    <row r="5100" spans="1:19">
      <c r="A5100" s="5" t="str">
        <f>B5100&amp;"-"&amp;COUNTIF($B$2:B5100,B5100)</f>
        <v>SÃO PAULO-389</v>
      </c>
      <c r="B5100" s="5" t="s">
        <v>3122</v>
      </c>
      <c r="C5100" s="5" t="s">
        <v>5033</v>
      </c>
      <c r="D5100" s="6">
        <v>-478856</v>
      </c>
      <c r="E5100" s="6">
        <v>-207174</v>
      </c>
      <c r="F5100" s="7">
        <v>5.1100000000000003</v>
      </c>
      <c r="G5100" s="7">
        <v>5.6639999999999997</v>
      </c>
      <c r="H5100" s="7">
        <v>5.9130000000000003</v>
      </c>
      <c r="I5100" s="7">
        <v>5.1059999999999999</v>
      </c>
      <c r="J5100" s="7">
        <v>4.8179999999999996</v>
      </c>
      <c r="K5100" s="7">
        <v>4.2279999999999998</v>
      </c>
      <c r="L5100" s="7">
        <v>3.9630000000000001</v>
      </c>
      <c r="M5100" s="7">
        <v>4.202</v>
      </c>
      <c r="N5100" s="7">
        <v>5.1340000000000003</v>
      </c>
      <c r="O5100" s="7">
        <v>5.0439999999999996</v>
      </c>
      <c r="P5100" s="7">
        <v>5.5419999999999998</v>
      </c>
      <c r="Q5100" s="7">
        <v>5.7359999999999998</v>
      </c>
      <c r="R5100" s="7">
        <v>5.9640000000000004</v>
      </c>
      <c r="S5100" s="7">
        <f t="shared" si="79"/>
        <v>5.1094999999999997</v>
      </c>
    </row>
    <row r="5101" spans="1:19">
      <c r="A5101" s="5" t="str">
        <f>B5101&amp;"-"&amp;COUNTIF($B$2:B5101,B5101)</f>
        <v>SÃO PAULO-390</v>
      </c>
      <c r="B5101" s="5" t="s">
        <v>3122</v>
      </c>
      <c r="C5101" s="5" t="s">
        <v>3373</v>
      </c>
      <c r="D5101" s="6">
        <v>-46792</v>
      </c>
      <c r="E5101" s="6">
        <v>-235329</v>
      </c>
      <c r="F5101" s="7">
        <v>4.492</v>
      </c>
      <c r="G5101" s="7">
        <v>5.2469999999999999</v>
      </c>
      <c r="H5101" s="7">
        <v>5.5289999999999999</v>
      </c>
      <c r="I5101" s="7">
        <v>4.7270000000000003</v>
      </c>
      <c r="J5101" s="7">
        <v>4.2050000000000001</v>
      </c>
      <c r="K5101" s="7">
        <v>3.4580000000000002</v>
      </c>
      <c r="L5101" s="7">
        <v>3.194</v>
      </c>
      <c r="M5101" s="7">
        <v>3.2879999999999998</v>
      </c>
      <c r="N5101" s="7">
        <v>4.2549999999999999</v>
      </c>
      <c r="O5101" s="7">
        <v>4.2610000000000001</v>
      </c>
      <c r="P5101" s="7">
        <v>4.7729999999999997</v>
      </c>
      <c r="Q5101" s="7">
        <v>5.194</v>
      </c>
      <c r="R5101" s="7">
        <v>5.7670000000000003</v>
      </c>
      <c r="S5101" s="7">
        <f t="shared" si="79"/>
        <v>4.4915000000000003</v>
      </c>
    </row>
    <row r="5102" spans="1:19">
      <c r="A5102" s="5" t="str">
        <f>B5102&amp;"-"&amp;COUNTIF($B$2:B5102,B5102)</f>
        <v>SÃO PAULO-391</v>
      </c>
      <c r="B5102" s="5" t="s">
        <v>3122</v>
      </c>
      <c r="C5102" s="5" t="s">
        <v>3374</v>
      </c>
      <c r="D5102" s="6">
        <v>-502815</v>
      </c>
      <c r="E5102" s="6">
        <v>-223153</v>
      </c>
      <c r="F5102" s="7">
        <v>5.0270000000000001</v>
      </c>
      <c r="G5102" s="7">
        <v>5.7789999999999999</v>
      </c>
      <c r="H5102" s="7">
        <v>5.8630000000000004</v>
      </c>
      <c r="I5102" s="7">
        <v>5.327</v>
      </c>
      <c r="J5102" s="7">
        <v>4.782</v>
      </c>
      <c r="K5102" s="7">
        <v>3.8559999999999999</v>
      </c>
      <c r="L5102" s="7">
        <v>3.5659999999999998</v>
      </c>
      <c r="M5102" s="7">
        <v>3.7839999999999998</v>
      </c>
      <c r="N5102" s="7">
        <v>4.7489999999999997</v>
      </c>
      <c r="O5102" s="7">
        <v>4.8079999999999998</v>
      </c>
      <c r="P5102" s="7">
        <v>5.5110000000000001</v>
      </c>
      <c r="Q5102" s="7">
        <v>5.99</v>
      </c>
      <c r="R5102" s="7">
        <v>6.3079999999999998</v>
      </c>
      <c r="S5102" s="7">
        <f t="shared" si="79"/>
        <v>5.0269166666666676</v>
      </c>
    </row>
    <row r="5103" spans="1:19">
      <c r="A5103" s="5" t="str">
        <f>B5103&amp;"-"&amp;COUNTIF($B$2:B5103,B5103)</f>
        <v>SÃO PAULO-392</v>
      </c>
      <c r="B5103" s="5" t="s">
        <v>3122</v>
      </c>
      <c r="C5103" s="5" t="s">
        <v>3375</v>
      </c>
      <c r="D5103" s="6">
        <v>-508797</v>
      </c>
      <c r="E5103" s="6">
        <v>-217972</v>
      </c>
      <c r="F5103" s="7">
        <v>5.0940000000000003</v>
      </c>
      <c r="G5103" s="7">
        <v>5.9130000000000003</v>
      </c>
      <c r="H5103" s="7">
        <v>5.9109999999999996</v>
      </c>
      <c r="I5103" s="7">
        <v>5.3869999999999996</v>
      </c>
      <c r="J5103" s="7">
        <v>4.7889999999999997</v>
      </c>
      <c r="K5103" s="7">
        <v>3.9910000000000001</v>
      </c>
      <c r="L5103" s="7">
        <v>3.6720000000000002</v>
      </c>
      <c r="M5103" s="7">
        <v>3.8679999999999999</v>
      </c>
      <c r="N5103" s="7">
        <v>4.843</v>
      </c>
      <c r="O5103" s="7">
        <v>4.851</v>
      </c>
      <c r="P5103" s="7">
        <v>5.5410000000000004</v>
      </c>
      <c r="Q5103" s="7">
        <v>6.0419999999999998</v>
      </c>
      <c r="R5103" s="7">
        <v>6.319</v>
      </c>
      <c r="S5103" s="7">
        <f t="shared" si="79"/>
        <v>5.093916666666666</v>
      </c>
    </row>
    <row r="5104" spans="1:19">
      <c r="A5104" s="5" t="str">
        <f>B5104&amp;"-"&amp;COUNTIF($B$2:B5104,B5104)</f>
        <v>SÃO PAULO-393</v>
      </c>
      <c r="B5104" s="5" t="s">
        <v>3122</v>
      </c>
      <c r="C5104" s="5" t="s">
        <v>3376</v>
      </c>
      <c r="D5104" s="6">
        <v>-498701</v>
      </c>
      <c r="E5104" s="6">
        <v>-229802</v>
      </c>
      <c r="F5104" s="7">
        <v>4.9240000000000004</v>
      </c>
      <c r="G5104" s="7">
        <v>5.6740000000000004</v>
      </c>
      <c r="H5104" s="7">
        <v>5.8</v>
      </c>
      <c r="I5104" s="7">
        <v>5.2030000000000003</v>
      </c>
      <c r="J5104" s="7">
        <v>4.6630000000000003</v>
      </c>
      <c r="K5104" s="7">
        <v>3.7120000000000002</v>
      </c>
      <c r="L5104" s="7">
        <v>3.423</v>
      </c>
      <c r="M5104" s="7">
        <v>3.6190000000000002</v>
      </c>
      <c r="N5104" s="7">
        <v>4.617</v>
      </c>
      <c r="O5104" s="7">
        <v>4.7160000000000002</v>
      </c>
      <c r="P5104" s="7">
        <v>5.3979999999999997</v>
      </c>
      <c r="Q5104" s="7">
        <v>5.9130000000000003</v>
      </c>
      <c r="R5104" s="7">
        <v>6.3490000000000002</v>
      </c>
      <c r="S5104" s="7">
        <f t="shared" si="79"/>
        <v>4.9239166666666669</v>
      </c>
    </row>
    <row r="5105" spans="1:19">
      <c r="A5105" s="5" t="str">
        <f>B5105&amp;"-"&amp;COUNTIF($B$2:B5105,B5105)</f>
        <v>SÃO PAULO-394</v>
      </c>
      <c r="B5105" s="5" t="s">
        <v>3122</v>
      </c>
      <c r="C5105" s="5" t="s">
        <v>3050</v>
      </c>
      <c r="D5105" s="6">
        <v>-517028</v>
      </c>
      <c r="E5105" s="6">
        <v>-214876</v>
      </c>
      <c r="F5105" s="7">
        <v>5.1180000000000003</v>
      </c>
      <c r="G5105" s="7">
        <v>5.915</v>
      </c>
      <c r="H5105" s="7">
        <v>5.992</v>
      </c>
      <c r="I5105" s="7">
        <v>5.4249999999999998</v>
      </c>
      <c r="J5105" s="7">
        <v>4.8470000000000004</v>
      </c>
      <c r="K5105" s="7">
        <v>4.0250000000000004</v>
      </c>
      <c r="L5105" s="7">
        <v>3.6819999999999999</v>
      </c>
      <c r="M5105" s="7">
        <v>3.8769999999999998</v>
      </c>
      <c r="N5105" s="7">
        <v>4.78</v>
      </c>
      <c r="O5105" s="7">
        <v>4.8959999999999999</v>
      </c>
      <c r="P5105" s="7">
        <v>5.5919999999999996</v>
      </c>
      <c r="Q5105" s="7">
        <v>6.0270000000000001</v>
      </c>
      <c r="R5105" s="7">
        <v>6.3639999999999999</v>
      </c>
      <c r="S5105" s="7">
        <f t="shared" si="79"/>
        <v>5.1185</v>
      </c>
    </row>
    <row r="5106" spans="1:19">
      <c r="A5106" s="5" t="str">
        <f>B5106&amp;"-"&amp;COUNTIF($B$2:B5106,B5106)</f>
        <v>SÃO PAULO-395</v>
      </c>
      <c r="B5106" s="5" t="s">
        <v>3122</v>
      </c>
      <c r="C5106" s="5" t="s">
        <v>3377</v>
      </c>
      <c r="D5106" s="6">
        <v>-503745</v>
      </c>
      <c r="E5106" s="6">
        <v>-199975</v>
      </c>
      <c r="F5106" s="7">
        <v>5.1980000000000004</v>
      </c>
      <c r="G5106" s="7">
        <v>5.7720000000000002</v>
      </c>
      <c r="H5106" s="7">
        <v>5.9720000000000004</v>
      </c>
      <c r="I5106" s="7">
        <v>5.3179999999999996</v>
      </c>
      <c r="J5106" s="7">
        <v>4.944</v>
      </c>
      <c r="K5106" s="7">
        <v>4.2640000000000002</v>
      </c>
      <c r="L5106" s="7">
        <v>3.9590000000000001</v>
      </c>
      <c r="M5106" s="7">
        <v>4.1989999999999998</v>
      </c>
      <c r="N5106" s="7">
        <v>5.0750000000000002</v>
      </c>
      <c r="O5106" s="7">
        <v>5.1159999999999997</v>
      </c>
      <c r="P5106" s="7">
        <v>5.6840000000000002</v>
      </c>
      <c r="Q5106" s="7">
        <v>5.9039999999999999</v>
      </c>
      <c r="R5106" s="7">
        <v>6.165</v>
      </c>
      <c r="S5106" s="7">
        <f t="shared" si="79"/>
        <v>5.1976666666666658</v>
      </c>
    </row>
    <row r="5107" spans="1:19">
      <c r="A5107" s="5" t="str">
        <f>B5107&amp;"-"&amp;COUNTIF($B$2:B5107,B5107)</f>
        <v>SÃO PAULO-396</v>
      </c>
      <c r="B5107" s="5" t="s">
        <v>3122</v>
      </c>
      <c r="C5107" s="5" t="s">
        <v>3378</v>
      </c>
      <c r="D5107" s="6">
        <v>-512658</v>
      </c>
      <c r="E5107" s="6">
        <v>-215631</v>
      </c>
      <c r="F5107" s="7">
        <v>5.1210000000000004</v>
      </c>
      <c r="G5107" s="7">
        <v>5.9219999999999997</v>
      </c>
      <c r="H5107" s="7">
        <v>5.9560000000000004</v>
      </c>
      <c r="I5107" s="7">
        <v>5.444</v>
      </c>
      <c r="J5107" s="7">
        <v>4.8760000000000003</v>
      </c>
      <c r="K5107" s="7">
        <v>4.016</v>
      </c>
      <c r="L5107" s="7">
        <v>3.7130000000000001</v>
      </c>
      <c r="M5107" s="7">
        <v>3.88</v>
      </c>
      <c r="N5107" s="7">
        <v>4.8079999999999998</v>
      </c>
      <c r="O5107" s="7">
        <v>4.8780000000000001</v>
      </c>
      <c r="P5107" s="7">
        <v>5.5570000000000004</v>
      </c>
      <c r="Q5107" s="7">
        <v>6.0789999999999997</v>
      </c>
      <c r="R5107" s="7">
        <v>6.3259999999999996</v>
      </c>
      <c r="S5107" s="7">
        <f t="shared" si="79"/>
        <v>5.1212500000000007</v>
      </c>
    </row>
    <row r="5108" spans="1:19">
      <c r="A5108" s="5" t="str">
        <f>B5108&amp;"-"&amp;COUNTIF($B$2:B5108,B5108)</f>
        <v>SÃO PAULO-397</v>
      </c>
      <c r="B5108" s="5" t="s">
        <v>3122</v>
      </c>
      <c r="C5108" s="5" t="s">
        <v>165</v>
      </c>
      <c r="D5108" s="6">
        <v>-494313</v>
      </c>
      <c r="E5108" s="6">
        <v>-203905</v>
      </c>
      <c r="F5108" s="7">
        <v>5.16</v>
      </c>
      <c r="G5108" s="7">
        <v>5.7249999999999996</v>
      </c>
      <c r="H5108" s="7">
        <v>5.8449999999999998</v>
      </c>
      <c r="I5108" s="7">
        <v>5.2140000000000004</v>
      </c>
      <c r="J5108" s="7">
        <v>4.9989999999999997</v>
      </c>
      <c r="K5108" s="7">
        <v>4.2089999999999996</v>
      </c>
      <c r="L5108" s="7">
        <v>3.9340000000000002</v>
      </c>
      <c r="M5108" s="7">
        <v>4.2039999999999997</v>
      </c>
      <c r="N5108" s="7">
        <v>5.1159999999999997</v>
      </c>
      <c r="O5108" s="7">
        <v>5.0839999999999996</v>
      </c>
      <c r="P5108" s="7">
        <v>5.59</v>
      </c>
      <c r="Q5108" s="7">
        <v>5.8760000000000003</v>
      </c>
      <c r="R5108" s="7">
        <v>6.1230000000000002</v>
      </c>
      <c r="S5108" s="7">
        <f t="shared" si="79"/>
        <v>5.1599166666666667</v>
      </c>
    </row>
    <row r="5109" spans="1:19">
      <c r="A5109" s="5" t="str">
        <f>B5109&amp;"-"&amp;COUNTIF($B$2:B5109,B5109)</f>
        <v>SÃO PAULO-398</v>
      </c>
      <c r="B5109" s="5" t="s">
        <v>3122</v>
      </c>
      <c r="C5109" s="5" t="s">
        <v>3379</v>
      </c>
      <c r="D5109" s="6">
        <v>-488041</v>
      </c>
      <c r="E5109" s="6">
        <v>-210858</v>
      </c>
      <c r="F5109" s="7">
        <v>5.1280000000000001</v>
      </c>
      <c r="G5109" s="7">
        <v>5.8319999999999999</v>
      </c>
      <c r="H5109" s="7">
        <v>5.9089999999999998</v>
      </c>
      <c r="I5109" s="7">
        <v>5.1909999999999998</v>
      </c>
      <c r="J5109" s="7">
        <v>4.8099999999999996</v>
      </c>
      <c r="K5109" s="7">
        <v>4.1020000000000003</v>
      </c>
      <c r="L5109" s="7">
        <v>3.8780000000000001</v>
      </c>
      <c r="M5109" s="7">
        <v>4.0919999999999996</v>
      </c>
      <c r="N5109" s="7">
        <v>5.0060000000000002</v>
      </c>
      <c r="O5109" s="7">
        <v>5.093</v>
      </c>
      <c r="P5109" s="7">
        <v>5.6159999999999997</v>
      </c>
      <c r="Q5109" s="7">
        <v>5.8719999999999999</v>
      </c>
      <c r="R5109" s="7">
        <v>6.1369999999999996</v>
      </c>
      <c r="S5109" s="7">
        <f t="shared" si="79"/>
        <v>5.1281666666666661</v>
      </c>
    </row>
    <row r="5110" spans="1:19">
      <c r="A5110" s="5" t="str">
        <f>B5110&amp;"-"&amp;COUNTIF($B$2:B5110,B5110)</f>
        <v>SÃO PAULO-399</v>
      </c>
      <c r="B5110" s="5" t="s">
        <v>3122</v>
      </c>
      <c r="C5110" s="5" t="s">
        <v>3380</v>
      </c>
      <c r="D5110" s="6">
        <v>-507636</v>
      </c>
      <c r="E5110" s="6">
        <v>-204152</v>
      </c>
      <c r="F5110" s="7">
        <v>5.2039999999999997</v>
      </c>
      <c r="G5110" s="7">
        <v>5.85</v>
      </c>
      <c r="H5110" s="7">
        <v>5.9710000000000001</v>
      </c>
      <c r="I5110" s="7">
        <v>5.3550000000000004</v>
      </c>
      <c r="J5110" s="7">
        <v>4.8470000000000004</v>
      </c>
      <c r="K5110" s="7">
        <v>4.1929999999999996</v>
      </c>
      <c r="L5110" s="7">
        <v>3.9169999999999998</v>
      </c>
      <c r="M5110" s="7">
        <v>4.1280000000000001</v>
      </c>
      <c r="N5110" s="7">
        <v>5.07</v>
      </c>
      <c r="O5110" s="7">
        <v>5.0990000000000002</v>
      </c>
      <c r="P5110" s="7">
        <v>5.7009999999999996</v>
      </c>
      <c r="Q5110" s="7">
        <v>5.9930000000000003</v>
      </c>
      <c r="R5110" s="7">
        <v>6.327</v>
      </c>
      <c r="S5110" s="7">
        <f t="shared" si="79"/>
        <v>5.2042500000000009</v>
      </c>
    </row>
    <row r="5111" spans="1:19">
      <c r="A5111" s="5" t="str">
        <f>B5111&amp;"-"&amp;COUNTIF($B$2:B5111,B5111)</f>
        <v>SÃO PAULO-400</v>
      </c>
      <c r="B5111" s="5" t="s">
        <v>3122</v>
      </c>
      <c r="C5111" s="5" t="s">
        <v>2066</v>
      </c>
      <c r="D5111" s="6">
        <v>-502184</v>
      </c>
      <c r="E5111" s="6">
        <v>-227863</v>
      </c>
      <c r="F5111" s="7">
        <v>4.9340000000000002</v>
      </c>
      <c r="G5111" s="7">
        <v>5.7439999999999998</v>
      </c>
      <c r="H5111" s="7">
        <v>5.8</v>
      </c>
      <c r="I5111" s="7">
        <v>5.1580000000000004</v>
      </c>
      <c r="J5111" s="7">
        <v>4.665</v>
      </c>
      <c r="K5111" s="7">
        <v>3.7589999999999999</v>
      </c>
      <c r="L5111" s="7">
        <v>3.4689999999999999</v>
      </c>
      <c r="M5111" s="7">
        <v>3.6749999999999998</v>
      </c>
      <c r="N5111" s="7">
        <v>4.5940000000000003</v>
      </c>
      <c r="O5111" s="7">
        <v>4.7629999999999999</v>
      </c>
      <c r="P5111" s="7">
        <v>5.3710000000000004</v>
      </c>
      <c r="Q5111" s="7">
        <v>5.9050000000000002</v>
      </c>
      <c r="R5111" s="7">
        <v>6.3129999999999997</v>
      </c>
      <c r="S5111" s="7">
        <f t="shared" si="79"/>
        <v>4.9346666666666676</v>
      </c>
    </row>
    <row r="5112" spans="1:19">
      <c r="A5112" s="5" t="str">
        <f>B5112&amp;"-"&amp;COUNTIF($B$2:B5112,B5112)</f>
        <v>SÃO PAULO-401</v>
      </c>
      <c r="B5112" s="5" t="s">
        <v>3122</v>
      </c>
      <c r="C5112" s="5" t="s">
        <v>3381</v>
      </c>
      <c r="D5112" s="6">
        <v>-518566</v>
      </c>
      <c r="E5112" s="6">
        <v>-213544</v>
      </c>
      <c r="F5112" s="7">
        <v>5.117</v>
      </c>
      <c r="G5112" s="7">
        <v>5.9470000000000001</v>
      </c>
      <c r="H5112" s="7">
        <v>6.0970000000000004</v>
      </c>
      <c r="I5112" s="7">
        <v>5.49</v>
      </c>
      <c r="J5112" s="7">
        <v>4.8369999999999997</v>
      </c>
      <c r="K5112" s="7">
        <v>4.0030000000000001</v>
      </c>
      <c r="L5112" s="7">
        <v>3.6320000000000001</v>
      </c>
      <c r="M5112" s="7">
        <v>3.8420000000000001</v>
      </c>
      <c r="N5112" s="7">
        <v>4.6980000000000004</v>
      </c>
      <c r="O5112" s="7">
        <v>4.8330000000000002</v>
      </c>
      <c r="P5112" s="7">
        <v>5.58</v>
      </c>
      <c r="Q5112" s="7">
        <v>6.0730000000000004</v>
      </c>
      <c r="R5112" s="7">
        <v>6.3710000000000004</v>
      </c>
      <c r="S5112" s="7">
        <f t="shared" si="79"/>
        <v>5.1169166666666666</v>
      </c>
    </row>
    <row r="5113" spans="1:19">
      <c r="A5113" s="5" t="str">
        <f>B5113&amp;"-"&amp;COUNTIF($B$2:B5113,B5113)</f>
        <v>SÃO PAULO-402</v>
      </c>
      <c r="B5113" s="5" t="s">
        <v>3122</v>
      </c>
      <c r="C5113" s="5" t="s">
        <v>3056</v>
      </c>
      <c r="D5113" s="6">
        <v>-487765</v>
      </c>
      <c r="E5113" s="6">
        <v>-210164</v>
      </c>
      <c r="F5113" s="7">
        <v>5.1319999999999997</v>
      </c>
      <c r="G5113" s="7">
        <v>5.7910000000000004</v>
      </c>
      <c r="H5113" s="7">
        <v>5.9370000000000003</v>
      </c>
      <c r="I5113" s="7">
        <v>5.2030000000000003</v>
      </c>
      <c r="J5113" s="7">
        <v>4.7809999999999997</v>
      </c>
      <c r="K5113" s="7">
        <v>4.1159999999999997</v>
      </c>
      <c r="L5113" s="7">
        <v>3.9049999999999998</v>
      </c>
      <c r="M5113" s="7">
        <v>4.1550000000000002</v>
      </c>
      <c r="N5113" s="7">
        <v>5.0199999999999996</v>
      </c>
      <c r="O5113" s="7">
        <v>5.077</v>
      </c>
      <c r="P5113" s="7">
        <v>5.5919999999999996</v>
      </c>
      <c r="Q5113" s="7">
        <v>5.8689999999999998</v>
      </c>
      <c r="R5113" s="7">
        <v>6.1360000000000001</v>
      </c>
      <c r="S5113" s="7">
        <f t="shared" si="79"/>
        <v>5.1318333333333337</v>
      </c>
    </row>
    <row r="5114" spans="1:19">
      <c r="A5114" s="5" t="str">
        <f>B5114&amp;"-"&amp;COUNTIF($B$2:B5114,B5114)</f>
        <v>SÃO PAULO-403</v>
      </c>
      <c r="B5114" s="5" t="s">
        <v>3122</v>
      </c>
      <c r="C5114" s="5" t="s">
        <v>4794</v>
      </c>
      <c r="D5114" s="6">
        <v>-505759</v>
      </c>
      <c r="E5114" s="6">
        <v>-22413</v>
      </c>
      <c r="F5114" s="7">
        <v>5.0049999999999999</v>
      </c>
      <c r="G5114" s="7">
        <v>5.77</v>
      </c>
      <c r="H5114" s="7">
        <v>5.8140000000000001</v>
      </c>
      <c r="I5114" s="7">
        <v>5.2990000000000004</v>
      </c>
      <c r="J5114" s="7">
        <v>4.72</v>
      </c>
      <c r="K5114" s="7">
        <v>3.8530000000000002</v>
      </c>
      <c r="L5114" s="7">
        <v>3.5739999999999998</v>
      </c>
      <c r="M5114" s="7">
        <v>3.762</v>
      </c>
      <c r="N5114" s="7">
        <v>4.7290000000000001</v>
      </c>
      <c r="O5114" s="7">
        <v>4.827</v>
      </c>
      <c r="P5114" s="7">
        <v>5.4690000000000003</v>
      </c>
      <c r="Q5114" s="7">
        <v>5.9660000000000002</v>
      </c>
      <c r="R5114" s="7">
        <v>6.2850000000000001</v>
      </c>
      <c r="S5114" s="7">
        <f t="shared" si="79"/>
        <v>5.0056666666666665</v>
      </c>
    </row>
    <row r="5115" spans="1:19">
      <c r="A5115" s="5" t="str">
        <f>B5115&amp;"-"&amp;COUNTIF($B$2:B5115,B5115)</f>
        <v>SÃO PAULO-404</v>
      </c>
      <c r="B5115" s="5" t="s">
        <v>3122</v>
      </c>
      <c r="C5115" s="5" t="s">
        <v>3382</v>
      </c>
      <c r="D5115" s="6">
        <v>-456643</v>
      </c>
      <c r="E5115" s="6">
        <v>-233877</v>
      </c>
      <c r="F5115" s="7">
        <v>4.66</v>
      </c>
      <c r="G5115" s="7">
        <v>5.6749999999999998</v>
      </c>
      <c r="H5115" s="7">
        <v>5.8819999999999997</v>
      </c>
      <c r="I5115" s="7">
        <v>4.9029999999999996</v>
      </c>
      <c r="J5115" s="7">
        <v>4.3879999999999999</v>
      </c>
      <c r="K5115" s="7">
        <v>3.4990000000000001</v>
      </c>
      <c r="L5115" s="7">
        <v>3.2530000000000001</v>
      </c>
      <c r="M5115" s="7">
        <v>3.3410000000000002</v>
      </c>
      <c r="N5115" s="7">
        <v>4.2789999999999999</v>
      </c>
      <c r="O5115" s="7">
        <v>4.3600000000000003</v>
      </c>
      <c r="P5115" s="7">
        <v>5.0430000000000001</v>
      </c>
      <c r="Q5115" s="7">
        <v>5.3479999999999999</v>
      </c>
      <c r="R5115" s="7">
        <v>5.9459999999999997</v>
      </c>
      <c r="S5115" s="7">
        <f t="shared" si="79"/>
        <v>4.6597499999999998</v>
      </c>
    </row>
    <row r="5116" spans="1:19">
      <c r="A5116" s="5" t="str">
        <f>B5116&amp;"-"&amp;COUNTIF($B$2:B5116,B5116)</f>
        <v>SÃO PAULO-405</v>
      </c>
      <c r="B5116" s="5" t="s">
        <v>3122</v>
      </c>
      <c r="C5116" s="5" t="s">
        <v>3383</v>
      </c>
      <c r="D5116" s="6">
        <v>-487218</v>
      </c>
      <c r="E5116" s="6">
        <v>-233867</v>
      </c>
      <c r="F5116" s="7">
        <v>4.7809999999999997</v>
      </c>
      <c r="G5116" s="7">
        <v>5.5970000000000004</v>
      </c>
      <c r="H5116" s="7">
        <v>5.7859999999999996</v>
      </c>
      <c r="I5116" s="7">
        <v>5.1120000000000001</v>
      </c>
      <c r="J5116" s="7">
        <v>4.4619999999999997</v>
      </c>
      <c r="K5116" s="7">
        <v>3.5459999999999998</v>
      </c>
      <c r="L5116" s="7">
        <v>3.246</v>
      </c>
      <c r="M5116" s="7">
        <v>3.4260000000000002</v>
      </c>
      <c r="N5116" s="7">
        <v>4.3979999999999997</v>
      </c>
      <c r="O5116" s="7">
        <v>4.5449999999999999</v>
      </c>
      <c r="P5116" s="7">
        <v>5.2270000000000003</v>
      </c>
      <c r="Q5116" s="7">
        <v>5.8209999999999997</v>
      </c>
      <c r="R5116" s="7">
        <v>6.2050000000000001</v>
      </c>
      <c r="S5116" s="7">
        <f t="shared" si="79"/>
        <v>4.7809166666666663</v>
      </c>
    </row>
    <row r="5117" spans="1:19">
      <c r="A5117" s="5" t="str">
        <f>B5117&amp;"-"&amp;COUNTIF($B$2:B5117,B5117)</f>
        <v>SÃO PAULO-406</v>
      </c>
      <c r="B5117" s="5" t="s">
        <v>3122</v>
      </c>
      <c r="C5117" s="5" t="s">
        <v>5417</v>
      </c>
      <c r="D5117" s="6">
        <v>-50589</v>
      </c>
      <c r="E5117" s="6">
        <v>-201052</v>
      </c>
      <c r="F5117" s="7">
        <v>5.1929999999999996</v>
      </c>
      <c r="G5117" s="7">
        <v>5.79</v>
      </c>
      <c r="H5117" s="7">
        <v>5.8860000000000001</v>
      </c>
      <c r="I5117" s="7">
        <v>5.3380000000000001</v>
      </c>
      <c r="J5117" s="7">
        <v>4.8929999999999998</v>
      </c>
      <c r="K5117" s="7">
        <v>4.242</v>
      </c>
      <c r="L5117" s="7">
        <v>3.9830000000000001</v>
      </c>
      <c r="M5117" s="7">
        <v>4.1829999999999998</v>
      </c>
      <c r="N5117" s="7">
        <v>5.1280000000000001</v>
      </c>
      <c r="O5117" s="7">
        <v>5.0970000000000004</v>
      </c>
      <c r="P5117" s="7">
        <v>5.6639999999999997</v>
      </c>
      <c r="Q5117" s="7">
        <v>5.88</v>
      </c>
      <c r="R5117" s="7">
        <v>6.2279999999999998</v>
      </c>
      <c r="S5117" s="7">
        <f t="shared" si="79"/>
        <v>5.1926666666666668</v>
      </c>
    </row>
    <row r="5118" spans="1:19">
      <c r="A5118" s="5" t="str">
        <f>B5118&amp;"-"&amp;COUNTIF($B$2:B5118,B5118)</f>
        <v>SÃO PAULO-407</v>
      </c>
      <c r="B5118" s="5" t="s">
        <v>3122</v>
      </c>
      <c r="C5118" s="5" t="s">
        <v>5418</v>
      </c>
      <c r="D5118" s="6">
        <v>-507953</v>
      </c>
      <c r="E5118" s="6">
        <v>-217797</v>
      </c>
      <c r="F5118" s="7">
        <v>5.0880000000000001</v>
      </c>
      <c r="G5118" s="7">
        <v>5.8920000000000003</v>
      </c>
      <c r="H5118" s="7">
        <v>5.8849999999999998</v>
      </c>
      <c r="I5118" s="7">
        <v>5.3650000000000002</v>
      </c>
      <c r="J5118" s="7">
        <v>4.7789999999999999</v>
      </c>
      <c r="K5118" s="7">
        <v>3.9870000000000001</v>
      </c>
      <c r="L5118" s="7">
        <v>3.6749999999999998</v>
      </c>
      <c r="M5118" s="7">
        <v>3.8740000000000001</v>
      </c>
      <c r="N5118" s="7">
        <v>4.8449999999999998</v>
      </c>
      <c r="O5118" s="7">
        <v>4.8460000000000001</v>
      </c>
      <c r="P5118" s="7">
        <v>5.548</v>
      </c>
      <c r="Q5118" s="7">
        <v>6.0439999999999996</v>
      </c>
      <c r="R5118" s="7">
        <v>6.32</v>
      </c>
      <c r="S5118" s="7">
        <f t="shared" si="79"/>
        <v>5.0883333333333329</v>
      </c>
    </row>
    <row r="5119" spans="1:19">
      <c r="A5119" s="5" t="str">
        <f>B5119&amp;"-"&amp;COUNTIF($B$2:B5119,B5119)</f>
        <v>SÃO PAULO-408</v>
      </c>
      <c r="B5119" s="5" t="s">
        <v>3122</v>
      </c>
      <c r="C5119" s="5" t="s">
        <v>3384</v>
      </c>
      <c r="D5119" s="6">
        <v>-483739</v>
      </c>
      <c r="E5119" s="6">
        <v>-23081</v>
      </c>
      <c r="F5119" s="7">
        <v>4.7590000000000003</v>
      </c>
      <c r="G5119" s="7">
        <v>5.3979999999999997</v>
      </c>
      <c r="H5119" s="7">
        <v>5.6</v>
      </c>
      <c r="I5119" s="7">
        <v>4.931</v>
      </c>
      <c r="J5119" s="7">
        <v>4.5049999999999999</v>
      </c>
      <c r="K5119" s="7">
        <v>3.6480000000000001</v>
      </c>
      <c r="L5119" s="7">
        <v>3.427</v>
      </c>
      <c r="M5119" s="7">
        <v>3.5470000000000002</v>
      </c>
      <c r="N5119" s="7">
        <v>4.5270000000000001</v>
      </c>
      <c r="O5119" s="7">
        <v>4.6859999999999999</v>
      </c>
      <c r="P5119" s="7">
        <v>5.2469999999999999</v>
      </c>
      <c r="Q5119" s="7">
        <v>5.6189999999999998</v>
      </c>
      <c r="R5119" s="7">
        <v>5.97</v>
      </c>
      <c r="S5119" s="7">
        <f t="shared" si="79"/>
        <v>4.75875</v>
      </c>
    </row>
    <row r="5120" spans="1:19">
      <c r="A5120" s="5" t="str">
        <f>B5120&amp;"-"&amp;COUNTIF($B$2:B5120,B5120)</f>
        <v>SÃO PAULO-409</v>
      </c>
      <c r="B5120" s="5" t="s">
        <v>3122</v>
      </c>
      <c r="C5120" s="5" t="s">
        <v>4795</v>
      </c>
      <c r="D5120" s="6">
        <v>-478809</v>
      </c>
      <c r="E5120" s="6">
        <v>-24715</v>
      </c>
      <c r="F5120" s="7">
        <v>4.0629999999999997</v>
      </c>
      <c r="G5120" s="7">
        <v>5.3890000000000002</v>
      </c>
      <c r="H5120" s="7">
        <v>5.41</v>
      </c>
      <c r="I5120" s="7">
        <v>4.51</v>
      </c>
      <c r="J5120" s="7">
        <v>3.8730000000000002</v>
      </c>
      <c r="K5120" s="7">
        <v>3.0830000000000002</v>
      </c>
      <c r="L5120" s="7">
        <v>2.6669999999999998</v>
      </c>
      <c r="M5120" s="7">
        <v>2.66</v>
      </c>
      <c r="N5120" s="7">
        <v>3.32</v>
      </c>
      <c r="O5120" s="7">
        <v>3.4750000000000001</v>
      </c>
      <c r="P5120" s="7">
        <v>3.9590000000000001</v>
      </c>
      <c r="Q5120" s="7">
        <v>4.8789999999999996</v>
      </c>
      <c r="R5120" s="7">
        <v>5.5339999999999998</v>
      </c>
      <c r="S5120" s="7">
        <f t="shared" si="79"/>
        <v>4.06325</v>
      </c>
    </row>
    <row r="5121" spans="1:19">
      <c r="A5121" s="5" t="str">
        <f>B5121&amp;"-"&amp;COUNTIF($B$2:B5121,B5121)</f>
        <v>SÃO PAULO-410</v>
      </c>
      <c r="B5121" s="5" t="s">
        <v>3122</v>
      </c>
      <c r="C5121" s="5" t="s">
        <v>3385</v>
      </c>
      <c r="D5121" s="6">
        <v>-500213</v>
      </c>
      <c r="E5121" s="6">
        <v>-203024</v>
      </c>
      <c r="F5121" s="7">
        <v>5.1859999999999999</v>
      </c>
      <c r="G5121" s="7">
        <v>5.8239999999999998</v>
      </c>
      <c r="H5121" s="7">
        <v>5.931</v>
      </c>
      <c r="I5121" s="7">
        <v>5.2949999999999999</v>
      </c>
      <c r="J5121" s="7">
        <v>4.9180000000000001</v>
      </c>
      <c r="K5121" s="7">
        <v>4.2270000000000003</v>
      </c>
      <c r="L5121" s="7">
        <v>3.9249999999999998</v>
      </c>
      <c r="M5121" s="7">
        <v>4.2009999999999996</v>
      </c>
      <c r="N5121" s="7">
        <v>5.069</v>
      </c>
      <c r="O5121" s="7">
        <v>5.1180000000000003</v>
      </c>
      <c r="P5121" s="7">
        <v>5.63</v>
      </c>
      <c r="Q5121" s="7">
        <v>5.9050000000000002</v>
      </c>
      <c r="R5121" s="7">
        <v>6.1829999999999998</v>
      </c>
      <c r="S5121" s="7">
        <f t="shared" si="79"/>
        <v>5.1855000000000002</v>
      </c>
    </row>
    <row r="5122" spans="1:19">
      <c r="A5122" s="5" t="str">
        <f>B5122&amp;"-"&amp;COUNTIF($B$2:B5122,B5122)</f>
        <v>SÃO PAULO-411</v>
      </c>
      <c r="B5122" s="5" t="s">
        <v>3122</v>
      </c>
      <c r="C5122" s="5" t="s">
        <v>3386</v>
      </c>
      <c r="D5122" s="6">
        <v>-472805</v>
      </c>
      <c r="E5122" s="6">
        <v>-206388</v>
      </c>
      <c r="F5122" s="7">
        <v>5.0659999999999998</v>
      </c>
      <c r="G5122" s="7">
        <v>5.5380000000000003</v>
      </c>
      <c r="H5122" s="7">
        <v>5.7880000000000003</v>
      </c>
      <c r="I5122" s="7">
        <v>4.9800000000000004</v>
      </c>
      <c r="J5122" s="7">
        <v>4.8250000000000002</v>
      </c>
      <c r="K5122" s="7">
        <v>4.2439999999999998</v>
      </c>
      <c r="L5122" s="7">
        <v>4.0419999999999998</v>
      </c>
      <c r="M5122" s="7">
        <v>4.282</v>
      </c>
      <c r="N5122" s="7">
        <v>5.2370000000000001</v>
      </c>
      <c r="O5122" s="7">
        <v>5.1429999999999998</v>
      </c>
      <c r="P5122" s="7">
        <v>5.476</v>
      </c>
      <c r="Q5122" s="7">
        <v>5.5460000000000003</v>
      </c>
      <c r="R5122" s="7">
        <v>5.6879999999999997</v>
      </c>
      <c r="S5122" s="7">
        <f t="shared" si="79"/>
        <v>5.0657500000000004</v>
      </c>
    </row>
    <row r="5123" spans="1:19">
      <c r="A5123" s="5" t="str">
        <f>B5123&amp;"-"&amp;COUNTIF($B$2:B5123,B5123)</f>
        <v>SÃO PAULO-412</v>
      </c>
      <c r="B5123" s="5" t="s">
        <v>3122</v>
      </c>
      <c r="C5123" s="5" t="s">
        <v>3387</v>
      </c>
      <c r="D5123" s="6">
        <v>-471492</v>
      </c>
      <c r="E5123" s="6">
        <v>-227547</v>
      </c>
      <c r="F5123" s="7">
        <v>4.9359999999999999</v>
      </c>
      <c r="G5123" s="7">
        <v>5.6230000000000002</v>
      </c>
      <c r="H5123" s="7">
        <v>5.8140000000000001</v>
      </c>
      <c r="I5123" s="7">
        <v>5.1520000000000001</v>
      </c>
      <c r="J5123" s="7">
        <v>4.6580000000000004</v>
      </c>
      <c r="K5123" s="7">
        <v>3.8039999999999998</v>
      </c>
      <c r="L5123" s="7">
        <v>3.5710000000000002</v>
      </c>
      <c r="M5123" s="7">
        <v>3.7280000000000002</v>
      </c>
      <c r="N5123" s="7">
        <v>4.6440000000000001</v>
      </c>
      <c r="O5123" s="7">
        <v>4.8550000000000004</v>
      </c>
      <c r="P5123" s="7">
        <v>5.4770000000000003</v>
      </c>
      <c r="Q5123" s="7">
        <v>5.7279999999999998</v>
      </c>
      <c r="R5123" s="7">
        <v>6.1849999999999996</v>
      </c>
      <c r="S5123" s="7">
        <f t="shared" ref="S5123:S5186" si="80">(G5123+H5123+I5123+J5123+K5123+L5123+M5123+N5123+O5123+P5123+Q5123+R5123)/12</f>
        <v>4.936583333333334</v>
      </c>
    </row>
    <row r="5124" spans="1:19">
      <c r="A5124" s="5" t="str">
        <f>B5124&amp;"-"&amp;COUNTIF($B$2:B5124,B5124)</f>
        <v>SÃO PAULO-413</v>
      </c>
      <c r="B5124" s="5" t="s">
        <v>3122</v>
      </c>
      <c r="C5124" s="5" t="s">
        <v>4517</v>
      </c>
      <c r="D5124" s="6">
        <v>-518325</v>
      </c>
      <c r="E5124" s="6">
        <v>-213157</v>
      </c>
      <c r="F5124" s="7">
        <v>5.1070000000000002</v>
      </c>
      <c r="G5124" s="7">
        <v>5.8959999999999999</v>
      </c>
      <c r="H5124" s="7">
        <v>6.0629999999999997</v>
      </c>
      <c r="I5124" s="7">
        <v>5.4809999999999999</v>
      </c>
      <c r="J5124" s="7">
        <v>4.8460000000000001</v>
      </c>
      <c r="K5124" s="7">
        <v>4.0229999999999997</v>
      </c>
      <c r="L5124" s="7">
        <v>3.6680000000000001</v>
      </c>
      <c r="M5124" s="7">
        <v>3.8370000000000002</v>
      </c>
      <c r="N5124" s="7">
        <v>4.7060000000000004</v>
      </c>
      <c r="O5124" s="7">
        <v>4.8369999999999997</v>
      </c>
      <c r="P5124" s="7">
        <v>5.5570000000000004</v>
      </c>
      <c r="Q5124" s="7">
        <v>6.03</v>
      </c>
      <c r="R5124" s="7">
        <v>6.3410000000000002</v>
      </c>
      <c r="S5124" s="7">
        <f t="shared" si="80"/>
        <v>5.1070833333333336</v>
      </c>
    </row>
    <row r="5125" spans="1:19">
      <c r="A5125" s="5" t="str">
        <f>B5125&amp;"-"&amp;COUNTIF($B$2:B5125,B5125)</f>
        <v>SÃO PAULO-414</v>
      </c>
      <c r="B5125" s="5" t="s">
        <v>3122</v>
      </c>
      <c r="C5125" s="5" t="s">
        <v>5034</v>
      </c>
      <c r="D5125" s="6">
        <v>-494013</v>
      </c>
      <c r="E5125" s="6">
        <v>-225773</v>
      </c>
      <c r="F5125" s="7">
        <v>4.9400000000000004</v>
      </c>
      <c r="G5125" s="7">
        <v>5.585</v>
      </c>
      <c r="H5125" s="7">
        <v>5.7830000000000004</v>
      </c>
      <c r="I5125" s="7">
        <v>5.2110000000000003</v>
      </c>
      <c r="J5125" s="7">
        <v>4.6909999999999998</v>
      </c>
      <c r="K5125" s="7">
        <v>3.7959999999999998</v>
      </c>
      <c r="L5125" s="7">
        <v>3.5059999999999998</v>
      </c>
      <c r="M5125" s="7">
        <v>3.7280000000000002</v>
      </c>
      <c r="N5125" s="7">
        <v>4.7229999999999999</v>
      </c>
      <c r="O5125" s="7">
        <v>4.7750000000000004</v>
      </c>
      <c r="P5125" s="7">
        <v>5.45</v>
      </c>
      <c r="Q5125" s="7">
        <v>5.8520000000000003</v>
      </c>
      <c r="R5125" s="7">
        <v>6.1760000000000002</v>
      </c>
      <c r="S5125" s="7">
        <f t="shared" si="80"/>
        <v>4.9396666666666667</v>
      </c>
    </row>
    <row r="5126" spans="1:19">
      <c r="A5126" s="5" t="str">
        <f>B5126&amp;"-"&amp;COUNTIF($B$2:B5126,B5126)</f>
        <v>SÃO PAULO-415</v>
      </c>
      <c r="B5126" s="5" t="s">
        <v>3122</v>
      </c>
      <c r="C5126" s="5" t="s">
        <v>3388</v>
      </c>
      <c r="D5126" s="6">
        <v>-494004</v>
      </c>
      <c r="E5126" s="6">
        <v>-200301</v>
      </c>
      <c r="F5126" s="7">
        <v>5.17</v>
      </c>
      <c r="G5126" s="7">
        <v>5.7320000000000002</v>
      </c>
      <c r="H5126" s="7">
        <v>5.9539999999999997</v>
      </c>
      <c r="I5126" s="7">
        <v>5.25</v>
      </c>
      <c r="J5126" s="7">
        <v>4.9930000000000003</v>
      </c>
      <c r="K5126" s="7">
        <v>4.2460000000000004</v>
      </c>
      <c r="L5126" s="7">
        <v>3.9430000000000001</v>
      </c>
      <c r="M5126" s="7">
        <v>4.2190000000000003</v>
      </c>
      <c r="N5126" s="7">
        <v>5.1070000000000002</v>
      </c>
      <c r="O5126" s="7">
        <v>5.0510000000000002</v>
      </c>
      <c r="P5126" s="7">
        <v>5.5709999999999997</v>
      </c>
      <c r="Q5126" s="7">
        <v>5.8179999999999996</v>
      </c>
      <c r="R5126" s="7">
        <v>6.157</v>
      </c>
      <c r="S5126" s="7">
        <f t="shared" si="80"/>
        <v>5.1700833333333334</v>
      </c>
    </row>
    <row r="5127" spans="1:19">
      <c r="A5127" s="5" t="str">
        <f>B5127&amp;"-"&amp;COUNTIF($B$2:B5127,B5127)</f>
        <v>SÃO PAULO-416</v>
      </c>
      <c r="B5127" s="5" t="s">
        <v>3122</v>
      </c>
      <c r="C5127" s="5" t="s">
        <v>3389</v>
      </c>
      <c r="D5127" s="6">
        <v>-487785</v>
      </c>
      <c r="E5127" s="6">
        <v>-223516</v>
      </c>
      <c r="F5127" s="7">
        <v>5.008</v>
      </c>
      <c r="G5127" s="7">
        <v>5.6959999999999997</v>
      </c>
      <c r="H5127" s="7">
        <v>5.9379999999999997</v>
      </c>
      <c r="I5127" s="7">
        <v>5.2750000000000004</v>
      </c>
      <c r="J5127" s="7">
        <v>4.6760000000000002</v>
      </c>
      <c r="K5127" s="7">
        <v>3.82</v>
      </c>
      <c r="L5127" s="7">
        <v>3.58</v>
      </c>
      <c r="M5127" s="7">
        <v>3.7610000000000001</v>
      </c>
      <c r="N5127" s="7">
        <v>4.673</v>
      </c>
      <c r="O5127" s="7">
        <v>4.8470000000000004</v>
      </c>
      <c r="P5127" s="7">
        <v>5.5759999999999996</v>
      </c>
      <c r="Q5127" s="7">
        <v>5.9409999999999998</v>
      </c>
      <c r="R5127" s="7">
        <v>6.3159999999999998</v>
      </c>
      <c r="S5127" s="7">
        <f t="shared" si="80"/>
        <v>5.0082500000000012</v>
      </c>
    </row>
    <row r="5128" spans="1:19">
      <c r="A5128" s="5" t="str">
        <f>B5128&amp;"-"&amp;COUNTIF($B$2:B5128,B5128)</f>
        <v>SÃO PAULO-417</v>
      </c>
      <c r="B5128" s="5" t="s">
        <v>3122</v>
      </c>
      <c r="C5128" s="5" t="s">
        <v>3390</v>
      </c>
      <c r="D5128" s="6">
        <v>-464459</v>
      </c>
      <c r="E5128" s="6">
        <v>-227907</v>
      </c>
      <c r="F5128" s="7">
        <v>4.8159999999999998</v>
      </c>
      <c r="G5128" s="7">
        <v>5.3220000000000001</v>
      </c>
      <c r="H5128" s="7">
        <v>5.609</v>
      </c>
      <c r="I5128" s="7">
        <v>4.9119999999999999</v>
      </c>
      <c r="J5128" s="7">
        <v>4.5540000000000003</v>
      </c>
      <c r="K5128" s="7">
        <v>3.798</v>
      </c>
      <c r="L5128" s="7">
        <v>3.54</v>
      </c>
      <c r="M5128" s="7">
        <v>3.7149999999999999</v>
      </c>
      <c r="N5128" s="7">
        <v>4.6749999999999998</v>
      </c>
      <c r="O5128" s="7">
        <v>4.8529999999999998</v>
      </c>
      <c r="P5128" s="7">
        <v>5.3940000000000001</v>
      </c>
      <c r="Q5128" s="7">
        <v>5.5359999999999996</v>
      </c>
      <c r="R5128" s="7">
        <v>5.8819999999999997</v>
      </c>
      <c r="S5128" s="7">
        <f t="shared" si="80"/>
        <v>4.815833333333333</v>
      </c>
    </row>
    <row r="5129" spans="1:19">
      <c r="A5129" s="5" t="str">
        <f>B5129&amp;"-"&amp;COUNTIF($B$2:B5129,B5129)</f>
        <v>SÃO PAULO-418</v>
      </c>
      <c r="B5129" s="5" t="s">
        <v>3122</v>
      </c>
      <c r="C5129" s="5" t="s">
        <v>5252</v>
      </c>
      <c r="D5129" s="6">
        <v>-501099</v>
      </c>
      <c r="E5129" s="6">
        <v>-20248</v>
      </c>
      <c r="F5129" s="7">
        <v>5.2039999999999997</v>
      </c>
      <c r="G5129" s="7">
        <v>5.8140000000000001</v>
      </c>
      <c r="H5129" s="7">
        <v>5.97</v>
      </c>
      <c r="I5129" s="7">
        <v>5.3010000000000002</v>
      </c>
      <c r="J5129" s="7">
        <v>4.9370000000000003</v>
      </c>
      <c r="K5129" s="7">
        <v>4.2469999999999999</v>
      </c>
      <c r="L5129" s="7">
        <v>3.96</v>
      </c>
      <c r="M5129" s="7">
        <v>4.21</v>
      </c>
      <c r="N5129" s="7">
        <v>5.0890000000000004</v>
      </c>
      <c r="O5129" s="7">
        <v>5.1310000000000002</v>
      </c>
      <c r="P5129" s="7">
        <v>5.6719999999999997</v>
      </c>
      <c r="Q5129" s="7">
        <v>5.9039999999999999</v>
      </c>
      <c r="R5129" s="7">
        <v>6.2119999999999997</v>
      </c>
      <c r="S5129" s="7">
        <f t="shared" si="80"/>
        <v>5.2039166666666672</v>
      </c>
    </row>
    <row r="5130" spans="1:19">
      <c r="A5130" s="5" t="str">
        <f>B5130&amp;"-"&amp;COUNTIF($B$2:B5130,B5130)</f>
        <v>SÃO PAULO-419</v>
      </c>
      <c r="B5130" s="5" t="s">
        <v>3122</v>
      </c>
      <c r="C5130" s="5" t="s">
        <v>3391</v>
      </c>
      <c r="D5130" s="6">
        <v>-474778</v>
      </c>
      <c r="E5130" s="6">
        <v>-202539</v>
      </c>
      <c r="F5130" s="7">
        <v>5.1360000000000001</v>
      </c>
      <c r="G5130" s="7">
        <v>5.6029999999999998</v>
      </c>
      <c r="H5130" s="7">
        <v>5.8639999999999999</v>
      </c>
      <c r="I5130" s="7">
        <v>5.0750000000000002</v>
      </c>
      <c r="J5130" s="7">
        <v>4.9169999999999998</v>
      </c>
      <c r="K5130" s="7">
        <v>4.3040000000000003</v>
      </c>
      <c r="L5130" s="7">
        <v>4.1130000000000004</v>
      </c>
      <c r="M5130" s="7">
        <v>4.37</v>
      </c>
      <c r="N5130" s="7">
        <v>5.2610000000000001</v>
      </c>
      <c r="O5130" s="7">
        <v>5.1870000000000003</v>
      </c>
      <c r="P5130" s="7">
        <v>5.4749999999999996</v>
      </c>
      <c r="Q5130" s="7">
        <v>5.5880000000000001</v>
      </c>
      <c r="R5130" s="7">
        <v>5.88</v>
      </c>
      <c r="S5130" s="7">
        <f t="shared" si="80"/>
        <v>5.1364166666666664</v>
      </c>
    </row>
    <row r="5131" spans="1:19">
      <c r="A5131" s="5" t="str">
        <f>B5131&amp;"-"&amp;COUNTIF($B$2:B5131,B5131)</f>
        <v>SÃO PAULO-420</v>
      </c>
      <c r="B5131" s="5" t="s">
        <v>3122</v>
      </c>
      <c r="C5131" s="5" t="s">
        <v>3392</v>
      </c>
      <c r="D5131" s="6">
        <v>-468952</v>
      </c>
      <c r="E5131" s="6">
        <v>-227418</v>
      </c>
      <c r="F5131" s="7">
        <v>4.9539999999999997</v>
      </c>
      <c r="G5131" s="7">
        <v>5.5650000000000004</v>
      </c>
      <c r="H5131" s="7">
        <v>5.8140000000000001</v>
      </c>
      <c r="I5131" s="7">
        <v>5.1349999999999998</v>
      </c>
      <c r="J5131" s="7">
        <v>4.6929999999999996</v>
      </c>
      <c r="K5131" s="7">
        <v>3.891</v>
      </c>
      <c r="L5131" s="7">
        <v>3.5670000000000002</v>
      </c>
      <c r="M5131" s="7">
        <v>3.7879999999999998</v>
      </c>
      <c r="N5131" s="7">
        <v>4.6790000000000003</v>
      </c>
      <c r="O5131" s="7">
        <v>4.8940000000000001</v>
      </c>
      <c r="P5131" s="7">
        <v>5.5259999999999998</v>
      </c>
      <c r="Q5131" s="7">
        <v>5.7309999999999999</v>
      </c>
      <c r="R5131" s="7">
        <v>6.1589999999999998</v>
      </c>
      <c r="S5131" s="7">
        <f t="shared" si="80"/>
        <v>4.9534999999999991</v>
      </c>
    </row>
    <row r="5132" spans="1:19">
      <c r="A5132" s="5" t="str">
        <f>B5132&amp;"-"&amp;COUNTIF($B$2:B5132,B5132)</f>
        <v>SÃO PAULO-421</v>
      </c>
      <c r="B5132" s="5" t="s">
        <v>3122</v>
      </c>
      <c r="C5132" s="5" t="s">
        <v>3393</v>
      </c>
      <c r="D5132" s="6">
        <v>-507939</v>
      </c>
      <c r="E5132" s="6">
        <v>-22815</v>
      </c>
      <c r="F5132" s="7">
        <v>4.9669999999999996</v>
      </c>
      <c r="G5132" s="7">
        <v>5.95</v>
      </c>
      <c r="H5132" s="7">
        <v>5.8090000000000002</v>
      </c>
      <c r="I5132" s="7">
        <v>5.2249999999999996</v>
      </c>
      <c r="J5132" s="7">
        <v>4.6870000000000003</v>
      </c>
      <c r="K5132" s="7">
        <v>3.7810000000000001</v>
      </c>
      <c r="L5132" s="7">
        <v>3.4369999999999998</v>
      </c>
      <c r="M5132" s="7">
        <v>3.6459999999999999</v>
      </c>
      <c r="N5132" s="7">
        <v>4.5720000000000001</v>
      </c>
      <c r="O5132" s="7">
        <v>4.71</v>
      </c>
      <c r="P5132" s="7">
        <v>5.3890000000000002</v>
      </c>
      <c r="Q5132" s="7">
        <v>5.9770000000000003</v>
      </c>
      <c r="R5132" s="7">
        <v>6.4219999999999997</v>
      </c>
      <c r="S5132" s="7">
        <f t="shared" si="80"/>
        <v>4.967083333333334</v>
      </c>
    </row>
    <row r="5133" spans="1:19">
      <c r="A5133" s="5" t="str">
        <f>B5133&amp;"-"&amp;COUNTIF($B$2:B5133,B5133)</f>
        <v>SÃO PAULO-422</v>
      </c>
      <c r="B5133" s="5" t="s">
        <v>3122</v>
      </c>
      <c r="C5133" s="5" t="s">
        <v>3394</v>
      </c>
      <c r="D5133" s="6">
        <v>-47233</v>
      </c>
      <c r="E5133" s="6">
        <v>-24275</v>
      </c>
      <c r="F5133" s="7">
        <v>4.1749999999999998</v>
      </c>
      <c r="G5133" s="7">
        <v>5.3310000000000004</v>
      </c>
      <c r="H5133" s="7">
        <v>5.4589999999999996</v>
      </c>
      <c r="I5133" s="7">
        <v>4.6079999999999997</v>
      </c>
      <c r="J5133" s="7">
        <v>4.008</v>
      </c>
      <c r="K5133" s="7">
        <v>3.2069999999999999</v>
      </c>
      <c r="L5133" s="7">
        <v>2.8380000000000001</v>
      </c>
      <c r="M5133" s="7">
        <v>2.883</v>
      </c>
      <c r="N5133" s="7">
        <v>3.6120000000000001</v>
      </c>
      <c r="O5133" s="7">
        <v>3.6539999999999999</v>
      </c>
      <c r="P5133" s="7">
        <v>4.0739999999999998</v>
      </c>
      <c r="Q5133" s="7">
        <v>4.87</v>
      </c>
      <c r="R5133" s="7">
        <v>5.5579999999999998</v>
      </c>
      <c r="S5133" s="7">
        <f t="shared" si="80"/>
        <v>4.1751666666666658</v>
      </c>
    </row>
    <row r="5134" spans="1:19">
      <c r="A5134" s="5" t="str">
        <f>B5134&amp;"-"&amp;COUNTIF($B$2:B5134,B5134)</f>
        <v>SÃO PAULO-423</v>
      </c>
      <c r="B5134" s="5" t="s">
        <v>3122</v>
      </c>
      <c r="C5134" s="5" t="s">
        <v>5784</v>
      </c>
      <c r="D5134" s="6">
        <v>-500773</v>
      </c>
      <c r="E5134" s="6">
        <v>-214152</v>
      </c>
      <c r="F5134" s="7">
        <v>5.149</v>
      </c>
      <c r="G5134" s="7">
        <v>5.9180000000000001</v>
      </c>
      <c r="H5134" s="7">
        <v>6.0069999999999997</v>
      </c>
      <c r="I5134" s="7">
        <v>5.4020000000000001</v>
      </c>
      <c r="J5134" s="7">
        <v>4.8579999999999997</v>
      </c>
      <c r="K5134" s="7">
        <v>4.0030000000000001</v>
      </c>
      <c r="L5134" s="7">
        <v>3.7189999999999999</v>
      </c>
      <c r="M5134" s="7">
        <v>3.9820000000000002</v>
      </c>
      <c r="N5134" s="7">
        <v>4.8620000000000001</v>
      </c>
      <c r="O5134" s="7">
        <v>4.9340000000000002</v>
      </c>
      <c r="P5134" s="7">
        <v>5.6550000000000002</v>
      </c>
      <c r="Q5134" s="7">
        <v>6.0979999999999999</v>
      </c>
      <c r="R5134" s="7">
        <v>6.3460000000000001</v>
      </c>
      <c r="S5134" s="7">
        <f t="shared" si="80"/>
        <v>5.1486666666666672</v>
      </c>
    </row>
    <row r="5135" spans="1:19">
      <c r="A5135" s="5" t="str">
        <f>B5135&amp;"-"&amp;COUNTIF($B$2:B5135,B5135)</f>
        <v>SÃO PAULO-424</v>
      </c>
      <c r="B5135" s="5" t="s">
        <v>3122</v>
      </c>
      <c r="C5135" s="5" t="s">
        <v>3395</v>
      </c>
      <c r="D5135" s="6">
        <v>-511127</v>
      </c>
      <c r="E5135" s="6">
        <v>-206372</v>
      </c>
      <c r="F5135" s="7">
        <v>5.1639999999999997</v>
      </c>
      <c r="G5135" s="7">
        <v>5.9509999999999996</v>
      </c>
      <c r="H5135" s="7">
        <v>6.0110000000000001</v>
      </c>
      <c r="I5135" s="7">
        <v>5.4039999999999999</v>
      </c>
      <c r="J5135" s="7">
        <v>4.9000000000000004</v>
      </c>
      <c r="K5135" s="7">
        <v>4.1189999999999998</v>
      </c>
      <c r="L5135" s="7">
        <v>3.738</v>
      </c>
      <c r="M5135" s="7">
        <v>3.9940000000000002</v>
      </c>
      <c r="N5135" s="7">
        <v>4.9359999999999999</v>
      </c>
      <c r="O5135" s="7">
        <v>4.9039999999999999</v>
      </c>
      <c r="P5135" s="7">
        <v>5.6180000000000003</v>
      </c>
      <c r="Q5135" s="7">
        <v>6.0359999999999996</v>
      </c>
      <c r="R5135" s="7">
        <v>6.3540000000000001</v>
      </c>
      <c r="S5135" s="7">
        <f t="shared" si="80"/>
        <v>5.1637499999999994</v>
      </c>
    </row>
    <row r="5136" spans="1:19">
      <c r="A5136" s="5" t="str">
        <f>B5136&amp;"-"&amp;COUNTIF($B$2:B5136,B5136)</f>
        <v>SÃO PAULO-425</v>
      </c>
      <c r="B5136" s="5" t="s">
        <v>3122</v>
      </c>
      <c r="C5136" s="5" t="s">
        <v>3396</v>
      </c>
      <c r="D5136" s="6">
        <v>-479724</v>
      </c>
      <c r="E5136" s="6">
        <v>-230808</v>
      </c>
      <c r="F5136" s="7">
        <v>4.8879999999999999</v>
      </c>
      <c r="G5136" s="7">
        <v>5.6280000000000001</v>
      </c>
      <c r="H5136" s="7">
        <v>5.8419999999999996</v>
      </c>
      <c r="I5136" s="7">
        <v>5.16</v>
      </c>
      <c r="J5136" s="7">
        <v>4.62</v>
      </c>
      <c r="K5136" s="7">
        <v>3.7040000000000002</v>
      </c>
      <c r="L5136" s="7">
        <v>3.468</v>
      </c>
      <c r="M5136" s="7">
        <v>3.5840000000000001</v>
      </c>
      <c r="N5136" s="7">
        <v>4.58</v>
      </c>
      <c r="O5136" s="7">
        <v>4.7530000000000001</v>
      </c>
      <c r="P5136" s="7">
        <v>5.3490000000000002</v>
      </c>
      <c r="Q5136" s="7">
        <v>5.7859999999999996</v>
      </c>
      <c r="R5136" s="7">
        <v>6.1790000000000003</v>
      </c>
      <c r="S5136" s="7">
        <f t="shared" si="80"/>
        <v>4.8877500000000005</v>
      </c>
    </row>
    <row r="5137" spans="1:19">
      <c r="A5137" s="5" t="str">
        <f>B5137&amp;"-"&amp;COUNTIF($B$2:B5137,B5137)</f>
        <v>SÃO PAULO-426</v>
      </c>
      <c r="B5137" s="5" t="s">
        <v>3122</v>
      </c>
      <c r="C5137" s="5" t="s">
        <v>3397</v>
      </c>
      <c r="D5137" s="6">
        <v>-470016</v>
      </c>
      <c r="E5137" s="6">
        <v>-243125</v>
      </c>
      <c r="F5137" s="7">
        <v>4.05</v>
      </c>
      <c r="G5137" s="7">
        <v>5.1779999999999999</v>
      </c>
      <c r="H5137" s="7">
        <v>5.3109999999999999</v>
      </c>
      <c r="I5137" s="7">
        <v>4.4610000000000003</v>
      </c>
      <c r="J5137" s="7">
        <v>3.9340000000000002</v>
      </c>
      <c r="K5137" s="7">
        <v>3.1789999999999998</v>
      </c>
      <c r="L5137" s="7">
        <v>2.8</v>
      </c>
      <c r="M5137" s="7">
        <v>2.8239999999999998</v>
      </c>
      <c r="N5137" s="7">
        <v>3.4940000000000002</v>
      </c>
      <c r="O5137" s="7">
        <v>3.5259999999999998</v>
      </c>
      <c r="P5137" s="7">
        <v>3.871</v>
      </c>
      <c r="Q5137" s="7">
        <v>4.6970000000000001</v>
      </c>
      <c r="R5137" s="7">
        <v>5.3239999999999998</v>
      </c>
      <c r="S5137" s="7">
        <f t="shared" si="80"/>
        <v>4.0499166666666664</v>
      </c>
    </row>
    <row r="5138" spans="1:19">
      <c r="A5138" s="5" t="str">
        <f>B5138&amp;"-"&amp;COUNTIF($B$2:B5138,B5138)</f>
        <v>SÃO PAULO-427</v>
      </c>
      <c r="B5138" s="5" t="s">
        <v>3122</v>
      </c>
      <c r="C5138" s="5" t="s">
        <v>3398</v>
      </c>
      <c r="D5138" s="6">
        <v>-505989</v>
      </c>
      <c r="E5138" s="6">
        <v>-21592</v>
      </c>
      <c r="F5138" s="7">
        <v>5.101</v>
      </c>
      <c r="G5138" s="7">
        <v>5.9050000000000002</v>
      </c>
      <c r="H5138" s="7">
        <v>5.8959999999999999</v>
      </c>
      <c r="I5138" s="7">
        <v>5.3460000000000001</v>
      </c>
      <c r="J5138" s="7">
        <v>4.8209999999999997</v>
      </c>
      <c r="K5138" s="7">
        <v>3.9790000000000001</v>
      </c>
      <c r="L5138" s="7">
        <v>3.6920000000000002</v>
      </c>
      <c r="M5138" s="7">
        <v>3.9239999999999999</v>
      </c>
      <c r="N5138" s="7">
        <v>4.8319999999999999</v>
      </c>
      <c r="O5138" s="7">
        <v>4.8639999999999999</v>
      </c>
      <c r="P5138" s="7">
        <v>5.58</v>
      </c>
      <c r="Q5138" s="7">
        <v>6.0540000000000003</v>
      </c>
      <c r="R5138" s="7">
        <v>6.32</v>
      </c>
      <c r="S5138" s="7">
        <f t="shared" si="80"/>
        <v>5.1010833333333325</v>
      </c>
    </row>
    <row r="5139" spans="1:19">
      <c r="A5139" s="5" t="str">
        <f>B5139&amp;"-"&amp;COUNTIF($B$2:B5139,B5139)</f>
        <v>SÃO PAULO-428</v>
      </c>
      <c r="B5139" s="5" t="s">
        <v>3122</v>
      </c>
      <c r="C5139" s="5" t="s">
        <v>3399</v>
      </c>
      <c r="D5139" s="6">
        <v>-47426</v>
      </c>
      <c r="E5139" s="6">
        <v>-237144</v>
      </c>
      <c r="F5139" s="7">
        <v>4.7149999999999999</v>
      </c>
      <c r="G5139" s="7">
        <v>5.4340000000000002</v>
      </c>
      <c r="H5139" s="7">
        <v>5.6459999999999999</v>
      </c>
      <c r="I5139" s="7">
        <v>4.99</v>
      </c>
      <c r="J5139" s="7">
        <v>4.3899999999999997</v>
      </c>
      <c r="K5139" s="7">
        <v>3.57</v>
      </c>
      <c r="L5139" s="7">
        <v>3.3359999999999999</v>
      </c>
      <c r="M5139" s="7">
        <v>3.4129999999999998</v>
      </c>
      <c r="N5139" s="7">
        <v>4.3979999999999997</v>
      </c>
      <c r="O5139" s="7">
        <v>4.593</v>
      </c>
      <c r="P5139" s="7">
        <v>5.1139999999999999</v>
      </c>
      <c r="Q5139" s="7">
        <v>5.6239999999999997</v>
      </c>
      <c r="R5139" s="7">
        <v>6.0750000000000002</v>
      </c>
      <c r="S5139" s="7">
        <f t="shared" si="80"/>
        <v>4.7152500000000002</v>
      </c>
    </row>
    <row r="5140" spans="1:19">
      <c r="A5140" s="5" t="str">
        <f>B5140&amp;"-"&amp;COUNTIF($B$2:B5140,B5140)</f>
        <v>SÃO PAULO-429</v>
      </c>
      <c r="B5140" s="5" t="s">
        <v>3122</v>
      </c>
      <c r="C5140" s="5" t="s">
        <v>3400</v>
      </c>
      <c r="D5140" s="6">
        <v>-477226</v>
      </c>
      <c r="E5140" s="6">
        <v>-238082</v>
      </c>
      <c r="F5140" s="7">
        <v>4.6669999999999998</v>
      </c>
      <c r="G5140" s="7">
        <v>5.415</v>
      </c>
      <c r="H5140" s="7">
        <v>5.6109999999999998</v>
      </c>
      <c r="I5140" s="7">
        <v>4.9119999999999999</v>
      </c>
      <c r="J5140" s="7">
        <v>4.3879999999999999</v>
      </c>
      <c r="K5140" s="7">
        <v>3.4969999999999999</v>
      </c>
      <c r="L5140" s="7">
        <v>3.2879999999999998</v>
      </c>
      <c r="M5140" s="7">
        <v>3.37</v>
      </c>
      <c r="N5140" s="7">
        <v>4.3019999999999996</v>
      </c>
      <c r="O5140" s="7">
        <v>4.4720000000000004</v>
      </c>
      <c r="P5140" s="7">
        <v>5.0289999999999999</v>
      </c>
      <c r="Q5140" s="7">
        <v>5.6139999999999999</v>
      </c>
      <c r="R5140" s="7">
        <v>6.1020000000000003</v>
      </c>
      <c r="S5140" s="7">
        <f t="shared" si="80"/>
        <v>4.666666666666667</v>
      </c>
    </row>
    <row r="5141" spans="1:19">
      <c r="A5141" s="5" t="str">
        <f>B5141&amp;"-"&amp;COUNTIF($B$2:B5141,B5141)</f>
        <v>SÃO PAULO-430</v>
      </c>
      <c r="B5141" s="5" t="s">
        <v>3122</v>
      </c>
      <c r="C5141" s="5" t="s">
        <v>3401</v>
      </c>
      <c r="D5141" s="6">
        <v>-454617</v>
      </c>
      <c r="E5141" s="6">
        <v>-229251</v>
      </c>
      <c r="F5141" s="7">
        <v>4.5919999999999996</v>
      </c>
      <c r="G5141" s="7">
        <v>5.3970000000000002</v>
      </c>
      <c r="H5141" s="7">
        <v>5.5250000000000004</v>
      </c>
      <c r="I5141" s="7">
        <v>4.74</v>
      </c>
      <c r="J5141" s="7">
        <v>4.3319999999999999</v>
      </c>
      <c r="K5141" s="7">
        <v>3.581</v>
      </c>
      <c r="L5141" s="7">
        <v>3.383</v>
      </c>
      <c r="M5141" s="7">
        <v>3.4769999999999999</v>
      </c>
      <c r="N5141" s="7">
        <v>4.4359999999999999</v>
      </c>
      <c r="O5141" s="7">
        <v>4.5149999999999997</v>
      </c>
      <c r="P5141" s="7">
        <v>4.9880000000000004</v>
      </c>
      <c r="Q5141" s="7">
        <v>5.1020000000000003</v>
      </c>
      <c r="R5141" s="7">
        <v>5.6239999999999997</v>
      </c>
      <c r="S5141" s="7">
        <f t="shared" si="80"/>
        <v>4.5916666666666668</v>
      </c>
    </row>
    <row r="5142" spans="1:19">
      <c r="A5142" s="5" t="str">
        <f>B5142&amp;"-"&amp;COUNTIF($B$2:B5142,B5142)</f>
        <v>SÃO PAULO-431</v>
      </c>
      <c r="B5142" s="5" t="s">
        <v>3122</v>
      </c>
      <c r="C5142" s="5" t="s">
        <v>3402</v>
      </c>
      <c r="D5142" s="6">
        <v>-48909</v>
      </c>
      <c r="E5142" s="6">
        <v>-211858</v>
      </c>
      <c r="F5142" s="7">
        <v>5.0890000000000004</v>
      </c>
      <c r="G5142" s="7">
        <v>5.75</v>
      </c>
      <c r="H5142" s="7">
        <v>5.8029999999999999</v>
      </c>
      <c r="I5142" s="7">
        <v>5.1639999999999997</v>
      </c>
      <c r="J5142" s="7">
        <v>4.8</v>
      </c>
      <c r="K5142" s="7">
        <v>4.0759999999999996</v>
      </c>
      <c r="L5142" s="7">
        <v>3.8370000000000002</v>
      </c>
      <c r="M5142" s="7">
        <v>4.05</v>
      </c>
      <c r="N5142" s="7">
        <v>4.9880000000000004</v>
      </c>
      <c r="O5142" s="7">
        <v>5.0609999999999999</v>
      </c>
      <c r="P5142" s="7">
        <v>5.5759999999999996</v>
      </c>
      <c r="Q5142" s="7">
        <v>5.859</v>
      </c>
      <c r="R5142" s="7">
        <v>6.109</v>
      </c>
      <c r="S5142" s="7">
        <f t="shared" si="80"/>
        <v>5.0894166666666667</v>
      </c>
    </row>
    <row r="5143" spans="1:19">
      <c r="A5143" s="5" t="str">
        <f>B5143&amp;"-"&amp;COUNTIF($B$2:B5143,B5143)</f>
        <v>SÃO PAULO-432</v>
      </c>
      <c r="B5143" s="5" t="s">
        <v>3122</v>
      </c>
      <c r="C5143" s="5" t="s">
        <v>3064</v>
      </c>
      <c r="D5143" s="6">
        <v>-465901</v>
      </c>
      <c r="E5143" s="6">
        <v>-227816</v>
      </c>
      <c r="F5143" s="7">
        <v>4.8559999999999999</v>
      </c>
      <c r="G5143" s="7">
        <v>5.3849999999999998</v>
      </c>
      <c r="H5143" s="7">
        <v>5.6790000000000003</v>
      </c>
      <c r="I5143" s="7">
        <v>4.9829999999999997</v>
      </c>
      <c r="J5143" s="7">
        <v>4.5819999999999999</v>
      </c>
      <c r="K5143" s="7">
        <v>3.8149999999999999</v>
      </c>
      <c r="L5143" s="7">
        <v>3.5409999999999999</v>
      </c>
      <c r="M5143" s="7">
        <v>3.7189999999999999</v>
      </c>
      <c r="N5143" s="7">
        <v>4.6680000000000001</v>
      </c>
      <c r="O5143" s="7">
        <v>4.8630000000000004</v>
      </c>
      <c r="P5143" s="7">
        <v>5.4260000000000002</v>
      </c>
      <c r="Q5143" s="7">
        <v>5.617</v>
      </c>
      <c r="R5143" s="7">
        <v>5.99</v>
      </c>
      <c r="S5143" s="7">
        <f t="shared" si="80"/>
        <v>4.855666666666667</v>
      </c>
    </row>
    <row r="5144" spans="1:19">
      <c r="A5144" s="5" t="str">
        <f>B5144&amp;"-"&amp;COUNTIF($B$2:B5144,B5144)</f>
        <v>SÃO PAULO-433</v>
      </c>
      <c r="B5144" s="5" t="s">
        <v>3122</v>
      </c>
      <c r="C5144" s="5" t="s">
        <v>3403</v>
      </c>
      <c r="D5144" s="6">
        <v>-517309</v>
      </c>
      <c r="E5144" s="6">
        <v>-218872</v>
      </c>
      <c r="F5144" s="7">
        <v>5.1130000000000004</v>
      </c>
      <c r="G5144" s="7">
        <v>5.9610000000000003</v>
      </c>
      <c r="H5144" s="7">
        <v>6</v>
      </c>
      <c r="I5144" s="7">
        <v>5.4569999999999999</v>
      </c>
      <c r="J5144" s="7">
        <v>4.7960000000000003</v>
      </c>
      <c r="K5144" s="7">
        <v>3.9750000000000001</v>
      </c>
      <c r="L5144" s="7">
        <v>3.6179999999999999</v>
      </c>
      <c r="M5144" s="7">
        <v>3.8279999999999998</v>
      </c>
      <c r="N5144" s="7">
        <v>4.7300000000000004</v>
      </c>
      <c r="O5144" s="7">
        <v>4.8659999999999997</v>
      </c>
      <c r="P5144" s="7">
        <v>5.5590000000000002</v>
      </c>
      <c r="Q5144" s="7">
        <v>6.1</v>
      </c>
      <c r="R5144" s="7">
        <v>6.4640000000000004</v>
      </c>
      <c r="S5144" s="7">
        <f t="shared" si="80"/>
        <v>5.1128333333333327</v>
      </c>
    </row>
    <row r="5145" spans="1:19">
      <c r="A5145" s="5" t="str">
        <f>B5145&amp;"-"&amp;COUNTIF($B$2:B5145,B5145)</f>
        <v>SÃO PAULO-434</v>
      </c>
      <c r="B5145" s="5" t="s">
        <v>3122</v>
      </c>
      <c r="C5145" s="5" t="s">
        <v>3404</v>
      </c>
      <c r="D5145" s="6">
        <v>-451873</v>
      </c>
      <c r="E5145" s="6">
        <v>-226074</v>
      </c>
      <c r="F5145" s="7">
        <v>4.4649999999999999</v>
      </c>
      <c r="G5145" s="7">
        <v>5.05</v>
      </c>
      <c r="H5145" s="7">
        <v>5.3520000000000003</v>
      </c>
      <c r="I5145" s="7">
        <v>4.593</v>
      </c>
      <c r="J5145" s="7">
        <v>4.1710000000000003</v>
      </c>
      <c r="K5145" s="7">
        <v>3.536</v>
      </c>
      <c r="L5145" s="7">
        <v>3.43</v>
      </c>
      <c r="M5145" s="7">
        <v>3.5459999999999998</v>
      </c>
      <c r="N5145" s="7">
        <v>4.4909999999999997</v>
      </c>
      <c r="O5145" s="7">
        <v>4.5190000000000001</v>
      </c>
      <c r="P5145" s="7">
        <v>4.8479999999999999</v>
      </c>
      <c r="Q5145" s="7">
        <v>4.7220000000000004</v>
      </c>
      <c r="R5145" s="7">
        <v>5.3239999999999998</v>
      </c>
      <c r="S5145" s="7">
        <f t="shared" si="80"/>
        <v>4.4651666666666658</v>
      </c>
    </row>
    <row r="5146" spans="1:19">
      <c r="A5146" s="5" t="str">
        <f>B5146&amp;"-"&amp;COUNTIF($B$2:B5146,B5146)</f>
        <v>SÃO PAULO-435</v>
      </c>
      <c r="B5146" s="5" t="s">
        <v>3122</v>
      </c>
      <c r="C5146" s="5" t="s">
        <v>3405</v>
      </c>
      <c r="D5146" s="6">
        <v>-463598</v>
      </c>
      <c r="E5146" s="6">
        <v>-23053</v>
      </c>
      <c r="F5146" s="7">
        <v>4.7119999999999997</v>
      </c>
      <c r="G5146" s="7">
        <v>5.34</v>
      </c>
      <c r="H5146" s="7">
        <v>5.7190000000000003</v>
      </c>
      <c r="I5146" s="7">
        <v>4.8899999999999997</v>
      </c>
      <c r="J5146" s="7">
        <v>4.423</v>
      </c>
      <c r="K5146" s="7">
        <v>3.6680000000000001</v>
      </c>
      <c r="L5146" s="7">
        <v>3.3849999999999998</v>
      </c>
      <c r="M5146" s="7">
        <v>3.4870000000000001</v>
      </c>
      <c r="N5146" s="7">
        <v>4.5220000000000002</v>
      </c>
      <c r="O5146" s="7">
        <v>4.5679999999999996</v>
      </c>
      <c r="P5146" s="7">
        <v>5.1539999999999999</v>
      </c>
      <c r="Q5146" s="7">
        <v>5.4160000000000004</v>
      </c>
      <c r="R5146" s="7">
        <v>5.97</v>
      </c>
      <c r="S5146" s="7">
        <f t="shared" si="80"/>
        <v>4.711833333333332</v>
      </c>
    </row>
    <row r="5147" spans="1:19">
      <c r="A5147" s="5" t="str">
        <f>B5147&amp;"-"&amp;COUNTIF($B$2:B5147,B5147)</f>
        <v>SÃO PAULO-436</v>
      </c>
      <c r="B5147" s="5" t="s">
        <v>3122</v>
      </c>
      <c r="C5147" s="5" t="s">
        <v>3406</v>
      </c>
      <c r="D5147" s="6">
        <v>-47648</v>
      </c>
      <c r="E5147" s="6">
        <v>-227343</v>
      </c>
      <c r="F5147" s="7">
        <v>4.9000000000000004</v>
      </c>
      <c r="G5147" s="7">
        <v>5.6130000000000004</v>
      </c>
      <c r="H5147" s="7">
        <v>5.7770000000000001</v>
      </c>
      <c r="I5147" s="7">
        <v>5.1079999999999997</v>
      </c>
      <c r="J5147" s="7">
        <v>4.6120000000000001</v>
      </c>
      <c r="K5147" s="7">
        <v>3.798</v>
      </c>
      <c r="L5147" s="7">
        <v>3.5249999999999999</v>
      </c>
      <c r="M5147" s="7">
        <v>3.7029999999999998</v>
      </c>
      <c r="N5147" s="7">
        <v>4.6559999999999997</v>
      </c>
      <c r="O5147" s="7">
        <v>4.8220000000000001</v>
      </c>
      <c r="P5147" s="7">
        <v>5.423</v>
      </c>
      <c r="Q5147" s="7">
        <v>5.6840000000000002</v>
      </c>
      <c r="R5147" s="7">
        <v>6.0730000000000004</v>
      </c>
      <c r="S5147" s="7">
        <f t="shared" si="80"/>
        <v>4.8995000000000006</v>
      </c>
    </row>
    <row r="5148" spans="1:19">
      <c r="A5148" s="5" t="str">
        <f>B5148&amp;"-"&amp;COUNTIF($B$2:B5148,B5148)</f>
        <v>SÃO PAULO-437</v>
      </c>
      <c r="B5148" s="5" t="s">
        <v>3122</v>
      </c>
      <c r="C5148" s="5" t="s">
        <v>3407</v>
      </c>
      <c r="D5148" s="6">
        <v>-493808</v>
      </c>
      <c r="E5148" s="6">
        <v>-231985</v>
      </c>
      <c r="F5148" s="7">
        <v>4.8479999999999999</v>
      </c>
      <c r="G5148" s="7">
        <v>5.6479999999999997</v>
      </c>
      <c r="H5148" s="7">
        <v>5.7430000000000003</v>
      </c>
      <c r="I5148" s="7">
        <v>5.1440000000000001</v>
      </c>
      <c r="J5148" s="7">
        <v>4.5350000000000001</v>
      </c>
      <c r="K5148" s="7">
        <v>3.61</v>
      </c>
      <c r="L5148" s="7">
        <v>3.3260000000000001</v>
      </c>
      <c r="M5148" s="7">
        <v>3.516</v>
      </c>
      <c r="N5148" s="7">
        <v>4.4989999999999997</v>
      </c>
      <c r="O5148" s="7">
        <v>4.6529999999999996</v>
      </c>
      <c r="P5148" s="7">
        <v>5.3120000000000003</v>
      </c>
      <c r="Q5148" s="7">
        <v>5.9039999999999999</v>
      </c>
      <c r="R5148" s="7">
        <v>6.2830000000000004</v>
      </c>
      <c r="S5148" s="7">
        <f t="shared" si="80"/>
        <v>4.8477500000000004</v>
      </c>
    </row>
    <row r="5149" spans="1:19">
      <c r="A5149" s="5" t="str">
        <f>B5149&amp;"-"&amp;COUNTIF($B$2:B5149,B5149)</f>
        <v>SÃO PAULO-438</v>
      </c>
      <c r="B5149" s="5" t="s">
        <v>3122</v>
      </c>
      <c r="C5149" s="5" t="s">
        <v>3408</v>
      </c>
      <c r="D5149" s="6">
        <v>-494569</v>
      </c>
      <c r="E5149" s="6">
        <v>-21999</v>
      </c>
      <c r="F5149" s="7">
        <v>5.0220000000000002</v>
      </c>
      <c r="G5149" s="7">
        <v>5.7080000000000002</v>
      </c>
      <c r="H5149" s="7">
        <v>5.8680000000000003</v>
      </c>
      <c r="I5149" s="7">
        <v>5.2050000000000001</v>
      </c>
      <c r="J5149" s="7">
        <v>4.7779999999999996</v>
      </c>
      <c r="K5149" s="7">
        <v>3.9020000000000001</v>
      </c>
      <c r="L5149" s="7">
        <v>3.5950000000000002</v>
      </c>
      <c r="M5149" s="7">
        <v>3.8639999999999999</v>
      </c>
      <c r="N5149" s="7">
        <v>4.7649999999999997</v>
      </c>
      <c r="O5149" s="7">
        <v>4.8499999999999996</v>
      </c>
      <c r="P5149" s="7">
        <v>5.5890000000000004</v>
      </c>
      <c r="Q5149" s="7">
        <v>5.9059999999999997</v>
      </c>
      <c r="R5149" s="7">
        <v>6.2350000000000003</v>
      </c>
      <c r="S5149" s="7">
        <f t="shared" si="80"/>
        <v>5.0220833333333328</v>
      </c>
    </row>
    <row r="5150" spans="1:19">
      <c r="A5150" s="5" t="str">
        <f>B5150&amp;"-"&amp;COUNTIF($B$2:B5150,B5150)</f>
        <v>SÃO PAULO-439</v>
      </c>
      <c r="B5150" s="5" t="s">
        <v>3122</v>
      </c>
      <c r="C5150" s="5" t="s">
        <v>3409</v>
      </c>
      <c r="D5150" s="6">
        <v>-486611</v>
      </c>
      <c r="E5150" s="6">
        <v>-210891</v>
      </c>
      <c r="F5150" s="7">
        <v>5.1319999999999997</v>
      </c>
      <c r="G5150" s="7">
        <v>5.8609999999999998</v>
      </c>
      <c r="H5150" s="7">
        <v>5.9740000000000002</v>
      </c>
      <c r="I5150" s="7">
        <v>5.1769999999999996</v>
      </c>
      <c r="J5150" s="7">
        <v>4.7770000000000001</v>
      </c>
      <c r="K5150" s="7">
        <v>4.1180000000000003</v>
      </c>
      <c r="L5150" s="7">
        <v>3.9079999999999999</v>
      </c>
      <c r="M5150" s="7">
        <v>4.1159999999999997</v>
      </c>
      <c r="N5150" s="7">
        <v>4.9630000000000001</v>
      </c>
      <c r="O5150" s="7">
        <v>5.0780000000000003</v>
      </c>
      <c r="P5150" s="7">
        <v>5.609</v>
      </c>
      <c r="Q5150" s="7">
        <v>5.8810000000000002</v>
      </c>
      <c r="R5150" s="7">
        <v>6.1239999999999997</v>
      </c>
      <c r="S5150" s="7">
        <f t="shared" si="80"/>
        <v>5.1321666666666674</v>
      </c>
    </row>
    <row r="5151" spans="1:19">
      <c r="A5151" s="5" t="str">
        <f>B5151&amp;"-"&amp;COUNTIF($B$2:B5151,B5151)</f>
        <v>SÃO PAULO-440</v>
      </c>
      <c r="B5151" s="5" t="s">
        <v>3122</v>
      </c>
      <c r="C5151" s="5" t="s">
        <v>3410</v>
      </c>
      <c r="D5151" s="6">
        <v>-469995</v>
      </c>
      <c r="E5151" s="6">
        <v>-23397</v>
      </c>
      <c r="F5151" s="7">
        <v>4.7069999999999999</v>
      </c>
      <c r="G5151" s="7">
        <v>5.41</v>
      </c>
      <c r="H5151" s="7">
        <v>5.69</v>
      </c>
      <c r="I5151" s="7">
        <v>4.9870000000000001</v>
      </c>
      <c r="J5151" s="7">
        <v>4.4340000000000002</v>
      </c>
      <c r="K5151" s="7">
        <v>3.62</v>
      </c>
      <c r="L5151" s="7">
        <v>3.3340000000000001</v>
      </c>
      <c r="M5151" s="7">
        <v>3.4510000000000001</v>
      </c>
      <c r="N5151" s="7">
        <v>4.4539999999999997</v>
      </c>
      <c r="O5151" s="7">
        <v>4.5289999999999999</v>
      </c>
      <c r="P5151" s="7">
        <v>5.069</v>
      </c>
      <c r="Q5151" s="7">
        <v>5.5049999999999999</v>
      </c>
      <c r="R5151" s="7">
        <v>6.0049999999999999</v>
      </c>
      <c r="S5151" s="7">
        <f t="shared" si="80"/>
        <v>4.7073333333333345</v>
      </c>
    </row>
    <row r="5152" spans="1:19">
      <c r="A5152" s="5" t="str">
        <f>B5152&amp;"-"&amp;COUNTIF($B$2:B5152,B5152)</f>
        <v>SÃO PAULO-441</v>
      </c>
      <c r="B5152" s="5" t="s">
        <v>3122</v>
      </c>
      <c r="C5152" s="5" t="s">
        <v>3411</v>
      </c>
      <c r="D5152" s="6">
        <v>-514981</v>
      </c>
      <c r="E5152" s="6">
        <v>-222716</v>
      </c>
      <c r="F5152" s="7">
        <v>5.0979999999999999</v>
      </c>
      <c r="G5152" s="7">
        <v>5.9690000000000003</v>
      </c>
      <c r="H5152" s="7">
        <v>6.0010000000000003</v>
      </c>
      <c r="I5152" s="7">
        <v>5.4560000000000004</v>
      </c>
      <c r="J5152" s="7">
        <v>4.7720000000000002</v>
      </c>
      <c r="K5152" s="7">
        <v>3.8620000000000001</v>
      </c>
      <c r="L5152" s="7">
        <v>3.55</v>
      </c>
      <c r="M5152" s="7">
        <v>3.7719999999999998</v>
      </c>
      <c r="N5152" s="7">
        <v>4.7380000000000004</v>
      </c>
      <c r="O5152" s="7">
        <v>4.8620000000000001</v>
      </c>
      <c r="P5152" s="7">
        <v>5.5439999999999996</v>
      </c>
      <c r="Q5152" s="7">
        <v>6.1509999999999998</v>
      </c>
      <c r="R5152" s="7">
        <v>6.5010000000000003</v>
      </c>
      <c r="S5152" s="7">
        <f t="shared" si="80"/>
        <v>5.0981666666666667</v>
      </c>
    </row>
    <row r="5153" spans="1:19">
      <c r="A5153" s="5" t="str">
        <f>B5153&amp;"-"&amp;COUNTIF($B$2:B5153,B5153)</f>
        <v>SÃO PAULO-442</v>
      </c>
      <c r="B5153" s="5" t="s">
        <v>3122</v>
      </c>
      <c r="C5153" s="5" t="s">
        <v>3412</v>
      </c>
      <c r="D5153" s="6">
        <v>-474261</v>
      </c>
      <c r="E5153" s="6">
        <v>-219965</v>
      </c>
      <c r="F5153" s="7">
        <v>5.01</v>
      </c>
      <c r="G5153" s="7">
        <v>5.657</v>
      </c>
      <c r="H5153" s="7">
        <v>5.9240000000000004</v>
      </c>
      <c r="I5153" s="7">
        <v>5.1559999999999997</v>
      </c>
      <c r="J5153" s="7">
        <v>4.7290000000000001</v>
      </c>
      <c r="K5153" s="7">
        <v>3.9590000000000001</v>
      </c>
      <c r="L5153" s="7">
        <v>3.7029999999999998</v>
      </c>
      <c r="M5153" s="7">
        <v>3.887</v>
      </c>
      <c r="N5153" s="7">
        <v>4.8049999999999997</v>
      </c>
      <c r="O5153" s="7">
        <v>4.9580000000000002</v>
      </c>
      <c r="P5153" s="7">
        <v>5.5609999999999999</v>
      </c>
      <c r="Q5153" s="7">
        <v>5.7370000000000001</v>
      </c>
      <c r="R5153" s="7">
        <v>6.0449999999999999</v>
      </c>
      <c r="S5153" s="7">
        <f t="shared" si="80"/>
        <v>5.0100833333333332</v>
      </c>
    </row>
    <row r="5154" spans="1:19">
      <c r="A5154" s="5" t="str">
        <f>B5154&amp;"-"&amp;COUNTIF($B$2:B5154,B5154)</f>
        <v>SÃO PAULO-443</v>
      </c>
      <c r="B5154" s="5" t="s">
        <v>3122</v>
      </c>
      <c r="C5154" s="5" t="s">
        <v>3413</v>
      </c>
      <c r="D5154" s="6">
        <v>-491343</v>
      </c>
      <c r="E5154" s="6">
        <v>-224146</v>
      </c>
      <c r="F5154" s="7">
        <v>4.9790000000000001</v>
      </c>
      <c r="G5154" s="7">
        <v>5.6139999999999999</v>
      </c>
      <c r="H5154" s="7">
        <v>5.8259999999999996</v>
      </c>
      <c r="I5154" s="7">
        <v>5.2370000000000001</v>
      </c>
      <c r="J5154" s="7">
        <v>4.7220000000000004</v>
      </c>
      <c r="K5154" s="7">
        <v>3.8439999999999999</v>
      </c>
      <c r="L5154" s="7">
        <v>3.5510000000000002</v>
      </c>
      <c r="M5154" s="7">
        <v>3.7650000000000001</v>
      </c>
      <c r="N5154" s="7">
        <v>4.7119999999999997</v>
      </c>
      <c r="O5154" s="7">
        <v>4.8019999999999996</v>
      </c>
      <c r="P5154" s="7">
        <v>5.5380000000000003</v>
      </c>
      <c r="Q5154" s="7">
        <v>5.9109999999999996</v>
      </c>
      <c r="R5154" s="7">
        <v>6.2279999999999998</v>
      </c>
      <c r="S5154" s="7">
        <f t="shared" si="80"/>
        <v>4.979166666666667</v>
      </c>
    </row>
    <row r="5155" spans="1:19">
      <c r="A5155" s="5" t="str">
        <f>B5155&amp;"-"&amp;COUNTIF($B$2:B5155,B5155)</f>
        <v>SÃO PAULO-444</v>
      </c>
      <c r="B5155" s="5" t="s">
        <v>3122</v>
      </c>
      <c r="C5155" s="5" t="s">
        <v>2082</v>
      </c>
      <c r="D5155" s="6">
        <v>-482214</v>
      </c>
      <c r="E5155" s="6">
        <v>-210137</v>
      </c>
      <c r="F5155" s="7">
        <v>5.1420000000000003</v>
      </c>
      <c r="G5155" s="7">
        <v>5.7869999999999999</v>
      </c>
      <c r="H5155" s="7">
        <v>6.0549999999999997</v>
      </c>
      <c r="I5155" s="7">
        <v>5.2140000000000004</v>
      </c>
      <c r="J5155" s="7">
        <v>4.8179999999999996</v>
      </c>
      <c r="K5155" s="7">
        <v>4.1669999999999998</v>
      </c>
      <c r="L5155" s="7">
        <v>3.919</v>
      </c>
      <c r="M5155" s="7">
        <v>4.1539999999999999</v>
      </c>
      <c r="N5155" s="7">
        <v>4.9770000000000003</v>
      </c>
      <c r="O5155" s="7">
        <v>5.0060000000000002</v>
      </c>
      <c r="P5155" s="7">
        <v>5.577</v>
      </c>
      <c r="Q5155" s="7">
        <v>5.859</v>
      </c>
      <c r="R5155" s="7">
        <v>6.1740000000000004</v>
      </c>
      <c r="S5155" s="7">
        <f t="shared" si="80"/>
        <v>5.1422499999999998</v>
      </c>
    </row>
    <row r="5156" spans="1:19">
      <c r="A5156" s="5" t="str">
        <f>B5156&amp;"-"&amp;COUNTIF($B$2:B5156,B5156)</f>
        <v>SÃO PAULO-445</v>
      </c>
      <c r="B5156" s="5" t="s">
        <v>3122</v>
      </c>
      <c r="C5156" s="5" t="s">
        <v>498</v>
      </c>
      <c r="D5156" s="6">
        <v>-499289</v>
      </c>
      <c r="E5156" s="6">
        <v>-21034</v>
      </c>
      <c r="F5156" s="7">
        <v>5.141</v>
      </c>
      <c r="G5156" s="7">
        <v>5.8559999999999999</v>
      </c>
      <c r="H5156" s="7">
        <v>5.9219999999999997</v>
      </c>
      <c r="I5156" s="7">
        <v>5.2859999999999996</v>
      </c>
      <c r="J5156" s="7">
        <v>4.9119999999999999</v>
      </c>
      <c r="K5156" s="7">
        <v>4.0890000000000004</v>
      </c>
      <c r="L5156" s="7">
        <v>3.8220000000000001</v>
      </c>
      <c r="M5156" s="7">
        <v>4.0279999999999996</v>
      </c>
      <c r="N5156" s="7">
        <v>4.9329999999999998</v>
      </c>
      <c r="O5156" s="7">
        <v>5.0019999999999998</v>
      </c>
      <c r="P5156" s="7">
        <v>5.6029999999999998</v>
      </c>
      <c r="Q5156" s="7">
        <v>6.0049999999999999</v>
      </c>
      <c r="R5156" s="7">
        <v>6.2389999999999999</v>
      </c>
      <c r="S5156" s="7">
        <f t="shared" si="80"/>
        <v>5.1414166666666672</v>
      </c>
    </row>
    <row r="5157" spans="1:19">
      <c r="A5157" s="5" t="str">
        <f>B5157&amp;"-"&amp;COUNTIF($B$2:B5157,B5157)</f>
        <v>SÃO PAULO-446</v>
      </c>
      <c r="B5157" s="5" t="s">
        <v>3122</v>
      </c>
      <c r="C5157" s="5" t="s">
        <v>3414</v>
      </c>
      <c r="D5157" s="6">
        <v>-502044</v>
      </c>
      <c r="E5157" s="6">
        <v>-226363</v>
      </c>
      <c r="F5157" s="7">
        <v>4.968</v>
      </c>
      <c r="G5157" s="7">
        <v>5.7380000000000004</v>
      </c>
      <c r="H5157" s="7">
        <v>5.7850000000000001</v>
      </c>
      <c r="I5157" s="7">
        <v>5.26</v>
      </c>
      <c r="J5157" s="7">
        <v>4.7050000000000001</v>
      </c>
      <c r="K5157" s="7">
        <v>3.794</v>
      </c>
      <c r="L5157" s="7">
        <v>3.5070000000000001</v>
      </c>
      <c r="M5157" s="7">
        <v>3.7040000000000002</v>
      </c>
      <c r="N5157" s="7">
        <v>4.6660000000000004</v>
      </c>
      <c r="O5157" s="7">
        <v>4.7619999999999996</v>
      </c>
      <c r="P5157" s="7">
        <v>5.4539999999999997</v>
      </c>
      <c r="Q5157" s="7">
        <v>5.9409999999999998</v>
      </c>
      <c r="R5157" s="7">
        <v>6.3049999999999997</v>
      </c>
      <c r="S5157" s="7">
        <f t="shared" si="80"/>
        <v>4.9684166666666671</v>
      </c>
    </row>
    <row r="5158" spans="1:19">
      <c r="A5158" s="5" t="str">
        <f>B5158&amp;"-"&amp;COUNTIF($B$2:B5158,B5158)</f>
        <v>SÃO PAULO-447</v>
      </c>
      <c r="B5158" s="5" t="s">
        <v>3122</v>
      </c>
      <c r="C5158" s="5" t="s">
        <v>5785</v>
      </c>
      <c r="D5158" s="6">
        <v>-463477</v>
      </c>
      <c r="E5158" s="6">
        <v>-235338</v>
      </c>
      <c r="F5158" s="7">
        <v>4.42</v>
      </c>
      <c r="G5158" s="7">
        <v>5.29</v>
      </c>
      <c r="H5158" s="7">
        <v>5.5039999999999996</v>
      </c>
      <c r="I5158" s="7">
        <v>4.6429999999999998</v>
      </c>
      <c r="J5158" s="7">
        <v>4.1159999999999997</v>
      </c>
      <c r="K5158" s="7">
        <v>3.3460000000000001</v>
      </c>
      <c r="L5158" s="7">
        <v>3.109</v>
      </c>
      <c r="M5158" s="7">
        <v>3.2290000000000001</v>
      </c>
      <c r="N5158" s="7">
        <v>4.1050000000000004</v>
      </c>
      <c r="O5158" s="7">
        <v>4.2030000000000003</v>
      </c>
      <c r="P5158" s="7">
        <v>4.7220000000000004</v>
      </c>
      <c r="Q5158" s="7">
        <v>5.1130000000000004</v>
      </c>
      <c r="R5158" s="7">
        <v>5.6609999999999996</v>
      </c>
      <c r="S5158" s="7">
        <f t="shared" si="80"/>
        <v>4.4200833333333334</v>
      </c>
    </row>
    <row r="5159" spans="1:19">
      <c r="A5159" s="5" t="str">
        <f>B5159&amp;"-"&amp;COUNTIF($B$2:B5159,B5159)</f>
        <v>SÃO PAULO-448</v>
      </c>
      <c r="B5159" s="5" t="s">
        <v>3122</v>
      </c>
      <c r="C5159" s="5" t="s">
        <v>3415</v>
      </c>
      <c r="D5159" s="6">
        <v>-498144</v>
      </c>
      <c r="E5159" s="6">
        <v>-207854</v>
      </c>
      <c r="F5159" s="7">
        <v>5.149</v>
      </c>
      <c r="G5159" s="7">
        <v>5.7889999999999997</v>
      </c>
      <c r="H5159" s="7">
        <v>5.88</v>
      </c>
      <c r="I5159" s="7">
        <v>5.2590000000000003</v>
      </c>
      <c r="J5159" s="7">
        <v>4.8920000000000003</v>
      </c>
      <c r="K5159" s="7">
        <v>4.1280000000000001</v>
      </c>
      <c r="L5159" s="7">
        <v>3.8839999999999999</v>
      </c>
      <c r="M5159" s="7">
        <v>4.1180000000000003</v>
      </c>
      <c r="N5159" s="7">
        <v>5.0590000000000002</v>
      </c>
      <c r="O5159" s="7">
        <v>5.0289999999999999</v>
      </c>
      <c r="P5159" s="7">
        <v>5.6440000000000001</v>
      </c>
      <c r="Q5159" s="7">
        <v>5.9370000000000003</v>
      </c>
      <c r="R5159" s="7">
        <v>6.173</v>
      </c>
      <c r="S5159" s="7">
        <f t="shared" si="80"/>
        <v>5.1493333333333329</v>
      </c>
    </row>
    <row r="5160" spans="1:19">
      <c r="A5160" s="5" t="str">
        <f>B5160&amp;"-"&amp;COUNTIF($B$2:B5160,B5160)</f>
        <v>SÃO PAULO-449</v>
      </c>
      <c r="B5160" s="5" t="s">
        <v>3122</v>
      </c>
      <c r="C5160" s="5" t="s">
        <v>4518</v>
      </c>
      <c r="D5160" s="6">
        <v>-501764</v>
      </c>
      <c r="E5160" s="6">
        <v>-221075</v>
      </c>
      <c r="F5160" s="7">
        <v>5.032</v>
      </c>
      <c r="G5160" s="7">
        <v>5.7789999999999999</v>
      </c>
      <c r="H5160" s="7">
        <v>5.8879999999999999</v>
      </c>
      <c r="I5160" s="7">
        <v>5.2640000000000002</v>
      </c>
      <c r="J5160" s="7">
        <v>4.7679999999999998</v>
      </c>
      <c r="K5160" s="7">
        <v>3.8839999999999999</v>
      </c>
      <c r="L5160" s="7">
        <v>3.6059999999999999</v>
      </c>
      <c r="M5160" s="7">
        <v>3.823</v>
      </c>
      <c r="N5160" s="7">
        <v>4.7889999999999997</v>
      </c>
      <c r="O5160" s="7">
        <v>4.8230000000000004</v>
      </c>
      <c r="P5160" s="7">
        <v>5.5339999999999998</v>
      </c>
      <c r="Q5160" s="7">
        <v>5.97</v>
      </c>
      <c r="R5160" s="7">
        <v>6.2549999999999999</v>
      </c>
      <c r="S5160" s="7">
        <f t="shared" si="80"/>
        <v>5.0319166666666666</v>
      </c>
    </row>
    <row r="5161" spans="1:19">
      <c r="A5161" s="5" t="str">
        <f>B5161&amp;"-"&amp;COUNTIF($B$2:B5161,B5161)</f>
        <v>SÃO PAULO-450</v>
      </c>
      <c r="B5161" s="5" t="s">
        <v>3122</v>
      </c>
      <c r="C5161" s="5" t="s">
        <v>3416</v>
      </c>
      <c r="D5161" s="6">
        <v>-493584</v>
      </c>
      <c r="E5161" s="6">
        <v>-217363</v>
      </c>
      <c r="F5161" s="7">
        <v>5.1379999999999999</v>
      </c>
      <c r="G5161" s="7">
        <v>5.9669999999999996</v>
      </c>
      <c r="H5161" s="7">
        <v>6.1020000000000003</v>
      </c>
      <c r="I5161" s="7">
        <v>5.4160000000000004</v>
      </c>
      <c r="J5161" s="7">
        <v>4.8239999999999998</v>
      </c>
      <c r="K5161" s="7">
        <v>3.9390000000000001</v>
      </c>
      <c r="L5161" s="7">
        <v>3.6850000000000001</v>
      </c>
      <c r="M5161" s="7">
        <v>3.9329999999999998</v>
      </c>
      <c r="N5161" s="7">
        <v>4.7960000000000003</v>
      </c>
      <c r="O5161" s="7">
        <v>4.9569999999999999</v>
      </c>
      <c r="P5161" s="7">
        <v>5.6849999999999996</v>
      </c>
      <c r="Q5161" s="7">
        <v>6.0209999999999999</v>
      </c>
      <c r="R5161" s="7">
        <v>6.3339999999999996</v>
      </c>
      <c r="S5161" s="7">
        <f t="shared" si="80"/>
        <v>5.1382500000000002</v>
      </c>
    </row>
    <row r="5162" spans="1:19">
      <c r="A5162" s="5" t="str">
        <f>B5162&amp;"-"&amp;COUNTIF($B$2:B5162,B5162)</f>
        <v>SÃO PAULO-451</v>
      </c>
      <c r="B5162" s="5" t="s">
        <v>3122</v>
      </c>
      <c r="C5162" s="5" t="s">
        <v>3417</v>
      </c>
      <c r="D5162" s="6">
        <v>-480427</v>
      </c>
      <c r="E5162" s="6">
        <v>-21022</v>
      </c>
      <c r="F5162" s="7">
        <v>5.1580000000000004</v>
      </c>
      <c r="G5162" s="7">
        <v>5.8120000000000003</v>
      </c>
      <c r="H5162" s="7">
        <v>6.0289999999999999</v>
      </c>
      <c r="I5162" s="7">
        <v>5.2489999999999997</v>
      </c>
      <c r="J5162" s="7">
        <v>4.9059999999999997</v>
      </c>
      <c r="K5162" s="7">
        <v>4.1630000000000003</v>
      </c>
      <c r="L5162" s="7">
        <v>3.89</v>
      </c>
      <c r="M5162" s="7">
        <v>4.1769999999999996</v>
      </c>
      <c r="N5162" s="7">
        <v>5.0190000000000001</v>
      </c>
      <c r="O5162" s="7">
        <v>4.9960000000000004</v>
      </c>
      <c r="P5162" s="7">
        <v>5.5940000000000003</v>
      </c>
      <c r="Q5162" s="7">
        <v>5.8659999999999997</v>
      </c>
      <c r="R5162" s="7">
        <v>6.1929999999999996</v>
      </c>
      <c r="S5162" s="7">
        <f t="shared" si="80"/>
        <v>5.1578333333333335</v>
      </c>
    </row>
    <row r="5163" spans="1:19">
      <c r="A5163" s="5" t="str">
        <f>B5163&amp;"-"&amp;COUNTIF($B$2:B5163,B5163)</f>
        <v>SÃO PAULO-452</v>
      </c>
      <c r="B5163" s="5" t="s">
        <v>3122</v>
      </c>
      <c r="C5163" s="5" t="s">
        <v>3418</v>
      </c>
      <c r="D5163" s="6">
        <v>-505229</v>
      </c>
      <c r="E5163" s="6">
        <v>-20441</v>
      </c>
      <c r="F5163" s="7">
        <v>5.1820000000000004</v>
      </c>
      <c r="G5163" s="7">
        <v>5.8</v>
      </c>
      <c r="H5163" s="7">
        <v>5.9160000000000004</v>
      </c>
      <c r="I5163" s="7">
        <v>5.3120000000000003</v>
      </c>
      <c r="J5163" s="7">
        <v>4.8849999999999998</v>
      </c>
      <c r="K5163" s="7">
        <v>4.173</v>
      </c>
      <c r="L5163" s="7">
        <v>3.9140000000000001</v>
      </c>
      <c r="M5163" s="7">
        <v>4.1189999999999998</v>
      </c>
      <c r="N5163" s="7">
        <v>5.0369999999999999</v>
      </c>
      <c r="O5163" s="7">
        <v>5.1029999999999998</v>
      </c>
      <c r="P5163" s="7">
        <v>5.6660000000000004</v>
      </c>
      <c r="Q5163" s="7">
        <v>5.9820000000000002</v>
      </c>
      <c r="R5163" s="7">
        <v>6.2809999999999997</v>
      </c>
      <c r="S5163" s="7">
        <f t="shared" si="80"/>
        <v>5.1823333333333341</v>
      </c>
    </row>
    <row r="5164" spans="1:19">
      <c r="A5164" s="5" t="str">
        <f>B5164&amp;"-"&amp;COUNTIF($B$2:B5164,B5164)</f>
        <v>SÃO PAULO-453</v>
      </c>
      <c r="B5164" s="5" t="s">
        <v>3122</v>
      </c>
      <c r="C5164" s="5" t="s">
        <v>3419</v>
      </c>
      <c r="D5164" s="6">
        <v>-49702</v>
      </c>
      <c r="E5164" s="6">
        <v>-201828</v>
      </c>
      <c r="F5164" s="7">
        <v>5.1879999999999997</v>
      </c>
      <c r="G5164" s="7">
        <v>5.8070000000000004</v>
      </c>
      <c r="H5164" s="7">
        <v>5.91</v>
      </c>
      <c r="I5164" s="7">
        <v>5.3010000000000002</v>
      </c>
      <c r="J5164" s="7">
        <v>4.9290000000000003</v>
      </c>
      <c r="K5164" s="7">
        <v>4.2309999999999999</v>
      </c>
      <c r="L5164" s="7">
        <v>3.9369999999999998</v>
      </c>
      <c r="M5164" s="7">
        <v>4.2050000000000001</v>
      </c>
      <c r="N5164" s="7">
        <v>5.1059999999999999</v>
      </c>
      <c r="O5164" s="7">
        <v>5.1189999999999998</v>
      </c>
      <c r="P5164" s="7">
        <v>5.6459999999999999</v>
      </c>
      <c r="Q5164" s="7">
        <v>5.8689999999999998</v>
      </c>
      <c r="R5164" s="7">
        <v>6.1909999999999998</v>
      </c>
      <c r="S5164" s="7">
        <f t="shared" si="80"/>
        <v>5.1875833333333343</v>
      </c>
    </row>
    <row r="5165" spans="1:19">
      <c r="A5165" s="5" t="str">
        <f>B5165&amp;"-"&amp;COUNTIF($B$2:B5165,B5165)</f>
        <v>SÃO PAULO-454</v>
      </c>
      <c r="B5165" s="5" t="s">
        <v>3122</v>
      </c>
      <c r="C5165" s="5" t="s">
        <v>3420</v>
      </c>
      <c r="D5165" s="6">
        <v>-505384</v>
      </c>
      <c r="E5165" s="6">
        <v>-199458</v>
      </c>
      <c r="F5165" s="7">
        <v>5.1849999999999996</v>
      </c>
      <c r="G5165" s="7">
        <v>5.8250000000000002</v>
      </c>
      <c r="H5165" s="7">
        <v>5.944</v>
      </c>
      <c r="I5165" s="7">
        <v>5.3659999999999997</v>
      </c>
      <c r="J5165" s="7">
        <v>4.915</v>
      </c>
      <c r="K5165" s="7">
        <v>4.25</v>
      </c>
      <c r="L5165" s="7">
        <v>3.9689999999999999</v>
      </c>
      <c r="M5165" s="7">
        <v>4.1680000000000001</v>
      </c>
      <c r="N5165" s="7">
        <v>5.0679999999999996</v>
      </c>
      <c r="O5165" s="7">
        <v>5.0359999999999996</v>
      </c>
      <c r="P5165" s="7">
        <v>5.6749999999999998</v>
      </c>
      <c r="Q5165" s="7">
        <v>5.8360000000000003</v>
      </c>
      <c r="R5165" s="7">
        <v>6.165</v>
      </c>
      <c r="S5165" s="7">
        <f t="shared" si="80"/>
        <v>5.1847499999999993</v>
      </c>
    </row>
    <row r="5166" spans="1:19">
      <c r="A5166" s="5" t="str">
        <f>B5166&amp;"-"&amp;COUNTIF($B$2:B5166,B5166)</f>
        <v>SÃO PAULO-455</v>
      </c>
      <c r="B5166" s="5" t="s">
        <v>3122</v>
      </c>
      <c r="C5166" s="5" t="s">
        <v>3421</v>
      </c>
      <c r="D5166" s="6">
        <v>-481199</v>
      </c>
      <c r="E5166" s="6">
        <v>-231766</v>
      </c>
      <c r="F5166" s="7">
        <v>4.8209999999999997</v>
      </c>
      <c r="G5166" s="7">
        <v>5.609</v>
      </c>
      <c r="H5166" s="7">
        <v>5.7750000000000004</v>
      </c>
      <c r="I5166" s="7">
        <v>5.0549999999999997</v>
      </c>
      <c r="J5166" s="7">
        <v>4.5250000000000004</v>
      </c>
      <c r="K5166" s="7">
        <v>3.649</v>
      </c>
      <c r="L5166" s="7">
        <v>3.391</v>
      </c>
      <c r="M5166" s="7">
        <v>3.5369999999999999</v>
      </c>
      <c r="N5166" s="7">
        <v>4.5259999999999998</v>
      </c>
      <c r="O5166" s="7">
        <v>4.6909999999999998</v>
      </c>
      <c r="P5166" s="7">
        <v>5.26</v>
      </c>
      <c r="Q5166" s="7">
        <v>5.7329999999999997</v>
      </c>
      <c r="R5166" s="7">
        <v>6.101</v>
      </c>
      <c r="S5166" s="7">
        <f t="shared" si="80"/>
        <v>4.8209999999999988</v>
      </c>
    </row>
    <row r="5167" spans="1:19">
      <c r="A5167" s="5" t="str">
        <f>B5167&amp;"-"&amp;COUNTIF($B$2:B5167,B5167)</f>
        <v>SÃO PAULO-456</v>
      </c>
      <c r="B5167" s="5" t="s">
        <v>3122</v>
      </c>
      <c r="C5167" s="5" t="s">
        <v>3422</v>
      </c>
      <c r="D5167" s="6">
        <v>-475255</v>
      </c>
      <c r="E5167" s="6">
        <v>-232098</v>
      </c>
      <c r="F5167" s="7">
        <v>4.8639999999999999</v>
      </c>
      <c r="G5167" s="7">
        <v>5.5979999999999999</v>
      </c>
      <c r="H5167" s="7">
        <v>5.8650000000000002</v>
      </c>
      <c r="I5167" s="7">
        <v>5.1340000000000003</v>
      </c>
      <c r="J5167" s="7">
        <v>4.524</v>
      </c>
      <c r="K5167" s="7">
        <v>3.7370000000000001</v>
      </c>
      <c r="L5167" s="7">
        <v>3.4350000000000001</v>
      </c>
      <c r="M5167" s="7">
        <v>3.5539999999999998</v>
      </c>
      <c r="N5167" s="7">
        <v>4.5490000000000004</v>
      </c>
      <c r="O5167" s="7">
        <v>4.71</v>
      </c>
      <c r="P5167" s="7">
        <v>5.3550000000000004</v>
      </c>
      <c r="Q5167" s="7">
        <v>5.7389999999999999</v>
      </c>
      <c r="R5167" s="7">
        <v>6.165</v>
      </c>
      <c r="S5167" s="7">
        <f t="shared" si="80"/>
        <v>4.8637499999999996</v>
      </c>
    </row>
    <row r="5168" spans="1:19">
      <c r="A5168" s="5" t="str">
        <f>B5168&amp;"-"&amp;COUNTIF($B$2:B5168,B5168)</f>
        <v>SÃO PAULO-457</v>
      </c>
      <c r="B5168" s="5" t="s">
        <v>3122</v>
      </c>
      <c r="C5168" s="5" t="s">
        <v>3423</v>
      </c>
      <c r="D5168" s="6">
        <v>-474874</v>
      </c>
      <c r="E5168" s="6">
        <v>-218503</v>
      </c>
      <c r="F5168" s="7">
        <v>5.0259999999999998</v>
      </c>
      <c r="G5168" s="7">
        <v>5.6710000000000003</v>
      </c>
      <c r="H5168" s="7">
        <v>5.8479999999999999</v>
      </c>
      <c r="I5168" s="7">
        <v>5.1340000000000003</v>
      </c>
      <c r="J5168" s="7">
        <v>4.7759999999999998</v>
      </c>
      <c r="K5168" s="7">
        <v>4.0149999999999997</v>
      </c>
      <c r="L5168" s="7">
        <v>3.76</v>
      </c>
      <c r="M5168" s="7">
        <v>3.9409999999999998</v>
      </c>
      <c r="N5168" s="7">
        <v>4.8760000000000003</v>
      </c>
      <c r="O5168" s="7">
        <v>4.9530000000000003</v>
      </c>
      <c r="P5168" s="7">
        <v>5.54</v>
      </c>
      <c r="Q5168" s="7">
        <v>5.7480000000000002</v>
      </c>
      <c r="R5168" s="7">
        <v>6.0490000000000004</v>
      </c>
      <c r="S5168" s="7">
        <f t="shared" si="80"/>
        <v>5.0259166666666664</v>
      </c>
    </row>
    <row r="5169" spans="1:19">
      <c r="A5169" s="5" t="str">
        <f>B5169&amp;"-"&amp;COUNTIF($B$2:B5169,B5169)</f>
        <v>SÃO PAULO-458</v>
      </c>
      <c r="B5169" s="5" t="s">
        <v>3122</v>
      </c>
      <c r="C5169" s="5" t="s">
        <v>3424</v>
      </c>
      <c r="D5169" s="6">
        <v>-452556</v>
      </c>
      <c r="E5169" s="6">
        <v>-228348</v>
      </c>
      <c r="F5169" s="7">
        <v>4.6280000000000001</v>
      </c>
      <c r="G5169" s="7">
        <v>5.3639999999999999</v>
      </c>
      <c r="H5169" s="7">
        <v>5.6239999999999997</v>
      </c>
      <c r="I5169" s="7">
        <v>4.8090000000000002</v>
      </c>
      <c r="J5169" s="7">
        <v>4.3810000000000002</v>
      </c>
      <c r="K5169" s="7">
        <v>3.6110000000000002</v>
      </c>
      <c r="L5169" s="7">
        <v>3.3860000000000001</v>
      </c>
      <c r="M5169" s="7">
        <v>3.5129999999999999</v>
      </c>
      <c r="N5169" s="7">
        <v>4.4779999999999998</v>
      </c>
      <c r="O5169" s="7">
        <v>4.5940000000000003</v>
      </c>
      <c r="P5169" s="7">
        <v>5.0330000000000004</v>
      </c>
      <c r="Q5169" s="7">
        <v>5.0819999999999999</v>
      </c>
      <c r="R5169" s="7">
        <v>5.6609999999999996</v>
      </c>
      <c r="S5169" s="7">
        <f t="shared" si="80"/>
        <v>4.628000000000001</v>
      </c>
    </row>
    <row r="5170" spans="1:19">
      <c r="A5170" s="5" t="str">
        <f>B5170&amp;"-"&amp;COUNTIF($B$2:B5170,B5170)</f>
        <v>SÃO PAULO-459</v>
      </c>
      <c r="B5170" s="5" t="s">
        <v>3122</v>
      </c>
      <c r="C5170" s="5" t="s">
        <v>3425</v>
      </c>
      <c r="D5170" s="6">
        <v>-493769</v>
      </c>
      <c r="E5170" s="6">
        <v>-21043</v>
      </c>
      <c r="F5170" s="7">
        <v>5.1219999999999999</v>
      </c>
      <c r="G5170" s="7">
        <v>5.7969999999999997</v>
      </c>
      <c r="H5170" s="7">
        <v>5.867</v>
      </c>
      <c r="I5170" s="7">
        <v>5.1950000000000003</v>
      </c>
      <c r="J5170" s="7">
        <v>4.8369999999999997</v>
      </c>
      <c r="K5170" s="7">
        <v>4.1050000000000004</v>
      </c>
      <c r="L5170" s="7">
        <v>3.8650000000000002</v>
      </c>
      <c r="M5170" s="7">
        <v>4.0839999999999996</v>
      </c>
      <c r="N5170" s="7">
        <v>4.99</v>
      </c>
      <c r="O5170" s="7">
        <v>5.0780000000000003</v>
      </c>
      <c r="P5170" s="7">
        <v>5.6139999999999999</v>
      </c>
      <c r="Q5170" s="7">
        <v>5.9050000000000002</v>
      </c>
      <c r="R5170" s="7">
        <v>6.117</v>
      </c>
      <c r="S5170" s="7">
        <f t="shared" si="80"/>
        <v>5.1211666666666664</v>
      </c>
    </row>
    <row r="5171" spans="1:19">
      <c r="A5171" s="5" t="str">
        <f>B5171&amp;"-"&amp;COUNTIF($B$2:B5171,B5171)</f>
        <v>SÃO PAULO-460</v>
      </c>
      <c r="B5171" s="5" t="s">
        <v>3122</v>
      </c>
      <c r="C5171" s="5" t="s">
        <v>3426</v>
      </c>
      <c r="D5171" s="6">
        <v>-510862</v>
      </c>
      <c r="E5171" s="6">
        <v>-218532</v>
      </c>
      <c r="F5171" s="7">
        <v>5.1109999999999998</v>
      </c>
      <c r="G5171" s="7">
        <v>5.9470000000000001</v>
      </c>
      <c r="H5171" s="7">
        <v>5.9720000000000004</v>
      </c>
      <c r="I5171" s="7">
        <v>5.4589999999999996</v>
      </c>
      <c r="J5171" s="7">
        <v>4.8220000000000001</v>
      </c>
      <c r="K5171" s="7">
        <v>3.97</v>
      </c>
      <c r="L5171" s="7">
        <v>3.6589999999999998</v>
      </c>
      <c r="M5171" s="7">
        <v>3.827</v>
      </c>
      <c r="N5171" s="7">
        <v>4.8360000000000003</v>
      </c>
      <c r="O5171" s="7">
        <v>4.8040000000000003</v>
      </c>
      <c r="P5171" s="7">
        <v>5.5629999999999997</v>
      </c>
      <c r="Q5171" s="7">
        <v>6.08</v>
      </c>
      <c r="R5171" s="7">
        <v>6.3979999999999997</v>
      </c>
      <c r="S5171" s="7">
        <f t="shared" si="80"/>
        <v>5.1114166666666669</v>
      </c>
    </row>
    <row r="5172" spans="1:19">
      <c r="A5172" s="5" t="str">
        <f>B5172&amp;"-"&amp;COUNTIF($B$2:B5172,B5172)</f>
        <v>SÃO PAULO-461</v>
      </c>
      <c r="B5172" s="5" t="s">
        <v>3122</v>
      </c>
      <c r="C5172" s="5" t="s">
        <v>5253</v>
      </c>
      <c r="D5172" s="6">
        <v>-480683</v>
      </c>
      <c r="E5172" s="6">
        <v>-21363</v>
      </c>
      <c r="F5172" s="7">
        <v>5.0590000000000002</v>
      </c>
      <c r="G5172" s="7">
        <v>5.7050000000000001</v>
      </c>
      <c r="H5172" s="7">
        <v>5.9459999999999997</v>
      </c>
      <c r="I5172" s="7">
        <v>5.2149999999999999</v>
      </c>
      <c r="J5172" s="7">
        <v>4.7469999999999999</v>
      </c>
      <c r="K5172" s="7">
        <v>4.0819999999999999</v>
      </c>
      <c r="L5172" s="7">
        <v>3.8319999999999999</v>
      </c>
      <c r="M5172" s="7">
        <v>4.0199999999999996</v>
      </c>
      <c r="N5172" s="7">
        <v>4.8529999999999998</v>
      </c>
      <c r="O5172" s="7">
        <v>4.9240000000000004</v>
      </c>
      <c r="P5172" s="7">
        <v>5.5110000000000001</v>
      </c>
      <c r="Q5172" s="7">
        <v>5.7619999999999996</v>
      </c>
      <c r="R5172" s="7">
        <v>6.109</v>
      </c>
      <c r="S5172" s="7">
        <f t="shared" si="80"/>
        <v>5.0588333333333333</v>
      </c>
    </row>
    <row r="5173" spans="1:19">
      <c r="A5173" s="5" t="str">
        <f>B5173&amp;"-"&amp;COUNTIF($B$2:B5173,B5173)</f>
        <v>SÃO PAULO-462</v>
      </c>
      <c r="B5173" s="5" t="s">
        <v>3122</v>
      </c>
      <c r="C5173" s="5" t="s">
        <v>3075</v>
      </c>
      <c r="D5173" s="6">
        <v>-464125</v>
      </c>
      <c r="E5173" s="6">
        <v>-240089</v>
      </c>
      <c r="F5173" s="7">
        <v>3.91</v>
      </c>
      <c r="G5173" s="7">
        <v>4.9359999999999999</v>
      </c>
      <c r="H5173" s="7">
        <v>5.0990000000000002</v>
      </c>
      <c r="I5173" s="7">
        <v>4.2889999999999997</v>
      </c>
      <c r="J5173" s="7">
        <v>3.827</v>
      </c>
      <c r="K5173" s="7">
        <v>3.153</v>
      </c>
      <c r="L5173" s="7">
        <v>2.7909999999999999</v>
      </c>
      <c r="M5173" s="7">
        <v>2.7989999999999999</v>
      </c>
      <c r="N5173" s="7">
        <v>3.4359999999999999</v>
      </c>
      <c r="O5173" s="7">
        <v>3.3919999999999999</v>
      </c>
      <c r="P5173" s="7">
        <v>3.766</v>
      </c>
      <c r="Q5173" s="7">
        <v>4.45</v>
      </c>
      <c r="R5173" s="7">
        <v>4.9870000000000001</v>
      </c>
      <c r="S5173" s="7">
        <f t="shared" si="80"/>
        <v>3.9104166666666669</v>
      </c>
    </row>
    <row r="5174" spans="1:19">
      <c r="A5174" s="5" t="str">
        <f>B5174&amp;"-"&amp;COUNTIF($B$2:B5174,B5174)</f>
        <v>SÃO PAULO-463</v>
      </c>
      <c r="B5174" s="5" t="s">
        <v>3122</v>
      </c>
      <c r="C5174" s="5" t="s">
        <v>5035</v>
      </c>
      <c r="D5174" s="6">
        <v>-48664</v>
      </c>
      <c r="E5174" s="6">
        <v>-228117</v>
      </c>
      <c r="F5174" s="7">
        <v>4.9189999999999996</v>
      </c>
      <c r="G5174" s="7">
        <v>5.59</v>
      </c>
      <c r="H5174" s="7">
        <v>5.7569999999999997</v>
      </c>
      <c r="I5174" s="7">
        <v>5.1310000000000002</v>
      </c>
      <c r="J5174" s="7">
        <v>4.6120000000000001</v>
      </c>
      <c r="K5174" s="7">
        <v>3.7789999999999999</v>
      </c>
      <c r="L5174" s="7">
        <v>3.5249999999999999</v>
      </c>
      <c r="M5174" s="7">
        <v>3.7010000000000001</v>
      </c>
      <c r="N5174" s="7">
        <v>4.6920000000000002</v>
      </c>
      <c r="O5174" s="7">
        <v>4.7910000000000004</v>
      </c>
      <c r="P5174" s="7">
        <v>5.452</v>
      </c>
      <c r="Q5174" s="7">
        <v>5.83</v>
      </c>
      <c r="R5174" s="7">
        <v>6.1630000000000003</v>
      </c>
      <c r="S5174" s="7">
        <f t="shared" si="80"/>
        <v>4.9185833333333333</v>
      </c>
    </row>
    <row r="5175" spans="1:19">
      <c r="A5175" s="5" t="str">
        <f>B5175&amp;"-"&amp;COUNTIF($B$2:B5175,B5175)</f>
        <v>SÃO PAULO-464</v>
      </c>
      <c r="B5175" s="5" t="s">
        <v>3122</v>
      </c>
      <c r="C5175" s="5" t="s">
        <v>3427</v>
      </c>
      <c r="D5175" s="6">
        <v>-494385</v>
      </c>
      <c r="E5175" s="6">
        <v>-221004</v>
      </c>
      <c r="F5175" s="7">
        <v>5.0170000000000003</v>
      </c>
      <c r="G5175" s="7">
        <v>5.6470000000000002</v>
      </c>
      <c r="H5175" s="7">
        <v>5.8780000000000001</v>
      </c>
      <c r="I5175" s="7">
        <v>5.2320000000000002</v>
      </c>
      <c r="J5175" s="7">
        <v>4.7510000000000003</v>
      </c>
      <c r="K5175" s="7">
        <v>3.9039999999999999</v>
      </c>
      <c r="L5175" s="7">
        <v>3.6030000000000002</v>
      </c>
      <c r="M5175" s="7">
        <v>3.843</v>
      </c>
      <c r="N5175" s="7">
        <v>4.766</v>
      </c>
      <c r="O5175" s="7">
        <v>4.8600000000000003</v>
      </c>
      <c r="P5175" s="7">
        <v>5.5819999999999999</v>
      </c>
      <c r="Q5175" s="7">
        <v>5.9139999999999997</v>
      </c>
      <c r="R5175" s="7">
        <v>6.2279999999999998</v>
      </c>
      <c r="S5175" s="7">
        <f t="shared" si="80"/>
        <v>5.0173333333333341</v>
      </c>
    </row>
    <row r="5176" spans="1:19">
      <c r="A5176" s="5" t="str">
        <f>B5176&amp;"-"&amp;COUNTIF($B$2:B5176,B5176)</f>
        <v>SÃO PAULO-465</v>
      </c>
      <c r="B5176" s="5" t="s">
        <v>3122</v>
      </c>
      <c r="C5176" s="5" t="s">
        <v>1574</v>
      </c>
      <c r="D5176" s="6">
        <v>-515627</v>
      </c>
      <c r="E5176" s="6">
        <v>-219991</v>
      </c>
      <c r="F5176" s="7">
        <v>5.125</v>
      </c>
      <c r="G5176" s="7">
        <v>5.9809999999999999</v>
      </c>
      <c r="H5176" s="7">
        <v>6.0369999999999999</v>
      </c>
      <c r="I5176" s="7">
        <v>5.5119999999999996</v>
      </c>
      <c r="J5176" s="7">
        <v>4.8520000000000003</v>
      </c>
      <c r="K5176" s="7">
        <v>3.9470000000000001</v>
      </c>
      <c r="L5176" s="7">
        <v>3.601</v>
      </c>
      <c r="M5176" s="7">
        <v>3.8359999999999999</v>
      </c>
      <c r="N5176" s="7">
        <v>4.7699999999999996</v>
      </c>
      <c r="O5176" s="7">
        <v>4.8479999999999999</v>
      </c>
      <c r="P5176" s="7">
        <v>5.57</v>
      </c>
      <c r="Q5176" s="7">
        <v>6.1130000000000004</v>
      </c>
      <c r="R5176" s="7">
        <v>6.4320000000000004</v>
      </c>
      <c r="S5176" s="7">
        <f t="shared" si="80"/>
        <v>5.1249166666666666</v>
      </c>
    </row>
    <row r="5177" spans="1:19">
      <c r="A5177" s="5" t="str">
        <f>B5177&amp;"-"&amp;COUNTIF($B$2:B5177,B5177)</f>
        <v>SÃO PAULO-466</v>
      </c>
      <c r="B5177" s="5" t="s">
        <v>3122</v>
      </c>
      <c r="C5177" s="5" t="s">
        <v>5786</v>
      </c>
      <c r="D5177" s="6">
        <v>-521116</v>
      </c>
      <c r="E5177" s="6">
        <v>-217655</v>
      </c>
      <c r="F5177" s="7">
        <v>5.15</v>
      </c>
      <c r="G5177" s="7">
        <v>6.0640000000000001</v>
      </c>
      <c r="H5177" s="7">
        <v>6.165</v>
      </c>
      <c r="I5177" s="7">
        <v>5.6369999999999996</v>
      </c>
      <c r="J5177" s="7">
        <v>4.8390000000000004</v>
      </c>
      <c r="K5177" s="7">
        <v>3.9689999999999999</v>
      </c>
      <c r="L5177" s="7">
        <v>3.6059999999999999</v>
      </c>
      <c r="M5177" s="7">
        <v>3.7749999999999999</v>
      </c>
      <c r="N5177" s="7">
        <v>4.7220000000000004</v>
      </c>
      <c r="O5177" s="7">
        <v>4.7569999999999997</v>
      </c>
      <c r="P5177" s="7">
        <v>5.52</v>
      </c>
      <c r="Q5177" s="7">
        <v>6.1520000000000001</v>
      </c>
      <c r="R5177" s="7">
        <v>6.59</v>
      </c>
      <c r="S5177" s="7">
        <f t="shared" si="80"/>
        <v>5.1496666666666675</v>
      </c>
    </row>
    <row r="5178" spans="1:19">
      <c r="A5178" s="5" t="str">
        <f>B5178&amp;"-"&amp;COUNTIF($B$2:B5178,B5178)</f>
        <v>SÃO PAULO-467</v>
      </c>
      <c r="B5178" s="5" t="s">
        <v>3122</v>
      </c>
      <c r="C5178" s="5" t="s">
        <v>3428</v>
      </c>
      <c r="D5178" s="6">
        <v>-51393</v>
      </c>
      <c r="E5178" s="6">
        <v>-221211</v>
      </c>
      <c r="F5178" s="7">
        <v>5.1100000000000003</v>
      </c>
      <c r="G5178" s="7">
        <v>5.9909999999999997</v>
      </c>
      <c r="H5178" s="7">
        <v>5.9829999999999997</v>
      </c>
      <c r="I5178" s="7">
        <v>5.4630000000000001</v>
      </c>
      <c r="J5178" s="7">
        <v>4.8129999999999997</v>
      </c>
      <c r="K5178" s="7">
        <v>3.9289999999999998</v>
      </c>
      <c r="L5178" s="7">
        <v>3.5830000000000002</v>
      </c>
      <c r="M5178" s="7">
        <v>3.8290000000000002</v>
      </c>
      <c r="N5178" s="7">
        <v>4.7759999999999998</v>
      </c>
      <c r="O5178" s="7">
        <v>4.8529999999999998</v>
      </c>
      <c r="P5178" s="7">
        <v>5.5439999999999996</v>
      </c>
      <c r="Q5178" s="7">
        <v>6.1029999999999998</v>
      </c>
      <c r="R5178" s="7">
        <v>6.4589999999999996</v>
      </c>
      <c r="S5178" s="7">
        <f t="shared" si="80"/>
        <v>5.1105000000000009</v>
      </c>
    </row>
    <row r="5179" spans="1:19">
      <c r="A5179" s="5" t="str">
        <f>B5179&amp;"-"&amp;COUNTIF($B$2:B5179,B5179)</f>
        <v>SÃO PAULO-468</v>
      </c>
      <c r="B5179" s="5" t="s">
        <v>3122</v>
      </c>
      <c r="C5179" s="5" t="s">
        <v>3429</v>
      </c>
      <c r="D5179" s="6">
        <v>-518452</v>
      </c>
      <c r="E5179" s="6">
        <v>-218737</v>
      </c>
      <c r="F5179" s="7">
        <v>5.12</v>
      </c>
      <c r="G5179" s="7">
        <v>6.0229999999999997</v>
      </c>
      <c r="H5179" s="7">
        <v>6.05</v>
      </c>
      <c r="I5179" s="7">
        <v>5.4729999999999999</v>
      </c>
      <c r="J5179" s="7">
        <v>4.7619999999999996</v>
      </c>
      <c r="K5179" s="7">
        <v>3.9590000000000001</v>
      </c>
      <c r="L5179" s="7">
        <v>3.6160000000000001</v>
      </c>
      <c r="M5179" s="7">
        <v>3.8210000000000002</v>
      </c>
      <c r="N5179" s="7">
        <v>4.7530000000000001</v>
      </c>
      <c r="O5179" s="7">
        <v>4.8639999999999999</v>
      </c>
      <c r="P5179" s="7">
        <v>5.548</v>
      </c>
      <c r="Q5179" s="7">
        <v>6.09</v>
      </c>
      <c r="R5179" s="7">
        <v>6.4740000000000002</v>
      </c>
      <c r="S5179" s="7">
        <f t="shared" si="80"/>
        <v>5.1194166666666669</v>
      </c>
    </row>
    <row r="5180" spans="1:19">
      <c r="A5180" s="5" t="str">
        <f>B5180&amp;"-"&amp;COUNTIF($B$2:B5180,B5180)</f>
        <v>SÃO PAULO-469</v>
      </c>
      <c r="B5180" s="5" t="s">
        <v>3122</v>
      </c>
      <c r="C5180" s="5" t="s">
        <v>4226</v>
      </c>
      <c r="D5180" s="6">
        <v>-498603</v>
      </c>
      <c r="E5180" s="6">
        <v>-21536</v>
      </c>
      <c r="F5180" s="7">
        <v>5.1260000000000003</v>
      </c>
      <c r="G5180" s="7">
        <v>5.9009999999999998</v>
      </c>
      <c r="H5180" s="7">
        <v>6.0250000000000004</v>
      </c>
      <c r="I5180" s="7">
        <v>5.367</v>
      </c>
      <c r="J5180" s="7">
        <v>4.8719999999999999</v>
      </c>
      <c r="K5180" s="7">
        <v>3.9540000000000002</v>
      </c>
      <c r="L5180" s="7">
        <v>3.7149999999999999</v>
      </c>
      <c r="M5180" s="7">
        <v>3.944</v>
      </c>
      <c r="N5180" s="7">
        <v>4.8090000000000002</v>
      </c>
      <c r="O5180" s="7">
        <v>4.952</v>
      </c>
      <c r="P5180" s="7">
        <v>5.625</v>
      </c>
      <c r="Q5180" s="7">
        <v>6.02</v>
      </c>
      <c r="R5180" s="7">
        <v>6.3310000000000004</v>
      </c>
      <c r="S5180" s="7">
        <f t="shared" si="80"/>
        <v>5.1262499999999998</v>
      </c>
    </row>
    <row r="5181" spans="1:19">
      <c r="A5181" s="5" t="str">
        <f>B5181&amp;"-"&amp;COUNTIF($B$2:B5181,B5181)</f>
        <v>SÃO PAULO-470</v>
      </c>
      <c r="B5181" s="5" t="s">
        <v>3122</v>
      </c>
      <c r="C5181" s="5" t="s">
        <v>3430</v>
      </c>
      <c r="D5181" s="6">
        <v>-480551</v>
      </c>
      <c r="E5181" s="6">
        <v>-232998</v>
      </c>
      <c r="F5181" s="7">
        <v>4.8079999999999998</v>
      </c>
      <c r="G5181" s="7">
        <v>5.5289999999999999</v>
      </c>
      <c r="H5181" s="7">
        <v>5.78</v>
      </c>
      <c r="I5181" s="7">
        <v>5.0540000000000003</v>
      </c>
      <c r="J5181" s="7">
        <v>4.53</v>
      </c>
      <c r="K5181" s="7">
        <v>3.6309999999999998</v>
      </c>
      <c r="L5181" s="7">
        <v>3.399</v>
      </c>
      <c r="M5181" s="7">
        <v>3.5019999999999998</v>
      </c>
      <c r="N5181" s="7">
        <v>4.5110000000000001</v>
      </c>
      <c r="O5181" s="7">
        <v>4.6779999999999999</v>
      </c>
      <c r="P5181" s="7">
        <v>5.2619999999999996</v>
      </c>
      <c r="Q5181" s="7">
        <v>5.7210000000000001</v>
      </c>
      <c r="R5181" s="7">
        <v>6.0949999999999998</v>
      </c>
      <c r="S5181" s="7">
        <f t="shared" si="80"/>
        <v>4.8076666666666661</v>
      </c>
    </row>
    <row r="5182" spans="1:19">
      <c r="A5182" s="5" t="str">
        <f>B5182&amp;"-"&amp;COUNTIF($B$2:B5182,B5182)</f>
        <v>SÃO PAULO-471</v>
      </c>
      <c r="B5182" s="5" t="s">
        <v>3122</v>
      </c>
      <c r="C5182" s="5" t="s">
        <v>5787</v>
      </c>
      <c r="D5182" s="6">
        <v>-506979</v>
      </c>
      <c r="E5182" s="6">
        <v>-22248</v>
      </c>
      <c r="F5182" s="7">
        <v>5.0289999999999999</v>
      </c>
      <c r="G5182" s="7">
        <v>5.827</v>
      </c>
      <c r="H5182" s="7">
        <v>5.8780000000000001</v>
      </c>
      <c r="I5182" s="7">
        <v>5.3170000000000002</v>
      </c>
      <c r="J5182" s="7">
        <v>4.7110000000000003</v>
      </c>
      <c r="K5182" s="7">
        <v>3.8929999999999998</v>
      </c>
      <c r="L5182" s="7">
        <v>3.5430000000000001</v>
      </c>
      <c r="M5182" s="7">
        <v>3.8140000000000001</v>
      </c>
      <c r="N5182" s="7">
        <v>4.7640000000000002</v>
      </c>
      <c r="O5182" s="7">
        <v>4.8150000000000004</v>
      </c>
      <c r="P5182" s="7">
        <v>5.4930000000000003</v>
      </c>
      <c r="Q5182" s="7">
        <v>5.9749999999999996</v>
      </c>
      <c r="R5182" s="7">
        <v>6.3179999999999996</v>
      </c>
      <c r="S5182" s="7">
        <f t="shared" si="80"/>
        <v>5.0289999999999999</v>
      </c>
    </row>
    <row r="5183" spans="1:19">
      <c r="A5183" s="5" t="str">
        <f>B5183&amp;"-"&amp;COUNTIF($B$2:B5183,B5183)</f>
        <v>SÃO PAULO-472</v>
      </c>
      <c r="B5183" s="5" t="s">
        <v>3122</v>
      </c>
      <c r="C5183" s="5" t="s">
        <v>3431</v>
      </c>
      <c r="D5183" s="6">
        <v>-502399</v>
      </c>
      <c r="E5183" s="6">
        <v>-21799</v>
      </c>
      <c r="F5183" s="7">
        <v>5.08</v>
      </c>
      <c r="G5183" s="7">
        <v>5.89</v>
      </c>
      <c r="H5183" s="7">
        <v>5.9169999999999998</v>
      </c>
      <c r="I5183" s="7">
        <v>5.3289999999999997</v>
      </c>
      <c r="J5183" s="7">
        <v>4.8019999999999996</v>
      </c>
      <c r="K5183" s="7">
        <v>3.915</v>
      </c>
      <c r="L5183" s="7">
        <v>3.6459999999999999</v>
      </c>
      <c r="M5183" s="7">
        <v>3.8759999999999999</v>
      </c>
      <c r="N5183" s="7">
        <v>4.7859999999999996</v>
      </c>
      <c r="O5183" s="7">
        <v>4.8390000000000004</v>
      </c>
      <c r="P5183" s="7">
        <v>5.5949999999999998</v>
      </c>
      <c r="Q5183" s="7">
        <v>5.9950000000000001</v>
      </c>
      <c r="R5183" s="7">
        <v>6.3680000000000003</v>
      </c>
      <c r="S5183" s="7">
        <f t="shared" si="80"/>
        <v>5.0798333333333332</v>
      </c>
    </row>
    <row r="5184" spans="1:19">
      <c r="A5184" s="5" t="str">
        <f>B5184&amp;"-"&amp;COUNTIF($B$2:B5184,B5184)</f>
        <v>SÃO PAULO-473</v>
      </c>
      <c r="B5184" s="5" t="s">
        <v>3122</v>
      </c>
      <c r="C5184" s="5" t="s">
        <v>3432</v>
      </c>
      <c r="D5184" s="6">
        <v>-447785</v>
      </c>
      <c r="E5184" s="6">
        <v>-225317</v>
      </c>
      <c r="F5184" s="7">
        <v>4.3940000000000001</v>
      </c>
      <c r="G5184" s="7">
        <v>5.0250000000000004</v>
      </c>
      <c r="H5184" s="7">
        <v>5.2050000000000001</v>
      </c>
      <c r="I5184" s="7">
        <v>4.4859999999999998</v>
      </c>
      <c r="J5184" s="7">
        <v>4.1459999999999999</v>
      </c>
      <c r="K5184" s="7">
        <v>3.585</v>
      </c>
      <c r="L5184" s="7">
        <v>3.403</v>
      </c>
      <c r="M5184" s="7">
        <v>3.4830000000000001</v>
      </c>
      <c r="N5184" s="7">
        <v>4.3639999999999999</v>
      </c>
      <c r="O5184" s="7">
        <v>4.4669999999999996</v>
      </c>
      <c r="P5184" s="7">
        <v>4.7039999999999997</v>
      </c>
      <c r="Q5184" s="7">
        <v>4.633</v>
      </c>
      <c r="R5184" s="7">
        <v>5.2290000000000001</v>
      </c>
      <c r="S5184" s="7">
        <f t="shared" si="80"/>
        <v>4.394166666666667</v>
      </c>
    </row>
    <row r="5185" spans="1:19">
      <c r="A5185" s="5" t="str">
        <f>B5185&amp;"-"&amp;COUNTIF($B$2:B5185,B5185)</f>
        <v>SÃO PAULO-474</v>
      </c>
      <c r="B5185" s="5" t="s">
        <v>3122</v>
      </c>
      <c r="C5185" s="5" t="s">
        <v>3433</v>
      </c>
      <c r="D5185" s="6">
        <v>-503074</v>
      </c>
      <c r="E5185" s="6">
        <v>-220696</v>
      </c>
      <c r="F5185" s="7">
        <v>5.0350000000000001</v>
      </c>
      <c r="G5185" s="7">
        <v>5.84</v>
      </c>
      <c r="H5185" s="7">
        <v>5.883</v>
      </c>
      <c r="I5185" s="7">
        <v>5.3230000000000004</v>
      </c>
      <c r="J5185" s="7">
        <v>4.7539999999999996</v>
      </c>
      <c r="K5185" s="7">
        <v>3.883</v>
      </c>
      <c r="L5185" s="7">
        <v>3.601</v>
      </c>
      <c r="M5185" s="7">
        <v>3.8149999999999999</v>
      </c>
      <c r="N5185" s="7">
        <v>4.7910000000000004</v>
      </c>
      <c r="O5185" s="7">
        <v>4.7880000000000003</v>
      </c>
      <c r="P5185" s="7">
        <v>5.5060000000000002</v>
      </c>
      <c r="Q5185" s="7">
        <v>5.9779999999999998</v>
      </c>
      <c r="R5185" s="7">
        <v>6.2640000000000002</v>
      </c>
      <c r="S5185" s="7">
        <f t="shared" si="80"/>
        <v>5.0354999999999999</v>
      </c>
    </row>
    <row r="5186" spans="1:19">
      <c r="A5186" s="5" t="str">
        <f>B5186&amp;"-"&amp;COUNTIF($B$2:B5186,B5186)</f>
        <v>SÃO PAULO-475</v>
      </c>
      <c r="B5186" s="5" t="s">
        <v>3122</v>
      </c>
      <c r="C5186" s="5" t="s">
        <v>3434</v>
      </c>
      <c r="D5186" s="6">
        <v>-475322</v>
      </c>
      <c r="E5186" s="6">
        <v>-23011</v>
      </c>
      <c r="F5186" s="7">
        <v>4.891</v>
      </c>
      <c r="G5186" s="7">
        <v>5.63</v>
      </c>
      <c r="H5186" s="7">
        <v>5.8680000000000003</v>
      </c>
      <c r="I5186" s="7">
        <v>5.1159999999999997</v>
      </c>
      <c r="J5186" s="7">
        <v>4.593</v>
      </c>
      <c r="K5186" s="7">
        <v>3.7709999999999999</v>
      </c>
      <c r="L5186" s="7">
        <v>3.4830000000000001</v>
      </c>
      <c r="M5186" s="7">
        <v>3.6230000000000002</v>
      </c>
      <c r="N5186" s="7">
        <v>4.5860000000000003</v>
      </c>
      <c r="O5186" s="7">
        <v>4.7549999999999999</v>
      </c>
      <c r="P5186" s="7">
        <v>5.4189999999999996</v>
      </c>
      <c r="Q5186" s="7">
        <v>5.7160000000000002</v>
      </c>
      <c r="R5186" s="7">
        <v>6.1349999999999998</v>
      </c>
      <c r="S5186" s="7">
        <f t="shared" si="80"/>
        <v>4.8912500000000003</v>
      </c>
    </row>
    <row r="5187" spans="1:19">
      <c r="A5187" s="5" t="str">
        <f>B5187&amp;"-"&amp;COUNTIF($B$2:B5187,B5187)</f>
        <v>SÃO PAULO-476</v>
      </c>
      <c r="B5187" s="5" t="s">
        <v>3122</v>
      </c>
      <c r="C5187" s="5" t="s">
        <v>3435</v>
      </c>
      <c r="D5187" s="6">
        <v>-508935</v>
      </c>
      <c r="E5187" s="6">
        <v>-222274</v>
      </c>
      <c r="F5187" s="7">
        <v>5.05</v>
      </c>
      <c r="G5187" s="7">
        <v>5.9089999999999998</v>
      </c>
      <c r="H5187" s="7">
        <v>5.9039999999999999</v>
      </c>
      <c r="I5187" s="7">
        <v>5.36</v>
      </c>
      <c r="J5187" s="7">
        <v>4.7439999999999998</v>
      </c>
      <c r="K5187" s="7">
        <v>3.8849999999999998</v>
      </c>
      <c r="L5187" s="7">
        <v>3.5920000000000001</v>
      </c>
      <c r="M5187" s="7">
        <v>3.7890000000000001</v>
      </c>
      <c r="N5187" s="7">
        <v>4.7279999999999998</v>
      </c>
      <c r="O5187" s="7">
        <v>4.8310000000000004</v>
      </c>
      <c r="P5187" s="7">
        <v>5.5069999999999997</v>
      </c>
      <c r="Q5187" s="7">
        <v>5.9989999999999997</v>
      </c>
      <c r="R5187" s="7">
        <v>6.3520000000000003</v>
      </c>
      <c r="S5187" s="7">
        <f t="shared" ref="S5187:S5250" si="81">(G5187+H5187+I5187+J5187+K5187+L5187+M5187+N5187+O5187+P5187+Q5187+R5187)/12</f>
        <v>5.0500000000000007</v>
      </c>
    </row>
    <row r="5188" spans="1:19">
      <c r="A5188" s="5" t="str">
        <f>B5188&amp;"-"&amp;COUNTIF($B$2:B5188,B5188)</f>
        <v>SÃO PAULO-477</v>
      </c>
      <c r="B5188" s="5" t="s">
        <v>3122</v>
      </c>
      <c r="C5188" s="5" t="s">
        <v>4796</v>
      </c>
      <c r="D5188" s="6">
        <v>-455426</v>
      </c>
      <c r="E5188" s="6">
        <v>-232642</v>
      </c>
      <c r="F5188" s="7">
        <v>4.6369999999999996</v>
      </c>
      <c r="G5188" s="7">
        <v>5.609</v>
      </c>
      <c r="H5188" s="7">
        <v>5.8380000000000001</v>
      </c>
      <c r="I5188" s="7">
        <v>4.859</v>
      </c>
      <c r="J5188" s="7">
        <v>4.3620000000000001</v>
      </c>
      <c r="K5188" s="7">
        <v>3.5339999999999998</v>
      </c>
      <c r="L5188" s="7">
        <v>3.278</v>
      </c>
      <c r="M5188" s="7">
        <v>3.395</v>
      </c>
      <c r="N5188" s="7">
        <v>4.32</v>
      </c>
      <c r="O5188" s="7">
        <v>4.3869999999999996</v>
      </c>
      <c r="P5188" s="7">
        <v>4.9989999999999997</v>
      </c>
      <c r="Q5188" s="7">
        <v>5.226</v>
      </c>
      <c r="R5188" s="7">
        <v>5.8419999999999996</v>
      </c>
      <c r="S5188" s="7">
        <f t="shared" si="81"/>
        <v>4.6374166666666659</v>
      </c>
    </row>
    <row r="5189" spans="1:19">
      <c r="A5189" s="5" t="str">
        <f>B5189&amp;"-"&amp;COUNTIF($B$2:B5189,B5189)</f>
        <v>SÃO PAULO-478</v>
      </c>
      <c r="B5189" s="5" t="s">
        <v>3122</v>
      </c>
      <c r="C5189" s="5" t="s">
        <v>5254</v>
      </c>
      <c r="D5189" s="6">
        <v>-513059</v>
      </c>
      <c r="E5189" s="6">
        <v>-222186</v>
      </c>
      <c r="F5189" s="7">
        <v>5.0919999999999996</v>
      </c>
      <c r="G5189" s="7">
        <v>5.9660000000000002</v>
      </c>
      <c r="H5189" s="7">
        <v>5.976</v>
      </c>
      <c r="I5189" s="7">
        <v>5.4160000000000004</v>
      </c>
      <c r="J5189" s="7">
        <v>4.7789999999999999</v>
      </c>
      <c r="K5189" s="7">
        <v>3.8879999999999999</v>
      </c>
      <c r="L5189" s="7">
        <v>3.581</v>
      </c>
      <c r="M5189" s="7">
        <v>3.7930000000000001</v>
      </c>
      <c r="N5189" s="7">
        <v>4.7629999999999999</v>
      </c>
      <c r="O5189" s="7">
        <v>4.8760000000000003</v>
      </c>
      <c r="P5189" s="7">
        <v>5.5129999999999999</v>
      </c>
      <c r="Q5189" s="7">
        <v>6.1180000000000003</v>
      </c>
      <c r="R5189" s="7">
        <v>6.4359999999999999</v>
      </c>
      <c r="S5189" s="7">
        <f t="shared" si="81"/>
        <v>5.0920833333333331</v>
      </c>
    </row>
    <row r="5190" spans="1:19">
      <c r="A5190" s="5" t="str">
        <f>B5190&amp;"-"&amp;COUNTIF($B$2:B5190,B5190)</f>
        <v>SÃO PAULO-479</v>
      </c>
      <c r="B5190" s="5" t="s">
        <v>3122</v>
      </c>
      <c r="C5190" s="5" t="s">
        <v>5255</v>
      </c>
      <c r="D5190" s="6">
        <v>-492249</v>
      </c>
      <c r="E5190" s="6">
        <v>-21888</v>
      </c>
      <c r="F5190" s="7">
        <v>5.0780000000000003</v>
      </c>
      <c r="G5190" s="7">
        <v>5.8250000000000002</v>
      </c>
      <c r="H5190" s="7">
        <v>5.9530000000000003</v>
      </c>
      <c r="I5190" s="7">
        <v>5.3250000000000002</v>
      </c>
      <c r="J5190" s="7">
        <v>4.7519999999999998</v>
      </c>
      <c r="K5190" s="7">
        <v>3.9350000000000001</v>
      </c>
      <c r="L5190" s="7">
        <v>3.67</v>
      </c>
      <c r="M5190" s="7">
        <v>3.9119999999999999</v>
      </c>
      <c r="N5190" s="7">
        <v>4.8029999999999999</v>
      </c>
      <c r="O5190" s="7">
        <v>4.8899999999999997</v>
      </c>
      <c r="P5190" s="7">
        <v>5.6420000000000003</v>
      </c>
      <c r="Q5190" s="7">
        <v>5.9489999999999998</v>
      </c>
      <c r="R5190" s="7">
        <v>6.2779999999999996</v>
      </c>
      <c r="S5190" s="7">
        <f t="shared" si="81"/>
        <v>5.0778333333333334</v>
      </c>
    </row>
    <row r="5191" spans="1:19">
      <c r="A5191" s="5" t="str">
        <f>B5191&amp;"-"&amp;COUNTIF($B$2:B5191,B5191)</f>
        <v>SÃO PAULO-480</v>
      </c>
      <c r="B5191" s="5" t="s">
        <v>3122</v>
      </c>
      <c r="C5191" s="5" t="s">
        <v>3436</v>
      </c>
      <c r="D5191" s="6">
        <v>-478453</v>
      </c>
      <c r="E5191" s="6">
        <v>-244984</v>
      </c>
      <c r="F5191" s="7">
        <v>4.0149999999999997</v>
      </c>
      <c r="G5191" s="7">
        <v>5.3650000000000002</v>
      </c>
      <c r="H5191" s="7">
        <v>5.3609999999999998</v>
      </c>
      <c r="I5191" s="7">
        <v>4.452</v>
      </c>
      <c r="J5191" s="7">
        <v>3.8540000000000001</v>
      </c>
      <c r="K5191" s="7">
        <v>3.056</v>
      </c>
      <c r="L5191" s="7">
        <v>2.6219999999999999</v>
      </c>
      <c r="M5191" s="7">
        <v>2.6240000000000001</v>
      </c>
      <c r="N5191" s="7">
        <v>3.28</v>
      </c>
      <c r="O5191" s="7">
        <v>3.44</v>
      </c>
      <c r="P5191" s="7">
        <v>3.8820000000000001</v>
      </c>
      <c r="Q5191" s="7">
        <v>4.79</v>
      </c>
      <c r="R5191" s="7">
        <v>5.4569999999999999</v>
      </c>
      <c r="S5191" s="7">
        <f t="shared" si="81"/>
        <v>4.01525</v>
      </c>
    </row>
    <row r="5192" spans="1:19">
      <c r="A5192" s="5" t="str">
        <f>B5192&amp;"-"&amp;COUNTIF($B$2:B5192,B5192)</f>
        <v>SÃO PAULO-481</v>
      </c>
      <c r="B5192" s="5" t="s">
        <v>3122</v>
      </c>
      <c r="C5192" s="5" t="s">
        <v>3437</v>
      </c>
      <c r="D5192" s="6">
        <v>-474837</v>
      </c>
      <c r="E5192" s="6">
        <v>-206061</v>
      </c>
      <c r="F5192" s="7">
        <v>5.0679999999999996</v>
      </c>
      <c r="G5192" s="7">
        <v>5.5369999999999999</v>
      </c>
      <c r="H5192" s="7">
        <v>5.7590000000000003</v>
      </c>
      <c r="I5192" s="7">
        <v>4.9950000000000001</v>
      </c>
      <c r="J5192" s="7">
        <v>4.8330000000000002</v>
      </c>
      <c r="K5192" s="7">
        <v>4.2409999999999997</v>
      </c>
      <c r="L5192" s="7">
        <v>4.0460000000000003</v>
      </c>
      <c r="M5192" s="7">
        <v>4.2629999999999999</v>
      </c>
      <c r="N5192" s="7">
        <v>5.2220000000000004</v>
      </c>
      <c r="O5192" s="7">
        <v>5.14</v>
      </c>
      <c r="P5192" s="7">
        <v>5.4740000000000002</v>
      </c>
      <c r="Q5192" s="7">
        <v>5.5519999999999996</v>
      </c>
      <c r="R5192" s="7">
        <v>5.76</v>
      </c>
      <c r="S5192" s="7">
        <f t="shared" si="81"/>
        <v>5.0685000000000002</v>
      </c>
    </row>
    <row r="5193" spans="1:19">
      <c r="A5193" s="5" t="str">
        <f>B5193&amp;"-"&amp;COUNTIF($B$2:B5193,B5193)</f>
        <v>SÃO PAULO-482</v>
      </c>
      <c r="B5193" s="5" t="s">
        <v>3122</v>
      </c>
      <c r="C5193" s="5" t="s">
        <v>3438</v>
      </c>
      <c r="D5193" s="6">
        <v>-49005</v>
      </c>
      <c r="E5193" s="6">
        <v>-246523</v>
      </c>
      <c r="F5193" s="7">
        <v>4.2409999999999997</v>
      </c>
      <c r="G5193" s="7">
        <v>5.423</v>
      </c>
      <c r="H5193" s="7">
        <v>5.3579999999999997</v>
      </c>
      <c r="I5193" s="7">
        <v>4.6680000000000001</v>
      </c>
      <c r="J5193" s="7">
        <v>3.8969999999999998</v>
      </c>
      <c r="K5193" s="7">
        <v>3.0960000000000001</v>
      </c>
      <c r="L5193" s="7">
        <v>2.68</v>
      </c>
      <c r="M5193" s="7">
        <v>2.7639999999999998</v>
      </c>
      <c r="N5193" s="7">
        <v>3.7280000000000002</v>
      </c>
      <c r="O5193" s="7">
        <v>3.8660000000000001</v>
      </c>
      <c r="P5193" s="7">
        <v>4.4400000000000004</v>
      </c>
      <c r="Q5193" s="7">
        <v>5.2679999999999998</v>
      </c>
      <c r="R5193" s="7">
        <v>5.7069999999999999</v>
      </c>
      <c r="S5193" s="7">
        <f t="shared" si="81"/>
        <v>4.24125</v>
      </c>
    </row>
    <row r="5194" spans="1:19">
      <c r="A5194" s="5" t="str">
        <f>B5194&amp;"-"&amp;COUNTIF($B$2:B5194,B5194)</f>
        <v>SÃO PAULO-483</v>
      </c>
      <c r="B5194" s="5" t="s">
        <v>3122</v>
      </c>
      <c r="C5194" s="5" t="s">
        <v>4227</v>
      </c>
      <c r="D5194" s="6">
        <v>-481793</v>
      </c>
      <c r="E5194" s="6">
        <v>-220677</v>
      </c>
      <c r="F5194" s="7">
        <v>4.9820000000000002</v>
      </c>
      <c r="G5194" s="7">
        <v>5.5519999999999996</v>
      </c>
      <c r="H5194" s="7">
        <v>5.867</v>
      </c>
      <c r="I5194" s="7">
        <v>5.1689999999999996</v>
      </c>
      <c r="J5194" s="7">
        <v>4.7119999999999997</v>
      </c>
      <c r="K5194" s="7">
        <v>3.9279999999999999</v>
      </c>
      <c r="L5194" s="7">
        <v>3.6739999999999999</v>
      </c>
      <c r="M5194" s="7">
        <v>3.8660000000000001</v>
      </c>
      <c r="N5194" s="7">
        <v>4.79</v>
      </c>
      <c r="O5194" s="7">
        <v>4.9020000000000001</v>
      </c>
      <c r="P5194" s="7">
        <v>5.5309999999999997</v>
      </c>
      <c r="Q5194" s="7">
        <v>5.7279999999999998</v>
      </c>
      <c r="R5194" s="7">
        <v>6.0659999999999998</v>
      </c>
      <c r="S5194" s="7">
        <f t="shared" si="81"/>
        <v>4.9820833333333336</v>
      </c>
    </row>
    <row r="5195" spans="1:19">
      <c r="A5195" s="5" t="str">
        <f>B5195&amp;"-"&amp;COUNTIF($B$2:B5195,B5195)</f>
        <v>SÃO PAULO-484</v>
      </c>
      <c r="B5195" s="5" t="s">
        <v>3122</v>
      </c>
      <c r="C5195" s="5" t="s">
        <v>4228</v>
      </c>
      <c r="D5195" s="6">
        <v>-48764</v>
      </c>
      <c r="E5195" s="6">
        <v>-242211</v>
      </c>
      <c r="F5195" s="7">
        <v>4.4669999999999996</v>
      </c>
      <c r="G5195" s="7">
        <v>5.4669999999999996</v>
      </c>
      <c r="H5195" s="7">
        <v>5.4610000000000003</v>
      </c>
      <c r="I5195" s="7">
        <v>4.7279999999999998</v>
      </c>
      <c r="J5195" s="7">
        <v>4.1260000000000003</v>
      </c>
      <c r="K5195" s="7">
        <v>3.319</v>
      </c>
      <c r="L5195" s="7">
        <v>3.0169999999999999</v>
      </c>
      <c r="M5195" s="7">
        <v>3.1920000000000002</v>
      </c>
      <c r="N5195" s="7">
        <v>4.1470000000000002</v>
      </c>
      <c r="O5195" s="7">
        <v>4.2009999999999996</v>
      </c>
      <c r="P5195" s="7">
        <v>4.6909999999999998</v>
      </c>
      <c r="Q5195" s="7">
        <v>5.3780000000000001</v>
      </c>
      <c r="R5195" s="7">
        <v>5.88</v>
      </c>
      <c r="S5195" s="7">
        <f t="shared" si="81"/>
        <v>4.4672500000000008</v>
      </c>
    </row>
    <row r="5196" spans="1:19">
      <c r="A5196" s="5" t="str">
        <f>B5196&amp;"-"&amp;COUNTIF($B$2:B5196,B5196)</f>
        <v>SÃO PAULO-485</v>
      </c>
      <c r="B5196" s="5" t="s">
        <v>3122</v>
      </c>
      <c r="C5196" s="5" t="s">
        <v>4229</v>
      </c>
      <c r="D5196" s="6">
        <v>-475908</v>
      </c>
      <c r="E5196" s="6">
        <v>-204583</v>
      </c>
      <c r="F5196" s="7">
        <v>5.1059999999999999</v>
      </c>
      <c r="G5196" s="7">
        <v>5.5759999999999996</v>
      </c>
      <c r="H5196" s="7">
        <v>5.8029999999999999</v>
      </c>
      <c r="I5196" s="7">
        <v>5.0049999999999999</v>
      </c>
      <c r="J5196" s="7">
        <v>4.8650000000000002</v>
      </c>
      <c r="K5196" s="7">
        <v>4.2670000000000003</v>
      </c>
      <c r="L5196" s="7">
        <v>4.0789999999999997</v>
      </c>
      <c r="M5196" s="7">
        <v>4.3</v>
      </c>
      <c r="N5196" s="7">
        <v>5.2519999999999998</v>
      </c>
      <c r="O5196" s="7">
        <v>5.1479999999999997</v>
      </c>
      <c r="P5196" s="7">
        <v>5.4770000000000003</v>
      </c>
      <c r="Q5196" s="7">
        <v>5.6369999999999996</v>
      </c>
      <c r="R5196" s="7">
        <v>5.8650000000000002</v>
      </c>
      <c r="S5196" s="7">
        <f t="shared" si="81"/>
        <v>5.1061666666666676</v>
      </c>
    </row>
    <row r="5197" spans="1:19">
      <c r="A5197" s="5" t="str">
        <f>B5197&amp;"-"&amp;COUNTIF($B$2:B5197,B5197)</f>
        <v>SÃO PAULO-486</v>
      </c>
      <c r="B5197" s="5" t="s">
        <v>3122</v>
      </c>
      <c r="C5197" s="5" t="s">
        <v>4230</v>
      </c>
      <c r="D5197" s="6">
        <v>-499339</v>
      </c>
      <c r="E5197" s="6">
        <v>-22784</v>
      </c>
      <c r="F5197" s="7">
        <v>4.923</v>
      </c>
      <c r="G5197" s="7">
        <v>5.6669999999999998</v>
      </c>
      <c r="H5197" s="7">
        <v>5.7869999999999999</v>
      </c>
      <c r="I5197" s="7">
        <v>5.12</v>
      </c>
      <c r="J5197" s="7">
        <v>4.6719999999999997</v>
      </c>
      <c r="K5197" s="7">
        <v>3.7629999999999999</v>
      </c>
      <c r="L5197" s="7">
        <v>3.4569999999999999</v>
      </c>
      <c r="M5197" s="7">
        <v>3.6779999999999999</v>
      </c>
      <c r="N5197" s="7">
        <v>4.609</v>
      </c>
      <c r="O5197" s="7">
        <v>4.7190000000000003</v>
      </c>
      <c r="P5197" s="7">
        <v>5.4059999999999997</v>
      </c>
      <c r="Q5197" s="7">
        <v>5.8810000000000002</v>
      </c>
      <c r="R5197" s="7">
        <v>6.32</v>
      </c>
      <c r="S5197" s="7">
        <f t="shared" si="81"/>
        <v>4.9232500000000003</v>
      </c>
    </row>
    <row r="5198" spans="1:19">
      <c r="A5198" s="5" t="str">
        <f>B5198&amp;"-"&amp;COUNTIF($B$2:B5198,B5198)</f>
        <v>SÃO PAULO-487</v>
      </c>
      <c r="B5198" s="5" t="s">
        <v>3122</v>
      </c>
      <c r="C5198" s="5" t="s">
        <v>4231</v>
      </c>
      <c r="D5198" s="6">
        <v>-51604</v>
      </c>
      <c r="E5198" s="6">
        <v>-218369</v>
      </c>
      <c r="F5198" s="7">
        <v>5.117</v>
      </c>
      <c r="G5198" s="7">
        <v>5.9660000000000002</v>
      </c>
      <c r="H5198" s="7">
        <v>6.0049999999999999</v>
      </c>
      <c r="I5198" s="7">
        <v>5.4329999999999998</v>
      </c>
      <c r="J5198" s="7">
        <v>4.8159999999999998</v>
      </c>
      <c r="K5198" s="7">
        <v>3.9820000000000002</v>
      </c>
      <c r="L5198" s="7">
        <v>3.633</v>
      </c>
      <c r="M5198" s="7">
        <v>3.8340000000000001</v>
      </c>
      <c r="N5198" s="7">
        <v>4.7469999999999999</v>
      </c>
      <c r="O5198" s="7">
        <v>4.843</v>
      </c>
      <c r="P5198" s="7">
        <v>5.58</v>
      </c>
      <c r="Q5198" s="7">
        <v>6.1040000000000001</v>
      </c>
      <c r="R5198" s="7">
        <v>6.4560000000000004</v>
      </c>
      <c r="S5198" s="7">
        <f t="shared" si="81"/>
        <v>5.1165833333333337</v>
      </c>
    </row>
    <row r="5199" spans="1:19">
      <c r="A5199" s="5" t="str">
        <f>B5199&amp;"-"&amp;COUNTIF($B$2:B5199,B5199)</f>
        <v>SÃO PAULO-488</v>
      </c>
      <c r="B5199" s="5" t="s">
        <v>3122</v>
      </c>
      <c r="C5199" s="5" t="s">
        <v>4232</v>
      </c>
      <c r="D5199" s="6">
        <v>-483649</v>
      </c>
      <c r="E5199" s="6">
        <v>-24099</v>
      </c>
      <c r="F5199" s="7">
        <v>4.4489999999999998</v>
      </c>
      <c r="G5199" s="7">
        <v>5.4790000000000001</v>
      </c>
      <c r="H5199" s="7">
        <v>5.4580000000000002</v>
      </c>
      <c r="I5199" s="7">
        <v>4.7309999999999999</v>
      </c>
      <c r="J5199" s="7">
        <v>4.133</v>
      </c>
      <c r="K5199" s="7">
        <v>3.3149999999999999</v>
      </c>
      <c r="L5199" s="7">
        <v>3.024</v>
      </c>
      <c r="M5199" s="7">
        <v>3.16</v>
      </c>
      <c r="N5199" s="7">
        <v>4.0880000000000001</v>
      </c>
      <c r="O5199" s="7">
        <v>4.1500000000000004</v>
      </c>
      <c r="P5199" s="7">
        <v>4.6630000000000003</v>
      </c>
      <c r="Q5199" s="7">
        <v>5.3380000000000001</v>
      </c>
      <c r="R5199" s="7">
        <v>5.8520000000000003</v>
      </c>
      <c r="S5199" s="7">
        <f t="shared" si="81"/>
        <v>4.4492500000000001</v>
      </c>
    </row>
    <row r="5200" spans="1:19">
      <c r="A5200" s="5" t="str">
        <f>B5200&amp;"-"&amp;COUNTIF($B$2:B5200,B5200)</f>
        <v>SÃO PAULO-489</v>
      </c>
      <c r="B5200" s="5" t="s">
        <v>3122</v>
      </c>
      <c r="C5200" s="5" t="s">
        <v>4233</v>
      </c>
      <c r="D5200" s="6">
        <v>-464062</v>
      </c>
      <c r="E5200" s="6">
        <v>-237071</v>
      </c>
      <c r="F5200" s="7">
        <v>4.2789999999999999</v>
      </c>
      <c r="G5200" s="7">
        <v>5.03</v>
      </c>
      <c r="H5200" s="7">
        <v>5.3970000000000002</v>
      </c>
      <c r="I5200" s="7">
        <v>4.5490000000000004</v>
      </c>
      <c r="J5200" s="7">
        <v>4.0259999999999998</v>
      </c>
      <c r="K5200" s="7">
        <v>3.3029999999999999</v>
      </c>
      <c r="L5200" s="7">
        <v>3.03</v>
      </c>
      <c r="M5200" s="7">
        <v>3.1440000000000001</v>
      </c>
      <c r="N5200" s="7">
        <v>3.9689999999999999</v>
      </c>
      <c r="O5200" s="7">
        <v>4.0129999999999999</v>
      </c>
      <c r="P5200" s="7">
        <v>4.4530000000000003</v>
      </c>
      <c r="Q5200" s="7">
        <v>4.9279999999999999</v>
      </c>
      <c r="R5200" s="7">
        <v>5.5060000000000002</v>
      </c>
      <c r="S5200" s="7">
        <f t="shared" si="81"/>
        <v>4.2789999999999999</v>
      </c>
    </row>
    <row r="5201" spans="1:19">
      <c r="A5201" s="5" t="str">
        <f>B5201&amp;"-"&amp;COUNTIF($B$2:B5201,B5201)</f>
        <v>SÃO PAULO-490</v>
      </c>
      <c r="B5201" s="5" t="s">
        <v>3122</v>
      </c>
      <c r="C5201" s="5" t="s">
        <v>4234</v>
      </c>
      <c r="D5201" s="6">
        <v>-478103</v>
      </c>
      <c r="E5201" s="6">
        <v>-211704</v>
      </c>
      <c r="F5201" s="7">
        <v>5.0780000000000003</v>
      </c>
      <c r="G5201" s="7">
        <v>5.6390000000000002</v>
      </c>
      <c r="H5201" s="7">
        <v>5.9279999999999999</v>
      </c>
      <c r="I5201" s="7">
        <v>5.1660000000000004</v>
      </c>
      <c r="J5201" s="7">
        <v>4.8</v>
      </c>
      <c r="K5201" s="7">
        <v>4.1050000000000004</v>
      </c>
      <c r="L5201" s="7">
        <v>3.9159999999999999</v>
      </c>
      <c r="M5201" s="7">
        <v>4.12</v>
      </c>
      <c r="N5201" s="7">
        <v>4.9290000000000003</v>
      </c>
      <c r="O5201" s="7">
        <v>4.9989999999999997</v>
      </c>
      <c r="P5201" s="7">
        <v>5.516</v>
      </c>
      <c r="Q5201" s="7">
        <v>5.74</v>
      </c>
      <c r="R5201" s="7">
        <v>6.0780000000000003</v>
      </c>
      <c r="S5201" s="7">
        <f t="shared" si="81"/>
        <v>5.0780000000000003</v>
      </c>
    </row>
    <row r="5202" spans="1:19">
      <c r="A5202" s="5" t="str">
        <f>B5202&amp;"-"&amp;COUNTIF($B$2:B5202,B5202)</f>
        <v>SÃO PAULO-491</v>
      </c>
      <c r="B5202" s="5" t="s">
        <v>3122</v>
      </c>
      <c r="C5202" s="5" t="s">
        <v>3439</v>
      </c>
      <c r="D5202" s="6">
        <v>-474295</v>
      </c>
      <c r="E5202" s="6">
        <v>-200807</v>
      </c>
      <c r="F5202" s="7">
        <v>5.1909999999999998</v>
      </c>
      <c r="G5202" s="7">
        <v>5.6710000000000003</v>
      </c>
      <c r="H5202" s="7">
        <v>5.9880000000000004</v>
      </c>
      <c r="I5202" s="7">
        <v>5.1429999999999998</v>
      </c>
      <c r="J5202" s="7">
        <v>4.9950000000000001</v>
      </c>
      <c r="K5202" s="7">
        <v>4.3630000000000004</v>
      </c>
      <c r="L5202" s="7">
        <v>4.1470000000000002</v>
      </c>
      <c r="M5202" s="7">
        <v>4.4009999999999998</v>
      </c>
      <c r="N5202" s="7">
        <v>5.2809999999999997</v>
      </c>
      <c r="O5202" s="7">
        <v>5.1849999999999996</v>
      </c>
      <c r="P5202" s="7">
        <v>5.6340000000000003</v>
      </c>
      <c r="Q5202" s="7">
        <v>5.6130000000000004</v>
      </c>
      <c r="R5202" s="7">
        <v>5.8730000000000002</v>
      </c>
      <c r="S5202" s="7">
        <f t="shared" si="81"/>
        <v>5.1911666666666667</v>
      </c>
    </row>
    <row r="5203" spans="1:19">
      <c r="A5203" s="5" t="str">
        <f>B5203&amp;"-"&amp;COUNTIF($B$2:B5203,B5203)</f>
        <v>SÃO PAULO-492</v>
      </c>
      <c r="B5203" s="5" t="s">
        <v>3122</v>
      </c>
      <c r="C5203" s="5" t="s">
        <v>5256</v>
      </c>
      <c r="D5203" s="6">
        <v>-507243</v>
      </c>
      <c r="E5203" s="6">
        <v>-217289</v>
      </c>
      <c r="F5203" s="7">
        <v>5.0839999999999996</v>
      </c>
      <c r="G5203" s="7">
        <v>5.8730000000000002</v>
      </c>
      <c r="H5203" s="7">
        <v>5.8869999999999996</v>
      </c>
      <c r="I5203" s="7">
        <v>5.38</v>
      </c>
      <c r="J5203" s="7">
        <v>4.8099999999999996</v>
      </c>
      <c r="K5203" s="7">
        <v>3.9780000000000002</v>
      </c>
      <c r="L5203" s="7">
        <v>3.677</v>
      </c>
      <c r="M5203" s="7">
        <v>3.8879999999999999</v>
      </c>
      <c r="N5203" s="7">
        <v>4.8179999999999996</v>
      </c>
      <c r="O5203" s="7">
        <v>4.8109999999999999</v>
      </c>
      <c r="P5203" s="7">
        <v>5.5380000000000003</v>
      </c>
      <c r="Q5203" s="7">
        <v>6.0519999999999996</v>
      </c>
      <c r="R5203" s="7">
        <v>6.3010000000000002</v>
      </c>
      <c r="S5203" s="7">
        <f t="shared" si="81"/>
        <v>5.0844166666666668</v>
      </c>
    </row>
    <row r="5204" spans="1:19">
      <c r="A5204" s="5" t="str">
        <f>B5204&amp;"-"&amp;COUNTIF($B$2:B5204,B5204)</f>
        <v>SÃO PAULO-493</v>
      </c>
      <c r="B5204" s="5" t="s">
        <v>3122</v>
      </c>
      <c r="C5204" s="5" t="s">
        <v>4235</v>
      </c>
      <c r="D5204" s="6">
        <v>-480732</v>
      </c>
      <c r="E5204" s="6">
        <v>-215899</v>
      </c>
      <c r="F5204" s="7">
        <v>5.0510000000000002</v>
      </c>
      <c r="G5204" s="7">
        <v>5.6369999999999996</v>
      </c>
      <c r="H5204" s="7">
        <v>5.9580000000000002</v>
      </c>
      <c r="I5204" s="7">
        <v>5.1749999999999998</v>
      </c>
      <c r="J5204" s="7">
        <v>4.7839999999999998</v>
      </c>
      <c r="K5204" s="7">
        <v>4.0620000000000003</v>
      </c>
      <c r="L5204" s="7">
        <v>3.7909999999999999</v>
      </c>
      <c r="M5204" s="7">
        <v>3.9940000000000002</v>
      </c>
      <c r="N5204" s="7">
        <v>4.8730000000000002</v>
      </c>
      <c r="O5204" s="7">
        <v>4.9470000000000001</v>
      </c>
      <c r="P5204" s="7">
        <v>5.5259999999999998</v>
      </c>
      <c r="Q5204" s="7">
        <v>5.7619999999999996</v>
      </c>
      <c r="R5204" s="7">
        <v>6.109</v>
      </c>
      <c r="S5204" s="7">
        <f t="shared" si="81"/>
        <v>5.0514999999999999</v>
      </c>
    </row>
    <row r="5205" spans="1:19">
      <c r="A5205" s="5" t="str">
        <f>B5205&amp;"-"&amp;COUNTIF($B$2:B5205,B5205)</f>
        <v>SÃO PAULO-494</v>
      </c>
      <c r="B5205" s="5" t="s">
        <v>3122</v>
      </c>
      <c r="C5205" s="5" t="s">
        <v>2437</v>
      </c>
      <c r="D5205" s="6">
        <v>-47555</v>
      </c>
      <c r="E5205" s="6">
        <v>-223989</v>
      </c>
      <c r="F5205" s="7">
        <v>4.9020000000000001</v>
      </c>
      <c r="G5205" s="7">
        <v>5.56</v>
      </c>
      <c r="H5205" s="7">
        <v>5.71</v>
      </c>
      <c r="I5205" s="7">
        <v>5.09</v>
      </c>
      <c r="J5205" s="7">
        <v>4.6529999999999996</v>
      </c>
      <c r="K5205" s="7">
        <v>3.8359999999999999</v>
      </c>
      <c r="L5205" s="7">
        <v>3.5960000000000001</v>
      </c>
      <c r="M5205" s="7">
        <v>3.7549999999999999</v>
      </c>
      <c r="N5205" s="7">
        <v>4.7080000000000002</v>
      </c>
      <c r="O5205" s="7">
        <v>4.8380000000000001</v>
      </c>
      <c r="P5205" s="7">
        <v>5.4660000000000002</v>
      </c>
      <c r="Q5205" s="7">
        <v>5.6319999999999997</v>
      </c>
      <c r="R5205" s="7">
        <v>5.9820000000000002</v>
      </c>
      <c r="S5205" s="7">
        <f t="shared" si="81"/>
        <v>4.9021666666666661</v>
      </c>
    </row>
    <row r="5206" spans="1:19">
      <c r="A5206" s="5" t="str">
        <f>B5206&amp;"-"&amp;COUNTIF($B$2:B5206,B5206)</f>
        <v>SÃO PAULO-495</v>
      </c>
      <c r="B5206" s="5" t="s">
        <v>3122</v>
      </c>
      <c r="C5206" s="5" t="s">
        <v>3440</v>
      </c>
      <c r="D5206" s="6">
        <v>-476051</v>
      </c>
      <c r="E5206" s="6">
        <v>-228422</v>
      </c>
      <c r="F5206" s="7">
        <v>4.9119999999999999</v>
      </c>
      <c r="G5206" s="7">
        <v>5.6440000000000001</v>
      </c>
      <c r="H5206" s="7">
        <v>5.8150000000000004</v>
      </c>
      <c r="I5206" s="7">
        <v>5.125</v>
      </c>
      <c r="J5206" s="7">
        <v>4.6139999999999999</v>
      </c>
      <c r="K5206" s="7">
        <v>3.8039999999999998</v>
      </c>
      <c r="L5206" s="7">
        <v>3.5270000000000001</v>
      </c>
      <c r="M5206" s="7">
        <v>3.6970000000000001</v>
      </c>
      <c r="N5206" s="7">
        <v>4.6319999999999997</v>
      </c>
      <c r="O5206" s="7">
        <v>4.8079999999999998</v>
      </c>
      <c r="P5206" s="7">
        <v>5.4329999999999998</v>
      </c>
      <c r="Q5206" s="7">
        <v>5.7309999999999999</v>
      </c>
      <c r="R5206" s="7">
        <v>6.11</v>
      </c>
      <c r="S5206" s="7">
        <f t="shared" si="81"/>
        <v>4.9116666666666662</v>
      </c>
    </row>
    <row r="5207" spans="1:19">
      <c r="A5207" s="5" t="str">
        <f>B5207&amp;"-"&amp;COUNTIF($B$2:B5207,B5207)</f>
        <v>SÃO PAULO-496</v>
      </c>
      <c r="B5207" s="5" t="s">
        <v>3122</v>
      </c>
      <c r="C5207" s="5" t="s">
        <v>3441</v>
      </c>
      <c r="D5207" s="6">
        <v>-463975</v>
      </c>
      <c r="E5207" s="6">
        <v>-237442</v>
      </c>
      <c r="F5207" s="7">
        <v>4.2510000000000003</v>
      </c>
      <c r="G5207" s="7">
        <v>5.0609999999999999</v>
      </c>
      <c r="H5207" s="7">
        <v>5.3879999999999999</v>
      </c>
      <c r="I5207" s="7">
        <v>4.5389999999999997</v>
      </c>
      <c r="J5207" s="7">
        <v>3.9830000000000001</v>
      </c>
      <c r="K5207" s="7">
        <v>3.2690000000000001</v>
      </c>
      <c r="L5207" s="7">
        <v>2.9940000000000002</v>
      </c>
      <c r="M5207" s="7">
        <v>3.11</v>
      </c>
      <c r="N5207" s="7">
        <v>3.9580000000000002</v>
      </c>
      <c r="O5207" s="7">
        <v>3.9710000000000001</v>
      </c>
      <c r="P5207" s="7">
        <v>4.4219999999999997</v>
      </c>
      <c r="Q5207" s="7">
        <v>4.843</v>
      </c>
      <c r="R5207" s="7">
        <v>5.4749999999999996</v>
      </c>
      <c r="S5207" s="7">
        <f t="shared" si="81"/>
        <v>4.2510833333333329</v>
      </c>
    </row>
    <row r="5208" spans="1:19">
      <c r="A5208" s="5" t="str">
        <f>B5208&amp;"-"&amp;COUNTIF($B$2:B5208,B5208)</f>
        <v>SÃO PAULO-497</v>
      </c>
      <c r="B5208" s="5" t="s">
        <v>3122</v>
      </c>
      <c r="C5208" s="5" t="s">
        <v>5036</v>
      </c>
      <c r="D5208" s="6">
        <v>-496811</v>
      </c>
      <c r="E5208" s="6">
        <v>-199777</v>
      </c>
      <c r="F5208" s="7">
        <v>5.1779999999999999</v>
      </c>
      <c r="G5208" s="7">
        <v>5.7519999999999998</v>
      </c>
      <c r="H5208" s="7">
        <v>5.9480000000000004</v>
      </c>
      <c r="I5208" s="7">
        <v>5.2779999999999996</v>
      </c>
      <c r="J5208" s="7">
        <v>4.9720000000000004</v>
      </c>
      <c r="K5208" s="7">
        <v>4.2160000000000002</v>
      </c>
      <c r="L5208" s="7">
        <v>3.9529999999999998</v>
      </c>
      <c r="M5208" s="7">
        <v>4.2220000000000004</v>
      </c>
      <c r="N5208" s="7">
        <v>5.0940000000000003</v>
      </c>
      <c r="O5208" s="7">
        <v>5.0650000000000004</v>
      </c>
      <c r="P5208" s="7">
        <v>5.617</v>
      </c>
      <c r="Q5208" s="7">
        <v>5.8449999999999998</v>
      </c>
      <c r="R5208" s="7">
        <v>6.1689999999999996</v>
      </c>
      <c r="S5208" s="7">
        <f t="shared" si="81"/>
        <v>5.1775833333333328</v>
      </c>
    </row>
    <row r="5209" spans="1:19">
      <c r="A5209" s="5" t="str">
        <f>B5209&amp;"-"&amp;COUNTIF($B$2:B5209,B5209)</f>
        <v>SÃO PAULO-498</v>
      </c>
      <c r="B5209" s="5" t="s">
        <v>3122</v>
      </c>
      <c r="C5209" s="5" t="s">
        <v>3442</v>
      </c>
      <c r="D5209" s="6">
        <v>-494294</v>
      </c>
      <c r="E5209" s="6">
        <v>-238295</v>
      </c>
      <c r="F5209" s="7">
        <v>4.7869999999999999</v>
      </c>
      <c r="G5209" s="7">
        <v>5.726</v>
      </c>
      <c r="H5209" s="7">
        <v>5.782</v>
      </c>
      <c r="I5209" s="7">
        <v>5.1319999999999997</v>
      </c>
      <c r="J5209" s="7">
        <v>4.4610000000000003</v>
      </c>
      <c r="K5209" s="7">
        <v>3.5409999999999999</v>
      </c>
      <c r="L5209" s="7">
        <v>3.145</v>
      </c>
      <c r="M5209" s="7">
        <v>3.3660000000000001</v>
      </c>
      <c r="N5209" s="7">
        <v>4.3780000000000001</v>
      </c>
      <c r="O5209" s="7">
        <v>4.5839999999999996</v>
      </c>
      <c r="P5209" s="7">
        <v>5.1689999999999996</v>
      </c>
      <c r="Q5209" s="7">
        <v>5.8760000000000003</v>
      </c>
      <c r="R5209" s="7">
        <v>6.2839999999999998</v>
      </c>
      <c r="S5209" s="7">
        <f t="shared" si="81"/>
        <v>4.786999999999999</v>
      </c>
    </row>
    <row r="5210" spans="1:19">
      <c r="A5210" s="5" t="str">
        <f>B5210&amp;"-"&amp;COUNTIF($B$2:B5210,B5210)</f>
        <v>SÃO PAULO-499</v>
      </c>
      <c r="B5210" s="5" t="s">
        <v>3122</v>
      </c>
      <c r="C5210" s="5" t="s">
        <v>3443</v>
      </c>
      <c r="D5210" s="6">
        <v>-530591</v>
      </c>
      <c r="E5210" s="5" t="s">
        <v>3444</v>
      </c>
      <c r="F5210" s="7">
        <v>5.0250000000000004</v>
      </c>
      <c r="G5210" s="7">
        <v>6.0529999999999999</v>
      </c>
      <c r="H5210" s="7">
        <v>6.0510000000000002</v>
      </c>
      <c r="I5210" s="7">
        <v>5.5389999999999997</v>
      </c>
      <c r="J5210" s="7">
        <v>4.6909999999999998</v>
      </c>
      <c r="K5210" s="7">
        <v>3.7189999999999999</v>
      </c>
      <c r="L5210" s="7">
        <v>3.3740000000000001</v>
      </c>
      <c r="M5210" s="7">
        <v>3.5630000000000002</v>
      </c>
      <c r="N5210" s="7">
        <v>4.4589999999999996</v>
      </c>
      <c r="O5210" s="7">
        <v>4.7169999999999996</v>
      </c>
      <c r="P5210" s="7">
        <v>5.4450000000000003</v>
      </c>
      <c r="Q5210" s="7">
        <v>6.1390000000000002</v>
      </c>
      <c r="R5210" s="7">
        <v>6.548</v>
      </c>
      <c r="S5210" s="7">
        <f t="shared" si="81"/>
        <v>5.0248333333333335</v>
      </c>
    </row>
    <row r="5211" spans="1:19">
      <c r="A5211" s="5" t="str">
        <f>B5211&amp;"-"&amp;COUNTIF($B$2:B5211,B5211)</f>
        <v>SÃO PAULO-500</v>
      </c>
      <c r="B5211" s="5" t="s">
        <v>3122</v>
      </c>
      <c r="C5211" s="5" t="s">
        <v>3445</v>
      </c>
      <c r="D5211" s="6">
        <v>-453074</v>
      </c>
      <c r="E5211" s="6">
        <v>-228943</v>
      </c>
      <c r="F5211" s="7">
        <v>4.6820000000000004</v>
      </c>
      <c r="G5211" s="7">
        <v>5.5090000000000003</v>
      </c>
      <c r="H5211" s="7">
        <v>5.6989999999999998</v>
      </c>
      <c r="I5211" s="7">
        <v>4.88</v>
      </c>
      <c r="J5211" s="7">
        <v>4.4219999999999997</v>
      </c>
      <c r="K5211" s="7">
        <v>3.621</v>
      </c>
      <c r="L5211" s="7">
        <v>3.3969999999999998</v>
      </c>
      <c r="M5211" s="7">
        <v>3.49</v>
      </c>
      <c r="N5211" s="7">
        <v>4.4630000000000001</v>
      </c>
      <c r="O5211" s="7">
        <v>4.601</v>
      </c>
      <c r="P5211" s="7">
        <v>5.1130000000000004</v>
      </c>
      <c r="Q5211" s="7">
        <v>5.2119999999999997</v>
      </c>
      <c r="R5211" s="7">
        <v>5.7839999999999998</v>
      </c>
      <c r="S5211" s="7">
        <f t="shared" si="81"/>
        <v>4.6825833333333327</v>
      </c>
    </row>
    <row r="5212" spans="1:19">
      <c r="A5212" s="5" t="str">
        <f>B5212&amp;"-"&amp;COUNTIF($B$2:B5212,B5212)</f>
        <v>SÃO PAULO-501</v>
      </c>
      <c r="B5212" s="5" t="s">
        <v>3122</v>
      </c>
      <c r="C5212" s="5" t="s">
        <v>5788</v>
      </c>
      <c r="D5212" s="5" t="s">
        <v>3446</v>
      </c>
      <c r="E5212" s="6">
        <v>-21301</v>
      </c>
      <c r="F5212" s="7">
        <v>5.1230000000000002</v>
      </c>
      <c r="G5212" s="7">
        <v>5.907</v>
      </c>
      <c r="H5212" s="7">
        <v>5.9359999999999999</v>
      </c>
      <c r="I5212" s="7">
        <v>5.407</v>
      </c>
      <c r="J5212" s="7">
        <v>4.8600000000000003</v>
      </c>
      <c r="K5212" s="7">
        <v>4.0039999999999996</v>
      </c>
      <c r="L5212" s="7">
        <v>3.7240000000000002</v>
      </c>
      <c r="M5212" s="7">
        <v>3.9460000000000002</v>
      </c>
      <c r="N5212" s="7">
        <v>4.8460000000000001</v>
      </c>
      <c r="O5212" s="7">
        <v>4.9260000000000002</v>
      </c>
      <c r="P5212" s="7">
        <v>5.5979999999999999</v>
      </c>
      <c r="Q5212" s="7">
        <v>6.0279999999999996</v>
      </c>
      <c r="R5212" s="7">
        <v>6.2930000000000001</v>
      </c>
      <c r="S5212" s="7">
        <f t="shared" si="81"/>
        <v>5.1229166666666659</v>
      </c>
    </row>
    <row r="5213" spans="1:19">
      <c r="A5213" s="5" t="str">
        <f>B5213&amp;"-"&amp;COUNTIF($B$2:B5213,B5213)</f>
        <v>SÃO PAULO-502</v>
      </c>
      <c r="B5213" s="5" t="s">
        <v>3122</v>
      </c>
      <c r="C5213" s="5" t="s">
        <v>4519</v>
      </c>
      <c r="D5213" s="6">
        <v>-510075</v>
      </c>
      <c r="E5213" s="6">
        <v>-201764</v>
      </c>
      <c r="F5213" s="7">
        <v>5.1920000000000002</v>
      </c>
      <c r="G5213" s="7">
        <v>5.7850000000000001</v>
      </c>
      <c r="H5213" s="7">
        <v>6</v>
      </c>
      <c r="I5213" s="7">
        <v>5.492</v>
      </c>
      <c r="J5213" s="7">
        <v>4.9740000000000002</v>
      </c>
      <c r="K5213" s="7">
        <v>4.2110000000000003</v>
      </c>
      <c r="L5213" s="7">
        <v>3.879</v>
      </c>
      <c r="M5213" s="7">
        <v>4.0839999999999996</v>
      </c>
      <c r="N5213" s="7">
        <v>4.992</v>
      </c>
      <c r="O5213" s="7">
        <v>4.9290000000000003</v>
      </c>
      <c r="P5213" s="7">
        <v>5.617</v>
      </c>
      <c r="Q5213" s="7">
        <v>6.0140000000000002</v>
      </c>
      <c r="R5213" s="7">
        <v>6.3280000000000003</v>
      </c>
      <c r="S5213" s="7">
        <f t="shared" si="81"/>
        <v>5.1920833333333336</v>
      </c>
    </row>
    <row r="5214" spans="1:19">
      <c r="A5214" s="5" t="str">
        <f>B5214&amp;"-"&amp;COUNTIF($B$2:B5214,B5214)</f>
        <v>SÃO PAULO-503</v>
      </c>
      <c r="B5214" s="5" t="s">
        <v>3122</v>
      </c>
      <c r="C5214" s="5" t="s">
        <v>4236</v>
      </c>
      <c r="D5214" s="6">
        <v>-457291</v>
      </c>
      <c r="E5214" s="6">
        <v>-226842</v>
      </c>
      <c r="F5214" s="7">
        <v>4.7249999999999996</v>
      </c>
      <c r="G5214" s="7">
        <v>5.2279999999999998</v>
      </c>
      <c r="H5214" s="7">
        <v>5.5990000000000002</v>
      </c>
      <c r="I5214" s="7">
        <v>4.8179999999999996</v>
      </c>
      <c r="J5214" s="7">
        <v>4.4450000000000003</v>
      </c>
      <c r="K5214" s="7">
        <v>3.742</v>
      </c>
      <c r="L5214" s="7">
        <v>3.492</v>
      </c>
      <c r="M5214" s="7">
        <v>3.702</v>
      </c>
      <c r="N5214" s="7">
        <v>4.6509999999999998</v>
      </c>
      <c r="O5214" s="7">
        <v>4.7880000000000003</v>
      </c>
      <c r="P5214" s="7">
        <v>5.2549999999999999</v>
      </c>
      <c r="Q5214" s="7">
        <v>5.2779999999999996</v>
      </c>
      <c r="R5214" s="7">
        <v>5.6989999999999998</v>
      </c>
      <c r="S5214" s="7">
        <f t="shared" si="81"/>
        <v>4.7247500000000002</v>
      </c>
    </row>
    <row r="5215" spans="1:19">
      <c r="A5215" s="5" t="str">
        <f>B5215&amp;"-"&amp;COUNTIF($B$2:B5215,B5215)</f>
        <v>SÃO PAULO-504</v>
      </c>
      <c r="B5215" s="5" t="s">
        <v>3122</v>
      </c>
      <c r="C5215" s="5" t="s">
        <v>4237</v>
      </c>
      <c r="D5215" s="6">
        <v>-46565</v>
      </c>
      <c r="E5215" s="6">
        <v>-236919</v>
      </c>
      <c r="F5215" s="7">
        <v>4.3330000000000002</v>
      </c>
      <c r="G5215" s="7">
        <v>5.1050000000000004</v>
      </c>
      <c r="H5215" s="7">
        <v>5.4039999999999999</v>
      </c>
      <c r="I5215" s="7">
        <v>4.5979999999999999</v>
      </c>
      <c r="J5215" s="7">
        <v>4.0750000000000002</v>
      </c>
      <c r="K5215" s="7">
        <v>3.3380000000000001</v>
      </c>
      <c r="L5215" s="7">
        <v>3.077</v>
      </c>
      <c r="M5215" s="7">
        <v>3.18</v>
      </c>
      <c r="N5215" s="7">
        <v>4.0350000000000001</v>
      </c>
      <c r="O5215" s="7">
        <v>4.0839999999999996</v>
      </c>
      <c r="P5215" s="7">
        <v>4.5149999999999997</v>
      </c>
      <c r="Q5215" s="7">
        <v>5.0119999999999996</v>
      </c>
      <c r="R5215" s="7">
        <v>5.5709999999999997</v>
      </c>
      <c r="S5215" s="7">
        <f t="shared" si="81"/>
        <v>4.3328333333333333</v>
      </c>
    </row>
    <row r="5216" spans="1:19">
      <c r="A5216" s="5" t="str">
        <f>B5216&amp;"-"&amp;COUNTIF($B$2:B5216,B5216)</f>
        <v>SÃO PAULO-505</v>
      </c>
      <c r="B5216" s="5" t="s">
        <v>3122</v>
      </c>
      <c r="C5216" s="53" t="s">
        <v>3903</v>
      </c>
      <c r="D5216" s="6">
        <v>-465552</v>
      </c>
      <c r="E5216" s="6">
        <v>-236233</v>
      </c>
      <c r="F5216" s="7">
        <v>4.4189999999999996</v>
      </c>
      <c r="G5216" s="7">
        <v>5.1849999999999996</v>
      </c>
      <c r="H5216" s="7">
        <v>5.4379999999999997</v>
      </c>
      <c r="I5216" s="7">
        <v>4.6719999999999997</v>
      </c>
      <c r="J5216" s="7">
        <v>4.1349999999999998</v>
      </c>
      <c r="K5216" s="7">
        <v>3.395</v>
      </c>
      <c r="L5216" s="7">
        <v>3.157</v>
      </c>
      <c r="M5216" s="7">
        <v>3.2549999999999999</v>
      </c>
      <c r="N5216" s="7">
        <v>4.1609999999999996</v>
      </c>
      <c r="O5216" s="7">
        <v>4.1779999999999999</v>
      </c>
      <c r="P5216" s="7">
        <v>4.6879999999999997</v>
      </c>
      <c r="Q5216" s="7">
        <v>5.1070000000000002</v>
      </c>
      <c r="R5216" s="7">
        <v>5.6520000000000001</v>
      </c>
      <c r="S5216" s="7">
        <f t="shared" si="81"/>
        <v>4.4185833333333333</v>
      </c>
    </row>
    <row r="5217" spans="1:19">
      <c r="A5217" s="5" t="str">
        <f>B5217&amp;"-"&amp;COUNTIF($B$2:B5217,B5217)</f>
        <v>SÃO PAULO-506</v>
      </c>
      <c r="B5217" s="5" t="s">
        <v>3122</v>
      </c>
      <c r="C5217" s="5" t="s">
        <v>4204</v>
      </c>
      <c r="D5217" s="6">
        <v>-478864</v>
      </c>
      <c r="E5217" s="6">
        <v>-220179</v>
      </c>
      <c r="F5217" s="7">
        <v>4.9710000000000001</v>
      </c>
      <c r="G5217" s="7">
        <v>5.5410000000000004</v>
      </c>
      <c r="H5217" s="7">
        <v>5.806</v>
      </c>
      <c r="I5217" s="7">
        <v>5.0629999999999997</v>
      </c>
      <c r="J5217" s="7">
        <v>4.6719999999999997</v>
      </c>
      <c r="K5217" s="7">
        <v>3.9489999999999998</v>
      </c>
      <c r="L5217" s="7">
        <v>3.714</v>
      </c>
      <c r="M5217" s="7">
        <v>3.91</v>
      </c>
      <c r="N5217" s="7">
        <v>4.8360000000000003</v>
      </c>
      <c r="O5217" s="7">
        <v>4.9450000000000003</v>
      </c>
      <c r="P5217" s="7">
        <v>5.532</v>
      </c>
      <c r="Q5217" s="7">
        <v>5.6920000000000002</v>
      </c>
      <c r="R5217" s="7">
        <v>5.9939999999999998</v>
      </c>
      <c r="S5217" s="7">
        <f t="shared" si="81"/>
        <v>4.971166666666667</v>
      </c>
    </row>
    <row r="5218" spans="1:19">
      <c r="A5218" s="5" t="str">
        <f>B5218&amp;"-"&amp;COUNTIF($B$2:B5218,B5218)</f>
        <v>SÃO PAULO-507</v>
      </c>
      <c r="B5218" s="5" t="s">
        <v>3122</v>
      </c>
      <c r="C5218" s="5" t="s">
        <v>4011</v>
      </c>
      <c r="D5218" s="6">
        <v>-507011</v>
      </c>
      <c r="E5218" s="6">
        <v>-203542</v>
      </c>
      <c r="F5218" s="7">
        <v>5.2039999999999997</v>
      </c>
      <c r="G5218" s="7">
        <v>5.85</v>
      </c>
      <c r="H5218" s="7">
        <v>5.9710000000000001</v>
      </c>
      <c r="I5218" s="7">
        <v>5.3550000000000004</v>
      </c>
      <c r="J5218" s="7">
        <v>4.8470000000000004</v>
      </c>
      <c r="K5218" s="7">
        <v>4.1929999999999996</v>
      </c>
      <c r="L5218" s="7">
        <v>3.9169999999999998</v>
      </c>
      <c r="M5218" s="7">
        <v>4.1280000000000001</v>
      </c>
      <c r="N5218" s="7">
        <v>5.07</v>
      </c>
      <c r="O5218" s="7">
        <v>5.0990000000000002</v>
      </c>
      <c r="P5218" s="7">
        <v>5.7009999999999996</v>
      </c>
      <c r="Q5218" s="7">
        <v>5.9930000000000003</v>
      </c>
      <c r="R5218" s="7">
        <v>6.327</v>
      </c>
      <c r="S5218" s="7">
        <f t="shared" si="81"/>
        <v>5.2042500000000009</v>
      </c>
    </row>
    <row r="5219" spans="1:19">
      <c r="A5219" s="5" t="str">
        <f>B5219&amp;"-"&amp;COUNTIF($B$2:B5219,B5219)</f>
        <v>SÃO PAULO-508</v>
      </c>
      <c r="B5219" s="5" t="s">
        <v>3122</v>
      </c>
      <c r="C5219" s="5" t="s">
        <v>4238</v>
      </c>
      <c r="D5219" s="6">
        <v>-467948</v>
      </c>
      <c r="E5219" s="6">
        <v>-219712</v>
      </c>
      <c r="F5219" s="7">
        <v>4.9329999999999998</v>
      </c>
      <c r="G5219" s="7">
        <v>5.5170000000000003</v>
      </c>
      <c r="H5219" s="7">
        <v>5.6840000000000002</v>
      </c>
      <c r="I5219" s="7">
        <v>4.9969999999999999</v>
      </c>
      <c r="J5219" s="7">
        <v>4.6870000000000003</v>
      </c>
      <c r="K5219" s="7">
        <v>3.976</v>
      </c>
      <c r="L5219" s="7">
        <v>3.714</v>
      </c>
      <c r="M5219" s="7">
        <v>3.8980000000000001</v>
      </c>
      <c r="N5219" s="7">
        <v>4.798</v>
      </c>
      <c r="O5219" s="7">
        <v>4.9619999999999997</v>
      </c>
      <c r="P5219" s="7">
        <v>5.47</v>
      </c>
      <c r="Q5219" s="7">
        <v>5.64</v>
      </c>
      <c r="R5219" s="7">
        <v>5.8570000000000002</v>
      </c>
      <c r="S5219" s="7">
        <f t="shared" si="81"/>
        <v>4.9333333333333336</v>
      </c>
    </row>
    <row r="5220" spans="1:19">
      <c r="A5220" s="5" t="str">
        <f>B5220&amp;"-"&amp;COUNTIF($B$2:B5220,B5220)</f>
        <v>SÃO PAULO-509</v>
      </c>
      <c r="B5220" s="5" t="s">
        <v>3122</v>
      </c>
      <c r="C5220" s="5" t="s">
        <v>4239</v>
      </c>
      <c r="D5220" s="6">
        <v>-503796</v>
      </c>
      <c r="E5220" s="6">
        <v>-203883</v>
      </c>
      <c r="F5220" s="7">
        <v>5.1859999999999999</v>
      </c>
      <c r="G5220" s="7">
        <v>5.8559999999999999</v>
      </c>
      <c r="H5220" s="7">
        <v>5.9489999999999998</v>
      </c>
      <c r="I5220" s="7">
        <v>5.266</v>
      </c>
      <c r="J5220" s="7">
        <v>4.883</v>
      </c>
      <c r="K5220" s="7">
        <v>4.1849999999999996</v>
      </c>
      <c r="L5220" s="7">
        <v>3.9260000000000002</v>
      </c>
      <c r="M5220" s="7">
        <v>4.1379999999999999</v>
      </c>
      <c r="N5220" s="7">
        <v>5.0599999999999996</v>
      </c>
      <c r="O5220" s="7">
        <v>5.117</v>
      </c>
      <c r="P5220" s="7">
        <v>5.6319999999999997</v>
      </c>
      <c r="Q5220" s="7">
        <v>5.97</v>
      </c>
      <c r="R5220" s="7">
        <v>6.2480000000000002</v>
      </c>
      <c r="S5220" s="7">
        <f t="shared" si="81"/>
        <v>5.1858333333333322</v>
      </c>
    </row>
    <row r="5221" spans="1:19">
      <c r="A5221" s="5" t="str">
        <f>B5221&amp;"-"&amp;COUNTIF($B$2:B5221,B5221)</f>
        <v>SÃO PAULO-510</v>
      </c>
      <c r="B5221" s="5" t="s">
        <v>3122</v>
      </c>
      <c r="C5221" s="5" t="s">
        <v>4240</v>
      </c>
      <c r="D5221" s="6">
        <v>-503564</v>
      </c>
      <c r="E5221" s="6">
        <v>-205115</v>
      </c>
      <c r="F5221" s="7">
        <v>5.1710000000000003</v>
      </c>
      <c r="G5221" s="7">
        <v>5.8360000000000003</v>
      </c>
      <c r="H5221" s="7">
        <v>5.9249999999999998</v>
      </c>
      <c r="I5221" s="7">
        <v>5.3</v>
      </c>
      <c r="J5221" s="7">
        <v>4.8940000000000001</v>
      </c>
      <c r="K5221" s="7">
        <v>4.1609999999999996</v>
      </c>
      <c r="L5221" s="7">
        <v>3.9089999999999998</v>
      </c>
      <c r="M5221" s="7">
        <v>4.133</v>
      </c>
      <c r="N5221" s="7">
        <v>5.0270000000000001</v>
      </c>
      <c r="O5221" s="7">
        <v>5.0999999999999996</v>
      </c>
      <c r="P5221" s="7">
        <v>5.6219999999999999</v>
      </c>
      <c r="Q5221" s="7">
        <v>5.931</v>
      </c>
      <c r="R5221" s="7">
        <v>6.2190000000000003</v>
      </c>
      <c r="S5221" s="7">
        <f t="shared" si="81"/>
        <v>5.1714166666666666</v>
      </c>
    </row>
    <row r="5222" spans="1:19">
      <c r="A5222" s="5" t="str">
        <f>B5222&amp;"-"&amp;COUNTIF($B$2:B5222,B5222)</f>
        <v>SÃO PAULO-511</v>
      </c>
      <c r="B5222" s="5" t="s">
        <v>3122</v>
      </c>
      <c r="C5222" s="5" t="s">
        <v>4241</v>
      </c>
      <c r="D5222" s="6">
        <v>-51666</v>
      </c>
      <c r="E5222" s="6">
        <v>-21268</v>
      </c>
      <c r="F5222" s="7">
        <v>5.1440000000000001</v>
      </c>
      <c r="G5222" s="7">
        <v>5.968</v>
      </c>
      <c r="H5222" s="7">
        <v>5.9729999999999999</v>
      </c>
      <c r="I5222" s="7">
        <v>5.4859999999999998</v>
      </c>
      <c r="J5222" s="7">
        <v>4.843</v>
      </c>
      <c r="K5222" s="7">
        <v>4.0469999999999997</v>
      </c>
      <c r="L5222" s="7">
        <v>3.7149999999999999</v>
      </c>
      <c r="M5222" s="7">
        <v>3.9020000000000001</v>
      </c>
      <c r="N5222" s="7">
        <v>4.8460000000000001</v>
      </c>
      <c r="O5222" s="7">
        <v>4.9039999999999999</v>
      </c>
      <c r="P5222" s="7">
        <v>5.5860000000000003</v>
      </c>
      <c r="Q5222" s="7">
        <v>6.0880000000000001</v>
      </c>
      <c r="R5222" s="7">
        <v>6.3710000000000004</v>
      </c>
      <c r="S5222" s="7">
        <f t="shared" si="81"/>
        <v>5.1440833333333336</v>
      </c>
    </row>
    <row r="5223" spans="1:19">
      <c r="A5223" s="5" t="str">
        <f>B5223&amp;"-"&amp;COUNTIF($B$2:B5223,B5223)</f>
        <v>SÃO PAULO-512</v>
      </c>
      <c r="B5223" s="5" t="s">
        <v>3122</v>
      </c>
      <c r="C5223" s="5" t="s">
        <v>4242</v>
      </c>
      <c r="D5223" s="6">
        <v>-478597</v>
      </c>
      <c r="E5223" s="6">
        <v>-205816</v>
      </c>
      <c r="F5223" s="7">
        <v>5.1470000000000002</v>
      </c>
      <c r="G5223" s="7">
        <v>5.7329999999999997</v>
      </c>
      <c r="H5223" s="7">
        <v>5.9720000000000004</v>
      </c>
      <c r="I5223" s="7">
        <v>5.1379999999999999</v>
      </c>
      <c r="J5223" s="7">
        <v>4.859</v>
      </c>
      <c r="K5223" s="7">
        <v>4.234</v>
      </c>
      <c r="L5223" s="7">
        <v>3.9889999999999999</v>
      </c>
      <c r="M5223" s="7">
        <v>4.2560000000000002</v>
      </c>
      <c r="N5223" s="7">
        <v>5.15</v>
      </c>
      <c r="O5223" s="7">
        <v>5.117</v>
      </c>
      <c r="P5223" s="7">
        <v>5.5640000000000001</v>
      </c>
      <c r="Q5223" s="7">
        <v>5.7270000000000003</v>
      </c>
      <c r="R5223" s="7">
        <v>6.0259999999999998</v>
      </c>
      <c r="S5223" s="7">
        <f t="shared" si="81"/>
        <v>5.1470833333333319</v>
      </c>
    </row>
    <row r="5224" spans="1:19">
      <c r="A5224" s="5" t="str">
        <f>B5224&amp;"-"&amp;COUNTIF($B$2:B5224,B5224)</f>
        <v>SÃO PAULO-513</v>
      </c>
      <c r="B5224" s="5" t="s">
        <v>3122</v>
      </c>
      <c r="C5224" s="5" t="s">
        <v>4520</v>
      </c>
      <c r="D5224" s="6">
        <v>-476428</v>
      </c>
      <c r="E5224" s="6">
        <v>-20594</v>
      </c>
      <c r="F5224" s="7">
        <v>5.109</v>
      </c>
      <c r="G5224" s="7">
        <v>5.641</v>
      </c>
      <c r="H5224" s="7">
        <v>5.875</v>
      </c>
      <c r="I5224" s="7">
        <v>5.04</v>
      </c>
      <c r="J5224" s="7">
        <v>4.88</v>
      </c>
      <c r="K5224" s="7">
        <v>4.2389999999999999</v>
      </c>
      <c r="L5224" s="7">
        <v>4.0060000000000002</v>
      </c>
      <c r="M5224" s="7">
        <v>4.2290000000000001</v>
      </c>
      <c r="N5224" s="7">
        <v>5.2119999999999997</v>
      </c>
      <c r="O5224" s="7">
        <v>5.1040000000000001</v>
      </c>
      <c r="P5224" s="7">
        <v>5.5090000000000003</v>
      </c>
      <c r="Q5224" s="7">
        <v>5.6539999999999999</v>
      </c>
      <c r="R5224" s="7">
        <v>5.92</v>
      </c>
      <c r="S5224" s="7">
        <f t="shared" si="81"/>
        <v>5.1090833333333334</v>
      </c>
    </row>
    <row r="5225" spans="1:19">
      <c r="A5225" s="5" t="str">
        <f>B5225&amp;"-"&amp;COUNTIF($B$2:B5225,B5225)</f>
        <v>SÃO PAULO-514</v>
      </c>
      <c r="B5225" s="5" t="s">
        <v>3122</v>
      </c>
      <c r="C5225" s="5" t="s">
        <v>4521</v>
      </c>
      <c r="D5225" s="6">
        <v>-445778</v>
      </c>
      <c r="E5225" s="6">
        <v>-226418</v>
      </c>
      <c r="F5225" s="7">
        <v>4.6669999999999998</v>
      </c>
      <c r="G5225" s="7">
        <v>5.5830000000000002</v>
      </c>
      <c r="H5225" s="7">
        <v>5.7720000000000002</v>
      </c>
      <c r="I5225" s="7">
        <v>4.9290000000000003</v>
      </c>
      <c r="J5225" s="7">
        <v>4.3860000000000001</v>
      </c>
      <c r="K5225" s="7">
        <v>3.67</v>
      </c>
      <c r="L5225" s="7">
        <v>3.4</v>
      </c>
      <c r="M5225" s="7">
        <v>3.48</v>
      </c>
      <c r="N5225" s="7">
        <v>4.4029999999999996</v>
      </c>
      <c r="O5225" s="7">
        <v>4.5659999999999998</v>
      </c>
      <c r="P5225" s="7">
        <v>4.9989999999999997</v>
      </c>
      <c r="Q5225" s="7">
        <v>5.05</v>
      </c>
      <c r="R5225" s="7">
        <v>5.7610000000000001</v>
      </c>
      <c r="S5225" s="7">
        <f t="shared" si="81"/>
        <v>4.6665833333333335</v>
      </c>
    </row>
    <row r="5226" spans="1:19">
      <c r="A5226" s="5" t="str">
        <f>B5226&amp;"-"&amp;COUNTIF($B$2:B5226,B5226)</f>
        <v>SÃO PAULO-515</v>
      </c>
      <c r="B5226" s="5" t="s">
        <v>3122</v>
      </c>
      <c r="C5226" s="5" t="s">
        <v>4522</v>
      </c>
      <c r="D5226" s="6">
        <v>-468877</v>
      </c>
      <c r="E5226" s="6">
        <v>-215958</v>
      </c>
      <c r="F5226" s="7">
        <v>5.0599999999999996</v>
      </c>
      <c r="G5226" s="7">
        <v>5.6950000000000003</v>
      </c>
      <c r="H5226" s="7">
        <v>5.8869999999999996</v>
      </c>
      <c r="I5226" s="7">
        <v>5.1230000000000002</v>
      </c>
      <c r="J5226" s="7">
        <v>4.83</v>
      </c>
      <c r="K5226" s="7">
        <v>4.069</v>
      </c>
      <c r="L5226" s="7">
        <v>3.83</v>
      </c>
      <c r="M5226" s="7">
        <v>4.0389999999999997</v>
      </c>
      <c r="N5226" s="7">
        <v>4.9080000000000004</v>
      </c>
      <c r="O5226" s="7">
        <v>5.0599999999999996</v>
      </c>
      <c r="P5226" s="7">
        <v>5.5549999999999997</v>
      </c>
      <c r="Q5226" s="7">
        <v>5.7869999999999999</v>
      </c>
      <c r="R5226" s="7">
        <v>5.9429999999999996</v>
      </c>
      <c r="S5226" s="7">
        <f t="shared" si="81"/>
        <v>5.0605000000000002</v>
      </c>
    </row>
    <row r="5227" spans="1:19">
      <c r="A5227" s="5" t="str">
        <f>B5227&amp;"-"&amp;COUNTIF($B$2:B5227,B5227)</f>
        <v>SÃO PAULO-516</v>
      </c>
      <c r="B5227" s="5" t="s">
        <v>3122</v>
      </c>
      <c r="C5227" s="5" t="s">
        <v>4523</v>
      </c>
      <c r="D5227" s="6">
        <v>-493762</v>
      </c>
      <c r="E5227" s="6">
        <v>-208118</v>
      </c>
      <c r="F5227" s="7">
        <v>5.1319999999999997</v>
      </c>
      <c r="G5227" s="7">
        <v>5.7539999999999996</v>
      </c>
      <c r="H5227" s="7">
        <v>5.8550000000000004</v>
      </c>
      <c r="I5227" s="7">
        <v>5.1849999999999996</v>
      </c>
      <c r="J5227" s="7">
        <v>4.8230000000000004</v>
      </c>
      <c r="K5227" s="7">
        <v>4.1040000000000001</v>
      </c>
      <c r="L5227" s="7">
        <v>3.899</v>
      </c>
      <c r="M5227" s="7">
        <v>4.1399999999999997</v>
      </c>
      <c r="N5227" s="7">
        <v>5.0609999999999999</v>
      </c>
      <c r="O5227" s="7">
        <v>5.1040000000000001</v>
      </c>
      <c r="P5227" s="7">
        <v>5.6219999999999999</v>
      </c>
      <c r="Q5227" s="7">
        <v>5.9050000000000002</v>
      </c>
      <c r="R5227" s="7">
        <v>6.1360000000000001</v>
      </c>
      <c r="S5227" s="7">
        <f t="shared" si="81"/>
        <v>5.1323333333333334</v>
      </c>
    </row>
    <row r="5228" spans="1:19">
      <c r="A5228" s="5" t="str">
        <f>B5228&amp;"-"&amp;COUNTIF($B$2:B5228,B5228)</f>
        <v>SÃO PAULO-517</v>
      </c>
      <c r="B5228" s="5" t="s">
        <v>3122</v>
      </c>
      <c r="C5228" s="5" t="s">
        <v>4524</v>
      </c>
      <c r="D5228" s="6">
        <v>-458845</v>
      </c>
      <c r="E5228" s="5" t="s">
        <v>3447</v>
      </c>
      <c r="F5228" s="7">
        <v>4.57</v>
      </c>
      <c r="G5228" s="7">
        <v>5.391</v>
      </c>
      <c r="H5228" s="7">
        <v>5.6550000000000002</v>
      </c>
      <c r="I5228" s="7">
        <v>4.8209999999999997</v>
      </c>
      <c r="J5228" s="7">
        <v>4.2709999999999999</v>
      </c>
      <c r="K5228" s="7">
        <v>3.431</v>
      </c>
      <c r="L5228" s="7">
        <v>3.2149999999999999</v>
      </c>
      <c r="M5228" s="7">
        <v>3.3439999999999999</v>
      </c>
      <c r="N5228" s="7">
        <v>4.2990000000000004</v>
      </c>
      <c r="O5228" s="7">
        <v>4.3879999999999999</v>
      </c>
      <c r="P5228" s="7">
        <v>4.9930000000000003</v>
      </c>
      <c r="Q5228" s="7">
        <v>5.23</v>
      </c>
      <c r="R5228" s="7">
        <v>5.7969999999999997</v>
      </c>
      <c r="S5228" s="7">
        <f t="shared" si="81"/>
        <v>4.5695833333333331</v>
      </c>
    </row>
    <row r="5229" spans="1:19">
      <c r="A5229" s="5" t="str">
        <f>B5229&amp;"-"&amp;COUNTIF($B$2:B5229,B5229)</f>
        <v>SÃO PAULO-518</v>
      </c>
      <c r="B5229" s="5" t="s">
        <v>3122</v>
      </c>
      <c r="C5229" s="5" t="s">
        <v>4797</v>
      </c>
      <c r="D5229" s="6">
        <v>-469436</v>
      </c>
      <c r="E5229" s="6">
        <v>-238496</v>
      </c>
      <c r="F5229" s="7">
        <v>4.2590000000000003</v>
      </c>
      <c r="G5229" s="7">
        <v>5.0279999999999996</v>
      </c>
      <c r="H5229" s="7">
        <v>5.3</v>
      </c>
      <c r="I5229" s="7">
        <v>4.4930000000000003</v>
      </c>
      <c r="J5229" s="7">
        <v>4.0510000000000002</v>
      </c>
      <c r="K5229" s="7">
        <v>3.2919999999999998</v>
      </c>
      <c r="L5229" s="7">
        <v>3.089</v>
      </c>
      <c r="M5229" s="7">
        <v>3.14</v>
      </c>
      <c r="N5229" s="7">
        <v>4.0670000000000002</v>
      </c>
      <c r="O5229" s="7">
        <v>4.0010000000000003</v>
      </c>
      <c r="P5229" s="7">
        <v>4.3600000000000003</v>
      </c>
      <c r="Q5229" s="7">
        <v>4.88</v>
      </c>
      <c r="R5229" s="7">
        <v>5.4080000000000004</v>
      </c>
      <c r="S5229" s="7">
        <f t="shared" si="81"/>
        <v>4.2590833333333338</v>
      </c>
    </row>
    <row r="5230" spans="1:19">
      <c r="A5230" s="5" t="str">
        <f>B5230&amp;"-"&amp;COUNTIF($B$2:B5230,B5230)</f>
        <v>SÃO PAULO-519</v>
      </c>
      <c r="B5230" s="5" t="s">
        <v>3122</v>
      </c>
      <c r="C5230" s="5" t="s">
        <v>4243</v>
      </c>
      <c r="D5230" s="6">
        <v>-453094</v>
      </c>
      <c r="E5230" s="6">
        <v>-23221</v>
      </c>
      <c r="F5230" s="7">
        <v>4.7140000000000004</v>
      </c>
      <c r="G5230" s="7">
        <v>5.7169999999999996</v>
      </c>
      <c r="H5230" s="7">
        <v>5.84</v>
      </c>
      <c r="I5230" s="7">
        <v>4.92</v>
      </c>
      <c r="J5230" s="7">
        <v>4.423</v>
      </c>
      <c r="K5230" s="7">
        <v>3.585</v>
      </c>
      <c r="L5230" s="7">
        <v>3.383</v>
      </c>
      <c r="M5230" s="7">
        <v>3.47</v>
      </c>
      <c r="N5230" s="7">
        <v>4.3970000000000002</v>
      </c>
      <c r="O5230" s="7">
        <v>4.4950000000000001</v>
      </c>
      <c r="P5230" s="7">
        <v>5.1079999999999997</v>
      </c>
      <c r="Q5230" s="7">
        <v>5.306</v>
      </c>
      <c r="R5230" s="7">
        <v>5.923</v>
      </c>
      <c r="S5230" s="7">
        <f t="shared" si="81"/>
        <v>4.7139166666666661</v>
      </c>
    </row>
    <row r="5231" spans="1:19">
      <c r="A5231" s="5" t="str">
        <f>B5231&amp;"-"&amp;COUNTIF($B$2:B5231,B5231)</f>
        <v>SÃO PAULO-520</v>
      </c>
      <c r="B5231" s="5" t="s">
        <v>3122</v>
      </c>
      <c r="C5231" s="5" t="s">
        <v>4244</v>
      </c>
      <c r="D5231" s="6">
        <v>-485727</v>
      </c>
      <c r="E5231" s="6">
        <v>-227326</v>
      </c>
      <c r="F5231" s="7">
        <v>4.9809999999999999</v>
      </c>
      <c r="G5231" s="7">
        <v>5.6180000000000003</v>
      </c>
      <c r="H5231" s="7">
        <v>5.9160000000000004</v>
      </c>
      <c r="I5231" s="7">
        <v>5.2530000000000001</v>
      </c>
      <c r="J5231" s="7">
        <v>4.6840000000000002</v>
      </c>
      <c r="K5231" s="7">
        <v>3.82</v>
      </c>
      <c r="L5231" s="7">
        <v>3.55</v>
      </c>
      <c r="M5231" s="7">
        <v>3.7149999999999999</v>
      </c>
      <c r="N5231" s="7">
        <v>4.6989999999999998</v>
      </c>
      <c r="O5231" s="7">
        <v>4.8259999999999996</v>
      </c>
      <c r="P5231" s="7">
        <v>5.4969999999999999</v>
      </c>
      <c r="Q5231" s="7">
        <v>5.9290000000000003</v>
      </c>
      <c r="R5231" s="7">
        <v>6.2590000000000003</v>
      </c>
      <c r="S5231" s="7">
        <f t="shared" si="81"/>
        <v>4.9805000000000001</v>
      </c>
    </row>
    <row r="5232" spans="1:19">
      <c r="A5232" s="5" t="str">
        <f>B5232&amp;"-"&amp;COUNTIF($B$2:B5232,B5232)</f>
        <v>SÃO PAULO-521</v>
      </c>
      <c r="B5232" s="5" t="s">
        <v>3122</v>
      </c>
      <c r="C5232" s="5" t="s">
        <v>4245</v>
      </c>
      <c r="D5232" s="6">
        <v>-47994</v>
      </c>
      <c r="E5232" s="6">
        <v>-238787</v>
      </c>
      <c r="F5232" s="7">
        <v>4.5129999999999999</v>
      </c>
      <c r="G5232" s="7">
        <v>5.407</v>
      </c>
      <c r="H5232" s="7">
        <v>5.5289999999999999</v>
      </c>
      <c r="I5232" s="7">
        <v>4.7649999999999997</v>
      </c>
      <c r="J5232" s="7">
        <v>4.2409999999999997</v>
      </c>
      <c r="K5232" s="7">
        <v>3.3929999999999998</v>
      </c>
      <c r="L5232" s="7">
        <v>3.1480000000000001</v>
      </c>
      <c r="M5232" s="7">
        <v>3.226</v>
      </c>
      <c r="N5232" s="7">
        <v>4.1449999999999996</v>
      </c>
      <c r="O5232" s="7">
        <v>4.2229999999999999</v>
      </c>
      <c r="P5232" s="7">
        <v>4.7510000000000003</v>
      </c>
      <c r="Q5232" s="7">
        <v>5.4240000000000004</v>
      </c>
      <c r="R5232" s="7">
        <v>5.907</v>
      </c>
      <c r="S5232" s="7">
        <f t="shared" si="81"/>
        <v>4.5132499999999993</v>
      </c>
    </row>
    <row r="5233" spans="1:19">
      <c r="A5233" s="5" t="str">
        <f>B5233&amp;"-"&amp;COUNTIF($B$2:B5233,B5233)</f>
        <v>SÃO PAULO-522</v>
      </c>
      <c r="B5233" s="5" t="s">
        <v>3122</v>
      </c>
      <c r="C5233" s="5" t="s">
        <v>4246</v>
      </c>
      <c r="D5233" s="6">
        <v>-466403</v>
      </c>
      <c r="E5233" s="6">
        <v>-235339</v>
      </c>
      <c r="F5233" s="7">
        <v>4.45</v>
      </c>
      <c r="G5233" s="7">
        <v>5.2220000000000004</v>
      </c>
      <c r="H5233" s="7">
        <v>5.4790000000000001</v>
      </c>
      <c r="I5233" s="7">
        <v>4.7039999999999997</v>
      </c>
      <c r="J5233" s="7">
        <v>4.1420000000000003</v>
      </c>
      <c r="K5233" s="7">
        <v>3.4220000000000002</v>
      </c>
      <c r="L5233" s="7">
        <v>3.1720000000000002</v>
      </c>
      <c r="M5233" s="7">
        <v>3.2440000000000002</v>
      </c>
      <c r="N5233" s="7">
        <v>4.1959999999999997</v>
      </c>
      <c r="O5233" s="7">
        <v>4.2370000000000001</v>
      </c>
      <c r="P5233" s="7">
        <v>4.7619999999999996</v>
      </c>
      <c r="Q5233" s="7">
        <v>5.1349999999999998</v>
      </c>
      <c r="R5233" s="7">
        <v>5.6909999999999998</v>
      </c>
      <c r="S5233" s="7">
        <f t="shared" si="81"/>
        <v>4.4505000000000008</v>
      </c>
    </row>
    <row r="5234" spans="1:19">
      <c r="A5234" s="5" t="str">
        <f>B5234&amp;"-"&amp;COUNTIF($B$2:B5234,B5234)</f>
        <v>SÃO PAULO-523</v>
      </c>
      <c r="B5234" s="5" t="s">
        <v>3122</v>
      </c>
      <c r="C5234" s="5" t="s">
        <v>4150</v>
      </c>
      <c r="D5234" s="5" t="s">
        <v>3448</v>
      </c>
      <c r="E5234" s="6">
        <v>-225487</v>
      </c>
      <c r="F5234" s="7">
        <v>4.8380000000000001</v>
      </c>
      <c r="G5234" s="7">
        <v>5.351</v>
      </c>
      <c r="H5234" s="7">
        <v>5.5990000000000002</v>
      </c>
      <c r="I5234" s="7">
        <v>4.9630000000000001</v>
      </c>
      <c r="J5234" s="7">
        <v>4.6100000000000003</v>
      </c>
      <c r="K5234" s="7">
        <v>3.8069999999999999</v>
      </c>
      <c r="L5234" s="7">
        <v>3.5350000000000001</v>
      </c>
      <c r="M5234" s="7">
        <v>3.738</v>
      </c>
      <c r="N5234" s="7">
        <v>4.7350000000000003</v>
      </c>
      <c r="O5234" s="7">
        <v>4.8339999999999996</v>
      </c>
      <c r="P5234" s="7">
        <v>5.3639999999999999</v>
      </c>
      <c r="Q5234" s="7">
        <v>5.6269999999999998</v>
      </c>
      <c r="R5234" s="7">
        <v>5.8929999999999998</v>
      </c>
      <c r="S5234" s="7">
        <f t="shared" si="81"/>
        <v>4.8380000000000001</v>
      </c>
    </row>
    <row r="5235" spans="1:19">
      <c r="A5235" s="5" t="str">
        <f>B5235&amp;"-"&amp;COUNTIF($B$2:B5235,B5235)</f>
        <v>SÃO PAULO-524</v>
      </c>
      <c r="B5235" s="5" t="s">
        <v>3122</v>
      </c>
      <c r="C5235" s="5" t="s">
        <v>4247</v>
      </c>
      <c r="D5235" s="6">
        <v>-497432</v>
      </c>
      <c r="E5235" s="6">
        <v>-227458</v>
      </c>
      <c r="F5235" s="7">
        <v>4.9400000000000004</v>
      </c>
      <c r="G5235" s="7">
        <v>5.6509999999999998</v>
      </c>
      <c r="H5235" s="7">
        <v>5.7859999999999996</v>
      </c>
      <c r="I5235" s="7">
        <v>5.18</v>
      </c>
      <c r="J5235" s="7">
        <v>4.702</v>
      </c>
      <c r="K5235" s="7">
        <v>3.7570000000000001</v>
      </c>
      <c r="L5235" s="7">
        <v>3.4830000000000001</v>
      </c>
      <c r="M5235" s="7">
        <v>3.6960000000000002</v>
      </c>
      <c r="N5235" s="7">
        <v>4.6829999999999998</v>
      </c>
      <c r="O5235" s="7">
        <v>4.7560000000000002</v>
      </c>
      <c r="P5235" s="7">
        <v>5.4409999999999998</v>
      </c>
      <c r="Q5235" s="7">
        <v>5.9109999999999996</v>
      </c>
      <c r="R5235" s="7">
        <v>6.2329999999999997</v>
      </c>
      <c r="S5235" s="7">
        <f t="shared" si="81"/>
        <v>4.9399166666666661</v>
      </c>
    </row>
    <row r="5236" spans="1:19">
      <c r="A5236" s="5" t="str">
        <f>B5236&amp;"-"&amp;COUNTIF($B$2:B5236,B5236)</f>
        <v>SÃO PAULO-525</v>
      </c>
      <c r="B5236" s="5" t="s">
        <v>3122</v>
      </c>
      <c r="C5236" s="5" t="s">
        <v>4248</v>
      </c>
      <c r="D5236" s="6">
        <v>-471361</v>
      </c>
      <c r="E5236" s="6">
        <v>-235231</v>
      </c>
      <c r="F5236" s="7">
        <v>4.7060000000000004</v>
      </c>
      <c r="G5236" s="7">
        <v>5.4390000000000001</v>
      </c>
      <c r="H5236" s="7">
        <v>5.6859999999999999</v>
      </c>
      <c r="I5236" s="7">
        <v>4.9909999999999997</v>
      </c>
      <c r="J5236" s="7">
        <v>4.41</v>
      </c>
      <c r="K5236" s="7">
        <v>3.5910000000000002</v>
      </c>
      <c r="L5236" s="7">
        <v>3.3460000000000001</v>
      </c>
      <c r="M5236" s="7">
        <v>3.4340000000000002</v>
      </c>
      <c r="N5236" s="7">
        <v>4.4429999999999996</v>
      </c>
      <c r="O5236" s="7">
        <v>4.54</v>
      </c>
      <c r="P5236" s="7">
        <v>5.069</v>
      </c>
      <c r="Q5236" s="7">
        <v>5.516</v>
      </c>
      <c r="R5236" s="7">
        <v>6.0019999999999998</v>
      </c>
      <c r="S5236" s="7">
        <f t="shared" si="81"/>
        <v>4.7055833333333341</v>
      </c>
    </row>
    <row r="5237" spans="1:19">
      <c r="A5237" s="5" t="str">
        <f>B5237&amp;"-"&amp;COUNTIF($B$2:B5237,B5237)</f>
        <v>SÃO PAULO-526</v>
      </c>
      <c r="B5237" s="5" t="s">
        <v>3122</v>
      </c>
      <c r="C5237" s="5" t="s">
        <v>193</v>
      </c>
      <c r="D5237" s="6">
        <v>-454147</v>
      </c>
      <c r="E5237" s="6">
        <v>-237955</v>
      </c>
      <c r="F5237" s="7">
        <v>4.2140000000000004</v>
      </c>
      <c r="G5237" s="7">
        <v>5.4989999999999997</v>
      </c>
      <c r="H5237" s="7">
        <v>5.6269999999999998</v>
      </c>
      <c r="I5237" s="7">
        <v>4.5620000000000003</v>
      </c>
      <c r="J5237" s="7">
        <v>4.0979999999999999</v>
      </c>
      <c r="K5237" s="7">
        <v>3.3069999999999999</v>
      </c>
      <c r="L5237" s="7">
        <v>2.95</v>
      </c>
      <c r="M5237" s="7">
        <v>3.052</v>
      </c>
      <c r="N5237" s="7">
        <v>3.7559999999999998</v>
      </c>
      <c r="O5237" s="7">
        <v>3.63</v>
      </c>
      <c r="P5237" s="7">
        <v>4.1319999999999997</v>
      </c>
      <c r="Q5237" s="7">
        <v>4.6440000000000001</v>
      </c>
      <c r="R5237" s="7">
        <v>5.3049999999999997</v>
      </c>
      <c r="S5237" s="7">
        <f t="shared" si="81"/>
        <v>4.2134999999999989</v>
      </c>
    </row>
    <row r="5238" spans="1:19">
      <c r="A5238" s="5" t="str">
        <f>B5238&amp;"-"&amp;COUNTIF($B$2:B5238,B5238)</f>
        <v>SÃO PAULO-527</v>
      </c>
      <c r="B5238" s="5" t="s">
        <v>3122</v>
      </c>
      <c r="C5238" s="5" t="s">
        <v>4249</v>
      </c>
      <c r="D5238" s="6">
        <v>-468211</v>
      </c>
      <c r="E5238" s="6">
        <v>-217046</v>
      </c>
      <c r="F5238" s="7">
        <v>5.0490000000000004</v>
      </c>
      <c r="G5238" s="7">
        <v>5.6529999999999996</v>
      </c>
      <c r="H5238" s="7">
        <v>5.8330000000000002</v>
      </c>
      <c r="I5238" s="7">
        <v>5.133</v>
      </c>
      <c r="J5238" s="7">
        <v>4.8380000000000001</v>
      </c>
      <c r="K5238" s="7">
        <v>4.0460000000000003</v>
      </c>
      <c r="L5238" s="7">
        <v>3.8239999999999998</v>
      </c>
      <c r="M5238" s="7">
        <v>4.0259999999999998</v>
      </c>
      <c r="N5238" s="7">
        <v>4.8940000000000001</v>
      </c>
      <c r="O5238" s="7">
        <v>5.0599999999999996</v>
      </c>
      <c r="P5238" s="7">
        <v>5.569</v>
      </c>
      <c r="Q5238" s="7">
        <v>5.7610000000000001</v>
      </c>
      <c r="R5238" s="7">
        <v>5.9509999999999996</v>
      </c>
      <c r="S5238" s="7">
        <f t="shared" si="81"/>
        <v>5.0490000000000004</v>
      </c>
    </row>
    <row r="5239" spans="1:19">
      <c r="A5239" s="5" t="str">
        <f>B5239&amp;"-"&amp;COUNTIF($B$2:B5239,B5239)</f>
        <v>SÃO PAULO-528</v>
      </c>
      <c r="B5239" s="5" t="s">
        <v>3122</v>
      </c>
      <c r="C5239" s="5" t="s">
        <v>3935</v>
      </c>
      <c r="D5239" s="6">
        <v>-475522</v>
      </c>
      <c r="E5239" s="6">
        <v>-214736</v>
      </c>
      <c r="F5239" s="7">
        <v>5.0209999999999999</v>
      </c>
      <c r="G5239" s="7">
        <v>5.6440000000000001</v>
      </c>
      <c r="H5239" s="7">
        <v>5.8689999999999998</v>
      </c>
      <c r="I5239" s="7">
        <v>5.0919999999999996</v>
      </c>
      <c r="J5239" s="7">
        <v>4.7789999999999999</v>
      </c>
      <c r="K5239" s="7">
        <v>4.0490000000000004</v>
      </c>
      <c r="L5239" s="7">
        <v>3.8159999999999998</v>
      </c>
      <c r="M5239" s="7">
        <v>4.01</v>
      </c>
      <c r="N5239" s="7">
        <v>4.9009999999999998</v>
      </c>
      <c r="O5239" s="7">
        <v>4.96</v>
      </c>
      <c r="P5239" s="7">
        <v>5.5129999999999999</v>
      </c>
      <c r="Q5239" s="7">
        <v>5.6369999999999996</v>
      </c>
      <c r="R5239" s="7">
        <v>5.9870000000000001</v>
      </c>
      <c r="S5239" s="7">
        <f t="shared" si="81"/>
        <v>5.0214166666666662</v>
      </c>
    </row>
    <row r="5240" spans="1:19">
      <c r="A5240" s="5" t="str">
        <f>B5240&amp;"-"&amp;COUNTIF($B$2:B5240,B5240)</f>
        <v>SÃO PAULO-529</v>
      </c>
      <c r="B5240" s="5" t="s">
        <v>3122</v>
      </c>
      <c r="C5240" s="5" t="s">
        <v>4152</v>
      </c>
      <c r="D5240" s="6">
        <v>-463887</v>
      </c>
      <c r="E5240" s="6">
        <v>-239578</v>
      </c>
      <c r="F5240" s="7">
        <v>4.1420000000000003</v>
      </c>
      <c r="G5240" s="7">
        <v>5.3109999999999999</v>
      </c>
      <c r="H5240" s="7">
        <v>5.4429999999999996</v>
      </c>
      <c r="I5240" s="7">
        <v>4.5789999999999997</v>
      </c>
      <c r="J5240" s="7">
        <v>4.0279999999999996</v>
      </c>
      <c r="K5240" s="7">
        <v>3.26</v>
      </c>
      <c r="L5240" s="7">
        <v>2.8849999999999998</v>
      </c>
      <c r="M5240" s="7">
        <v>2.9049999999999998</v>
      </c>
      <c r="N5240" s="7">
        <v>3.5830000000000002</v>
      </c>
      <c r="O5240" s="7">
        <v>3.56</v>
      </c>
      <c r="P5240" s="7">
        <v>3.9830000000000001</v>
      </c>
      <c r="Q5240" s="7">
        <v>4.8380000000000001</v>
      </c>
      <c r="R5240" s="7">
        <v>5.3280000000000003</v>
      </c>
      <c r="S5240" s="7">
        <f t="shared" si="81"/>
        <v>4.141916666666666</v>
      </c>
    </row>
    <row r="5241" spans="1:19">
      <c r="A5241" s="5" t="str">
        <f>B5241&amp;"-"&amp;COUNTIF($B$2:B5241,B5241)</f>
        <v>SÃO PAULO-530</v>
      </c>
      <c r="B5241" s="5" t="s">
        <v>3122</v>
      </c>
      <c r="C5241" s="5" t="s">
        <v>3449</v>
      </c>
      <c r="D5241" s="6">
        <v>-49576</v>
      </c>
      <c r="E5241" s="6">
        <v>-214598</v>
      </c>
      <c r="F5241" s="7">
        <v>5.15</v>
      </c>
      <c r="G5241" s="7">
        <v>6.0049999999999999</v>
      </c>
      <c r="H5241" s="7">
        <v>6.125</v>
      </c>
      <c r="I5241" s="7">
        <v>5.44</v>
      </c>
      <c r="J5241" s="7">
        <v>4.8120000000000003</v>
      </c>
      <c r="K5241" s="7">
        <v>3.97</v>
      </c>
      <c r="L5241" s="7">
        <v>3.6819999999999999</v>
      </c>
      <c r="M5241" s="7">
        <v>3.9510000000000001</v>
      </c>
      <c r="N5241" s="7">
        <v>4.7880000000000003</v>
      </c>
      <c r="O5241" s="7">
        <v>4.9489999999999998</v>
      </c>
      <c r="P5241" s="7">
        <v>5.6580000000000004</v>
      </c>
      <c r="Q5241" s="7">
        <v>6.0439999999999996</v>
      </c>
      <c r="R5241" s="7">
        <v>6.3810000000000002</v>
      </c>
      <c r="S5241" s="7">
        <f t="shared" si="81"/>
        <v>5.1504166666666658</v>
      </c>
    </row>
    <row r="5242" spans="1:19">
      <c r="A5242" s="5" t="str">
        <f>B5242&amp;"-"&amp;COUNTIF($B$2:B5242,B5242)</f>
        <v>SÃO PAULO-531</v>
      </c>
      <c r="B5242" s="5" t="s">
        <v>3122</v>
      </c>
      <c r="C5242" s="5" t="s">
        <v>3450</v>
      </c>
      <c r="D5242" s="6">
        <v>-509598</v>
      </c>
      <c r="E5242" s="6">
        <v>-218828</v>
      </c>
      <c r="F5242" s="7">
        <v>5.101</v>
      </c>
      <c r="G5242" s="7">
        <v>5.915</v>
      </c>
      <c r="H5242" s="7">
        <v>5.9560000000000004</v>
      </c>
      <c r="I5242" s="7">
        <v>5.4269999999999996</v>
      </c>
      <c r="J5242" s="7">
        <v>4.7990000000000004</v>
      </c>
      <c r="K5242" s="7">
        <v>3.9660000000000002</v>
      </c>
      <c r="L5242" s="7">
        <v>3.66</v>
      </c>
      <c r="M5242" s="7">
        <v>3.8420000000000001</v>
      </c>
      <c r="N5242" s="7">
        <v>4.8099999999999996</v>
      </c>
      <c r="O5242" s="7">
        <v>4.8380000000000001</v>
      </c>
      <c r="P5242" s="7">
        <v>5.5759999999999996</v>
      </c>
      <c r="Q5242" s="7">
        <v>6.0720000000000001</v>
      </c>
      <c r="R5242" s="7">
        <v>6.3529999999999998</v>
      </c>
      <c r="S5242" s="7">
        <f t="shared" si="81"/>
        <v>5.1011666666666677</v>
      </c>
    </row>
    <row r="5243" spans="1:19">
      <c r="A5243" s="5" t="str">
        <f>B5243&amp;"-"&amp;COUNTIF($B$2:B5243,B5243)</f>
        <v>SÃO PAULO-532</v>
      </c>
      <c r="B5243" s="5" t="s">
        <v>3122</v>
      </c>
      <c r="C5243" s="5" t="s">
        <v>3451</v>
      </c>
      <c r="D5243" s="6">
        <v>-494973</v>
      </c>
      <c r="E5243" s="6">
        <v>-213413</v>
      </c>
      <c r="F5243" s="7">
        <v>5.1219999999999999</v>
      </c>
      <c r="G5243" s="7">
        <v>5.92</v>
      </c>
      <c r="H5243" s="7">
        <v>5.9589999999999996</v>
      </c>
      <c r="I5243" s="7">
        <v>5.3040000000000003</v>
      </c>
      <c r="J5243" s="7">
        <v>4.8410000000000002</v>
      </c>
      <c r="K5243" s="7">
        <v>4.0220000000000002</v>
      </c>
      <c r="L5243" s="7">
        <v>3.7679999999999998</v>
      </c>
      <c r="M5243" s="7">
        <v>3.9870000000000001</v>
      </c>
      <c r="N5243" s="7">
        <v>4.8540000000000001</v>
      </c>
      <c r="O5243" s="7">
        <v>4.9749999999999996</v>
      </c>
      <c r="P5243" s="7">
        <v>5.6280000000000001</v>
      </c>
      <c r="Q5243" s="7">
        <v>5.9470000000000001</v>
      </c>
      <c r="R5243" s="7">
        <v>6.2549999999999999</v>
      </c>
      <c r="S5243" s="7">
        <f t="shared" si="81"/>
        <v>5.121666666666667</v>
      </c>
    </row>
    <row r="5244" spans="1:19">
      <c r="A5244" s="5" t="str">
        <f>B5244&amp;"-"&amp;COUNTIF($B$2:B5244,B5244)</f>
        <v>SÃO PAULO-533</v>
      </c>
      <c r="B5244" s="5" t="s">
        <v>3122</v>
      </c>
      <c r="C5244" s="5" t="s">
        <v>3452</v>
      </c>
      <c r="D5244" s="6">
        <v>-478373</v>
      </c>
      <c r="E5244" s="6">
        <v>-207701</v>
      </c>
      <c r="F5244" s="7">
        <v>5.0990000000000002</v>
      </c>
      <c r="G5244" s="7">
        <v>5.6909999999999998</v>
      </c>
      <c r="H5244" s="7">
        <v>5.8710000000000004</v>
      </c>
      <c r="I5244" s="7">
        <v>5.0810000000000004</v>
      </c>
      <c r="J5244" s="7">
        <v>4.8140000000000001</v>
      </c>
      <c r="K5244" s="7">
        <v>4.2130000000000001</v>
      </c>
      <c r="L5244" s="7">
        <v>3.9540000000000002</v>
      </c>
      <c r="M5244" s="7">
        <v>4.1820000000000004</v>
      </c>
      <c r="N5244" s="7">
        <v>5.0869999999999997</v>
      </c>
      <c r="O5244" s="7">
        <v>5.0609999999999999</v>
      </c>
      <c r="P5244" s="7">
        <v>5.5389999999999997</v>
      </c>
      <c r="Q5244" s="7">
        <v>5.7309999999999999</v>
      </c>
      <c r="R5244" s="7">
        <v>5.97</v>
      </c>
      <c r="S5244" s="7">
        <f t="shared" si="81"/>
        <v>5.0994999999999999</v>
      </c>
    </row>
    <row r="5245" spans="1:19">
      <c r="A5245" s="5" t="str">
        <f>B5245&amp;"-"&amp;COUNTIF($B$2:B5245,B5245)</f>
        <v>SÃO PAULO-534</v>
      </c>
      <c r="B5245" s="5" t="s">
        <v>3122</v>
      </c>
      <c r="C5245" s="5" t="s">
        <v>5257</v>
      </c>
      <c r="D5245" s="6">
        <v>-458469</v>
      </c>
      <c r="E5245" s="6">
        <v>-235293</v>
      </c>
      <c r="F5245" s="7">
        <v>4.5750000000000002</v>
      </c>
      <c r="G5245" s="7">
        <v>5.4829999999999997</v>
      </c>
      <c r="H5245" s="7">
        <v>5.7389999999999999</v>
      </c>
      <c r="I5245" s="7">
        <v>4.83</v>
      </c>
      <c r="J5245" s="7">
        <v>4.2850000000000001</v>
      </c>
      <c r="K5245" s="7">
        <v>3.43</v>
      </c>
      <c r="L5245" s="7">
        <v>3.2120000000000002</v>
      </c>
      <c r="M5245" s="7">
        <v>3.302</v>
      </c>
      <c r="N5245" s="7">
        <v>4.2290000000000001</v>
      </c>
      <c r="O5245" s="7">
        <v>4.3019999999999996</v>
      </c>
      <c r="P5245" s="7">
        <v>4.9569999999999999</v>
      </c>
      <c r="Q5245" s="7">
        <v>5.2910000000000004</v>
      </c>
      <c r="R5245" s="7">
        <v>5.8410000000000002</v>
      </c>
      <c r="S5245" s="7">
        <f t="shared" si="81"/>
        <v>4.5750833333333336</v>
      </c>
    </row>
    <row r="5246" spans="1:19">
      <c r="A5246" s="5" t="str">
        <f>B5246&amp;"-"&amp;COUNTIF($B$2:B5246,B5246)</f>
        <v>SÃO PAULO-535</v>
      </c>
      <c r="B5246" s="5" t="s">
        <v>3122</v>
      </c>
      <c r="C5246" s="5" t="s">
        <v>4250</v>
      </c>
      <c r="D5246" s="6">
        <v>-508609</v>
      </c>
      <c r="E5246" s="6">
        <v>-21624</v>
      </c>
      <c r="F5246" s="7">
        <v>5.08</v>
      </c>
      <c r="G5246" s="7">
        <v>5.9009999999999998</v>
      </c>
      <c r="H5246" s="7">
        <v>5.9269999999999996</v>
      </c>
      <c r="I5246" s="7">
        <v>5.38</v>
      </c>
      <c r="J5246" s="7">
        <v>4.7990000000000004</v>
      </c>
      <c r="K5246" s="7">
        <v>3.9769999999999999</v>
      </c>
      <c r="L5246" s="7">
        <v>3.677</v>
      </c>
      <c r="M5246" s="7">
        <v>3.8889999999999998</v>
      </c>
      <c r="N5246" s="7">
        <v>4.8090000000000002</v>
      </c>
      <c r="O5246" s="7">
        <v>4.8449999999999998</v>
      </c>
      <c r="P5246" s="7">
        <v>5.5039999999999996</v>
      </c>
      <c r="Q5246" s="7">
        <v>5.9960000000000004</v>
      </c>
      <c r="R5246" s="7">
        <v>6.2590000000000003</v>
      </c>
      <c r="S5246" s="7">
        <f t="shared" si="81"/>
        <v>5.0802499999999995</v>
      </c>
    </row>
    <row r="5247" spans="1:19">
      <c r="A5247" s="5" t="str">
        <f>B5247&amp;"-"&amp;COUNTIF($B$2:B5247,B5247)</f>
        <v>SÃO PAULO-536</v>
      </c>
      <c r="B5247" s="5" t="s">
        <v>3122</v>
      </c>
      <c r="C5247" s="5" t="s">
        <v>3093</v>
      </c>
      <c r="D5247" s="6">
        <v>-476758</v>
      </c>
      <c r="E5247" s="6">
        <v>-228446</v>
      </c>
      <c r="F5247" s="7">
        <v>4.9119999999999999</v>
      </c>
      <c r="G5247" s="7">
        <v>5.6440000000000001</v>
      </c>
      <c r="H5247" s="7">
        <v>5.8150000000000004</v>
      </c>
      <c r="I5247" s="7">
        <v>5.125</v>
      </c>
      <c r="J5247" s="7">
        <v>4.6139999999999999</v>
      </c>
      <c r="K5247" s="7">
        <v>3.8039999999999998</v>
      </c>
      <c r="L5247" s="7">
        <v>3.5270000000000001</v>
      </c>
      <c r="M5247" s="7">
        <v>3.6970000000000001</v>
      </c>
      <c r="N5247" s="7">
        <v>4.6319999999999997</v>
      </c>
      <c r="O5247" s="7">
        <v>4.8079999999999998</v>
      </c>
      <c r="P5247" s="7">
        <v>5.4329999999999998</v>
      </c>
      <c r="Q5247" s="7">
        <v>5.7309999999999999</v>
      </c>
      <c r="R5247" s="7">
        <v>6.11</v>
      </c>
      <c r="S5247" s="7">
        <f t="shared" si="81"/>
        <v>4.9116666666666662</v>
      </c>
    </row>
    <row r="5248" spans="1:19">
      <c r="A5248" s="5" t="str">
        <f>B5248&amp;"-"&amp;COUNTIF($B$2:B5248,B5248)</f>
        <v>SÃO PAULO-537</v>
      </c>
      <c r="B5248" s="5" t="s">
        <v>3122</v>
      </c>
      <c r="C5248" s="5" t="s">
        <v>3453</v>
      </c>
      <c r="D5248" s="6">
        <v>-472935</v>
      </c>
      <c r="E5248" s="6">
        <v>-232001</v>
      </c>
      <c r="F5248" s="7">
        <v>4.8540000000000001</v>
      </c>
      <c r="G5248" s="7">
        <v>5.5839999999999996</v>
      </c>
      <c r="H5248" s="7">
        <v>5.806</v>
      </c>
      <c r="I5248" s="7">
        <v>5.0910000000000002</v>
      </c>
      <c r="J5248" s="7">
        <v>4.5620000000000003</v>
      </c>
      <c r="K5248" s="7">
        <v>3.7240000000000002</v>
      </c>
      <c r="L5248" s="7">
        <v>3.4239999999999999</v>
      </c>
      <c r="M5248" s="7">
        <v>3.5859999999999999</v>
      </c>
      <c r="N5248" s="7">
        <v>4.5449999999999999</v>
      </c>
      <c r="O5248" s="7">
        <v>4.7149999999999999</v>
      </c>
      <c r="P5248" s="7">
        <v>5.3259999999999996</v>
      </c>
      <c r="Q5248" s="7">
        <v>5.7249999999999996</v>
      </c>
      <c r="R5248" s="7">
        <v>6.1619999999999999</v>
      </c>
      <c r="S5248" s="7">
        <f t="shared" si="81"/>
        <v>4.854166666666667</v>
      </c>
    </row>
    <row r="5249" spans="1:19">
      <c r="A5249" s="5" t="str">
        <f>B5249&amp;"-"&amp;COUNTIF($B$2:B5249,B5249)</f>
        <v>SÃO PAULO-538</v>
      </c>
      <c r="B5249" s="5" t="s">
        <v>3122</v>
      </c>
      <c r="C5249" s="5" t="s">
        <v>3454</v>
      </c>
      <c r="D5249" s="6">
        <v>-475747</v>
      </c>
      <c r="E5249" s="6">
        <v>-236479</v>
      </c>
      <c r="F5249" s="7">
        <v>4.7309999999999999</v>
      </c>
      <c r="G5249" s="7">
        <v>5.4850000000000003</v>
      </c>
      <c r="H5249" s="7">
        <v>5.6950000000000003</v>
      </c>
      <c r="I5249" s="7">
        <v>4.9969999999999999</v>
      </c>
      <c r="J5249" s="7">
        <v>4.4290000000000003</v>
      </c>
      <c r="K5249" s="7">
        <v>3.5670000000000002</v>
      </c>
      <c r="L5249" s="7">
        <v>3.3290000000000002</v>
      </c>
      <c r="M5249" s="7">
        <v>3.44</v>
      </c>
      <c r="N5249" s="7">
        <v>4.4379999999999997</v>
      </c>
      <c r="O5249" s="7">
        <v>4.5860000000000003</v>
      </c>
      <c r="P5249" s="7">
        <v>5.1360000000000001</v>
      </c>
      <c r="Q5249" s="7">
        <v>5.6139999999999999</v>
      </c>
      <c r="R5249" s="7">
        <v>6.0579999999999998</v>
      </c>
      <c r="S5249" s="7">
        <f t="shared" si="81"/>
        <v>4.7311666666666667</v>
      </c>
    </row>
    <row r="5250" spans="1:19">
      <c r="A5250" s="5" t="str">
        <f>B5250&amp;"-"&amp;COUNTIF($B$2:B5250,B5250)</f>
        <v>SÃO PAULO-539</v>
      </c>
      <c r="B5250" s="5" t="s">
        <v>3122</v>
      </c>
      <c r="C5250" s="5" t="s">
        <v>3455</v>
      </c>
      <c r="D5250" s="6">
        <v>-499836</v>
      </c>
      <c r="E5250" s="6">
        <v>-228899</v>
      </c>
      <c r="F5250" s="7">
        <v>4.9240000000000004</v>
      </c>
      <c r="G5250" s="7">
        <v>5.7050000000000001</v>
      </c>
      <c r="H5250" s="7">
        <v>5.8109999999999999</v>
      </c>
      <c r="I5250" s="7">
        <v>5.1509999999999998</v>
      </c>
      <c r="J5250" s="7">
        <v>4.6740000000000004</v>
      </c>
      <c r="K5250" s="7">
        <v>3.7330000000000001</v>
      </c>
      <c r="L5250" s="7">
        <v>3.44</v>
      </c>
      <c r="M5250" s="7">
        <v>3.6469999999999998</v>
      </c>
      <c r="N5250" s="7">
        <v>4.5910000000000002</v>
      </c>
      <c r="O5250" s="7">
        <v>4.7089999999999996</v>
      </c>
      <c r="P5250" s="7">
        <v>5.3920000000000003</v>
      </c>
      <c r="Q5250" s="7">
        <v>5.8639999999999999</v>
      </c>
      <c r="R5250" s="7">
        <v>6.3710000000000004</v>
      </c>
      <c r="S5250" s="7">
        <f t="shared" si="81"/>
        <v>4.9240000000000004</v>
      </c>
    </row>
    <row r="5251" spans="1:19">
      <c r="A5251" s="5" t="str">
        <f>B5251&amp;"-"&amp;COUNTIF($B$2:B5251,B5251)</f>
        <v>SÃO PAULO-540</v>
      </c>
      <c r="B5251" s="5" t="s">
        <v>3122</v>
      </c>
      <c r="C5251" s="5" t="s">
        <v>3456</v>
      </c>
      <c r="D5251" s="6">
        <v>-51763</v>
      </c>
      <c r="E5251" s="6">
        <v>-22456</v>
      </c>
      <c r="F5251" s="7">
        <v>5.05</v>
      </c>
      <c r="G5251" s="7">
        <v>5.9169999999999998</v>
      </c>
      <c r="H5251" s="7">
        <v>5.94</v>
      </c>
      <c r="I5251" s="7">
        <v>5.4470000000000001</v>
      </c>
      <c r="J5251" s="7">
        <v>4.7640000000000002</v>
      </c>
      <c r="K5251" s="7">
        <v>3.823</v>
      </c>
      <c r="L5251" s="7">
        <v>3.5009999999999999</v>
      </c>
      <c r="M5251" s="7">
        <v>3.706</v>
      </c>
      <c r="N5251" s="7">
        <v>4.6559999999999997</v>
      </c>
      <c r="O5251" s="7">
        <v>4.7830000000000004</v>
      </c>
      <c r="P5251" s="7">
        <v>5.5049999999999999</v>
      </c>
      <c r="Q5251" s="7">
        <v>6.0819999999999999</v>
      </c>
      <c r="R5251" s="7">
        <v>6.4729999999999999</v>
      </c>
      <c r="S5251" s="7">
        <f t="shared" ref="S5251:S5314" si="82">(G5251+H5251+I5251+J5251+K5251+L5251+M5251+N5251+O5251+P5251+Q5251+R5251)/12</f>
        <v>5.0497500000000004</v>
      </c>
    </row>
    <row r="5252" spans="1:19">
      <c r="A5252" s="5" t="str">
        <f>B5252&amp;"-"&amp;COUNTIF($B$2:B5252,B5252)</f>
        <v>SÃO PAULO-541</v>
      </c>
      <c r="B5252" s="5" t="s">
        <v>3122</v>
      </c>
      <c r="C5252" s="5" t="s">
        <v>4525</v>
      </c>
      <c r="D5252" s="6">
        <v>-488067</v>
      </c>
      <c r="E5252" s="6">
        <v>-212431</v>
      </c>
      <c r="F5252" s="7">
        <v>5.109</v>
      </c>
      <c r="G5252" s="7">
        <v>5.7910000000000004</v>
      </c>
      <c r="H5252" s="7">
        <v>5.8689999999999998</v>
      </c>
      <c r="I5252" s="7">
        <v>5.1870000000000003</v>
      </c>
      <c r="J5252" s="7">
        <v>4.82</v>
      </c>
      <c r="K5252" s="7">
        <v>4.0940000000000003</v>
      </c>
      <c r="L5252" s="7">
        <v>3.847</v>
      </c>
      <c r="M5252" s="7">
        <v>4.0620000000000003</v>
      </c>
      <c r="N5252" s="7">
        <v>4.9729999999999999</v>
      </c>
      <c r="O5252" s="7">
        <v>5.0629999999999997</v>
      </c>
      <c r="P5252" s="7">
        <v>5.6070000000000002</v>
      </c>
      <c r="Q5252" s="7">
        <v>5.8620000000000001</v>
      </c>
      <c r="R5252" s="7">
        <v>6.1269999999999998</v>
      </c>
      <c r="S5252" s="7">
        <f t="shared" si="82"/>
        <v>5.1085000000000003</v>
      </c>
    </row>
    <row r="5253" spans="1:19">
      <c r="A5253" s="5" t="str">
        <f>B5253&amp;"-"&amp;COUNTIF($B$2:B5253,B5253)</f>
        <v>SÃO PAULO-542</v>
      </c>
      <c r="B5253" s="5" t="s">
        <v>3122</v>
      </c>
      <c r="C5253" s="5" t="s">
        <v>3457</v>
      </c>
      <c r="D5253" s="6">
        <v>-507301</v>
      </c>
      <c r="E5253" s="6">
        <v>-200316</v>
      </c>
      <c r="F5253" s="7">
        <v>5.2030000000000003</v>
      </c>
      <c r="G5253" s="7">
        <v>5.782</v>
      </c>
      <c r="H5253" s="7">
        <v>5.9909999999999997</v>
      </c>
      <c r="I5253" s="7">
        <v>5.4219999999999997</v>
      </c>
      <c r="J5253" s="7">
        <v>4.9210000000000003</v>
      </c>
      <c r="K5253" s="7">
        <v>4.2329999999999997</v>
      </c>
      <c r="L5253" s="7">
        <v>3.972</v>
      </c>
      <c r="M5253" s="7">
        <v>4.1870000000000003</v>
      </c>
      <c r="N5253" s="7">
        <v>5.0620000000000003</v>
      </c>
      <c r="O5253" s="7">
        <v>5.0129999999999999</v>
      </c>
      <c r="P5253" s="7">
        <v>5.6689999999999996</v>
      </c>
      <c r="Q5253" s="7">
        <v>5.9459999999999997</v>
      </c>
      <c r="R5253" s="7">
        <v>6.24</v>
      </c>
      <c r="S5253" s="7">
        <f t="shared" si="82"/>
        <v>5.2031666666666663</v>
      </c>
    </row>
    <row r="5254" spans="1:19">
      <c r="A5254" s="5" t="str">
        <f>B5254&amp;"-"&amp;COUNTIF($B$2:B5254,B5254)</f>
        <v>SÃO PAULO-543</v>
      </c>
      <c r="B5254" s="5" t="s">
        <v>3122</v>
      </c>
      <c r="C5254" s="5" t="s">
        <v>5789</v>
      </c>
      <c r="D5254" s="6">
        <v>-474147</v>
      </c>
      <c r="E5254" s="6">
        <v>-227557</v>
      </c>
      <c r="F5254" s="7">
        <v>4.923</v>
      </c>
      <c r="G5254" s="7">
        <v>5.6680000000000001</v>
      </c>
      <c r="H5254" s="7">
        <v>5.8310000000000004</v>
      </c>
      <c r="I5254" s="7">
        <v>5.1459999999999999</v>
      </c>
      <c r="J5254" s="7">
        <v>4.6230000000000002</v>
      </c>
      <c r="K5254" s="7">
        <v>3.802</v>
      </c>
      <c r="L5254" s="7">
        <v>3.5369999999999999</v>
      </c>
      <c r="M5254" s="7">
        <v>3.6880000000000002</v>
      </c>
      <c r="N5254" s="7">
        <v>4.6230000000000002</v>
      </c>
      <c r="O5254" s="7">
        <v>4.8259999999999996</v>
      </c>
      <c r="P5254" s="7">
        <v>5.4610000000000003</v>
      </c>
      <c r="Q5254" s="7">
        <v>5.7030000000000003</v>
      </c>
      <c r="R5254" s="7">
        <v>6.1680000000000001</v>
      </c>
      <c r="S5254" s="7">
        <f t="shared" si="82"/>
        <v>4.923</v>
      </c>
    </row>
    <row r="5255" spans="1:19">
      <c r="A5255" s="5" t="str">
        <f>B5255&amp;"-"&amp;COUNTIF($B$2:B5255,B5255)</f>
        <v>SÃO PAULO-544</v>
      </c>
      <c r="B5255" s="5" t="s">
        <v>3122</v>
      </c>
      <c r="C5255" s="5" t="s">
        <v>3458</v>
      </c>
      <c r="D5255" s="6">
        <v>-458879</v>
      </c>
      <c r="E5255" s="6">
        <v>-233938</v>
      </c>
      <c r="F5255" s="7">
        <v>4.609</v>
      </c>
      <c r="G5255" s="7">
        <v>5.4729999999999999</v>
      </c>
      <c r="H5255" s="7">
        <v>5.7460000000000004</v>
      </c>
      <c r="I5255" s="7">
        <v>4.8639999999999999</v>
      </c>
      <c r="J5255" s="7">
        <v>4.3360000000000003</v>
      </c>
      <c r="K5255" s="7">
        <v>3.4630000000000001</v>
      </c>
      <c r="L5255" s="7">
        <v>3.22</v>
      </c>
      <c r="M5255" s="7">
        <v>3.3220000000000001</v>
      </c>
      <c r="N5255" s="7">
        <v>4.2539999999999996</v>
      </c>
      <c r="O5255" s="7">
        <v>4.3600000000000003</v>
      </c>
      <c r="P5255" s="7">
        <v>5.0570000000000004</v>
      </c>
      <c r="Q5255" s="7">
        <v>5.3419999999999996</v>
      </c>
      <c r="R5255" s="7">
        <v>5.875</v>
      </c>
      <c r="S5255" s="7">
        <f t="shared" si="82"/>
        <v>4.6093333333333337</v>
      </c>
    </row>
    <row r="5256" spans="1:19">
      <c r="A5256" s="5" t="str">
        <f>B5256&amp;"-"&amp;COUNTIF($B$2:B5256,B5256)</f>
        <v>SÃO PAULO-545</v>
      </c>
      <c r="B5256" s="5" t="s">
        <v>3122</v>
      </c>
      <c r="C5256" s="5" t="s">
        <v>3459</v>
      </c>
      <c r="D5256" s="6">
        <v>-509279</v>
      </c>
      <c r="E5256" s="6">
        <v>-20092</v>
      </c>
      <c r="F5256" s="7">
        <v>5.194</v>
      </c>
      <c r="G5256" s="7">
        <v>5.8079999999999998</v>
      </c>
      <c r="H5256" s="7">
        <v>6.0090000000000003</v>
      </c>
      <c r="I5256" s="7">
        <v>5.4850000000000003</v>
      </c>
      <c r="J5256" s="7">
        <v>4.9649999999999999</v>
      </c>
      <c r="K5256" s="7">
        <v>4.1879999999999997</v>
      </c>
      <c r="L5256" s="7">
        <v>3.859</v>
      </c>
      <c r="M5256" s="7">
        <v>4.1070000000000002</v>
      </c>
      <c r="N5256" s="7">
        <v>4.9790000000000001</v>
      </c>
      <c r="O5256" s="7">
        <v>4.9580000000000002</v>
      </c>
      <c r="P5256" s="7">
        <v>5.6349999999999998</v>
      </c>
      <c r="Q5256" s="7">
        <v>6.0010000000000003</v>
      </c>
      <c r="R5256" s="7">
        <v>6.3380000000000001</v>
      </c>
      <c r="S5256" s="7">
        <f t="shared" si="82"/>
        <v>5.1943333333333328</v>
      </c>
    </row>
    <row r="5257" spans="1:19">
      <c r="A5257" s="5" t="str">
        <f>B5257&amp;"-"&amp;COUNTIF($B$2:B5257,B5257)</f>
        <v>SÃO PAULO-546</v>
      </c>
      <c r="B5257" s="5" t="s">
        <v>3122</v>
      </c>
      <c r="C5257" s="5" t="s">
        <v>4798</v>
      </c>
      <c r="D5257" s="6">
        <v>-474516</v>
      </c>
      <c r="E5257" s="6">
        <v>-22141</v>
      </c>
      <c r="F5257" s="7">
        <v>4.9870000000000001</v>
      </c>
      <c r="G5257" s="7">
        <v>5.585</v>
      </c>
      <c r="H5257" s="7">
        <v>5.8650000000000002</v>
      </c>
      <c r="I5257" s="7">
        <v>5.1379999999999999</v>
      </c>
      <c r="J5257" s="7">
        <v>4.7149999999999999</v>
      </c>
      <c r="K5257" s="7">
        <v>3.9390000000000001</v>
      </c>
      <c r="L5257" s="7">
        <v>3.7029999999999998</v>
      </c>
      <c r="M5257" s="7">
        <v>3.8690000000000002</v>
      </c>
      <c r="N5257" s="7">
        <v>4.8070000000000004</v>
      </c>
      <c r="O5257" s="7">
        <v>4.9550000000000001</v>
      </c>
      <c r="P5257" s="7">
        <v>5.5309999999999997</v>
      </c>
      <c r="Q5257" s="7">
        <v>5.7240000000000002</v>
      </c>
      <c r="R5257" s="7">
        <v>6.008</v>
      </c>
      <c r="S5257" s="7">
        <f t="shared" si="82"/>
        <v>4.9865833333333338</v>
      </c>
    </row>
    <row r="5258" spans="1:19">
      <c r="A5258" s="5" t="str">
        <f>B5258&amp;"-"&amp;COUNTIF($B$2:B5258,B5258)</f>
        <v>SÃO PAULO-547</v>
      </c>
      <c r="B5258" s="5" t="s">
        <v>3122</v>
      </c>
      <c r="C5258" s="5" t="s">
        <v>4799</v>
      </c>
      <c r="D5258" s="6">
        <v>-474308</v>
      </c>
      <c r="E5258" s="6">
        <v>-212955</v>
      </c>
      <c r="F5258" s="7">
        <v>5.0579999999999998</v>
      </c>
      <c r="G5258" s="7">
        <v>5.649</v>
      </c>
      <c r="H5258" s="7">
        <v>5.8559999999999999</v>
      </c>
      <c r="I5258" s="7">
        <v>5.1349999999999998</v>
      </c>
      <c r="J5258" s="7">
        <v>4.8099999999999996</v>
      </c>
      <c r="K5258" s="7">
        <v>4.085</v>
      </c>
      <c r="L5258" s="7">
        <v>3.8559999999999999</v>
      </c>
      <c r="M5258" s="7">
        <v>4.0860000000000003</v>
      </c>
      <c r="N5258" s="7">
        <v>4.952</v>
      </c>
      <c r="O5258" s="7">
        <v>4.976</v>
      </c>
      <c r="P5258" s="7">
        <v>5.55</v>
      </c>
      <c r="Q5258" s="7">
        <v>5.71</v>
      </c>
      <c r="R5258" s="7">
        <v>6.0309999999999997</v>
      </c>
      <c r="S5258" s="7">
        <f t="shared" si="82"/>
        <v>5.0579999999999989</v>
      </c>
    </row>
    <row r="5259" spans="1:19">
      <c r="A5259" s="5" t="str">
        <f>B5259&amp;"-"&amp;COUNTIF($B$2:B5259,B5259)</f>
        <v>SÃO PAULO-548</v>
      </c>
      <c r="B5259" s="5" t="s">
        <v>3122</v>
      </c>
      <c r="C5259" s="5" t="s">
        <v>3460</v>
      </c>
      <c r="D5259" s="6">
        <v>-472484</v>
      </c>
      <c r="E5259" s="6">
        <v>-218239</v>
      </c>
      <c r="F5259" s="7">
        <v>5.0010000000000003</v>
      </c>
      <c r="G5259" s="7">
        <v>5.6070000000000002</v>
      </c>
      <c r="H5259" s="7">
        <v>5.8</v>
      </c>
      <c r="I5259" s="7">
        <v>5.1040000000000001</v>
      </c>
      <c r="J5259" s="7">
        <v>4.766</v>
      </c>
      <c r="K5259" s="7">
        <v>4.008</v>
      </c>
      <c r="L5259" s="7">
        <v>3.746</v>
      </c>
      <c r="M5259" s="7">
        <v>3.9329999999999998</v>
      </c>
      <c r="N5259" s="7">
        <v>4.8769999999999998</v>
      </c>
      <c r="O5259" s="7">
        <v>4.9649999999999999</v>
      </c>
      <c r="P5259" s="7">
        <v>5.524</v>
      </c>
      <c r="Q5259" s="7">
        <v>5.718</v>
      </c>
      <c r="R5259" s="7">
        <v>5.9630000000000001</v>
      </c>
      <c r="S5259" s="7">
        <f t="shared" si="82"/>
        <v>5.0009166666666669</v>
      </c>
    </row>
    <row r="5260" spans="1:19">
      <c r="A5260" s="5" t="str">
        <f>B5260&amp;"-"&amp;COUNTIF($B$2:B5260,B5260)</f>
        <v>SÃO PAULO-549</v>
      </c>
      <c r="B5260" s="5" t="s">
        <v>3122</v>
      </c>
      <c r="C5260" s="5" t="s">
        <v>3461</v>
      </c>
      <c r="D5260" s="6">
        <v>-496359</v>
      </c>
      <c r="E5260" s="6">
        <v>-228992</v>
      </c>
      <c r="F5260" s="7">
        <v>4.9249999999999998</v>
      </c>
      <c r="G5260" s="7">
        <v>5.6710000000000003</v>
      </c>
      <c r="H5260" s="7">
        <v>5.7990000000000004</v>
      </c>
      <c r="I5260" s="7">
        <v>5.1630000000000003</v>
      </c>
      <c r="J5260" s="7">
        <v>4.6760000000000002</v>
      </c>
      <c r="K5260" s="7">
        <v>3.7229999999999999</v>
      </c>
      <c r="L5260" s="7">
        <v>3.4590000000000001</v>
      </c>
      <c r="M5260" s="7">
        <v>3.6509999999999998</v>
      </c>
      <c r="N5260" s="7">
        <v>4.641</v>
      </c>
      <c r="O5260" s="7">
        <v>4.7300000000000004</v>
      </c>
      <c r="P5260" s="7">
        <v>5.4290000000000003</v>
      </c>
      <c r="Q5260" s="7">
        <v>5.867</v>
      </c>
      <c r="R5260" s="7">
        <v>6.2949999999999999</v>
      </c>
      <c r="S5260" s="7">
        <f t="shared" si="82"/>
        <v>4.9253333333333336</v>
      </c>
    </row>
    <row r="5261" spans="1:19">
      <c r="A5261" s="5" t="str">
        <f>B5261&amp;"-"&amp;COUNTIF($B$2:B5261,B5261)</f>
        <v>SÃO PAULO-550</v>
      </c>
      <c r="B5261" s="5" t="s">
        <v>3122</v>
      </c>
      <c r="C5261" s="5" t="s">
        <v>3462</v>
      </c>
      <c r="D5261" s="6">
        <v>-48391</v>
      </c>
      <c r="E5261" s="6">
        <v>-21463</v>
      </c>
      <c r="F5261" s="7">
        <v>5.0640000000000001</v>
      </c>
      <c r="G5261" s="7">
        <v>5.7350000000000003</v>
      </c>
      <c r="H5261" s="7">
        <v>5.899</v>
      </c>
      <c r="I5261" s="7">
        <v>5.1420000000000003</v>
      </c>
      <c r="J5261" s="7">
        <v>4.7720000000000002</v>
      </c>
      <c r="K5261" s="7">
        <v>4.0540000000000003</v>
      </c>
      <c r="L5261" s="7">
        <v>3.8140000000000001</v>
      </c>
      <c r="M5261" s="7">
        <v>4.0069999999999997</v>
      </c>
      <c r="N5261" s="7">
        <v>4.8710000000000004</v>
      </c>
      <c r="O5261" s="7">
        <v>4.984</v>
      </c>
      <c r="P5261" s="7">
        <v>5.5759999999999996</v>
      </c>
      <c r="Q5261" s="7">
        <v>5.8170000000000002</v>
      </c>
      <c r="R5261" s="7">
        <v>6.0940000000000003</v>
      </c>
      <c r="S5261" s="7">
        <f t="shared" si="82"/>
        <v>5.0637500000000006</v>
      </c>
    </row>
    <row r="5262" spans="1:19">
      <c r="A5262" s="5" t="str">
        <f>B5262&amp;"-"&amp;COUNTIF($B$2:B5262,B5262)</f>
        <v>SÃO PAULO-551</v>
      </c>
      <c r="B5262" s="5" t="s">
        <v>3122</v>
      </c>
      <c r="C5262" s="5" t="s">
        <v>4526</v>
      </c>
      <c r="D5262" s="6">
        <v>-509324</v>
      </c>
      <c r="E5262" s="6">
        <v>-202087</v>
      </c>
      <c r="F5262" s="7">
        <v>5.2039999999999997</v>
      </c>
      <c r="G5262" s="7">
        <v>5.8230000000000004</v>
      </c>
      <c r="H5262" s="7">
        <v>6.0010000000000003</v>
      </c>
      <c r="I5262" s="7">
        <v>5.4779999999999998</v>
      </c>
      <c r="J5262" s="7">
        <v>4.9790000000000001</v>
      </c>
      <c r="K5262" s="7">
        <v>4.1950000000000003</v>
      </c>
      <c r="L5262" s="7">
        <v>3.867</v>
      </c>
      <c r="M5262" s="7">
        <v>4.0999999999999996</v>
      </c>
      <c r="N5262" s="7">
        <v>4.968</v>
      </c>
      <c r="O5262" s="7">
        <v>4.9790000000000001</v>
      </c>
      <c r="P5262" s="7">
        <v>5.657</v>
      </c>
      <c r="Q5262" s="7">
        <v>6.0380000000000003</v>
      </c>
      <c r="R5262" s="7">
        <v>6.367</v>
      </c>
      <c r="S5262" s="7">
        <f t="shared" si="82"/>
        <v>5.2043333333333326</v>
      </c>
    </row>
    <row r="5263" spans="1:19">
      <c r="A5263" s="5" t="str">
        <f>B5263&amp;"-"&amp;COUNTIF($B$2:B5263,B5263)</f>
        <v>SÃO PAULO-552</v>
      </c>
      <c r="B5263" s="5" t="s">
        <v>3122</v>
      </c>
      <c r="C5263" s="5" t="s">
        <v>3463</v>
      </c>
      <c r="D5263" s="6">
        <v>-475276</v>
      </c>
      <c r="E5263" s="6">
        <v>-224577</v>
      </c>
      <c r="F5263" s="7">
        <v>4.899</v>
      </c>
      <c r="G5263" s="7">
        <v>5.6020000000000003</v>
      </c>
      <c r="H5263" s="7">
        <v>5.7069999999999999</v>
      </c>
      <c r="I5263" s="7">
        <v>5.0739999999999998</v>
      </c>
      <c r="J5263" s="7">
        <v>4.6399999999999997</v>
      </c>
      <c r="K5263" s="7">
        <v>3.8159999999999998</v>
      </c>
      <c r="L5263" s="7">
        <v>3.5510000000000002</v>
      </c>
      <c r="M5263" s="7">
        <v>3.7490000000000001</v>
      </c>
      <c r="N5263" s="7">
        <v>4.7249999999999996</v>
      </c>
      <c r="O5263" s="7">
        <v>4.8339999999999996</v>
      </c>
      <c r="P5263" s="7">
        <v>5.45</v>
      </c>
      <c r="Q5263" s="7">
        <v>5.617</v>
      </c>
      <c r="R5263" s="7">
        <v>6.0289999999999999</v>
      </c>
      <c r="S5263" s="7">
        <f t="shared" si="82"/>
        <v>4.8995000000000006</v>
      </c>
    </row>
    <row r="5264" spans="1:19">
      <c r="A5264" s="5" t="str">
        <f>B5264&amp;"-"&amp;COUNTIF($B$2:B5264,B5264)</f>
        <v>SÃO PAULO-553</v>
      </c>
      <c r="B5264" s="5" t="s">
        <v>3122</v>
      </c>
      <c r="C5264" s="5" t="s">
        <v>862</v>
      </c>
      <c r="D5264" s="6">
        <v>-462241</v>
      </c>
      <c r="E5264" s="6">
        <v>-233177</v>
      </c>
      <c r="F5264" s="7">
        <v>4.4619999999999997</v>
      </c>
      <c r="G5264" s="7">
        <v>5.2480000000000002</v>
      </c>
      <c r="H5264" s="7">
        <v>5.5780000000000003</v>
      </c>
      <c r="I5264" s="7">
        <v>4.7389999999999999</v>
      </c>
      <c r="J5264" s="7">
        <v>4.1900000000000004</v>
      </c>
      <c r="K5264" s="7">
        <v>3.383</v>
      </c>
      <c r="L5264" s="7">
        <v>3.1669999999999998</v>
      </c>
      <c r="M5264" s="7">
        <v>3.23</v>
      </c>
      <c r="N5264" s="7">
        <v>4.2229999999999999</v>
      </c>
      <c r="O5264" s="7">
        <v>4.2450000000000001</v>
      </c>
      <c r="P5264" s="7">
        <v>4.7919999999999998</v>
      </c>
      <c r="Q5264" s="7">
        <v>5.0590000000000002</v>
      </c>
      <c r="R5264" s="7">
        <v>5.6890000000000001</v>
      </c>
      <c r="S5264" s="7">
        <f t="shared" si="82"/>
        <v>4.4619166666666663</v>
      </c>
    </row>
    <row r="5265" spans="1:19">
      <c r="A5265" s="5" t="str">
        <f>B5265&amp;"-"&amp;COUNTIF($B$2:B5265,B5265)</f>
        <v>SÃO PAULO-554</v>
      </c>
      <c r="B5265" s="5" t="s">
        <v>3122</v>
      </c>
      <c r="C5265" s="5" t="s">
        <v>4862</v>
      </c>
      <c r="D5265" s="6">
        <v>-48084</v>
      </c>
      <c r="E5265" s="6">
        <v>-21685</v>
      </c>
      <c r="F5265" s="7">
        <v>5.016</v>
      </c>
      <c r="G5265" s="7">
        <v>5.6559999999999997</v>
      </c>
      <c r="H5265" s="7">
        <v>5.9029999999999996</v>
      </c>
      <c r="I5265" s="7">
        <v>5.1230000000000002</v>
      </c>
      <c r="J5265" s="7">
        <v>4.7220000000000004</v>
      </c>
      <c r="K5265" s="7">
        <v>4.0149999999999997</v>
      </c>
      <c r="L5265" s="7">
        <v>3.762</v>
      </c>
      <c r="M5265" s="7">
        <v>3.9689999999999999</v>
      </c>
      <c r="N5265" s="7">
        <v>4.819</v>
      </c>
      <c r="O5265" s="7">
        <v>4.9539999999999997</v>
      </c>
      <c r="P5265" s="7">
        <v>5.5220000000000002</v>
      </c>
      <c r="Q5265" s="7">
        <v>5.7789999999999999</v>
      </c>
      <c r="R5265" s="7">
        <v>5.9640000000000004</v>
      </c>
      <c r="S5265" s="7">
        <f t="shared" si="82"/>
        <v>5.0156666666666672</v>
      </c>
    </row>
    <row r="5266" spans="1:19">
      <c r="A5266" s="5" t="str">
        <f>B5266&amp;"-"&amp;COUNTIF($B$2:B5266,B5266)</f>
        <v>SÃO PAULO-555</v>
      </c>
      <c r="B5266" s="5" t="s">
        <v>3122</v>
      </c>
      <c r="C5266" s="5" t="s">
        <v>3464</v>
      </c>
      <c r="D5266" s="6">
        <v>-481597</v>
      </c>
      <c r="E5266" s="6">
        <v>-225666</v>
      </c>
      <c r="F5266" s="7">
        <v>4.8760000000000003</v>
      </c>
      <c r="G5266" s="7">
        <v>5.5270000000000001</v>
      </c>
      <c r="H5266" s="7">
        <v>5.7610000000000001</v>
      </c>
      <c r="I5266" s="7">
        <v>5.1230000000000002</v>
      </c>
      <c r="J5266" s="7">
        <v>4.6150000000000002</v>
      </c>
      <c r="K5266" s="7">
        <v>3.7450000000000001</v>
      </c>
      <c r="L5266" s="7">
        <v>3.468</v>
      </c>
      <c r="M5266" s="7">
        <v>3.6110000000000002</v>
      </c>
      <c r="N5266" s="7">
        <v>4.6079999999999997</v>
      </c>
      <c r="O5266" s="7">
        <v>4.76</v>
      </c>
      <c r="P5266" s="7">
        <v>5.3890000000000002</v>
      </c>
      <c r="Q5266" s="7">
        <v>5.7939999999999996</v>
      </c>
      <c r="R5266" s="7">
        <v>6.1159999999999997</v>
      </c>
      <c r="S5266" s="7">
        <f t="shared" si="82"/>
        <v>4.8764166666666666</v>
      </c>
    </row>
    <row r="5267" spans="1:19">
      <c r="A5267" s="5" t="str">
        <f>B5267&amp;"-"&amp;COUNTIF($B$2:B5267,B5267)</f>
        <v>SÃO PAULO-556</v>
      </c>
      <c r="B5267" s="5" t="s">
        <v>3122</v>
      </c>
      <c r="C5267" s="5" t="s">
        <v>3465</v>
      </c>
      <c r="D5267" s="6">
        <v>-517549</v>
      </c>
      <c r="E5267" s="6">
        <v>-213509</v>
      </c>
      <c r="F5267" s="7">
        <v>5.1360000000000001</v>
      </c>
      <c r="G5267" s="7">
        <v>5.9560000000000004</v>
      </c>
      <c r="H5267" s="7">
        <v>6.0030000000000001</v>
      </c>
      <c r="I5267" s="7">
        <v>5.4640000000000004</v>
      </c>
      <c r="J5267" s="7">
        <v>4.843</v>
      </c>
      <c r="K5267" s="7">
        <v>4.0330000000000004</v>
      </c>
      <c r="L5267" s="7">
        <v>3.6960000000000002</v>
      </c>
      <c r="M5267" s="7">
        <v>3.8889999999999998</v>
      </c>
      <c r="N5267" s="7">
        <v>4.7969999999999997</v>
      </c>
      <c r="O5267" s="7">
        <v>4.9130000000000003</v>
      </c>
      <c r="P5267" s="7">
        <v>5.61</v>
      </c>
      <c r="Q5267" s="7">
        <v>6.0590000000000002</v>
      </c>
      <c r="R5267" s="7">
        <v>6.3650000000000002</v>
      </c>
      <c r="S5267" s="7">
        <f t="shared" si="82"/>
        <v>5.1356666666666673</v>
      </c>
    </row>
    <row r="5268" spans="1:19">
      <c r="A5268" s="5" t="str">
        <f>B5268&amp;"-"&amp;COUNTIF($B$2:B5268,B5268)</f>
        <v>SÃO PAULO-557</v>
      </c>
      <c r="B5268" s="5" t="s">
        <v>3122</v>
      </c>
      <c r="C5268" s="5" t="s">
        <v>3466</v>
      </c>
      <c r="D5268" s="6">
        <v>-474784</v>
      </c>
      <c r="E5268" s="6">
        <v>-217088</v>
      </c>
      <c r="F5268" s="7">
        <v>5.016</v>
      </c>
      <c r="G5268" s="7">
        <v>5.633</v>
      </c>
      <c r="H5268" s="7">
        <v>5.8460000000000001</v>
      </c>
      <c r="I5268" s="7">
        <v>5.1429999999999998</v>
      </c>
      <c r="J5268" s="7">
        <v>4.7789999999999999</v>
      </c>
      <c r="K5268" s="7">
        <v>4.016</v>
      </c>
      <c r="L5268" s="7">
        <v>3.7989999999999999</v>
      </c>
      <c r="M5268" s="7">
        <v>3.9510000000000001</v>
      </c>
      <c r="N5268" s="7">
        <v>4.883</v>
      </c>
      <c r="O5268" s="7">
        <v>4.9109999999999996</v>
      </c>
      <c r="P5268" s="7">
        <v>5.4850000000000003</v>
      </c>
      <c r="Q5268" s="7">
        <v>5.7380000000000004</v>
      </c>
      <c r="R5268" s="7">
        <v>6.01</v>
      </c>
      <c r="S5268" s="7">
        <f t="shared" si="82"/>
        <v>5.0161666666666669</v>
      </c>
    </row>
    <row r="5269" spans="1:19">
      <c r="A5269" s="5" t="str">
        <f>B5269&amp;"-"&amp;COUNTIF($B$2:B5269,B5269)</f>
        <v>SÃO PAULO-558</v>
      </c>
      <c r="B5269" s="5" t="s">
        <v>3122</v>
      </c>
      <c r="C5269" s="5" t="s">
        <v>3467</v>
      </c>
      <c r="D5269" s="6">
        <v>-508329</v>
      </c>
      <c r="E5269" s="6">
        <v>-20143</v>
      </c>
      <c r="F5269" s="7">
        <v>5.2169999999999996</v>
      </c>
      <c r="G5269" s="7">
        <v>5.8070000000000004</v>
      </c>
      <c r="H5269" s="7">
        <v>6.0060000000000002</v>
      </c>
      <c r="I5269" s="7">
        <v>5.4320000000000004</v>
      </c>
      <c r="J5269" s="7">
        <v>4.9320000000000004</v>
      </c>
      <c r="K5269" s="7">
        <v>4.2300000000000004</v>
      </c>
      <c r="L5269" s="7">
        <v>3.952</v>
      </c>
      <c r="M5269" s="7">
        <v>4.1669999999999998</v>
      </c>
      <c r="N5269" s="7">
        <v>5.056</v>
      </c>
      <c r="O5269" s="7">
        <v>5.0439999999999996</v>
      </c>
      <c r="P5269" s="7">
        <v>5.6859999999999999</v>
      </c>
      <c r="Q5269" s="7">
        <v>5.9930000000000003</v>
      </c>
      <c r="R5269" s="7">
        <v>6.3010000000000002</v>
      </c>
      <c r="S5269" s="7">
        <f t="shared" si="82"/>
        <v>5.2171666666666665</v>
      </c>
    </row>
    <row r="5270" spans="1:19">
      <c r="A5270" s="5" t="str">
        <f>B5270&amp;"-"&amp;COUNTIF($B$2:B5270,B5270)</f>
        <v>SÃO PAULO-559</v>
      </c>
      <c r="B5270" s="5" t="s">
        <v>3122</v>
      </c>
      <c r="C5270" s="5" t="s">
        <v>3468</v>
      </c>
      <c r="D5270" s="6">
        <v>-473626</v>
      </c>
      <c r="E5270" s="6">
        <v>-21478</v>
      </c>
      <c r="F5270" s="7">
        <v>5.05</v>
      </c>
      <c r="G5270" s="7">
        <v>5.6710000000000003</v>
      </c>
      <c r="H5270" s="7">
        <v>5.8949999999999996</v>
      </c>
      <c r="I5270" s="7">
        <v>5.13</v>
      </c>
      <c r="J5270" s="7">
        <v>4.8230000000000004</v>
      </c>
      <c r="K5270" s="7">
        <v>4.0579999999999998</v>
      </c>
      <c r="L5270" s="7">
        <v>3.8149999999999999</v>
      </c>
      <c r="M5270" s="7">
        <v>4.0199999999999996</v>
      </c>
      <c r="N5270" s="7">
        <v>4.9050000000000002</v>
      </c>
      <c r="O5270" s="7">
        <v>4.9740000000000002</v>
      </c>
      <c r="P5270" s="7">
        <v>5.5629999999999997</v>
      </c>
      <c r="Q5270" s="7">
        <v>5.7590000000000003</v>
      </c>
      <c r="R5270" s="7">
        <v>5.9859999999999998</v>
      </c>
      <c r="S5270" s="7">
        <f t="shared" si="82"/>
        <v>5.0499166666666664</v>
      </c>
    </row>
    <row r="5271" spans="1:19">
      <c r="A5271" s="5" t="str">
        <f>B5271&amp;"-"&amp;COUNTIF($B$2:B5271,B5271)</f>
        <v>SÃO PAULO-560</v>
      </c>
      <c r="B5271" s="5" t="s">
        <v>3122</v>
      </c>
      <c r="C5271" s="5" t="s">
        <v>3469</v>
      </c>
      <c r="D5271" s="6">
        <v>-506879</v>
      </c>
      <c r="E5271" s="6">
        <v>-20245</v>
      </c>
      <c r="F5271" s="7">
        <v>5.1989999999999998</v>
      </c>
      <c r="G5271" s="7">
        <v>5.7960000000000003</v>
      </c>
      <c r="H5271" s="7">
        <v>5.9290000000000003</v>
      </c>
      <c r="I5271" s="7">
        <v>5.335</v>
      </c>
      <c r="J5271" s="7">
        <v>4.8819999999999997</v>
      </c>
      <c r="K5271" s="7">
        <v>4.234</v>
      </c>
      <c r="L5271" s="7">
        <v>3.9620000000000002</v>
      </c>
      <c r="M5271" s="7">
        <v>4.1920000000000002</v>
      </c>
      <c r="N5271" s="7">
        <v>5.1109999999999998</v>
      </c>
      <c r="O5271" s="7">
        <v>5.0789999999999997</v>
      </c>
      <c r="P5271" s="7">
        <v>5.68</v>
      </c>
      <c r="Q5271" s="7">
        <v>5.9279999999999999</v>
      </c>
      <c r="R5271" s="7">
        <v>6.2619999999999996</v>
      </c>
      <c r="S5271" s="7">
        <f t="shared" si="82"/>
        <v>5.1991666666666658</v>
      </c>
    </row>
    <row r="5272" spans="1:19">
      <c r="A5272" s="5" t="str">
        <f>B5272&amp;"-"&amp;COUNTIF($B$2:B5272,B5272)</f>
        <v>SÃO PAULO-561</v>
      </c>
      <c r="B5272" s="5" t="s">
        <v>3122</v>
      </c>
      <c r="C5272" s="5" t="s">
        <v>5258</v>
      </c>
      <c r="D5272" s="6">
        <v>-504999</v>
      </c>
      <c r="E5272" s="6">
        <v>-21638</v>
      </c>
      <c r="F5272" s="7">
        <v>5.101</v>
      </c>
      <c r="G5272" s="7">
        <v>5.9050000000000002</v>
      </c>
      <c r="H5272" s="7">
        <v>5.8959999999999999</v>
      </c>
      <c r="I5272" s="7">
        <v>5.3460000000000001</v>
      </c>
      <c r="J5272" s="7">
        <v>4.8209999999999997</v>
      </c>
      <c r="K5272" s="7">
        <v>3.9790000000000001</v>
      </c>
      <c r="L5272" s="7">
        <v>3.6920000000000002</v>
      </c>
      <c r="M5272" s="7">
        <v>3.9239999999999999</v>
      </c>
      <c r="N5272" s="7">
        <v>4.8319999999999999</v>
      </c>
      <c r="O5272" s="7">
        <v>4.8639999999999999</v>
      </c>
      <c r="P5272" s="7">
        <v>5.58</v>
      </c>
      <c r="Q5272" s="7">
        <v>6.0540000000000003</v>
      </c>
      <c r="R5272" s="7">
        <v>6.32</v>
      </c>
      <c r="S5272" s="7">
        <f t="shared" si="82"/>
        <v>5.1010833333333325</v>
      </c>
    </row>
    <row r="5273" spans="1:19">
      <c r="A5273" s="5" t="str">
        <f>B5273&amp;"-"&amp;COUNTIF($B$2:B5273,B5273)</f>
        <v>SÃO PAULO-562</v>
      </c>
      <c r="B5273" s="5" t="s">
        <v>3122</v>
      </c>
      <c r="C5273" s="5" t="s">
        <v>3470</v>
      </c>
      <c r="D5273" s="6">
        <v>-507969</v>
      </c>
      <c r="E5273" s="6">
        <v>-20253</v>
      </c>
      <c r="F5273" s="7">
        <v>5.2</v>
      </c>
      <c r="G5273" s="7">
        <v>5.8029999999999999</v>
      </c>
      <c r="H5273" s="7">
        <v>5.976</v>
      </c>
      <c r="I5273" s="7">
        <v>5.3680000000000003</v>
      </c>
      <c r="J5273" s="7">
        <v>4.8979999999999997</v>
      </c>
      <c r="K5273" s="7">
        <v>4.2110000000000003</v>
      </c>
      <c r="L5273" s="7">
        <v>3.931</v>
      </c>
      <c r="M5273" s="7">
        <v>4.1500000000000004</v>
      </c>
      <c r="N5273" s="7">
        <v>5.0709999999999997</v>
      </c>
      <c r="O5273" s="7">
        <v>5.0739999999999998</v>
      </c>
      <c r="P5273" s="7">
        <v>5.6740000000000004</v>
      </c>
      <c r="Q5273" s="7">
        <v>5.9640000000000004</v>
      </c>
      <c r="R5273" s="7">
        <v>6.2850000000000001</v>
      </c>
      <c r="S5273" s="7">
        <f t="shared" si="82"/>
        <v>5.2004166666666665</v>
      </c>
    </row>
    <row r="5274" spans="1:19">
      <c r="A5274" s="5" t="str">
        <f>B5274&amp;"-"&amp;COUNTIF($B$2:B5274,B5274)</f>
        <v>SÃO PAULO-563</v>
      </c>
      <c r="B5274" s="5" t="s">
        <v>3122</v>
      </c>
      <c r="C5274" s="5" t="s">
        <v>3471</v>
      </c>
      <c r="D5274" s="6">
        <v>-469226</v>
      </c>
      <c r="E5274" s="6">
        <v>-23443</v>
      </c>
      <c r="F5274" s="7">
        <v>4.5810000000000004</v>
      </c>
      <c r="G5274" s="7">
        <v>5.2839999999999998</v>
      </c>
      <c r="H5274" s="7">
        <v>5.5620000000000003</v>
      </c>
      <c r="I5274" s="7">
        <v>4.8109999999999999</v>
      </c>
      <c r="J5274" s="7">
        <v>4.3129999999999997</v>
      </c>
      <c r="K5274" s="7">
        <v>3.5409999999999999</v>
      </c>
      <c r="L5274" s="7">
        <v>3.2850000000000001</v>
      </c>
      <c r="M5274" s="7">
        <v>3.375</v>
      </c>
      <c r="N5274" s="7">
        <v>4.3760000000000003</v>
      </c>
      <c r="O5274" s="7">
        <v>4.3860000000000001</v>
      </c>
      <c r="P5274" s="7">
        <v>4.9089999999999998</v>
      </c>
      <c r="Q5274" s="7">
        <v>5.3019999999999996</v>
      </c>
      <c r="R5274" s="7">
        <v>5.827</v>
      </c>
      <c r="S5274" s="7">
        <f t="shared" si="82"/>
        <v>4.5809166666666661</v>
      </c>
    </row>
    <row r="5275" spans="1:19">
      <c r="A5275" s="5" t="str">
        <f>B5275&amp;"-"&amp;COUNTIF($B$2:B5275,B5275)</f>
        <v>SÃO PAULO-564</v>
      </c>
      <c r="B5275" s="5" t="s">
        <v>3122</v>
      </c>
      <c r="C5275" s="5" t="s">
        <v>5790</v>
      </c>
      <c r="D5275" s="6">
        <v>-516531</v>
      </c>
      <c r="E5275" s="6">
        <v>-219751</v>
      </c>
      <c r="F5275" s="7">
        <v>5.109</v>
      </c>
      <c r="G5275" s="7">
        <v>5.9740000000000002</v>
      </c>
      <c r="H5275" s="7">
        <v>5.984</v>
      </c>
      <c r="I5275" s="7">
        <v>5.4379999999999997</v>
      </c>
      <c r="J5275" s="7">
        <v>4.7889999999999997</v>
      </c>
      <c r="K5275" s="7">
        <v>3.9420000000000002</v>
      </c>
      <c r="L5275" s="7">
        <v>3.6280000000000001</v>
      </c>
      <c r="M5275" s="7">
        <v>3.8220000000000001</v>
      </c>
      <c r="N5275" s="7">
        <v>4.718</v>
      </c>
      <c r="O5275" s="7">
        <v>4.87</v>
      </c>
      <c r="P5275" s="7">
        <v>5.5750000000000002</v>
      </c>
      <c r="Q5275" s="7">
        <v>6.133</v>
      </c>
      <c r="R5275" s="7">
        <v>6.4279999999999999</v>
      </c>
      <c r="S5275" s="7">
        <f t="shared" si="82"/>
        <v>5.1084166666666668</v>
      </c>
    </row>
    <row r="5276" spans="1:19">
      <c r="A5276" s="5" t="str">
        <f>B5276&amp;"-"&amp;COUNTIF($B$2:B5276,B5276)</f>
        <v>SÃO PAULO-565</v>
      </c>
      <c r="B5276" s="5" t="s">
        <v>3122</v>
      </c>
      <c r="C5276" s="5" t="s">
        <v>4405</v>
      </c>
      <c r="D5276" s="6">
        <v>-465436</v>
      </c>
      <c r="E5276" s="6">
        <v>-236742</v>
      </c>
      <c r="F5276" s="7">
        <v>4.3330000000000002</v>
      </c>
      <c r="G5276" s="7">
        <v>5.1050000000000004</v>
      </c>
      <c r="H5276" s="7">
        <v>5.4039999999999999</v>
      </c>
      <c r="I5276" s="7">
        <v>4.5979999999999999</v>
      </c>
      <c r="J5276" s="7">
        <v>4.0750000000000002</v>
      </c>
      <c r="K5276" s="7">
        <v>3.3380000000000001</v>
      </c>
      <c r="L5276" s="7">
        <v>3.077</v>
      </c>
      <c r="M5276" s="7">
        <v>3.18</v>
      </c>
      <c r="N5276" s="7">
        <v>4.0350000000000001</v>
      </c>
      <c r="O5276" s="7">
        <v>4.0839999999999996</v>
      </c>
      <c r="P5276" s="7">
        <v>4.5149999999999997</v>
      </c>
      <c r="Q5276" s="7">
        <v>5.0119999999999996</v>
      </c>
      <c r="R5276" s="7">
        <v>5.5709999999999997</v>
      </c>
      <c r="S5276" s="7">
        <f t="shared" si="82"/>
        <v>4.3328333333333333</v>
      </c>
    </row>
    <row r="5277" spans="1:19">
      <c r="A5277" s="5" t="str">
        <f>B5277&amp;"-"&amp;COUNTIF($B$2:B5277,B5277)</f>
        <v>SÃO PAULO-566</v>
      </c>
      <c r="B5277" s="5" t="s">
        <v>3122</v>
      </c>
      <c r="C5277" s="5" t="s">
        <v>4590</v>
      </c>
      <c r="D5277" s="6">
        <v>-471468</v>
      </c>
      <c r="E5277" s="6">
        <v>-210869</v>
      </c>
      <c r="F5277" s="7">
        <v>5.0119999999999996</v>
      </c>
      <c r="G5277" s="7">
        <v>5.52</v>
      </c>
      <c r="H5277" s="7">
        <v>5.7080000000000002</v>
      </c>
      <c r="I5277" s="7">
        <v>4.984</v>
      </c>
      <c r="J5277" s="7">
        <v>4.734</v>
      </c>
      <c r="K5277" s="7">
        <v>4.1500000000000004</v>
      </c>
      <c r="L5277" s="7">
        <v>3.9289999999999998</v>
      </c>
      <c r="M5277" s="7">
        <v>4.1509999999999998</v>
      </c>
      <c r="N5277" s="7">
        <v>5.024</v>
      </c>
      <c r="O5277" s="7">
        <v>5.0490000000000004</v>
      </c>
      <c r="P5277" s="7">
        <v>5.5179999999999998</v>
      </c>
      <c r="Q5277" s="7">
        <v>5.5960000000000001</v>
      </c>
      <c r="R5277" s="7">
        <v>5.7779999999999996</v>
      </c>
      <c r="S5277" s="7">
        <f t="shared" si="82"/>
        <v>5.0117500000000001</v>
      </c>
    </row>
    <row r="5278" spans="1:19">
      <c r="A5278" s="5" t="str">
        <f>B5278&amp;"-"&amp;COUNTIF($B$2:B5278,B5278)</f>
        <v>SÃO PAULO-567</v>
      </c>
      <c r="B5278" s="5" t="s">
        <v>3122</v>
      </c>
      <c r="C5278" s="5" t="s">
        <v>4591</v>
      </c>
      <c r="D5278" s="6">
        <v>-469196</v>
      </c>
      <c r="E5278" s="6">
        <v>-226033</v>
      </c>
      <c r="F5278" s="7">
        <v>4.96</v>
      </c>
      <c r="G5278" s="7">
        <v>5.5510000000000002</v>
      </c>
      <c r="H5278" s="7">
        <v>5.8230000000000004</v>
      </c>
      <c r="I5278" s="7">
        <v>5.1609999999999996</v>
      </c>
      <c r="J5278" s="7">
        <v>4.6689999999999996</v>
      </c>
      <c r="K5278" s="7">
        <v>3.8740000000000001</v>
      </c>
      <c r="L5278" s="7">
        <v>3.59</v>
      </c>
      <c r="M5278" s="7">
        <v>3.7930000000000001</v>
      </c>
      <c r="N5278" s="7">
        <v>4.7190000000000003</v>
      </c>
      <c r="O5278" s="7">
        <v>4.9039999999999999</v>
      </c>
      <c r="P5278" s="7">
        <v>5.5359999999999996</v>
      </c>
      <c r="Q5278" s="7">
        <v>5.7549999999999999</v>
      </c>
      <c r="R5278" s="7">
        <v>6.1479999999999997</v>
      </c>
      <c r="S5278" s="7">
        <f t="shared" si="82"/>
        <v>4.9602500000000012</v>
      </c>
    </row>
    <row r="5279" spans="1:19">
      <c r="A5279" s="5" t="str">
        <f>B5279&amp;"-"&amp;COUNTIF($B$2:B5279,B5279)</f>
        <v>SÃO PAULO-568</v>
      </c>
      <c r="B5279" s="5" t="s">
        <v>3122</v>
      </c>
      <c r="C5279" s="5" t="s">
        <v>5791</v>
      </c>
      <c r="D5279" s="6">
        <v>-504959</v>
      </c>
      <c r="E5279" s="6">
        <v>-20937</v>
      </c>
      <c r="F5279" s="7">
        <v>5.149</v>
      </c>
      <c r="G5279" s="7">
        <v>5.8869999999999996</v>
      </c>
      <c r="H5279" s="7">
        <v>5.8949999999999996</v>
      </c>
      <c r="I5279" s="7">
        <v>5.3650000000000002</v>
      </c>
      <c r="J5279" s="7">
        <v>4.9050000000000002</v>
      </c>
      <c r="K5279" s="7">
        <v>4.1059999999999999</v>
      </c>
      <c r="L5279" s="7">
        <v>3.7930000000000001</v>
      </c>
      <c r="M5279" s="7">
        <v>4.0259999999999998</v>
      </c>
      <c r="N5279" s="7">
        <v>4.9450000000000003</v>
      </c>
      <c r="O5279" s="7">
        <v>4.9450000000000003</v>
      </c>
      <c r="P5279" s="7">
        <v>5.6369999999999996</v>
      </c>
      <c r="Q5279" s="7">
        <v>6.0030000000000001</v>
      </c>
      <c r="R5279" s="7">
        <v>6.2779999999999996</v>
      </c>
      <c r="S5279" s="7">
        <f t="shared" si="82"/>
        <v>5.1487500000000006</v>
      </c>
    </row>
    <row r="5280" spans="1:19">
      <c r="A5280" s="5" t="str">
        <f>B5280&amp;"-"&amp;COUNTIF($B$2:B5280,B5280)</f>
        <v>SÃO PAULO-569</v>
      </c>
      <c r="B5280" s="5" t="s">
        <v>3122</v>
      </c>
      <c r="C5280" s="5" t="s">
        <v>4592</v>
      </c>
      <c r="D5280" s="6">
        <v>-466849</v>
      </c>
      <c r="E5280" s="6">
        <v>-221126</v>
      </c>
      <c r="F5280" s="7">
        <v>4.859</v>
      </c>
      <c r="G5280" s="7">
        <v>5.38</v>
      </c>
      <c r="H5280" s="7">
        <v>5.5810000000000004</v>
      </c>
      <c r="I5280" s="7">
        <v>4.8689999999999998</v>
      </c>
      <c r="J5280" s="7">
        <v>4.5979999999999999</v>
      </c>
      <c r="K5280" s="7">
        <v>3.9470000000000001</v>
      </c>
      <c r="L5280" s="7">
        <v>3.7170000000000001</v>
      </c>
      <c r="M5280" s="7">
        <v>3.891</v>
      </c>
      <c r="N5280" s="7">
        <v>4.7969999999999997</v>
      </c>
      <c r="O5280" s="7">
        <v>4.9630000000000001</v>
      </c>
      <c r="P5280" s="7">
        <v>5.367</v>
      </c>
      <c r="Q5280" s="7">
        <v>5.4850000000000003</v>
      </c>
      <c r="R5280" s="7">
        <v>5.7130000000000001</v>
      </c>
      <c r="S5280" s="7">
        <f t="shared" si="82"/>
        <v>4.8589999999999991</v>
      </c>
    </row>
    <row r="5281" spans="1:19">
      <c r="A5281" s="5" t="str">
        <f>B5281&amp;"-"&amp;COUNTIF($B$2:B5281,B5281)</f>
        <v>SÃO PAULO-570</v>
      </c>
      <c r="B5281" s="5" t="s">
        <v>3122</v>
      </c>
      <c r="C5281" s="5" t="s">
        <v>4593</v>
      </c>
      <c r="D5281" s="6">
        <v>-456634</v>
      </c>
      <c r="E5281" s="6">
        <v>-228275</v>
      </c>
      <c r="F5281" s="7">
        <v>4.6929999999999996</v>
      </c>
      <c r="G5281" s="7">
        <v>5.2309999999999999</v>
      </c>
      <c r="H5281" s="7">
        <v>5.5759999999999996</v>
      </c>
      <c r="I5281" s="7">
        <v>4.7720000000000002</v>
      </c>
      <c r="J5281" s="7">
        <v>4.4219999999999997</v>
      </c>
      <c r="K5281" s="7">
        <v>3.7189999999999999</v>
      </c>
      <c r="L5281" s="7">
        <v>3.5019999999999998</v>
      </c>
      <c r="M5281" s="7">
        <v>3.6640000000000001</v>
      </c>
      <c r="N5281" s="7">
        <v>4.62</v>
      </c>
      <c r="O5281" s="7">
        <v>4.7030000000000003</v>
      </c>
      <c r="P5281" s="7">
        <v>5.1920000000000002</v>
      </c>
      <c r="Q5281" s="7">
        <v>5.1959999999999997</v>
      </c>
      <c r="R5281" s="7">
        <v>5.7229999999999999</v>
      </c>
      <c r="S5281" s="7">
        <f t="shared" si="82"/>
        <v>4.6933333333333334</v>
      </c>
    </row>
    <row r="5282" spans="1:19">
      <c r="A5282" s="5" t="str">
        <f>B5282&amp;"-"&amp;COUNTIF($B$2:B5282,B5282)</f>
        <v>SÃO PAULO-571</v>
      </c>
      <c r="B5282" s="5" t="s">
        <v>3122</v>
      </c>
      <c r="C5282" s="5" t="s">
        <v>3472</v>
      </c>
      <c r="D5282" s="6">
        <v>-513935</v>
      </c>
      <c r="E5282" s="6">
        <v>-218503</v>
      </c>
      <c r="F5282" s="7">
        <v>5.101</v>
      </c>
      <c r="G5282" s="7">
        <v>5.9189999999999996</v>
      </c>
      <c r="H5282" s="7">
        <v>5.9530000000000003</v>
      </c>
      <c r="I5282" s="7">
        <v>5.4390000000000001</v>
      </c>
      <c r="J5282" s="7">
        <v>4.8289999999999997</v>
      </c>
      <c r="K5282" s="7">
        <v>3.9809999999999999</v>
      </c>
      <c r="L5282" s="7">
        <v>3.6819999999999999</v>
      </c>
      <c r="M5282" s="7">
        <v>3.84</v>
      </c>
      <c r="N5282" s="7">
        <v>4.7990000000000004</v>
      </c>
      <c r="O5282" s="7">
        <v>4.8230000000000004</v>
      </c>
      <c r="P5282" s="7">
        <v>5.532</v>
      </c>
      <c r="Q5282" s="7">
        <v>6.0510000000000002</v>
      </c>
      <c r="R5282" s="7">
        <v>6.3639999999999999</v>
      </c>
      <c r="S5282" s="7">
        <f t="shared" si="82"/>
        <v>5.101</v>
      </c>
    </row>
    <row r="5283" spans="1:19">
      <c r="A5283" s="5" t="str">
        <f>B5283&amp;"-"&amp;COUNTIF($B$2:B5283,B5283)</f>
        <v>SÃO PAULO-572</v>
      </c>
      <c r="B5283" s="5" t="s">
        <v>3122</v>
      </c>
      <c r="C5283" s="5" t="s">
        <v>3473</v>
      </c>
      <c r="D5283" s="6">
        <v>-463354</v>
      </c>
      <c r="E5283" s="6">
        <v>-23954</v>
      </c>
      <c r="F5283" s="7">
        <v>4.1420000000000003</v>
      </c>
      <c r="G5283" s="7">
        <v>5.3109999999999999</v>
      </c>
      <c r="H5283" s="7">
        <v>5.4429999999999996</v>
      </c>
      <c r="I5283" s="7">
        <v>4.5789999999999997</v>
      </c>
      <c r="J5283" s="7">
        <v>4.0279999999999996</v>
      </c>
      <c r="K5283" s="7">
        <v>3.26</v>
      </c>
      <c r="L5283" s="7">
        <v>2.8849999999999998</v>
      </c>
      <c r="M5283" s="7">
        <v>2.9049999999999998</v>
      </c>
      <c r="N5283" s="7">
        <v>3.5830000000000002</v>
      </c>
      <c r="O5283" s="7">
        <v>3.56</v>
      </c>
      <c r="P5283" s="7">
        <v>3.9830000000000001</v>
      </c>
      <c r="Q5283" s="7">
        <v>4.8380000000000001</v>
      </c>
      <c r="R5283" s="7">
        <v>5.3280000000000003</v>
      </c>
      <c r="S5283" s="7">
        <f t="shared" si="82"/>
        <v>4.141916666666666</v>
      </c>
    </row>
    <row r="5284" spans="1:19">
      <c r="A5284" s="5" t="str">
        <f>B5284&amp;"-"&amp;COUNTIF($B$2:B5284,B5284)</f>
        <v>SÃO PAULO-573</v>
      </c>
      <c r="B5284" s="5" t="s">
        <v>3122</v>
      </c>
      <c r="C5284" s="5" t="s">
        <v>3474</v>
      </c>
      <c r="D5284" s="6">
        <v>-478253</v>
      </c>
      <c r="E5284" s="6">
        <v>-236402</v>
      </c>
      <c r="F5284" s="7">
        <v>4.7279999999999998</v>
      </c>
      <c r="G5284" s="7">
        <v>5.4740000000000002</v>
      </c>
      <c r="H5284" s="7">
        <v>5.6879999999999997</v>
      </c>
      <c r="I5284" s="7">
        <v>4.9969999999999999</v>
      </c>
      <c r="J5284" s="7">
        <v>4.4539999999999997</v>
      </c>
      <c r="K5284" s="7">
        <v>3.573</v>
      </c>
      <c r="L5284" s="7">
        <v>3.3239999999999998</v>
      </c>
      <c r="M5284" s="7">
        <v>3.423</v>
      </c>
      <c r="N5284" s="7">
        <v>4.4210000000000003</v>
      </c>
      <c r="O5284" s="7">
        <v>4.5640000000000001</v>
      </c>
      <c r="P5284" s="7">
        <v>5.1269999999999998</v>
      </c>
      <c r="Q5284" s="7">
        <v>5.6429999999999998</v>
      </c>
      <c r="R5284" s="7">
        <v>6.0510000000000002</v>
      </c>
      <c r="S5284" s="7">
        <f t="shared" si="82"/>
        <v>4.7282500000000001</v>
      </c>
    </row>
    <row r="5285" spans="1:19">
      <c r="A5285" s="5" t="str">
        <f>B5285&amp;"-"&amp;COUNTIF($B$2:B5285,B5285)</f>
        <v>SÃO PAULO-574</v>
      </c>
      <c r="B5285" s="5" t="s">
        <v>3122</v>
      </c>
      <c r="C5285" s="5" t="s">
        <v>5792</v>
      </c>
      <c r="D5285" s="6">
        <v>-494799</v>
      </c>
      <c r="E5285" s="6">
        <v>-23273</v>
      </c>
      <c r="F5285" s="7">
        <v>4.8419999999999996</v>
      </c>
      <c r="G5285" s="7">
        <v>5.6379999999999999</v>
      </c>
      <c r="H5285" s="7">
        <v>5.7350000000000003</v>
      </c>
      <c r="I5285" s="7">
        <v>5.1319999999999997</v>
      </c>
      <c r="J5285" s="7">
        <v>4.5369999999999999</v>
      </c>
      <c r="K5285" s="7">
        <v>3.6259999999999999</v>
      </c>
      <c r="L5285" s="7">
        <v>3.3319999999999999</v>
      </c>
      <c r="M5285" s="7">
        <v>3.5510000000000002</v>
      </c>
      <c r="N5285" s="7">
        <v>4.5229999999999997</v>
      </c>
      <c r="O5285" s="7">
        <v>4.6520000000000001</v>
      </c>
      <c r="P5285" s="7">
        <v>5.3029999999999999</v>
      </c>
      <c r="Q5285" s="7">
        <v>5.8579999999999997</v>
      </c>
      <c r="R5285" s="7">
        <v>6.2149999999999999</v>
      </c>
      <c r="S5285" s="7">
        <f t="shared" si="82"/>
        <v>4.8418333333333328</v>
      </c>
    </row>
    <row r="5286" spans="1:19">
      <c r="A5286" s="5" t="str">
        <f>B5286&amp;"-"&amp;COUNTIF($B$2:B5286,B5286)</f>
        <v>SÃO PAULO-575</v>
      </c>
      <c r="B5286" s="5" t="s">
        <v>3122</v>
      </c>
      <c r="C5286" s="5" t="s">
        <v>5259</v>
      </c>
      <c r="D5286" s="6">
        <v>-499254</v>
      </c>
      <c r="E5286" s="6">
        <v>-206528</v>
      </c>
      <c r="F5286" s="7">
        <v>5.1520000000000001</v>
      </c>
      <c r="G5286" s="7">
        <v>5.8230000000000004</v>
      </c>
      <c r="H5286" s="7">
        <v>5.8789999999999996</v>
      </c>
      <c r="I5286" s="7">
        <v>5.2530000000000001</v>
      </c>
      <c r="J5286" s="7">
        <v>4.8920000000000003</v>
      </c>
      <c r="K5286" s="7">
        <v>4.1449999999999996</v>
      </c>
      <c r="L5286" s="7">
        <v>3.8860000000000001</v>
      </c>
      <c r="M5286" s="7">
        <v>4.1479999999999997</v>
      </c>
      <c r="N5286" s="7">
        <v>5.024</v>
      </c>
      <c r="O5286" s="7">
        <v>5.0259999999999998</v>
      </c>
      <c r="P5286" s="7">
        <v>5.6429999999999998</v>
      </c>
      <c r="Q5286" s="7">
        <v>5.9409999999999998</v>
      </c>
      <c r="R5286" s="7">
        <v>6.1630000000000003</v>
      </c>
      <c r="S5286" s="7">
        <f t="shared" si="82"/>
        <v>5.1519166666666658</v>
      </c>
    </row>
    <row r="5287" spans="1:19">
      <c r="A5287" s="5" t="str">
        <f>B5287&amp;"-"&amp;COUNTIF($B$2:B5287,B5287)</f>
        <v>SÃO PAULO-576</v>
      </c>
      <c r="B5287" s="5" t="s">
        <v>3122</v>
      </c>
      <c r="C5287" s="5" t="s">
        <v>3475</v>
      </c>
      <c r="D5287" s="6">
        <v>-475606</v>
      </c>
      <c r="E5287" s="6">
        <v>-213079</v>
      </c>
      <c r="F5287" s="7">
        <v>5.056</v>
      </c>
      <c r="G5287" s="7">
        <v>5.609</v>
      </c>
      <c r="H5287" s="7">
        <v>5.8579999999999997</v>
      </c>
      <c r="I5287" s="7">
        <v>5.141</v>
      </c>
      <c r="J5287" s="7">
        <v>4.8049999999999997</v>
      </c>
      <c r="K5287" s="7">
        <v>4.093</v>
      </c>
      <c r="L5287" s="7">
        <v>3.8889999999999998</v>
      </c>
      <c r="M5287" s="7">
        <v>4.0810000000000004</v>
      </c>
      <c r="N5287" s="7">
        <v>4.9580000000000002</v>
      </c>
      <c r="O5287" s="7">
        <v>4.968</v>
      </c>
      <c r="P5287" s="7">
        <v>5.5220000000000002</v>
      </c>
      <c r="Q5287" s="7">
        <v>5.6980000000000004</v>
      </c>
      <c r="R5287" s="7">
        <v>6.05</v>
      </c>
      <c r="S5287" s="7">
        <f t="shared" si="82"/>
        <v>5.056</v>
      </c>
    </row>
    <row r="5288" spans="1:19">
      <c r="A5288" s="5" t="str">
        <f>B5288&amp;"-"&amp;COUNTIF($B$2:B5288,B5288)</f>
        <v>SÃO PAULO-577</v>
      </c>
      <c r="B5288" s="5" t="s">
        <v>3122</v>
      </c>
      <c r="C5288" s="5" t="s">
        <v>3476</v>
      </c>
      <c r="D5288" s="6">
        <v>-467037</v>
      </c>
      <c r="E5288" s="6">
        <v>-226144</v>
      </c>
      <c r="F5288" s="7">
        <v>4.9560000000000004</v>
      </c>
      <c r="G5288" s="7">
        <v>5.5359999999999996</v>
      </c>
      <c r="H5288" s="7">
        <v>5.8049999999999997</v>
      </c>
      <c r="I5288" s="7">
        <v>5.1479999999999997</v>
      </c>
      <c r="J5288" s="7">
        <v>4.681</v>
      </c>
      <c r="K5288" s="7">
        <v>3.903</v>
      </c>
      <c r="L5288" s="7">
        <v>3.589</v>
      </c>
      <c r="M5288" s="7">
        <v>3.819</v>
      </c>
      <c r="N5288" s="7">
        <v>4.7119999999999997</v>
      </c>
      <c r="O5288" s="7">
        <v>4.9320000000000004</v>
      </c>
      <c r="P5288" s="7">
        <v>5.5359999999999996</v>
      </c>
      <c r="Q5288" s="7">
        <v>5.742</v>
      </c>
      <c r="R5288" s="7">
        <v>6.0750000000000002</v>
      </c>
      <c r="S5288" s="7">
        <f t="shared" si="82"/>
        <v>4.9565000000000001</v>
      </c>
    </row>
    <row r="5289" spans="1:19">
      <c r="A5289" s="5" t="str">
        <f>B5289&amp;"-"&amp;COUNTIF($B$2:B5289,B5289)</f>
        <v>SÃO PAULO-578</v>
      </c>
      <c r="B5289" s="5" t="s">
        <v>3122</v>
      </c>
      <c r="C5289" s="5" t="s">
        <v>3477</v>
      </c>
      <c r="D5289" s="6">
        <v>-475956</v>
      </c>
      <c r="E5289" s="6">
        <v>-212048</v>
      </c>
      <c r="F5289" s="7">
        <v>5.0510000000000002</v>
      </c>
      <c r="G5289" s="7">
        <v>5.6020000000000003</v>
      </c>
      <c r="H5289" s="7">
        <v>5.81</v>
      </c>
      <c r="I5289" s="7">
        <v>5.1139999999999999</v>
      </c>
      <c r="J5289" s="7">
        <v>4.8090000000000002</v>
      </c>
      <c r="K5289" s="7">
        <v>4.109</v>
      </c>
      <c r="L5289" s="7">
        <v>3.899</v>
      </c>
      <c r="M5289" s="7">
        <v>4.0949999999999998</v>
      </c>
      <c r="N5289" s="7">
        <v>4.9950000000000001</v>
      </c>
      <c r="O5289" s="7">
        <v>4.9969999999999999</v>
      </c>
      <c r="P5289" s="7">
        <v>5.5350000000000001</v>
      </c>
      <c r="Q5289" s="7">
        <v>5.6680000000000001</v>
      </c>
      <c r="R5289" s="7">
        <v>5.9809999999999999</v>
      </c>
      <c r="S5289" s="7">
        <f t="shared" si="82"/>
        <v>5.051166666666667</v>
      </c>
    </row>
    <row r="5290" spans="1:19">
      <c r="A5290" s="5" t="str">
        <f>B5290&amp;"-"&amp;COUNTIF($B$2:B5290,B5290)</f>
        <v>SÃO PAULO-579</v>
      </c>
      <c r="B5290" s="5" t="s">
        <v>3122</v>
      </c>
      <c r="C5290" s="5" t="s">
        <v>4072</v>
      </c>
      <c r="D5290" s="6">
        <v>-479879</v>
      </c>
      <c r="E5290" s="6">
        <v>-211321</v>
      </c>
      <c r="F5290" s="7">
        <v>5.1230000000000002</v>
      </c>
      <c r="G5290" s="7">
        <v>5.7480000000000002</v>
      </c>
      <c r="H5290" s="7">
        <v>5.9740000000000002</v>
      </c>
      <c r="I5290" s="7">
        <v>5.2039999999999997</v>
      </c>
      <c r="J5290" s="7">
        <v>4.8520000000000003</v>
      </c>
      <c r="K5290" s="7">
        <v>4.1539999999999999</v>
      </c>
      <c r="L5290" s="7">
        <v>3.9119999999999999</v>
      </c>
      <c r="M5290" s="7">
        <v>4.1230000000000002</v>
      </c>
      <c r="N5290" s="7">
        <v>5.0019999999999998</v>
      </c>
      <c r="O5290" s="7">
        <v>4.9969999999999999</v>
      </c>
      <c r="P5290" s="7">
        <v>5.5519999999999996</v>
      </c>
      <c r="Q5290" s="7">
        <v>5.8289999999999997</v>
      </c>
      <c r="R5290" s="7">
        <v>6.125</v>
      </c>
      <c r="S5290" s="7">
        <f t="shared" si="82"/>
        <v>5.1226666666666665</v>
      </c>
    </row>
    <row r="5291" spans="1:19">
      <c r="A5291" s="5" t="str">
        <f>B5291&amp;"-"&amp;COUNTIF($B$2:B5291,B5291)</f>
        <v>SÃO PAULO-580</v>
      </c>
      <c r="B5291" s="5" t="s">
        <v>3122</v>
      </c>
      <c r="C5291" s="5" t="s">
        <v>3478</v>
      </c>
      <c r="D5291" s="6">
        <v>-479284</v>
      </c>
      <c r="E5291" s="6">
        <v>-243825</v>
      </c>
      <c r="F5291" s="7">
        <v>3.944</v>
      </c>
      <c r="G5291" s="7">
        <v>5.2249999999999996</v>
      </c>
      <c r="H5291" s="7">
        <v>5.2370000000000001</v>
      </c>
      <c r="I5291" s="7">
        <v>4.3609999999999998</v>
      </c>
      <c r="J5291" s="7">
        <v>3.8279999999999998</v>
      </c>
      <c r="K5291" s="7">
        <v>3.016</v>
      </c>
      <c r="L5291" s="7">
        <v>2.6179999999999999</v>
      </c>
      <c r="M5291" s="7">
        <v>2.6240000000000001</v>
      </c>
      <c r="N5291" s="7">
        <v>3.2690000000000001</v>
      </c>
      <c r="O5291" s="7">
        <v>3.4060000000000001</v>
      </c>
      <c r="P5291" s="7">
        <v>3.7549999999999999</v>
      </c>
      <c r="Q5291" s="7">
        <v>4.665</v>
      </c>
      <c r="R5291" s="7">
        <v>5.32</v>
      </c>
      <c r="S5291" s="7">
        <f t="shared" si="82"/>
        <v>3.9436666666666667</v>
      </c>
    </row>
    <row r="5292" spans="1:19">
      <c r="A5292" s="5" t="str">
        <f>B5292&amp;"-"&amp;COUNTIF($B$2:B5292,B5292)</f>
        <v>SÃO PAULO-581</v>
      </c>
      <c r="B5292" s="5" t="s">
        <v>3122</v>
      </c>
      <c r="C5292" s="5" t="s">
        <v>3479</v>
      </c>
      <c r="D5292" s="6">
        <v>-488058</v>
      </c>
      <c r="E5292" s="6">
        <v>-208112</v>
      </c>
      <c r="F5292" s="7">
        <v>5.1609999999999996</v>
      </c>
      <c r="G5292" s="7">
        <v>5.8019999999999996</v>
      </c>
      <c r="H5292" s="7">
        <v>5.96</v>
      </c>
      <c r="I5292" s="7">
        <v>5.2140000000000004</v>
      </c>
      <c r="J5292" s="7">
        <v>4.8620000000000001</v>
      </c>
      <c r="K5292" s="7">
        <v>4.1790000000000003</v>
      </c>
      <c r="L5292" s="7">
        <v>3.9390000000000001</v>
      </c>
      <c r="M5292" s="7">
        <v>4.1710000000000003</v>
      </c>
      <c r="N5292" s="7">
        <v>5.0730000000000004</v>
      </c>
      <c r="O5292" s="7">
        <v>5.0940000000000003</v>
      </c>
      <c r="P5292" s="7">
        <v>5.5810000000000004</v>
      </c>
      <c r="Q5292" s="7">
        <v>5.93</v>
      </c>
      <c r="R5292" s="7">
        <v>6.1260000000000003</v>
      </c>
      <c r="S5292" s="7">
        <f t="shared" si="82"/>
        <v>5.160916666666667</v>
      </c>
    </row>
    <row r="5293" spans="1:19">
      <c r="A5293" s="5" t="str">
        <f>B5293&amp;"-"&amp;COUNTIF($B$2:B5293,B5293)</f>
        <v>SÃO PAULO-582</v>
      </c>
      <c r="B5293" s="5" t="s">
        <v>3122</v>
      </c>
      <c r="C5293" s="5" t="s">
        <v>3480</v>
      </c>
      <c r="D5293" s="6">
        <v>-448525</v>
      </c>
      <c r="E5293" s="6">
        <v>-226643</v>
      </c>
      <c r="F5293" s="7">
        <v>4.835</v>
      </c>
      <c r="G5293" s="7">
        <v>5.7240000000000002</v>
      </c>
      <c r="H5293" s="7">
        <v>5.9189999999999996</v>
      </c>
      <c r="I5293" s="7">
        <v>5.0129999999999999</v>
      </c>
      <c r="J5293" s="7">
        <v>4.5149999999999997</v>
      </c>
      <c r="K5293" s="7">
        <v>3.7570000000000001</v>
      </c>
      <c r="L5293" s="7">
        <v>3.5390000000000001</v>
      </c>
      <c r="M5293" s="7">
        <v>3.6360000000000001</v>
      </c>
      <c r="N5293" s="7">
        <v>4.5629999999999997</v>
      </c>
      <c r="O5293" s="7">
        <v>4.7460000000000004</v>
      </c>
      <c r="P5293" s="7">
        <v>5.2510000000000003</v>
      </c>
      <c r="Q5293" s="7">
        <v>5.3650000000000002</v>
      </c>
      <c r="R5293" s="7">
        <v>5.9909999999999997</v>
      </c>
      <c r="S5293" s="7">
        <f t="shared" si="82"/>
        <v>4.8349166666666674</v>
      </c>
    </row>
    <row r="5294" spans="1:19">
      <c r="A5294" s="5" t="str">
        <f>B5294&amp;"-"&amp;COUNTIF($B$2:B5294,B5294)</f>
        <v>SÃO PAULO-583</v>
      </c>
      <c r="B5294" s="5" t="s">
        <v>3122</v>
      </c>
      <c r="C5294" s="5" t="s">
        <v>3481</v>
      </c>
      <c r="D5294" s="6">
        <v>-465255</v>
      </c>
      <c r="E5294" s="6">
        <v>-225907</v>
      </c>
      <c r="F5294" s="7">
        <v>4.9189999999999996</v>
      </c>
      <c r="G5294" s="7">
        <v>5.4909999999999997</v>
      </c>
      <c r="H5294" s="7">
        <v>5.7439999999999998</v>
      </c>
      <c r="I5294" s="7">
        <v>5.093</v>
      </c>
      <c r="J5294" s="7">
        <v>4.6369999999999996</v>
      </c>
      <c r="K5294" s="7">
        <v>3.8809999999999998</v>
      </c>
      <c r="L5294" s="7">
        <v>3.577</v>
      </c>
      <c r="M5294" s="7">
        <v>3.7989999999999999</v>
      </c>
      <c r="N5294" s="7">
        <v>4.7270000000000003</v>
      </c>
      <c r="O5294" s="7">
        <v>4.9359999999999999</v>
      </c>
      <c r="P5294" s="7">
        <v>5.5229999999999997</v>
      </c>
      <c r="Q5294" s="7">
        <v>5.6769999999999996</v>
      </c>
      <c r="R5294" s="7">
        <v>5.9420000000000002</v>
      </c>
      <c r="S5294" s="7">
        <f t="shared" si="82"/>
        <v>4.918916666666667</v>
      </c>
    </row>
    <row r="5295" spans="1:19">
      <c r="A5295" s="5" t="str">
        <f>B5295&amp;"-"&amp;COUNTIF($B$2:B5295,B5295)</f>
        <v>SÃO PAULO-584</v>
      </c>
      <c r="B5295" s="5" t="s">
        <v>3122</v>
      </c>
      <c r="C5295" s="5" t="s">
        <v>3482</v>
      </c>
      <c r="D5295" s="6">
        <v>-474455</v>
      </c>
      <c r="E5295" s="6">
        <v>-234974</v>
      </c>
      <c r="F5295" s="7">
        <v>4.758</v>
      </c>
      <c r="G5295" s="7">
        <v>5.532</v>
      </c>
      <c r="H5295" s="7">
        <v>5.7309999999999999</v>
      </c>
      <c r="I5295" s="7">
        <v>4.9690000000000003</v>
      </c>
      <c r="J5295" s="7">
        <v>4.4290000000000003</v>
      </c>
      <c r="K5295" s="7">
        <v>3.6160000000000001</v>
      </c>
      <c r="L5295" s="7">
        <v>3.3620000000000001</v>
      </c>
      <c r="M5295" s="7">
        <v>3.4630000000000001</v>
      </c>
      <c r="N5295" s="7">
        <v>4.4420000000000002</v>
      </c>
      <c r="O5295" s="7">
        <v>4.6280000000000001</v>
      </c>
      <c r="P5295" s="7">
        <v>5.2130000000000001</v>
      </c>
      <c r="Q5295" s="7">
        <v>5.61</v>
      </c>
      <c r="R5295" s="7">
        <v>6.1079999999999997</v>
      </c>
      <c r="S5295" s="7">
        <f t="shared" si="82"/>
        <v>4.7585833333333332</v>
      </c>
    </row>
    <row r="5296" spans="1:19">
      <c r="A5296" s="5" t="str">
        <f>B5296&amp;"-"&amp;COUNTIF($B$2:B5296,B5296)</f>
        <v>SÃO PAULO-585</v>
      </c>
      <c r="B5296" s="5" t="s">
        <v>3122</v>
      </c>
      <c r="C5296" s="5" t="s">
        <v>3483</v>
      </c>
      <c r="D5296" s="6">
        <v>-509242</v>
      </c>
      <c r="E5296" s="6">
        <v>-206877</v>
      </c>
      <c r="F5296" s="7">
        <v>5.1550000000000002</v>
      </c>
      <c r="G5296" s="7">
        <v>5.8879999999999999</v>
      </c>
      <c r="H5296" s="7">
        <v>5.9829999999999997</v>
      </c>
      <c r="I5296" s="7">
        <v>5.3879999999999999</v>
      </c>
      <c r="J5296" s="7">
        <v>4.8620000000000001</v>
      </c>
      <c r="K5296" s="7">
        <v>4.0979999999999999</v>
      </c>
      <c r="L5296" s="7">
        <v>3.7570000000000001</v>
      </c>
      <c r="M5296" s="7">
        <v>3.992</v>
      </c>
      <c r="N5296" s="7">
        <v>4.9279999999999999</v>
      </c>
      <c r="O5296" s="7">
        <v>4.9400000000000004</v>
      </c>
      <c r="P5296" s="7">
        <v>5.6520000000000001</v>
      </c>
      <c r="Q5296" s="7">
        <v>6.0279999999999996</v>
      </c>
      <c r="R5296" s="7">
        <v>6.3390000000000004</v>
      </c>
      <c r="S5296" s="7">
        <f t="shared" si="82"/>
        <v>5.1545833333333331</v>
      </c>
    </row>
    <row r="5297" spans="1:19">
      <c r="A5297" s="5" t="str">
        <f>B5297&amp;"-"&amp;COUNTIF($B$2:B5297,B5297)</f>
        <v>SÃO PAULO-586</v>
      </c>
      <c r="B5297" s="5" t="s">
        <v>3122</v>
      </c>
      <c r="C5297" s="5" t="s">
        <v>4527</v>
      </c>
      <c r="D5297" s="6">
        <v>-472732</v>
      </c>
      <c r="E5297" s="6">
        <v>-228209</v>
      </c>
      <c r="F5297" s="7">
        <v>4.9290000000000003</v>
      </c>
      <c r="G5297" s="7">
        <v>5.641</v>
      </c>
      <c r="H5297" s="7">
        <v>5.7809999999999997</v>
      </c>
      <c r="I5297" s="7">
        <v>5.157</v>
      </c>
      <c r="J5297" s="7">
        <v>4.6379999999999999</v>
      </c>
      <c r="K5297" s="7">
        <v>3.7930000000000001</v>
      </c>
      <c r="L5297" s="7">
        <v>3.5569999999999999</v>
      </c>
      <c r="M5297" s="7">
        <v>3.7029999999999998</v>
      </c>
      <c r="N5297" s="7">
        <v>4.6609999999999996</v>
      </c>
      <c r="O5297" s="7">
        <v>4.8440000000000003</v>
      </c>
      <c r="P5297" s="7">
        <v>5.4749999999999996</v>
      </c>
      <c r="Q5297" s="7">
        <v>5.734</v>
      </c>
      <c r="R5297" s="7">
        <v>6.165</v>
      </c>
      <c r="S5297" s="7">
        <f t="shared" si="82"/>
        <v>4.9290833333333337</v>
      </c>
    </row>
    <row r="5298" spans="1:19">
      <c r="A5298" s="5" t="str">
        <f>B5298&amp;"-"&amp;COUNTIF($B$2:B5298,B5298)</f>
        <v>SÃO PAULO-587</v>
      </c>
      <c r="B5298" s="5" t="s">
        <v>3122</v>
      </c>
      <c r="C5298" s="5" t="s">
        <v>5793</v>
      </c>
      <c r="D5298" s="6">
        <v>-510272</v>
      </c>
      <c r="E5298" s="6">
        <v>-204985</v>
      </c>
      <c r="F5298" s="7">
        <v>5.194</v>
      </c>
      <c r="G5298" s="7">
        <v>5.9320000000000004</v>
      </c>
      <c r="H5298" s="7">
        <v>6.0510000000000002</v>
      </c>
      <c r="I5298" s="7">
        <v>5.4160000000000004</v>
      </c>
      <c r="J5298" s="7">
        <v>4.9169999999999998</v>
      </c>
      <c r="K5298" s="7">
        <v>4.1680000000000001</v>
      </c>
      <c r="L5298" s="7">
        <v>3.8290000000000002</v>
      </c>
      <c r="M5298" s="7">
        <v>4.0490000000000004</v>
      </c>
      <c r="N5298" s="7">
        <v>5.01</v>
      </c>
      <c r="O5298" s="7">
        <v>4.9560000000000004</v>
      </c>
      <c r="P5298" s="7">
        <v>5.6470000000000002</v>
      </c>
      <c r="Q5298" s="7">
        <v>6.0259999999999998</v>
      </c>
      <c r="R5298" s="7">
        <v>6.3280000000000003</v>
      </c>
      <c r="S5298" s="7">
        <f t="shared" si="82"/>
        <v>5.1940833333333343</v>
      </c>
    </row>
    <row r="5299" spans="1:19">
      <c r="A5299" s="5" t="str">
        <f>B5299&amp;"-"&amp;COUNTIF($B$2:B5299,B5299)</f>
        <v>SÃO PAULO-588</v>
      </c>
      <c r="B5299" s="5" t="s">
        <v>3122</v>
      </c>
      <c r="C5299" s="5" t="s">
        <v>3484</v>
      </c>
      <c r="D5299" s="6">
        <v>-463116</v>
      </c>
      <c r="E5299" s="6">
        <v>-235453</v>
      </c>
      <c r="F5299" s="7">
        <v>4.42</v>
      </c>
      <c r="G5299" s="7">
        <v>5.29</v>
      </c>
      <c r="H5299" s="7">
        <v>5.5039999999999996</v>
      </c>
      <c r="I5299" s="7">
        <v>4.6429999999999998</v>
      </c>
      <c r="J5299" s="7">
        <v>4.1159999999999997</v>
      </c>
      <c r="K5299" s="7">
        <v>3.3460000000000001</v>
      </c>
      <c r="L5299" s="7">
        <v>3.109</v>
      </c>
      <c r="M5299" s="7">
        <v>3.2290000000000001</v>
      </c>
      <c r="N5299" s="7">
        <v>4.1050000000000004</v>
      </c>
      <c r="O5299" s="7">
        <v>4.2030000000000003</v>
      </c>
      <c r="P5299" s="7">
        <v>4.7220000000000004</v>
      </c>
      <c r="Q5299" s="7">
        <v>5.1130000000000004</v>
      </c>
      <c r="R5299" s="7">
        <v>5.6609999999999996</v>
      </c>
      <c r="S5299" s="7">
        <f t="shared" si="82"/>
        <v>4.4200833333333334</v>
      </c>
    </row>
    <row r="5300" spans="1:19">
      <c r="A5300" s="5" t="str">
        <f>B5300&amp;"-"&amp;COUNTIF($B$2:B5300,B5300)</f>
        <v>SÃO PAULO-589</v>
      </c>
      <c r="B5300" s="5" t="s">
        <v>3122</v>
      </c>
      <c r="C5300" s="5" t="s">
        <v>5419</v>
      </c>
      <c r="D5300" s="6">
        <v>-490311</v>
      </c>
      <c r="E5300" s="6">
        <v>-209606</v>
      </c>
      <c r="F5300" s="7">
        <v>5.13</v>
      </c>
      <c r="G5300" s="7">
        <v>5.8079999999999998</v>
      </c>
      <c r="H5300" s="7">
        <v>5.9</v>
      </c>
      <c r="I5300" s="7">
        <v>5.2140000000000004</v>
      </c>
      <c r="J5300" s="7">
        <v>4.8220000000000001</v>
      </c>
      <c r="K5300" s="7">
        <v>4.109</v>
      </c>
      <c r="L5300" s="7">
        <v>3.8879999999999999</v>
      </c>
      <c r="M5300" s="7">
        <v>4.1079999999999997</v>
      </c>
      <c r="N5300" s="7">
        <v>5.0060000000000002</v>
      </c>
      <c r="O5300" s="7">
        <v>5.0880000000000001</v>
      </c>
      <c r="P5300" s="7">
        <v>5.5979999999999999</v>
      </c>
      <c r="Q5300" s="7">
        <v>5.883</v>
      </c>
      <c r="R5300" s="7">
        <v>6.133</v>
      </c>
      <c r="S5300" s="7">
        <f t="shared" si="82"/>
        <v>5.1297500000000005</v>
      </c>
    </row>
    <row r="5301" spans="1:19">
      <c r="A5301" s="5" t="str">
        <f>B5301&amp;"-"&amp;COUNTIF($B$2:B5301,B5301)</f>
        <v>SÃO PAULO-590</v>
      </c>
      <c r="B5301" s="5" t="s">
        <v>3122</v>
      </c>
      <c r="C5301" s="5" t="s">
        <v>289</v>
      </c>
      <c r="D5301" s="6">
        <v>-486903</v>
      </c>
      <c r="E5301" s="6">
        <v>-217295</v>
      </c>
      <c r="F5301" s="7">
        <v>5.0609999999999999</v>
      </c>
      <c r="G5301" s="7">
        <v>5.7770000000000001</v>
      </c>
      <c r="H5301" s="7">
        <v>5.907</v>
      </c>
      <c r="I5301" s="7">
        <v>5.1340000000000003</v>
      </c>
      <c r="J5301" s="7">
        <v>4.7329999999999997</v>
      </c>
      <c r="K5301" s="7">
        <v>3.988</v>
      </c>
      <c r="L5301" s="7">
        <v>3.7690000000000001</v>
      </c>
      <c r="M5301" s="7">
        <v>3.9489999999999998</v>
      </c>
      <c r="N5301" s="7">
        <v>4.8650000000000002</v>
      </c>
      <c r="O5301" s="7">
        <v>4.9660000000000002</v>
      </c>
      <c r="P5301" s="7">
        <v>5.6</v>
      </c>
      <c r="Q5301" s="7">
        <v>5.859</v>
      </c>
      <c r="R5301" s="7">
        <v>6.1840000000000002</v>
      </c>
      <c r="S5301" s="7">
        <f t="shared" si="82"/>
        <v>5.0609166666666665</v>
      </c>
    </row>
    <row r="5302" spans="1:19">
      <c r="A5302" s="5" t="str">
        <f>B5302&amp;"-"&amp;COUNTIF($B$2:B5302,B5302)</f>
        <v>SÃO PAULO-591</v>
      </c>
      <c r="B5302" s="5" t="s">
        <v>3122</v>
      </c>
      <c r="C5302" s="5" t="s">
        <v>4251</v>
      </c>
      <c r="D5302" s="6">
        <v>-467534</v>
      </c>
      <c r="E5302" s="6">
        <v>-236028</v>
      </c>
      <c r="F5302" s="7">
        <v>4.476</v>
      </c>
      <c r="G5302" s="7">
        <v>5.28</v>
      </c>
      <c r="H5302" s="7">
        <v>5.5220000000000002</v>
      </c>
      <c r="I5302" s="7">
        <v>4.7300000000000004</v>
      </c>
      <c r="J5302" s="7">
        <v>4.1859999999999999</v>
      </c>
      <c r="K5302" s="7">
        <v>3.4289999999999998</v>
      </c>
      <c r="L5302" s="7">
        <v>3.1669999999999998</v>
      </c>
      <c r="M5302" s="7">
        <v>3.2559999999999998</v>
      </c>
      <c r="N5302" s="7">
        <v>4.2009999999999996</v>
      </c>
      <c r="O5302" s="7">
        <v>4.226</v>
      </c>
      <c r="P5302" s="7">
        <v>4.7439999999999998</v>
      </c>
      <c r="Q5302" s="7">
        <v>5.2149999999999999</v>
      </c>
      <c r="R5302" s="7">
        <v>5.758</v>
      </c>
      <c r="S5302" s="7">
        <f t="shared" si="82"/>
        <v>4.4761666666666668</v>
      </c>
    </row>
    <row r="5303" spans="1:19">
      <c r="A5303" s="5" t="str">
        <f>B5303&amp;"-"&amp;COUNTIF($B$2:B5303,B5303)</f>
        <v>SÃO PAULO-592</v>
      </c>
      <c r="B5303" s="5" t="s">
        <v>3122</v>
      </c>
      <c r="C5303" s="5" t="s">
        <v>3485</v>
      </c>
      <c r="D5303" s="6">
        <v>-51285</v>
      </c>
      <c r="E5303" s="5" t="s">
        <v>3486</v>
      </c>
      <c r="F5303" s="7">
        <v>5.0439999999999996</v>
      </c>
      <c r="G5303" s="7">
        <v>5.8970000000000002</v>
      </c>
      <c r="H5303" s="7">
        <v>5.891</v>
      </c>
      <c r="I5303" s="7">
        <v>5.3810000000000002</v>
      </c>
      <c r="J5303" s="7">
        <v>4.7430000000000003</v>
      </c>
      <c r="K5303" s="7">
        <v>3.8340000000000001</v>
      </c>
      <c r="L5303" s="7">
        <v>3.5339999999999998</v>
      </c>
      <c r="M5303" s="7">
        <v>3.734</v>
      </c>
      <c r="N5303" s="7">
        <v>4.7069999999999999</v>
      </c>
      <c r="O5303" s="7">
        <v>4.8090000000000002</v>
      </c>
      <c r="P5303" s="7">
        <v>5.5039999999999996</v>
      </c>
      <c r="Q5303" s="7">
        <v>6.0860000000000003</v>
      </c>
      <c r="R5303" s="7">
        <v>6.4050000000000002</v>
      </c>
      <c r="S5303" s="7">
        <f t="shared" si="82"/>
        <v>5.0437499999999993</v>
      </c>
    </row>
    <row r="5304" spans="1:19">
      <c r="A5304" s="5" t="str">
        <f>B5304&amp;"-"&amp;COUNTIF($B$2:B5304,B5304)</f>
        <v>SÃO PAULO-593</v>
      </c>
      <c r="B5304" s="5" t="s">
        <v>3122</v>
      </c>
      <c r="C5304" s="5" t="s">
        <v>3487</v>
      </c>
      <c r="D5304" s="6">
        <v>-494089</v>
      </c>
      <c r="E5304" s="6">
        <v>-23452</v>
      </c>
      <c r="F5304" s="7">
        <v>4.8410000000000002</v>
      </c>
      <c r="G5304" s="7">
        <v>5.7560000000000002</v>
      </c>
      <c r="H5304" s="7">
        <v>5.84</v>
      </c>
      <c r="I5304" s="7">
        <v>5.1920000000000002</v>
      </c>
      <c r="J5304" s="7">
        <v>4.5149999999999997</v>
      </c>
      <c r="K5304" s="7">
        <v>3.585</v>
      </c>
      <c r="L5304" s="7">
        <v>3.2519999999999998</v>
      </c>
      <c r="M5304" s="7">
        <v>3.45</v>
      </c>
      <c r="N5304" s="7">
        <v>4.43</v>
      </c>
      <c r="O5304" s="7">
        <v>4.6059999999999999</v>
      </c>
      <c r="P5304" s="7">
        <v>5.2640000000000002</v>
      </c>
      <c r="Q5304" s="7">
        <v>5.8949999999999996</v>
      </c>
      <c r="R5304" s="7">
        <v>6.306</v>
      </c>
      <c r="S5304" s="7">
        <f t="shared" si="82"/>
        <v>4.8409166666666659</v>
      </c>
    </row>
    <row r="5305" spans="1:19">
      <c r="A5305" s="5" t="str">
        <f>B5305&amp;"-"&amp;COUNTIF($B$2:B5305,B5305)</f>
        <v>SÃO PAULO-594</v>
      </c>
      <c r="B5305" s="5" t="s">
        <v>3122</v>
      </c>
      <c r="C5305" s="5" t="s">
        <v>4800</v>
      </c>
      <c r="D5305" s="6">
        <v>-485116</v>
      </c>
      <c r="E5305" s="6">
        <v>-211436</v>
      </c>
      <c r="F5305" s="7">
        <v>5.1340000000000003</v>
      </c>
      <c r="G5305" s="7">
        <v>5.82</v>
      </c>
      <c r="H5305" s="7">
        <v>6.0039999999999996</v>
      </c>
      <c r="I5305" s="7">
        <v>5.1970000000000001</v>
      </c>
      <c r="J5305" s="7">
        <v>4.7990000000000004</v>
      </c>
      <c r="K5305" s="7">
        <v>4.1230000000000002</v>
      </c>
      <c r="L5305" s="7">
        <v>3.8940000000000001</v>
      </c>
      <c r="M5305" s="7">
        <v>4.12</v>
      </c>
      <c r="N5305" s="7">
        <v>4.9580000000000002</v>
      </c>
      <c r="O5305" s="7">
        <v>5.0720000000000001</v>
      </c>
      <c r="P5305" s="7">
        <v>5.5940000000000003</v>
      </c>
      <c r="Q5305" s="7">
        <v>5.891</v>
      </c>
      <c r="R5305" s="7">
        <v>6.1310000000000002</v>
      </c>
      <c r="S5305" s="7">
        <f t="shared" si="82"/>
        <v>5.1335833333333332</v>
      </c>
    </row>
    <row r="5306" spans="1:19">
      <c r="A5306" s="5" t="str">
        <f>B5306&amp;"-"&amp;COUNTIF($B$2:B5306,B5306)</f>
        <v>SÃO PAULO-595</v>
      </c>
      <c r="B5306" s="5" t="s">
        <v>3122</v>
      </c>
      <c r="C5306" s="5" t="s">
        <v>4893</v>
      </c>
      <c r="D5306" s="6">
        <v>-48452</v>
      </c>
      <c r="E5306" s="6">
        <v>-21124</v>
      </c>
      <c r="F5306" s="7">
        <v>5.133</v>
      </c>
      <c r="G5306" s="7">
        <v>5.7629999999999999</v>
      </c>
      <c r="H5306" s="7">
        <v>5.9880000000000004</v>
      </c>
      <c r="I5306" s="7">
        <v>5.2130000000000001</v>
      </c>
      <c r="J5306" s="7">
        <v>4.8179999999999996</v>
      </c>
      <c r="K5306" s="7">
        <v>4.125</v>
      </c>
      <c r="L5306" s="7">
        <v>3.8889999999999998</v>
      </c>
      <c r="M5306" s="7">
        <v>4.1219999999999999</v>
      </c>
      <c r="N5306" s="7">
        <v>4.9790000000000001</v>
      </c>
      <c r="O5306" s="7">
        <v>5.0599999999999996</v>
      </c>
      <c r="P5306" s="7">
        <v>5.5919999999999996</v>
      </c>
      <c r="Q5306" s="7">
        <v>5.9020000000000001</v>
      </c>
      <c r="R5306" s="7">
        <v>6.1449999999999996</v>
      </c>
      <c r="S5306" s="7">
        <f t="shared" si="82"/>
        <v>5.133</v>
      </c>
    </row>
    <row r="5307" spans="1:19">
      <c r="A5307" s="5" t="str">
        <f>B5307&amp;"-"&amp;COUNTIF($B$2:B5307,B5307)</f>
        <v>SÃO PAULO-596</v>
      </c>
      <c r="B5307" s="5" t="s">
        <v>3122</v>
      </c>
      <c r="C5307" s="5" t="s">
        <v>4894</v>
      </c>
      <c r="D5307" s="6">
        <v>-472707</v>
      </c>
      <c r="E5307" s="6">
        <v>-217034</v>
      </c>
      <c r="F5307" s="7">
        <v>5.008</v>
      </c>
      <c r="G5307" s="7">
        <v>5.6310000000000002</v>
      </c>
      <c r="H5307" s="7">
        <v>5.8029999999999999</v>
      </c>
      <c r="I5307" s="7">
        <v>5.1210000000000004</v>
      </c>
      <c r="J5307" s="7">
        <v>4.766</v>
      </c>
      <c r="K5307" s="7">
        <v>4.0229999999999997</v>
      </c>
      <c r="L5307" s="7">
        <v>3.7519999999999998</v>
      </c>
      <c r="M5307" s="7">
        <v>3.9649999999999999</v>
      </c>
      <c r="N5307" s="7">
        <v>4.8769999999999998</v>
      </c>
      <c r="O5307" s="7">
        <v>4.9640000000000004</v>
      </c>
      <c r="P5307" s="7">
        <v>5.5170000000000003</v>
      </c>
      <c r="Q5307" s="7">
        <v>5.7320000000000002</v>
      </c>
      <c r="R5307" s="7">
        <v>5.9480000000000004</v>
      </c>
      <c r="S5307" s="7">
        <f t="shared" si="82"/>
        <v>5.0082499999999994</v>
      </c>
    </row>
    <row r="5308" spans="1:19">
      <c r="A5308" s="5" t="str">
        <f>B5308&amp;"-"&amp;COUNTIF($B$2:B5308,B5308)</f>
        <v>SÃO PAULO-597</v>
      </c>
      <c r="B5308" s="5" t="s">
        <v>3122</v>
      </c>
      <c r="C5308" s="5" t="s">
        <v>3488</v>
      </c>
      <c r="D5308" s="6">
        <v>-496567</v>
      </c>
      <c r="E5308" s="6">
        <v>-206233</v>
      </c>
      <c r="F5308" s="7">
        <v>5.1550000000000002</v>
      </c>
      <c r="G5308" s="7">
        <v>5.7830000000000004</v>
      </c>
      <c r="H5308" s="7">
        <v>5.8620000000000001</v>
      </c>
      <c r="I5308" s="7">
        <v>5.2160000000000002</v>
      </c>
      <c r="J5308" s="7">
        <v>4.9269999999999996</v>
      </c>
      <c r="K5308" s="7">
        <v>4.2039999999999997</v>
      </c>
      <c r="L5308" s="7">
        <v>3.9039999999999999</v>
      </c>
      <c r="M5308" s="7">
        <v>4.1719999999999997</v>
      </c>
      <c r="N5308" s="7">
        <v>5.0670000000000002</v>
      </c>
      <c r="O5308" s="7">
        <v>5.101</v>
      </c>
      <c r="P5308" s="7">
        <v>5.6070000000000002</v>
      </c>
      <c r="Q5308" s="7">
        <v>5.883</v>
      </c>
      <c r="R5308" s="7">
        <v>6.1369999999999996</v>
      </c>
      <c r="S5308" s="7">
        <f t="shared" si="82"/>
        <v>5.1552499999999997</v>
      </c>
    </row>
    <row r="5309" spans="1:19">
      <c r="A5309" s="5" t="str">
        <f>B5309&amp;"-"&amp;COUNTIF($B$2:B5309,B5309)</f>
        <v>SÃO PAULO-598</v>
      </c>
      <c r="B5309" s="5" t="s">
        <v>3122</v>
      </c>
      <c r="C5309" s="5" t="s">
        <v>1659</v>
      </c>
      <c r="D5309" s="6">
        <v>-475067</v>
      </c>
      <c r="E5309" s="6">
        <v>-239616</v>
      </c>
      <c r="F5309" s="7">
        <v>4.1150000000000002</v>
      </c>
      <c r="G5309" s="7">
        <v>4.867</v>
      </c>
      <c r="H5309" s="7">
        <v>5.226</v>
      </c>
      <c r="I5309" s="7">
        <v>4.4249999999999998</v>
      </c>
      <c r="J5309" s="7">
        <v>3.88</v>
      </c>
      <c r="K5309" s="7">
        <v>3.141</v>
      </c>
      <c r="L5309" s="7">
        <v>2.9420000000000002</v>
      </c>
      <c r="M5309" s="7">
        <v>2.9969999999999999</v>
      </c>
      <c r="N5309" s="7">
        <v>3.7959999999999998</v>
      </c>
      <c r="O5309" s="7">
        <v>3.7440000000000002</v>
      </c>
      <c r="P5309" s="7">
        <v>4.149</v>
      </c>
      <c r="Q5309" s="7">
        <v>4.8019999999999996</v>
      </c>
      <c r="R5309" s="7">
        <v>5.407</v>
      </c>
      <c r="S5309" s="7">
        <f t="shared" si="82"/>
        <v>4.1146666666666674</v>
      </c>
    </row>
    <row r="5310" spans="1:19">
      <c r="A5310" s="5" t="str">
        <f>B5310&amp;"-"&amp;COUNTIF($B$2:B5310,B5310)</f>
        <v>SÃO PAULO-599</v>
      </c>
      <c r="B5310" s="5" t="s">
        <v>3122</v>
      </c>
      <c r="C5310" s="5" t="s">
        <v>3489</v>
      </c>
      <c r="D5310" s="6">
        <v>-467452</v>
      </c>
      <c r="E5310" s="6">
        <v>-214718</v>
      </c>
      <c r="F5310" s="7">
        <v>4.9889999999999999</v>
      </c>
      <c r="G5310" s="7">
        <v>5.593</v>
      </c>
      <c r="H5310" s="7">
        <v>5.77</v>
      </c>
      <c r="I5310" s="7">
        <v>4.9669999999999996</v>
      </c>
      <c r="J5310" s="7">
        <v>4.7539999999999996</v>
      </c>
      <c r="K5310" s="7">
        <v>4.0599999999999996</v>
      </c>
      <c r="L5310" s="7">
        <v>3.835</v>
      </c>
      <c r="M5310" s="7">
        <v>4.0449999999999999</v>
      </c>
      <c r="N5310" s="7">
        <v>4.9329999999999998</v>
      </c>
      <c r="O5310" s="7">
        <v>5.05</v>
      </c>
      <c r="P5310" s="7">
        <v>5.4859999999999998</v>
      </c>
      <c r="Q5310" s="7">
        <v>5.577</v>
      </c>
      <c r="R5310" s="7">
        <v>5.7960000000000003</v>
      </c>
      <c r="S5310" s="7">
        <f t="shared" si="82"/>
        <v>4.9888333333333321</v>
      </c>
    </row>
    <row r="5311" spans="1:19">
      <c r="A5311" s="5" t="str">
        <f>B5311&amp;"-"&amp;COUNTIF($B$2:B5311,B5311)</f>
        <v>SÃO PAULO-600</v>
      </c>
      <c r="B5311" s="5" t="s">
        <v>3122</v>
      </c>
      <c r="C5311" s="5" t="s">
        <v>3490</v>
      </c>
      <c r="D5311" s="6">
        <v>-48413</v>
      </c>
      <c r="E5311" s="6">
        <v>-210742</v>
      </c>
      <c r="F5311" s="7">
        <v>5.133</v>
      </c>
      <c r="G5311" s="7">
        <v>5.7629999999999999</v>
      </c>
      <c r="H5311" s="7">
        <v>5.9880000000000004</v>
      </c>
      <c r="I5311" s="7">
        <v>5.2130000000000001</v>
      </c>
      <c r="J5311" s="7">
        <v>4.8179999999999996</v>
      </c>
      <c r="K5311" s="7">
        <v>4.125</v>
      </c>
      <c r="L5311" s="7">
        <v>3.8889999999999998</v>
      </c>
      <c r="M5311" s="7">
        <v>4.1219999999999999</v>
      </c>
      <c r="N5311" s="7">
        <v>4.9790000000000001</v>
      </c>
      <c r="O5311" s="7">
        <v>5.0599999999999996</v>
      </c>
      <c r="P5311" s="7">
        <v>5.5919999999999996</v>
      </c>
      <c r="Q5311" s="7">
        <v>5.9020000000000001</v>
      </c>
      <c r="R5311" s="7">
        <v>6.1449999999999996</v>
      </c>
      <c r="S5311" s="7">
        <f t="shared" si="82"/>
        <v>5.133</v>
      </c>
    </row>
    <row r="5312" spans="1:19">
      <c r="A5312" s="5" t="str">
        <f>B5312&amp;"-"&amp;COUNTIF($B$2:B5312,B5312)</f>
        <v>SÃO PAULO-601</v>
      </c>
      <c r="B5312" s="5" t="s">
        <v>3122</v>
      </c>
      <c r="C5312" s="5" t="s">
        <v>3491</v>
      </c>
      <c r="D5312" s="6">
        <v>-485108</v>
      </c>
      <c r="E5312" s="6">
        <v>-214053</v>
      </c>
      <c r="F5312" s="7">
        <v>5.0979999999999999</v>
      </c>
      <c r="G5312" s="7">
        <v>5.7450000000000001</v>
      </c>
      <c r="H5312" s="7">
        <v>5.9370000000000003</v>
      </c>
      <c r="I5312" s="7">
        <v>5.1630000000000003</v>
      </c>
      <c r="J5312" s="7">
        <v>4.7889999999999997</v>
      </c>
      <c r="K5312" s="7">
        <v>4.0919999999999996</v>
      </c>
      <c r="L5312" s="7">
        <v>3.819</v>
      </c>
      <c r="M5312" s="7">
        <v>4.0250000000000004</v>
      </c>
      <c r="N5312" s="7">
        <v>4.9340000000000002</v>
      </c>
      <c r="O5312" s="7">
        <v>5.0090000000000003</v>
      </c>
      <c r="P5312" s="7">
        <v>5.6139999999999999</v>
      </c>
      <c r="Q5312" s="7">
        <v>5.9029999999999996</v>
      </c>
      <c r="R5312" s="7">
        <v>6.141</v>
      </c>
      <c r="S5312" s="7">
        <f t="shared" si="82"/>
        <v>5.0975833333333327</v>
      </c>
    </row>
    <row r="5313" spans="1:19">
      <c r="A5313" s="5" t="str">
        <f>B5313&amp;"-"&amp;COUNTIF($B$2:B5313,B5313)</f>
        <v>SÃO PAULO-602</v>
      </c>
      <c r="B5313" s="5" t="s">
        <v>3122</v>
      </c>
      <c r="C5313" s="5" t="s">
        <v>3492</v>
      </c>
      <c r="D5313" s="6">
        <v>-492439</v>
      </c>
      <c r="E5313" s="6">
        <v>-23533</v>
      </c>
      <c r="F5313" s="7">
        <v>4.7409999999999997</v>
      </c>
      <c r="G5313" s="7">
        <v>5.6189999999999998</v>
      </c>
      <c r="H5313" s="7">
        <v>5.68</v>
      </c>
      <c r="I5313" s="7">
        <v>5.0259999999999998</v>
      </c>
      <c r="J5313" s="7">
        <v>4.4279999999999999</v>
      </c>
      <c r="K5313" s="7">
        <v>3.5390000000000001</v>
      </c>
      <c r="L5313" s="7">
        <v>3.2090000000000001</v>
      </c>
      <c r="M5313" s="7">
        <v>3.4060000000000001</v>
      </c>
      <c r="N5313" s="7">
        <v>4.3890000000000002</v>
      </c>
      <c r="O5313" s="7">
        <v>4.5549999999999997</v>
      </c>
      <c r="P5313" s="7">
        <v>5.1890000000000001</v>
      </c>
      <c r="Q5313" s="7">
        <v>5.7619999999999996</v>
      </c>
      <c r="R5313" s="7">
        <v>6.0940000000000003</v>
      </c>
      <c r="S5313" s="7">
        <f t="shared" si="82"/>
        <v>4.7413333333333334</v>
      </c>
    </row>
    <row r="5314" spans="1:19">
      <c r="A5314" s="5" t="str">
        <f>B5314&amp;"-"&amp;COUNTIF($B$2:B5314,B5314)</f>
        <v>SÃO PAULO-603</v>
      </c>
      <c r="B5314" s="5" t="s">
        <v>3122</v>
      </c>
      <c r="C5314" s="5" t="s">
        <v>3493</v>
      </c>
      <c r="D5314" s="6">
        <v>-486952</v>
      </c>
      <c r="E5314" s="6">
        <v>-239216</v>
      </c>
      <c r="F5314" s="7">
        <v>4.5620000000000003</v>
      </c>
      <c r="G5314" s="7">
        <v>5.4930000000000003</v>
      </c>
      <c r="H5314" s="7">
        <v>5.5170000000000003</v>
      </c>
      <c r="I5314" s="7">
        <v>4.8470000000000004</v>
      </c>
      <c r="J5314" s="7">
        <v>4.2670000000000003</v>
      </c>
      <c r="K5314" s="7">
        <v>3.407</v>
      </c>
      <c r="L5314" s="7">
        <v>3.0870000000000002</v>
      </c>
      <c r="M5314" s="7">
        <v>3.2589999999999999</v>
      </c>
      <c r="N5314" s="7">
        <v>4.2229999999999999</v>
      </c>
      <c r="O5314" s="7">
        <v>4.3410000000000002</v>
      </c>
      <c r="P5314" s="7">
        <v>4.8570000000000002</v>
      </c>
      <c r="Q5314" s="7">
        <v>5.4619999999999997</v>
      </c>
      <c r="R5314" s="7">
        <v>5.9870000000000001</v>
      </c>
      <c r="S5314" s="7">
        <f t="shared" si="82"/>
        <v>4.5622500000000006</v>
      </c>
    </row>
    <row r="5315" spans="1:19">
      <c r="A5315" s="5" t="str">
        <f>B5315&amp;"-"&amp;COUNTIF($B$2:B5315,B5315)</f>
        <v>SÃO PAULO-604</v>
      </c>
      <c r="B5315" s="5" t="s">
        <v>3122</v>
      </c>
      <c r="C5315" s="5" t="s">
        <v>3494</v>
      </c>
      <c r="D5315" s="6">
        <v>-515626</v>
      </c>
      <c r="E5315" s="6">
        <v>-223021</v>
      </c>
      <c r="F5315" s="7">
        <v>5.093</v>
      </c>
      <c r="G5315" s="7">
        <v>5.9729999999999999</v>
      </c>
      <c r="H5315" s="7">
        <v>5.9950000000000001</v>
      </c>
      <c r="I5315" s="7">
        <v>5.4770000000000003</v>
      </c>
      <c r="J5315" s="7">
        <v>4.7889999999999997</v>
      </c>
      <c r="K5315" s="7">
        <v>3.8420000000000001</v>
      </c>
      <c r="L5315" s="7">
        <v>3.5329999999999999</v>
      </c>
      <c r="M5315" s="7">
        <v>3.7639999999999998</v>
      </c>
      <c r="N5315" s="7">
        <v>4.7160000000000002</v>
      </c>
      <c r="O5315" s="7">
        <v>4.8390000000000004</v>
      </c>
      <c r="P5315" s="7">
        <v>5.5579999999999998</v>
      </c>
      <c r="Q5315" s="7">
        <v>6.1230000000000002</v>
      </c>
      <c r="R5315" s="7">
        <v>6.516</v>
      </c>
      <c r="S5315" s="7">
        <f t="shared" ref="S5315:S5378" si="83">(G5315+H5315+I5315+J5315+K5315+L5315+M5315+N5315+O5315+P5315+Q5315+R5315)/12</f>
        <v>5.09375</v>
      </c>
    </row>
    <row r="5316" spans="1:19">
      <c r="A5316" s="5" t="str">
        <f>B5316&amp;"-"&amp;COUNTIF($B$2:B5316,B5316)</f>
        <v>SÃO PAULO-605</v>
      </c>
      <c r="B5316" s="5" t="s">
        <v>3122</v>
      </c>
      <c r="C5316" s="5" t="s">
        <v>5420</v>
      </c>
      <c r="D5316" s="6">
        <v>-50579</v>
      </c>
      <c r="E5316" s="6">
        <v>-227433</v>
      </c>
      <c r="F5316" s="7">
        <v>4.9710000000000001</v>
      </c>
      <c r="G5316" s="7">
        <v>5.7619999999999996</v>
      </c>
      <c r="H5316" s="7">
        <v>5.8129999999999997</v>
      </c>
      <c r="I5316" s="7">
        <v>5.2640000000000002</v>
      </c>
      <c r="J5316" s="7">
        <v>4.7069999999999999</v>
      </c>
      <c r="K5316" s="7">
        <v>3.8010000000000002</v>
      </c>
      <c r="L5316" s="7">
        <v>3.4609999999999999</v>
      </c>
      <c r="M5316" s="7">
        <v>3.7050000000000001</v>
      </c>
      <c r="N5316" s="7">
        <v>4.6740000000000004</v>
      </c>
      <c r="O5316" s="7">
        <v>4.7830000000000004</v>
      </c>
      <c r="P5316" s="7">
        <v>5.4290000000000003</v>
      </c>
      <c r="Q5316" s="7">
        <v>5.9729999999999999</v>
      </c>
      <c r="R5316" s="7">
        <v>6.2770000000000001</v>
      </c>
      <c r="S5316" s="7">
        <f t="shared" si="83"/>
        <v>4.9707499999999998</v>
      </c>
    </row>
    <row r="5317" spans="1:19">
      <c r="A5317" s="5" t="str">
        <f>B5317&amp;"-"&amp;COUNTIF($B$2:B5317,B5317)</f>
        <v>SÃO PAULO-606</v>
      </c>
      <c r="B5317" s="5" t="s">
        <v>3122</v>
      </c>
      <c r="C5317" s="5" t="s">
        <v>3495</v>
      </c>
      <c r="D5317" s="6">
        <v>-478465</v>
      </c>
      <c r="E5317" s="6">
        <v>-233492</v>
      </c>
      <c r="F5317" s="7">
        <v>4.8170000000000002</v>
      </c>
      <c r="G5317" s="7">
        <v>5.5490000000000004</v>
      </c>
      <c r="H5317" s="7">
        <v>5.7690000000000001</v>
      </c>
      <c r="I5317" s="7">
        <v>5.085</v>
      </c>
      <c r="J5317" s="7">
        <v>4.5259999999999998</v>
      </c>
      <c r="K5317" s="7">
        <v>3.657</v>
      </c>
      <c r="L5317" s="7">
        <v>3.42</v>
      </c>
      <c r="M5317" s="7">
        <v>3.51</v>
      </c>
      <c r="N5317" s="7">
        <v>4.5229999999999997</v>
      </c>
      <c r="O5317" s="7">
        <v>4.6900000000000004</v>
      </c>
      <c r="P5317" s="7">
        <v>5.2690000000000001</v>
      </c>
      <c r="Q5317" s="7">
        <v>5.7039999999999997</v>
      </c>
      <c r="R5317" s="7">
        <v>6.1020000000000003</v>
      </c>
      <c r="S5317" s="7">
        <f t="shared" si="83"/>
        <v>4.8170000000000002</v>
      </c>
    </row>
    <row r="5318" spans="1:19">
      <c r="A5318" s="5" t="str">
        <f>B5318&amp;"-"&amp;COUNTIF($B$2:B5318,B5318)</f>
        <v>SÃO PAULO-607</v>
      </c>
      <c r="B5318" s="5" t="s">
        <v>3122</v>
      </c>
      <c r="C5318" s="5" t="s">
        <v>4528</v>
      </c>
      <c r="D5318" s="6">
        <v>-455597</v>
      </c>
      <c r="E5318" s="6">
        <v>-230109</v>
      </c>
      <c r="F5318" s="7">
        <v>4.6399999999999997</v>
      </c>
      <c r="G5318" s="7">
        <v>5.383</v>
      </c>
      <c r="H5318" s="7">
        <v>5.6760000000000002</v>
      </c>
      <c r="I5318" s="7">
        <v>4.8330000000000002</v>
      </c>
      <c r="J5318" s="7">
        <v>4.4059999999999997</v>
      </c>
      <c r="K5318" s="7">
        <v>3.5830000000000002</v>
      </c>
      <c r="L5318" s="7">
        <v>3.3260000000000001</v>
      </c>
      <c r="M5318" s="7">
        <v>3.4460000000000002</v>
      </c>
      <c r="N5318" s="7">
        <v>4.4059999999999997</v>
      </c>
      <c r="O5318" s="7">
        <v>4.5250000000000004</v>
      </c>
      <c r="P5318" s="7">
        <v>5.0659999999999998</v>
      </c>
      <c r="Q5318" s="7">
        <v>5.2469999999999999</v>
      </c>
      <c r="R5318" s="7">
        <v>5.7809999999999997</v>
      </c>
      <c r="S5318" s="7">
        <f t="shared" si="83"/>
        <v>4.6398333333333337</v>
      </c>
    </row>
    <row r="5319" spans="1:19">
      <c r="A5319" s="5" t="str">
        <f>B5319&amp;"-"&amp;COUNTIF($B$2:B5319,B5319)</f>
        <v>SÃO PAULO-608</v>
      </c>
      <c r="B5319" s="5" t="s">
        <v>3122</v>
      </c>
      <c r="C5319" s="5" t="s">
        <v>5794</v>
      </c>
      <c r="D5319" s="6">
        <v>-493759</v>
      </c>
      <c r="E5319" s="6">
        <v>-23343</v>
      </c>
      <c r="F5319" s="7">
        <v>4.8179999999999996</v>
      </c>
      <c r="G5319" s="7">
        <v>5.5960000000000001</v>
      </c>
      <c r="H5319" s="7">
        <v>5.7489999999999997</v>
      </c>
      <c r="I5319" s="7">
        <v>5.1050000000000004</v>
      </c>
      <c r="J5319" s="7">
        <v>4.5090000000000003</v>
      </c>
      <c r="K5319" s="7">
        <v>3.589</v>
      </c>
      <c r="L5319" s="7">
        <v>3.302</v>
      </c>
      <c r="M5319" s="7">
        <v>3.5030000000000001</v>
      </c>
      <c r="N5319" s="7">
        <v>4.4930000000000003</v>
      </c>
      <c r="O5319" s="7">
        <v>4.6260000000000003</v>
      </c>
      <c r="P5319" s="7">
        <v>5.2830000000000004</v>
      </c>
      <c r="Q5319" s="7">
        <v>5.8479999999999999</v>
      </c>
      <c r="R5319" s="7">
        <v>6.2130000000000001</v>
      </c>
      <c r="S5319" s="7">
        <f t="shared" si="83"/>
        <v>4.8179999999999996</v>
      </c>
    </row>
    <row r="5320" spans="1:19">
      <c r="A5320" s="5" t="str">
        <f>B5320&amp;"-"&amp;COUNTIF($B$2:B5320,B5320)</f>
        <v>SÃO PAULO-609</v>
      </c>
      <c r="B5320" s="5" t="s">
        <v>3122</v>
      </c>
      <c r="C5320" s="5" t="s">
        <v>540</v>
      </c>
      <c r="D5320" s="6">
        <v>-521686</v>
      </c>
      <c r="E5320" s="6">
        <v>-225304</v>
      </c>
      <c r="F5320" s="7">
        <v>5.0250000000000004</v>
      </c>
      <c r="G5320" s="7">
        <v>6.024</v>
      </c>
      <c r="H5320" s="7">
        <v>5.9450000000000003</v>
      </c>
      <c r="I5320" s="7">
        <v>5.3949999999999996</v>
      </c>
      <c r="J5320" s="7">
        <v>4.7169999999999996</v>
      </c>
      <c r="K5320" s="7">
        <v>3.7789999999999999</v>
      </c>
      <c r="L5320" s="7">
        <v>3.464</v>
      </c>
      <c r="M5320" s="7">
        <v>3.673</v>
      </c>
      <c r="N5320" s="7">
        <v>4.5839999999999996</v>
      </c>
      <c r="O5320" s="7">
        <v>4.7750000000000004</v>
      </c>
      <c r="P5320" s="7">
        <v>5.46</v>
      </c>
      <c r="Q5320" s="7">
        <v>6.1</v>
      </c>
      <c r="R5320" s="7">
        <v>6.3860000000000001</v>
      </c>
      <c r="S5320" s="7">
        <f t="shared" si="83"/>
        <v>5.0251666666666672</v>
      </c>
    </row>
    <row r="5321" spans="1:19">
      <c r="A5321" s="5" t="str">
        <f>B5321&amp;"-"&amp;COUNTIF($B$2:B5321,B5321)</f>
        <v>SÃO PAULO-610</v>
      </c>
      <c r="B5321" s="5" t="s">
        <v>3122</v>
      </c>
      <c r="C5321" s="5" t="s">
        <v>2127</v>
      </c>
      <c r="D5321" s="6">
        <v>-483318</v>
      </c>
      <c r="E5321" s="6">
        <v>-207875</v>
      </c>
      <c r="F5321" s="7">
        <v>5.1719999999999997</v>
      </c>
      <c r="G5321" s="7">
        <v>5.8460000000000001</v>
      </c>
      <c r="H5321" s="7">
        <v>6.0910000000000002</v>
      </c>
      <c r="I5321" s="7">
        <v>5.2450000000000001</v>
      </c>
      <c r="J5321" s="7">
        <v>4.8310000000000004</v>
      </c>
      <c r="K5321" s="7">
        <v>4.2149999999999999</v>
      </c>
      <c r="L5321" s="7">
        <v>3.9620000000000002</v>
      </c>
      <c r="M5321" s="7">
        <v>4.194</v>
      </c>
      <c r="N5321" s="7">
        <v>5.0529999999999999</v>
      </c>
      <c r="O5321" s="7">
        <v>5.0339999999999998</v>
      </c>
      <c r="P5321" s="7">
        <v>5.5810000000000004</v>
      </c>
      <c r="Q5321" s="7">
        <v>5.851</v>
      </c>
      <c r="R5321" s="7">
        <v>6.1609999999999996</v>
      </c>
      <c r="S5321" s="7">
        <f t="shared" si="83"/>
        <v>5.1719999999999997</v>
      </c>
    </row>
    <row r="5322" spans="1:19">
      <c r="A5322" s="5" t="str">
        <f>B5322&amp;"-"&amp;COUNTIF($B$2:B5322,B5322)</f>
        <v>SÃO PAULO-611</v>
      </c>
      <c r="B5322" s="5" t="s">
        <v>3122</v>
      </c>
      <c r="C5322" s="5" t="s">
        <v>5339</v>
      </c>
      <c r="D5322" s="6">
        <v>-477168</v>
      </c>
      <c r="E5322" s="6">
        <v>-231106</v>
      </c>
      <c r="F5322" s="7">
        <v>4.899</v>
      </c>
      <c r="G5322" s="7">
        <v>5.62</v>
      </c>
      <c r="H5322" s="7">
        <v>5.8860000000000001</v>
      </c>
      <c r="I5322" s="7">
        <v>5.1689999999999996</v>
      </c>
      <c r="J5322" s="7">
        <v>4.62</v>
      </c>
      <c r="K5322" s="7">
        <v>3.74</v>
      </c>
      <c r="L5322" s="7">
        <v>3.476</v>
      </c>
      <c r="M5322" s="7">
        <v>3.585</v>
      </c>
      <c r="N5322" s="7">
        <v>4.5679999999999996</v>
      </c>
      <c r="O5322" s="7">
        <v>4.7530000000000001</v>
      </c>
      <c r="P5322" s="7">
        <v>5.39</v>
      </c>
      <c r="Q5322" s="7">
        <v>5.8</v>
      </c>
      <c r="R5322" s="7">
        <v>6.1790000000000003</v>
      </c>
      <c r="S5322" s="7">
        <f t="shared" si="83"/>
        <v>4.8988333333333332</v>
      </c>
    </row>
    <row r="5323" spans="1:19">
      <c r="A5323" s="5" t="str">
        <f>B5323&amp;"-"&amp;COUNTIF($B$2:B5323,B5323)</f>
        <v>SÃO PAULO-612</v>
      </c>
      <c r="B5323" s="5" t="s">
        <v>3122</v>
      </c>
      <c r="C5323" s="5" t="s">
        <v>3496</v>
      </c>
      <c r="D5323" s="6">
        <v>-496069</v>
      </c>
      <c r="E5323" s="6">
        <v>-23205</v>
      </c>
      <c r="F5323" s="7">
        <v>4.8890000000000002</v>
      </c>
      <c r="G5323" s="7">
        <v>5.6980000000000004</v>
      </c>
      <c r="H5323" s="7">
        <v>5.82</v>
      </c>
      <c r="I5323" s="7">
        <v>5.2080000000000002</v>
      </c>
      <c r="J5323" s="7">
        <v>4.609</v>
      </c>
      <c r="K5323" s="7">
        <v>3.65</v>
      </c>
      <c r="L5323" s="7">
        <v>3.335</v>
      </c>
      <c r="M5323" s="7">
        <v>3.5459999999999998</v>
      </c>
      <c r="N5323" s="7">
        <v>4.5339999999999998</v>
      </c>
      <c r="O5323" s="7">
        <v>4.6639999999999997</v>
      </c>
      <c r="P5323" s="7">
        <v>5.351</v>
      </c>
      <c r="Q5323" s="7">
        <v>5.9210000000000003</v>
      </c>
      <c r="R5323" s="7">
        <v>6.3319999999999999</v>
      </c>
      <c r="S5323" s="7">
        <f t="shared" si="83"/>
        <v>4.8890000000000002</v>
      </c>
    </row>
    <row r="5324" spans="1:19">
      <c r="A5324" s="5" t="str">
        <f>B5324&amp;"-"&amp;COUNTIF($B$2:B5324,B5324)</f>
        <v>SÃO PAULO-613</v>
      </c>
      <c r="B5324" s="5" t="s">
        <v>3122</v>
      </c>
      <c r="C5324" s="5" t="s">
        <v>3497</v>
      </c>
      <c r="D5324" s="6">
        <v>-481959</v>
      </c>
      <c r="E5324" s="6">
        <v>-232466</v>
      </c>
      <c r="F5324" s="7">
        <v>4.8209999999999997</v>
      </c>
      <c r="G5324" s="7">
        <v>5.609</v>
      </c>
      <c r="H5324" s="7">
        <v>5.7750000000000004</v>
      </c>
      <c r="I5324" s="7">
        <v>5.0549999999999997</v>
      </c>
      <c r="J5324" s="7">
        <v>4.5250000000000004</v>
      </c>
      <c r="K5324" s="7">
        <v>3.649</v>
      </c>
      <c r="L5324" s="7">
        <v>3.391</v>
      </c>
      <c r="M5324" s="7">
        <v>3.5369999999999999</v>
      </c>
      <c r="N5324" s="7">
        <v>4.5259999999999998</v>
      </c>
      <c r="O5324" s="7">
        <v>4.6909999999999998</v>
      </c>
      <c r="P5324" s="7">
        <v>5.26</v>
      </c>
      <c r="Q5324" s="7">
        <v>5.7329999999999997</v>
      </c>
      <c r="R5324" s="7">
        <v>6.101</v>
      </c>
      <c r="S5324" s="7">
        <f t="shared" si="83"/>
        <v>4.8209999999999988</v>
      </c>
    </row>
    <row r="5325" spans="1:19">
      <c r="A5325" s="5" t="str">
        <f>B5325&amp;"-"&amp;COUNTIF($B$2:B5325,B5325)</f>
        <v>SÃO PAULO-614</v>
      </c>
      <c r="B5325" s="5" t="s">
        <v>3122</v>
      </c>
      <c r="C5325" s="5" t="s">
        <v>3498</v>
      </c>
      <c r="D5325" s="6">
        <v>-48169</v>
      </c>
      <c r="E5325" s="6">
        <v>-22426</v>
      </c>
      <c r="F5325" s="7">
        <v>4.9249999999999998</v>
      </c>
      <c r="G5325" s="7">
        <v>5.5030000000000001</v>
      </c>
      <c r="H5325" s="7">
        <v>5.7519999999999998</v>
      </c>
      <c r="I5325" s="7">
        <v>5.09</v>
      </c>
      <c r="J5325" s="7">
        <v>4.625</v>
      </c>
      <c r="K5325" s="7">
        <v>3.8580000000000001</v>
      </c>
      <c r="L5325" s="7">
        <v>3.5960000000000001</v>
      </c>
      <c r="M5325" s="7">
        <v>3.774</v>
      </c>
      <c r="N5325" s="7">
        <v>4.7430000000000003</v>
      </c>
      <c r="O5325" s="7">
        <v>4.8949999999999996</v>
      </c>
      <c r="P5325" s="7">
        <v>5.4630000000000001</v>
      </c>
      <c r="Q5325" s="7">
        <v>5.7670000000000003</v>
      </c>
      <c r="R5325" s="7">
        <v>6.0289999999999999</v>
      </c>
      <c r="S5325" s="7">
        <f t="shared" si="83"/>
        <v>4.9245833333333335</v>
      </c>
    </row>
    <row r="5326" spans="1:19">
      <c r="A5326" s="5" t="str">
        <f>B5326&amp;"-"&amp;COUNTIF($B$2:B5326,B5326)</f>
        <v>SÃO PAULO-615</v>
      </c>
      <c r="B5326" s="5" t="s">
        <v>3122</v>
      </c>
      <c r="C5326" s="5" t="s">
        <v>5340</v>
      </c>
      <c r="D5326" s="6">
        <v>-508899</v>
      </c>
      <c r="E5326" s="6">
        <v>-20235</v>
      </c>
      <c r="F5326" s="7">
        <v>5.2229999999999999</v>
      </c>
      <c r="G5326" s="7">
        <v>5.7960000000000003</v>
      </c>
      <c r="H5326" s="7">
        <v>5.992</v>
      </c>
      <c r="I5326" s="7">
        <v>5.407</v>
      </c>
      <c r="J5326" s="7">
        <v>4.944</v>
      </c>
      <c r="K5326" s="7">
        <v>4.2300000000000004</v>
      </c>
      <c r="L5326" s="7">
        <v>3.9590000000000001</v>
      </c>
      <c r="M5326" s="7">
        <v>4.1680000000000001</v>
      </c>
      <c r="N5326" s="7">
        <v>5.101</v>
      </c>
      <c r="O5326" s="7">
        <v>5.0780000000000003</v>
      </c>
      <c r="P5326" s="7">
        <v>5.7089999999999996</v>
      </c>
      <c r="Q5326" s="7">
        <v>5.9930000000000003</v>
      </c>
      <c r="R5326" s="7">
        <v>6.2930000000000001</v>
      </c>
      <c r="S5326" s="7">
        <f t="shared" si="83"/>
        <v>5.2225000000000001</v>
      </c>
    </row>
    <row r="5327" spans="1:19">
      <c r="A5327" s="5" t="str">
        <f>B5327&amp;"-"&amp;COUNTIF($B$2:B5327,B5327)</f>
        <v>SÃO PAULO-616</v>
      </c>
      <c r="B5327" s="5" t="s">
        <v>3122</v>
      </c>
      <c r="C5327" s="5" t="s">
        <v>3499</v>
      </c>
      <c r="D5327" s="6">
        <v>-483346</v>
      </c>
      <c r="E5327" s="6">
        <v>-220393</v>
      </c>
      <c r="F5327" s="7">
        <v>5.0049999999999999</v>
      </c>
      <c r="G5327" s="7">
        <v>5.6619999999999999</v>
      </c>
      <c r="H5327" s="7">
        <v>5.8239999999999998</v>
      </c>
      <c r="I5327" s="7">
        <v>5.1390000000000002</v>
      </c>
      <c r="J5327" s="7">
        <v>4.7089999999999996</v>
      </c>
      <c r="K5327" s="7">
        <v>3.9390000000000001</v>
      </c>
      <c r="L5327" s="7">
        <v>3.6819999999999999</v>
      </c>
      <c r="M5327" s="7">
        <v>3.8919999999999999</v>
      </c>
      <c r="N5327" s="7">
        <v>4.8310000000000004</v>
      </c>
      <c r="O5327" s="7">
        <v>4.8959999999999999</v>
      </c>
      <c r="P5327" s="7">
        <v>5.5750000000000002</v>
      </c>
      <c r="Q5327" s="7">
        <v>5.7869999999999999</v>
      </c>
      <c r="R5327" s="7">
        <v>6.1180000000000003</v>
      </c>
      <c r="S5327" s="7">
        <f t="shared" si="83"/>
        <v>5.0045000000000011</v>
      </c>
    </row>
    <row r="5328" spans="1:19">
      <c r="A5328" s="5" t="str">
        <f>B5328&amp;"-"&amp;COUNTIF($B$2:B5328,B5328)</f>
        <v>SÃO PAULO-617</v>
      </c>
      <c r="B5328" s="5" t="s">
        <v>3122</v>
      </c>
      <c r="C5328" s="5" t="s">
        <v>4529</v>
      </c>
      <c r="D5328" s="6">
        <v>-455479</v>
      </c>
      <c r="E5328" s="6">
        <v>-229576</v>
      </c>
      <c r="F5328" s="7">
        <v>4.6399999999999997</v>
      </c>
      <c r="G5328" s="7">
        <v>5.383</v>
      </c>
      <c r="H5328" s="7">
        <v>5.6760000000000002</v>
      </c>
      <c r="I5328" s="7">
        <v>4.8330000000000002</v>
      </c>
      <c r="J5328" s="7">
        <v>4.4059999999999997</v>
      </c>
      <c r="K5328" s="7">
        <v>3.5830000000000002</v>
      </c>
      <c r="L5328" s="7">
        <v>3.3260000000000001</v>
      </c>
      <c r="M5328" s="7">
        <v>3.4460000000000002</v>
      </c>
      <c r="N5328" s="7">
        <v>4.4059999999999997</v>
      </c>
      <c r="O5328" s="7">
        <v>4.5250000000000004</v>
      </c>
      <c r="P5328" s="7">
        <v>5.0659999999999998</v>
      </c>
      <c r="Q5328" s="7">
        <v>5.2469999999999999</v>
      </c>
      <c r="R5328" s="7">
        <v>5.7809999999999997</v>
      </c>
      <c r="S5328" s="7">
        <f t="shared" si="83"/>
        <v>4.6398333333333337</v>
      </c>
    </row>
    <row r="5329" spans="1:19">
      <c r="A5329" s="5" t="str">
        <f>B5329&amp;"-"&amp;COUNTIF($B$2:B5329,B5329)</f>
        <v>SÃO PAULO-618</v>
      </c>
      <c r="B5329" s="5" t="s">
        <v>3122</v>
      </c>
      <c r="C5329" s="5" t="s">
        <v>3500</v>
      </c>
      <c r="D5329" s="6">
        <v>-466941</v>
      </c>
      <c r="E5329" s="6">
        <v>-228198</v>
      </c>
      <c r="F5329" s="7">
        <v>4.8780000000000001</v>
      </c>
      <c r="G5329" s="7">
        <v>5.4180000000000001</v>
      </c>
      <c r="H5329" s="7">
        <v>5.7530000000000001</v>
      </c>
      <c r="I5329" s="7">
        <v>5.016</v>
      </c>
      <c r="J5329" s="7">
        <v>4.5720000000000001</v>
      </c>
      <c r="K5329" s="7">
        <v>3.8330000000000002</v>
      </c>
      <c r="L5329" s="7">
        <v>3.5539999999999998</v>
      </c>
      <c r="M5329" s="7">
        <v>3.734</v>
      </c>
      <c r="N5329" s="7">
        <v>4.6900000000000004</v>
      </c>
      <c r="O5329" s="7">
        <v>4.8860000000000001</v>
      </c>
      <c r="P5329" s="7">
        <v>5.4349999999999996</v>
      </c>
      <c r="Q5329" s="7">
        <v>5.6180000000000003</v>
      </c>
      <c r="R5329" s="7">
        <v>6.0270000000000001</v>
      </c>
      <c r="S5329" s="7">
        <f t="shared" si="83"/>
        <v>4.8780000000000001</v>
      </c>
    </row>
    <row r="5330" spans="1:19">
      <c r="A5330" s="5" t="str">
        <f>B5330&amp;"-"&amp;COUNTIF($B$2:B5330,B5330)</f>
        <v>SÃO PAULO-619</v>
      </c>
      <c r="B5330" s="5" t="s">
        <v>3122</v>
      </c>
      <c r="C5330" s="5" t="s">
        <v>5421</v>
      </c>
      <c r="D5330" s="6">
        <v>-505195</v>
      </c>
      <c r="E5330" s="6">
        <v>-21934</v>
      </c>
      <c r="F5330" s="7">
        <v>5.08</v>
      </c>
      <c r="G5330" s="7">
        <v>5.875</v>
      </c>
      <c r="H5330" s="7">
        <v>5.915</v>
      </c>
      <c r="I5330" s="7">
        <v>5.3310000000000004</v>
      </c>
      <c r="J5330" s="7">
        <v>4.7480000000000002</v>
      </c>
      <c r="K5330" s="7">
        <v>3.9460000000000002</v>
      </c>
      <c r="L5330" s="7">
        <v>3.645</v>
      </c>
      <c r="M5330" s="7">
        <v>3.8650000000000002</v>
      </c>
      <c r="N5330" s="7">
        <v>4.8470000000000004</v>
      </c>
      <c r="O5330" s="7">
        <v>4.8239999999999998</v>
      </c>
      <c r="P5330" s="7">
        <v>5.55</v>
      </c>
      <c r="Q5330" s="7">
        <v>6.0220000000000002</v>
      </c>
      <c r="R5330" s="7">
        <v>6.3879999999999999</v>
      </c>
      <c r="S5330" s="7">
        <f t="shared" si="83"/>
        <v>5.0796666666666663</v>
      </c>
    </row>
    <row r="5331" spans="1:19">
      <c r="A5331" s="5" t="str">
        <f>B5331&amp;"-"&amp;COUNTIF($B$2:B5331,B5331)</f>
        <v>SÃO PAULO-620</v>
      </c>
      <c r="B5331" s="5" t="s">
        <v>3122</v>
      </c>
      <c r="C5331" s="5" t="s">
        <v>3501</v>
      </c>
      <c r="D5331" s="6">
        <v>-515746</v>
      </c>
      <c r="E5331" s="6">
        <v>-213865</v>
      </c>
      <c r="F5331" s="7">
        <v>5.13</v>
      </c>
      <c r="G5331" s="7">
        <v>5.9089999999999998</v>
      </c>
      <c r="H5331" s="7">
        <v>5.9729999999999999</v>
      </c>
      <c r="I5331" s="7">
        <v>5.4409999999999998</v>
      </c>
      <c r="J5331" s="7">
        <v>4.8680000000000003</v>
      </c>
      <c r="K5331" s="7">
        <v>4.048</v>
      </c>
      <c r="L5331" s="7">
        <v>3.7240000000000002</v>
      </c>
      <c r="M5331" s="7">
        <v>3.8959999999999999</v>
      </c>
      <c r="N5331" s="7">
        <v>4.79</v>
      </c>
      <c r="O5331" s="7">
        <v>4.9269999999999996</v>
      </c>
      <c r="P5331" s="7">
        <v>5.5750000000000002</v>
      </c>
      <c r="Q5331" s="7">
        <v>6.0590000000000002</v>
      </c>
      <c r="R5331" s="7">
        <v>6.3520000000000003</v>
      </c>
      <c r="S5331" s="7">
        <f t="shared" si="83"/>
        <v>5.1301666666666668</v>
      </c>
    </row>
    <row r="5332" spans="1:19">
      <c r="A5332" s="5" t="str">
        <f>B5332&amp;"-"&amp;COUNTIF($B$2:B5332,B5332)</f>
        <v>SÃO PAULO-621</v>
      </c>
      <c r="B5332" s="5" t="s">
        <v>3122</v>
      </c>
      <c r="C5332" s="5" t="s">
        <v>4895</v>
      </c>
      <c r="D5332" s="6">
        <v>-501075</v>
      </c>
      <c r="E5332" s="6">
        <v>-209498</v>
      </c>
      <c r="F5332" s="7">
        <v>5.1529999999999996</v>
      </c>
      <c r="G5332" s="7">
        <v>5.8230000000000004</v>
      </c>
      <c r="H5332" s="7">
        <v>5.8979999999999997</v>
      </c>
      <c r="I5332" s="7">
        <v>5.31</v>
      </c>
      <c r="J5332" s="7">
        <v>4.9569999999999999</v>
      </c>
      <c r="K5332" s="7">
        <v>4.0979999999999999</v>
      </c>
      <c r="L5332" s="7">
        <v>3.8290000000000002</v>
      </c>
      <c r="M5332" s="7">
        <v>4.0449999999999999</v>
      </c>
      <c r="N5332" s="7">
        <v>4.9690000000000003</v>
      </c>
      <c r="O5332" s="7">
        <v>4.9779999999999998</v>
      </c>
      <c r="P5332" s="7">
        <v>5.6609999999999996</v>
      </c>
      <c r="Q5332" s="7">
        <v>6.0289999999999999</v>
      </c>
      <c r="R5332" s="7">
        <v>6.2430000000000003</v>
      </c>
      <c r="S5332" s="7">
        <f t="shared" si="83"/>
        <v>5.1533333333333342</v>
      </c>
    </row>
    <row r="5333" spans="1:19">
      <c r="A5333" s="5" t="str">
        <f>B5333&amp;"-"&amp;COUNTIF($B$2:B5333,B5333)</f>
        <v>SÃO PAULO-622</v>
      </c>
      <c r="B5333" s="5" t="s">
        <v>3122</v>
      </c>
      <c r="C5333" s="5" t="s">
        <v>1671</v>
      </c>
      <c r="D5333" s="6">
        <v>-504813</v>
      </c>
      <c r="E5333" s="6">
        <v>-200516</v>
      </c>
      <c r="F5333" s="7">
        <v>5.1849999999999996</v>
      </c>
      <c r="G5333" s="7">
        <v>5.7949999999999999</v>
      </c>
      <c r="H5333" s="7">
        <v>5.8860000000000001</v>
      </c>
      <c r="I5333" s="7">
        <v>5.3159999999999998</v>
      </c>
      <c r="J5333" s="7">
        <v>4.9050000000000002</v>
      </c>
      <c r="K5333" s="7">
        <v>4.2370000000000001</v>
      </c>
      <c r="L5333" s="7">
        <v>3.9660000000000002</v>
      </c>
      <c r="M5333" s="7">
        <v>4.1710000000000003</v>
      </c>
      <c r="N5333" s="7">
        <v>5.1070000000000002</v>
      </c>
      <c r="O5333" s="7">
        <v>5.1109999999999998</v>
      </c>
      <c r="P5333" s="7">
        <v>5.6459999999999999</v>
      </c>
      <c r="Q5333" s="7">
        <v>5.867</v>
      </c>
      <c r="R5333" s="7">
        <v>6.21</v>
      </c>
      <c r="S5333" s="7">
        <f t="shared" si="83"/>
        <v>5.1847500000000002</v>
      </c>
    </row>
    <row r="5334" spans="1:19">
      <c r="A5334" s="5" t="str">
        <f>B5334&amp;"-"&amp;COUNTIF($B$2:B5334,B5334)</f>
        <v>SÃO PAULO-623</v>
      </c>
      <c r="B5334" s="5" t="s">
        <v>3122</v>
      </c>
      <c r="C5334" s="5" t="s">
        <v>3502</v>
      </c>
      <c r="D5334" s="6">
        <v>-497202</v>
      </c>
      <c r="E5334" s="6">
        <v>-211654</v>
      </c>
      <c r="F5334" s="7">
        <v>5.1189999999999998</v>
      </c>
      <c r="G5334" s="7">
        <v>5.88</v>
      </c>
      <c r="H5334" s="7">
        <v>5.9260000000000002</v>
      </c>
      <c r="I5334" s="7">
        <v>5.28</v>
      </c>
      <c r="J5334" s="7">
        <v>4.8470000000000004</v>
      </c>
      <c r="K5334" s="7">
        <v>4.0069999999999997</v>
      </c>
      <c r="L5334" s="7">
        <v>3.7709999999999999</v>
      </c>
      <c r="M5334" s="7">
        <v>3.9969999999999999</v>
      </c>
      <c r="N5334" s="7">
        <v>4.859</v>
      </c>
      <c r="O5334" s="7">
        <v>4.9809999999999999</v>
      </c>
      <c r="P5334" s="7">
        <v>5.6319999999999997</v>
      </c>
      <c r="Q5334" s="7">
        <v>6</v>
      </c>
      <c r="R5334" s="7">
        <v>6.2510000000000003</v>
      </c>
      <c r="S5334" s="7">
        <f t="shared" si="83"/>
        <v>5.1192500000000001</v>
      </c>
    </row>
    <row r="5335" spans="1:19">
      <c r="A5335" s="5" t="str">
        <f>B5335&amp;"-"&amp;COUNTIF($B$2:B5335,B5335)</f>
        <v>SÃO PAULO-624</v>
      </c>
      <c r="B5335" s="5" t="s">
        <v>3122</v>
      </c>
      <c r="C5335" s="5" t="s">
        <v>3503</v>
      </c>
      <c r="D5335" s="6">
        <v>-450838</v>
      </c>
      <c r="E5335" s="6">
        <v>-234336</v>
      </c>
      <c r="F5335" s="7">
        <v>4.0279999999999996</v>
      </c>
      <c r="G5335" s="7">
        <v>4.9039999999999999</v>
      </c>
      <c r="H5335" s="7">
        <v>5.2560000000000002</v>
      </c>
      <c r="I5335" s="7">
        <v>4.2750000000000004</v>
      </c>
      <c r="J5335" s="7">
        <v>3.9380000000000002</v>
      </c>
      <c r="K5335" s="7">
        <v>3.2690000000000001</v>
      </c>
      <c r="L5335" s="7">
        <v>3.0350000000000001</v>
      </c>
      <c r="M5335" s="7">
        <v>3.0760000000000001</v>
      </c>
      <c r="N5335" s="7">
        <v>3.7909999999999999</v>
      </c>
      <c r="O5335" s="7">
        <v>3.6760000000000002</v>
      </c>
      <c r="P5335" s="7">
        <v>4</v>
      </c>
      <c r="Q5335" s="7">
        <v>4.2030000000000003</v>
      </c>
      <c r="R5335" s="7">
        <v>4.9139999999999997</v>
      </c>
      <c r="S5335" s="7">
        <f t="shared" si="83"/>
        <v>4.0280833333333339</v>
      </c>
    </row>
    <row r="5336" spans="1:19">
      <c r="A5336" s="5" t="str">
        <f>B5336&amp;"-"&amp;COUNTIF($B$2:B5336,B5336)</f>
        <v>SÃO PAULO-625</v>
      </c>
      <c r="B5336" s="5" t="s">
        <v>3122</v>
      </c>
      <c r="C5336" s="5" t="s">
        <v>3504</v>
      </c>
      <c r="D5336" s="6">
        <v>-496617</v>
      </c>
      <c r="E5336" s="6">
        <v>-225277</v>
      </c>
      <c r="F5336" s="7">
        <v>4.952</v>
      </c>
      <c r="G5336" s="7">
        <v>5.6559999999999997</v>
      </c>
      <c r="H5336" s="7">
        <v>5.7729999999999997</v>
      </c>
      <c r="I5336" s="7">
        <v>5.1779999999999999</v>
      </c>
      <c r="J5336" s="7">
        <v>4.7160000000000002</v>
      </c>
      <c r="K5336" s="7">
        <v>3.7949999999999999</v>
      </c>
      <c r="L5336" s="7">
        <v>3.51</v>
      </c>
      <c r="M5336" s="7">
        <v>3.7440000000000002</v>
      </c>
      <c r="N5336" s="7">
        <v>4.7279999999999998</v>
      </c>
      <c r="O5336" s="7">
        <v>4.8099999999999996</v>
      </c>
      <c r="P5336" s="7">
        <v>5.4660000000000002</v>
      </c>
      <c r="Q5336" s="7">
        <v>5.8630000000000004</v>
      </c>
      <c r="R5336" s="7">
        <v>6.1909999999999998</v>
      </c>
      <c r="S5336" s="7">
        <f t="shared" si="83"/>
        <v>4.9525000000000006</v>
      </c>
    </row>
    <row r="5337" spans="1:19">
      <c r="A5337" s="5" t="str">
        <f>B5337&amp;"-"&amp;COUNTIF($B$2:B5337,B5337)</f>
        <v>SÃO PAULO-626</v>
      </c>
      <c r="B5337" s="5" t="s">
        <v>3122</v>
      </c>
      <c r="C5337" s="5" t="s">
        <v>3505</v>
      </c>
      <c r="D5337" s="6">
        <v>-491749</v>
      </c>
      <c r="E5337" s="6">
        <v>-20953</v>
      </c>
      <c r="F5337" s="7">
        <v>5.1230000000000002</v>
      </c>
      <c r="G5337" s="7">
        <v>5.7869999999999999</v>
      </c>
      <c r="H5337" s="7">
        <v>5.8869999999999996</v>
      </c>
      <c r="I5337" s="7">
        <v>5.2069999999999999</v>
      </c>
      <c r="J5337" s="7">
        <v>4.8310000000000004</v>
      </c>
      <c r="K5337" s="7">
        <v>4.1040000000000001</v>
      </c>
      <c r="L5337" s="7">
        <v>3.88</v>
      </c>
      <c r="M5337" s="7">
        <v>4.0979999999999999</v>
      </c>
      <c r="N5337" s="7">
        <v>4.9859999999999998</v>
      </c>
      <c r="O5337" s="7">
        <v>5.0860000000000003</v>
      </c>
      <c r="P5337" s="7">
        <v>5.59</v>
      </c>
      <c r="Q5337" s="7">
        <v>5.883</v>
      </c>
      <c r="R5337" s="7">
        <v>6.1340000000000003</v>
      </c>
      <c r="S5337" s="7">
        <f t="shared" si="83"/>
        <v>5.122749999999999</v>
      </c>
    </row>
    <row r="5338" spans="1:19">
      <c r="A5338" s="5" t="str">
        <f>B5338&amp;"-"&amp;COUNTIF($B$2:B5338,B5338)</f>
        <v>SÃO PAULO-627</v>
      </c>
      <c r="B5338" s="5" t="s">
        <v>3122</v>
      </c>
      <c r="C5338" s="5" t="s">
        <v>4252</v>
      </c>
      <c r="D5338" s="6">
        <v>-498969</v>
      </c>
      <c r="E5338" s="6">
        <v>-20887</v>
      </c>
      <c r="F5338" s="7">
        <v>5.1440000000000001</v>
      </c>
      <c r="G5338" s="7">
        <v>5.8390000000000004</v>
      </c>
      <c r="H5338" s="7">
        <v>5.89</v>
      </c>
      <c r="I5338" s="7">
        <v>5.2759999999999998</v>
      </c>
      <c r="J5338" s="7">
        <v>4.8710000000000004</v>
      </c>
      <c r="K5338" s="7">
        <v>4.1159999999999997</v>
      </c>
      <c r="L5338" s="7">
        <v>3.8479999999999999</v>
      </c>
      <c r="M5338" s="7">
        <v>4.0839999999999996</v>
      </c>
      <c r="N5338" s="7">
        <v>5.0140000000000002</v>
      </c>
      <c r="O5338" s="7">
        <v>5.032</v>
      </c>
      <c r="P5338" s="7">
        <v>5.6109999999999998</v>
      </c>
      <c r="Q5338" s="7">
        <v>5.9450000000000003</v>
      </c>
      <c r="R5338" s="7">
        <v>6.2039999999999997</v>
      </c>
      <c r="S5338" s="7">
        <f t="shared" si="83"/>
        <v>5.1441666666666661</v>
      </c>
    </row>
    <row r="5339" spans="1:19">
      <c r="A5339" s="5" t="str">
        <f>B5339&amp;"-"&amp;COUNTIF($B$2:B5339,B5339)</f>
        <v>SÃO PAULO-628</v>
      </c>
      <c r="B5339" s="5" t="s">
        <v>3122</v>
      </c>
      <c r="C5339" s="5" t="s">
        <v>5037</v>
      </c>
      <c r="D5339" s="6">
        <v>-506459</v>
      </c>
      <c r="E5339" s="6">
        <v>-202459</v>
      </c>
      <c r="F5339" s="7">
        <v>5.1989999999999998</v>
      </c>
      <c r="G5339" s="7">
        <v>5.7960000000000003</v>
      </c>
      <c r="H5339" s="7">
        <v>5.9290000000000003</v>
      </c>
      <c r="I5339" s="7">
        <v>5.335</v>
      </c>
      <c r="J5339" s="7">
        <v>4.8819999999999997</v>
      </c>
      <c r="K5339" s="7">
        <v>4.234</v>
      </c>
      <c r="L5339" s="7">
        <v>3.9620000000000002</v>
      </c>
      <c r="M5339" s="7">
        <v>4.1920000000000002</v>
      </c>
      <c r="N5339" s="7">
        <v>5.1109999999999998</v>
      </c>
      <c r="O5339" s="7">
        <v>5.0789999999999997</v>
      </c>
      <c r="P5339" s="7">
        <v>5.68</v>
      </c>
      <c r="Q5339" s="7">
        <v>5.9279999999999999</v>
      </c>
      <c r="R5339" s="7">
        <v>6.2619999999999996</v>
      </c>
      <c r="S5339" s="7">
        <f t="shared" si="83"/>
        <v>5.1991666666666658</v>
      </c>
    </row>
    <row r="5340" spans="1:19">
      <c r="A5340" s="5" t="str">
        <f>B5340&amp;"-"&amp;COUNTIF($B$2:B5340,B5340)</f>
        <v>SÃO PAULO-629</v>
      </c>
      <c r="B5340" s="5" t="s">
        <v>3122</v>
      </c>
      <c r="C5340" s="5" t="s">
        <v>3506</v>
      </c>
      <c r="D5340" s="6">
        <v>-492809</v>
      </c>
      <c r="E5340" s="6">
        <v>-21784</v>
      </c>
      <c r="F5340" s="7">
        <v>5.1159999999999997</v>
      </c>
      <c r="G5340" s="7">
        <v>5.931</v>
      </c>
      <c r="H5340" s="7">
        <v>6.0339999999999998</v>
      </c>
      <c r="I5340" s="7">
        <v>5.375</v>
      </c>
      <c r="J5340" s="7">
        <v>4.7939999999999996</v>
      </c>
      <c r="K5340" s="7">
        <v>3.94</v>
      </c>
      <c r="L5340" s="7">
        <v>3.6930000000000001</v>
      </c>
      <c r="M5340" s="7">
        <v>3.9239999999999999</v>
      </c>
      <c r="N5340" s="7">
        <v>4.806</v>
      </c>
      <c r="O5340" s="7">
        <v>4.923</v>
      </c>
      <c r="P5340" s="7">
        <v>5.6619999999999999</v>
      </c>
      <c r="Q5340" s="7">
        <v>5.9889999999999999</v>
      </c>
      <c r="R5340" s="7">
        <v>6.3220000000000001</v>
      </c>
      <c r="S5340" s="7">
        <f t="shared" si="83"/>
        <v>5.1160833333333331</v>
      </c>
    </row>
    <row r="5341" spans="1:19">
      <c r="A5341" s="5" t="str">
        <f>B5341&amp;"-"&amp;COUNTIF($B$2:B5341,B5341)</f>
        <v>SÃO PAULO-630</v>
      </c>
      <c r="B5341" s="5" t="s">
        <v>3122</v>
      </c>
      <c r="C5341" s="5" t="s">
        <v>5341</v>
      </c>
      <c r="D5341" s="6">
        <v>-492935</v>
      </c>
      <c r="E5341" s="6">
        <v>-212037</v>
      </c>
      <c r="F5341" s="7">
        <v>5.1260000000000003</v>
      </c>
      <c r="G5341" s="7">
        <v>5.8390000000000004</v>
      </c>
      <c r="H5341" s="7">
        <v>5.94</v>
      </c>
      <c r="I5341" s="7">
        <v>5.2539999999999996</v>
      </c>
      <c r="J5341" s="7">
        <v>4.8259999999999996</v>
      </c>
      <c r="K5341" s="7">
        <v>4.0609999999999999</v>
      </c>
      <c r="L5341" s="7">
        <v>3.8210000000000002</v>
      </c>
      <c r="M5341" s="7">
        <v>4.0380000000000003</v>
      </c>
      <c r="N5341" s="7">
        <v>4.952</v>
      </c>
      <c r="O5341" s="7">
        <v>5.0579999999999998</v>
      </c>
      <c r="P5341" s="7">
        <v>5.625</v>
      </c>
      <c r="Q5341" s="7">
        <v>5.9269999999999996</v>
      </c>
      <c r="R5341" s="7">
        <v>6.1740000000000004</v>
      </c>
      <c r="S5341" s="7">
        <f t="shared" si="83"/>
        <v>5.1262499999999998</v>
      </c>
    </row>
    <row r="5342" spans="1:19">
      <c r="A5342" s="5" t="str">
        <f>B5342&amp;"-"&amp;COUNTIF($B$2:B5342,B5342)</f>
        <v>SÃO PAULO-631</v>
      </c>
      <c r="B5342" s="5" t="s">
        <v>3122</v>
      </c>
      <c r="C5342" s="5" t="s">
        <v>5795</v>
      </c>
      <c r="D5342" s="6">
        <v>-468238</v>
      </c>
      <c r="E5342" s="6">
        <v>-232141</v>
      </c>
      <c r="F5342" s="7">
        <v>4.7850000000000001</v>
      </c>
      <c r="G5342" s="7">
        <v>5.4809999999999999</v>
      </c>
      <c r="H5342" s="7">
        <v>5.7130000000000001</v>
      </c>
      <c r="I5342" s="7">
        <v>5.0229999999999997</v>
      </c>
      <c r="J5342" s="7">
        <v>4.4569999999999999</v>
      </c>
      <c r="K5342" s="7">
        <v>3.6720000000000002</v>
      </c>
      <c r="L5342" s="7">
        <v>3.4209999999999998</v>
      </c>
      <c r="M5342" s="7">
        <v>3.5529999999999999</v>
      </c>
      <c r="N5342" s="7">
        <v>4.5259999999999998</v>
      </c>
      <c r="O5342" s="7">
        <v>4.6749999999999998</v>
      </c>
      <c r="P5342" s="7">
        <v>5.2919999999999998</v>
      </c>
      <c r="Q5342" s="7">
        <v>5.5990000000000002</v>
      </c>
      <c r="R5342" s="7">
        <v>6.01</v>
      </c>
      <c r="S5342" s="7">
        <f t="shared" si="83"/>
        <v>4.785166666666667</v>
      </c>
    </row>
    <row r="5343" spans="1:19">
      <c r="A5343" s="5" t="str">
        <f>B5343&amp;"-"&amp;COUNTIF($B$2:B5343,B5343)</f>
        <v>SÃO PAULO-632</v>
      </c>
      <c r="B5343" s="5" t="s">
        <v>3122</v>
      </c>
      <c r="C5343" s="5" t="s">
        <v>3507</v>
      </c>
      <c r="D5343" s="6">
        <v>-500893</v>
      </c>
      <c r="E5343" s="6">
        <v>-204221</v>
      </c>
      <c r="F5343" s="7">
        <v>5.17</v>
      </c>
      <c r="G5343" s="7">
        <v>5.8559999999999999</v>
      </c>
      <c r="H5343" s="7">
        <v>5.9119999999999999</v>
      </c>
      <c r="I5343" s="7">
        <v>5.2729999999999997</v>
      </c>
      <c r="J5343" s="7">
        <v>4.9089999999999998</v>
      </c>
      <c r="K5343" s="7">
        <v>4.1779999999999999</v>
      </c>
      <c r="L5343" s="7">
        <v>3.903</v>
      </c>
      <c r="M5343" s="7">
        <v>4.1849999999999996</v>
      </c>
      <c r="N5343" s="7">
        <v>5.0419999999999998</v>
      </c>
      <c r="O5343" s="7">
        <v>5.0789999999999997</v>
      </c>
      <c r="P5343" s="7">
        <v>5.601</v>
      </c>
      <c r="Q5343" s="7">
        <v>5.92</v>
      </c>
      <c r="R5343" s="7">
        <v>6.1870000000000003</v>
      </c>
      <c r="S5343" s="7">
        <f t="shared" si="83"/>
        <v>5.1704166666666671</v>
      </c>
    </row>
    <row r="5344" spans="1:19">
      <c r="A5344" s="5" t="str">
        <f>B5344&amp;"-"&amp;COUNTIF($B$2:B5344,B5344)</f>
        <v>SÃO PAULO-633</v>
      </c>
      <c r="B5344" s="5" t="s">
        <v>3122</v>
      </c>
      <c r="C5344" s="5" t="s">
        <v>3508</v>
      </c>
      <c r="D5344" s="6">
        <v>-469978</v>
      </c>
      <c r="E5344" s="6">
        <v>-229703</v>
      </c>
      <c r="F5344" s="7">
        <v>4.8810000000000002</v>
      </c>
      <c r="G5344" s="7">
        <v>5.5190000000000001</v>
      </c>
      <c r="H5344" s="7">
        <v>5.7489999999999997</v>
      </c>
      <c r="I5344" s="7">
        <v>5.0709999999999997</v>
      </c>
      <c r="J5344" s="7">
        <v>4.5919999999999996</v>
      </c>
      <c r="K5344" s="7">
        <v>3.762</v>
      </c>
      <c r="L5344" s="7">
        <v>3.528</v>
      </c>
      <c r="M5344" s="7">
        <v>3.6840000000000002</v>
      </c>
      <c r="N5344" s="7">
        <v>4.6150000000000002</v>
      </c>
      <c r="O5344" s="7">
        <v>4.8040000000000003</v>
      </c>
      <c r="P5344" s="7">
        <v>5.4470000000000001</v>
      </c>
      <c r="Q5344" s="7">
        <v>5.7089999999999996</v>
      </c>
      <c r="R5344" s="7">
        <v>6.0910000000000002</v>
      </c>
      <c r="S5344" s="7">
        <f t="shared" si="83"/>
        <v>4.8809166666666668</v>
      </c>
    </row>
    <row r="5345" spans="1:19">
      <c r="A5345" s="5" t="str">
        <f>B5345&amp;"-"&amp;COUNTIF($B$2:B5345,B5345)</f>
        <v>SÃO PAULO-634</v>
      </c>
      <c r="B5345" s="5" t="s">
        <v>3122</v>
      </c>
      <c r="C5345" s="5" t="s">
        <v>3509</v>
      </c>
      <c r="D5345" s="6">
        <v>-508703</v>
      </c>
      <c r="E5345" s="6">
        <v>-212234</v>
      </c>
      <c r="F5345" s="7">
        <v>5.141</v>
      </c>
      <c r="G5345" s="7">
        <v>5.9349999999999996</v>
      </c>
      <c r="H5345" s="7">
        <v>5.9569999999999999</v>
      </c>
      <c r="I5345" s="7">
        <v>5.4219999999999997</v>
      </c>
      <c r="J5345" s="7">
        <v>4.867</v>
      </c>
      <c r="K5345" s="7">
        <v>4.032</v>
      </c>
      <c r="L5345" s="7">
        <v>3.7570000000000001</v>
      </c>
      <c r="M5345" s="7">
        <v>3.9620000000000002</v>
      </c>
      <c r="N5345" s="7">
        <v>4.8869999999999996</v>
      </c>
      <c r="O5345" s="7">
        <v>4.95</v>
      </c>
      <c r="P5345" s="7">
        <v>5.5860000000000003</v>
      </c>
      <c r="Q5345" s="7">
        <v>6.0330000000000004</v>
      </c>
      <c r="R5345" s="7">
        <v>6.3090000000000002</v>
      </c>
      <c r="S5345" s="7">
        <f t="shared" si="83"/>
        <v>5.1414166666666672</v>
      </c>
    </row>
    <row r="5346" spans="1:19">
      <c r="A5346" s="5" t="str">
        <f>B5346&amp;"-"&amp;COUNTIF($B$2:B5346,B5346)</f>
        <v>SÃO PAULO-635</v>
      </c>
      <c r="B5346" s="5" t="s">
        <v>3122</v>
      </c>
      <c r="C5346" s="5" t="s">
        <v>3115</v>
      </c>
      <c r="D5346" s="6">
        <v>-464128</v>
      </c>
      <c r="E5346" s="6">
        <v>-228875</v>
      </c>
      <c r="F5346" s="7">
        <v>4.8220000000000001</v>
      </c>
      <c r="G5346" s="7">
        <v>5.3579999999999997</v>
      </c>
      <c r="H5346" s="7">
        <v>5.6669999999999998</v>
      </c>
      <c r="I5346" s="7">
        <v>4.9480000000000004</v>
      </c>
      <c r="J5346" s="7">
        <v>4.6059999999999999</v>
      </c>
      <c r="K5346" s="7">
        <v>3.7639999999999998</v>
      </c>
      <c r="L5346" s="7">
        <v>3.5070000000000001</v>
      </c>
      <c r="M5346" s="7">
        <v>3.6659999999999999</v>
      </c>
      <c r="N5346" s="7">
        <v>4.6390000000000002</v>
      </c>
      <c r="O5346" s="7">
        <v>4.7889999999999997</v>
      </c>
      <c r="P5346" s="7">
        <v>5.3540000000000001</v>
      </c>
      <c r="Q5346" s="7">
        <v>5.5890000000000004</v>
      </c>
      <c r="R5346" s="7">
        <v>5.9740000000000002</v>
      </c>
      <c r="S5346" s="7">
        <f t="shared" si="83"/>
        <v>4.8217500000000006</v>
      </c>
    </row>
    <row r="5347" spans="1:19">
      <c r="A5347" s="5" t="str">
        <f>B5347&amp;"-"&amp;COUNTIF($B$2:B5347,B5347)</f>
        <v>SÃO PAULO-636</v>
      </c>
      <c r="B5347" s="5" t="s">
        <v>3122</v>
      </c>
      <c r="C5347" s="5" t="s">
        <v>3510</v>
      </c>
      <c r="D5347" s="6">
        <v>-468917</v>
      </c>
      <c r="E5347" s="6">
        <v>-218327</v>
      </c>
      <c r="F5347" s="7">
        <v>5.0060000000000002</v>
      </c>
      <c r="G5347" s="7">
        <v>5.601</v>
      </c>
      <c r="H5347" s="7">
        <v>5.7939999999999996</v>
      </c>
      <c r="I5347" s="7">
        <v>5.0609999999999999</v>
      </c>
      <c r="J5347" s="7">
        <v>4.7880000000000003</v>
      </c>
      <c r="K5347" s="7">
        <v>4.0110000000000001</v>
      </c>
      <c r="L5347" s="7">
        <v>3.778</v>
      </c>
      <c r="M5347" s="7">
        <v>3.9740000000000002</v>
      </c>
      <c r="N5347" s="7">
        <v>4.8719999999999999</v>
      </c>
      <c r="O5347" s="7">
        <v>5.0289999999999999</v>
      </c>
      <c r="P5347" s="7">
        <v>5.5289999999999999</v>
      </c>
      <c r="Q5347" s="7">
        <v>5.7089999999999996</v>
      </c>
      <c r="R5347" s="7">
        <v>5.9240000000000004</v>
      </c>
      <c r="S5347" s="7">
        <f t="shared" si="83"/>
        <v>5.0058333333333334</v>
      </c>
    </row>
    <row r="5348" spans="1:19">
      <c r="A5348" s="5" t="str">
        <f>B5348&amp;"-"&amp;COUNTIF($B$2:B5348,B5348)</f>
        <v>SÃO PAULO-637</v>
      </c>
      <c r="B5348" s="5" t="s">
        <v>3122</v>
      </c>
      <c r="C5348" s="5" t="s">
        <v>3511</v>
      </c>
      <c r="D5348" s="6">
        <v>-470224</v>
      </c>
      <c r="E5348" s="6">
        <v>-235998</v>
      </c>
      <c r="F5348" s="7">
        <v>4.548</v>
      </c>
      <c r="G5348" s="7">
        <v>5.2859999999999996</v>
      </c>
      <c r="H5348" s="7">
        <v>5.5519999999999996</v>
      </c>
      <c r="I5348" s="7">
        <v>4.8410000000000002</v>
      </c>
      <c r="J5348" s="7">
        <v>4.2720000000000002</v>
      </c>
      <c r="K5348" s="7">
        <v>3.47</v>
      </c>
      <c r="L5348" s="7">
        <v>3.254</v>
      </c>
      <c r="M5348" s="7">
        <v>3.3250000000000002</v>
      </c>
      <c r="N5348" s="7">
        <v>4.3140000000000001</v>
      </c>
      <c r="O5348" s="7">
        <v>4.3579999999999997</v>
      </c>
      <c r="P5348" s="7">
        <v>4.8220000000000001</v>
      </c>
      <c r="Q5348" s="7">
        <v>5.2910000000000004</v>
      </c>
      <c r="R5348" s="7">
        <v>5.7869999999999999</v>
      </c>
      <c r="S5348" s="7">
        <f t="shared" si="83"/>
        <v>4.5476666666666663</v>
      </c>
    </row>
    <row r="5349" spans="1:19">
      <c r="A5349" s="5" t="str">
        <f>B5349&amp;"-"&amp;COUNTIF($B$2:B5349,B5349)</f>
        <v>SÃO PAULO-638</v>
      </c>
      <c r="B5349" s="5" t="s">
        <v>3122</v>
      </c>
      <c r="C5349" s="5" t="s">
        <v>553</v>
      </c>
      <c r="D5349" s="6">
        <v>-498212</v>
      </c>
      <c r="E5349" s="6">
        <v>-222188</v>
      </c>
      <c r="F5349" s="7">
        <v>5.0209999999999999</v>
      </c>
      <c r="G5349" s="7">
        <v>5.694</v>
      </c>
      <c r="H5349" s="7">
        <v>5.8869999999999996</v>
      </c>
      <c r="I5349" s="7">
        <v>5.3010000000000002</v>
      </c>
      <c r="J5349" s="7">
        <v>4.7629999999999999</v>
      </c>
      <c r="K5349" s="7">
        <v>3.8490000000000002</v>
      </c>
      <c r="L5349" s="7">
        <v>3.5939999999999999</v>
      </c>
      <c r="M5349" s="7">
        <v>3.8460000000000001</v>
      </c>
      <c r="N5349" s="7">
        <v>4.7770000000000001</v>
      </c>
      <c r="O5349" s="7">
        <v>4.8559999999999999</v>
      </c>
      <c r="P5349" s="7">
        <v>5.556</v>
      </c>
      <c r="Q5349" s="7">
        <v>5.9480000000000004</v>
      </c>
      <c r="R5349" s="7">
        <v>6.1829999999999998</v>
      </c>
      <c r="S5349" s="7">
        <f t="shared" si="83"/>
        <v>5.0211666666666668</v>
      </c>
    </row>
    <row r="5350" spans="1:19">
      <c r="A5350" s="5" t="str">
        <f>B5350&amp;"-"&amp;COUNTIF($B$2:B5350,B5350)</f>
        <v>SÃO PAULO-639</v>
      </c>
      <c r="B5350" s="5" t="s">
        <v>3122</v>
      </c>
      <c r="C5350" s="5" t="s">
        <v>3512</v>
      </c>
      <c r="D5350" s="6">
        <v>-469837</v>
      </c>
      <c r="E5350" s="6">
        <v>-230307</v>
      </c>
      <c r="F5350" s="7">
        <v>4.8810000000000002</v>
      </c>
      <c r="G5350" s="7">
        <v>5.5190000000000001</v>
      </c>
      <c r="H5350" s="7">
        <v>5.7489999999999997</v>
      </c>
      <c r="I5350" s="7">
        <v>5.0709999999999997</v>
      </c>
      <c r="J5350" s="7">
        <v>4.5919999999999996</v>
      </c>
      <c r="K5350" s="7">
        <v>3.762</v>
      </c>
      <c r="L5350" s="7">
        <v>3.528</v>
      </c>
      <c r="M5350" s="7">
        <v>3.6840000000000002</v>
      </c>
      <c r="N5350" s="7">
        <v>4.6150000000000002</v>
      </c>
      <c r="O5350" s="7">
        <v>4.8040000000000003</v>
      </c>
      <c r="P5350" s="7">
        <v>5.4470000000000001</v>
      </c>
      <c r="Q5350" s="7">
        <v>5.7089999999999996</v>
      </c>
      <c r="R5350" s="7">
        <v>6.0910000000000002</v>
      </c>
      <c r="S5350" s="7">
        <f t="shared" si="83"/>
        <v>4.8809166666666668</v>
      </c>
    </row>
    <row r="5351" spans="1:19">
      <c r="A5351" s="5" t="str">
        <f>B5351&amp;"-"&amp;COUNTIF($B$2:B5351,B5351)</f>
        <v>SÃO PAULO-640</v>
      </c>
      <c r="B5351" s="5" t="s">
        <v>3122</v>
      </c>
      <c r="C5351" s="5" t="s">
        <v>3513</v>
      </c>
      <c r="D5351" s="6">
        <v>-482934</v>
      </c>
      <c r="E5351" s="6">
        <v>-208738</v>
      </c>
      <c r="F5351" s="7">
        <v>5.1630000000000003</v>
      </c>
      <c r="G5351" s="7">
        <v>5.827</v>
      </c>
      <c r="H5351" s="7">
        <v>6.0780000000000003</v>
      </c>
      <c r="I5351" s="7">
        <v>5.2290000000000001</v>
      </c>
      <c r="J5351" s="7">
        <v>4.8410000000000002</v>
      </c>
      <c r="K5351" s="7">
        <v>4.1879999999999997</v>
      </c>
      <c r="L5351" s="7">
        <v>3.9449999999999998</v>
      </c>
      <c r="M5351" s="7">
        <v>4.1769999999999996</v>
      </c>
      <c r="N5351" s="7">
        <v>5.0229999999999997</v>
      </c>
      <c r="O5351" s="7">
        <v>5.024</v>
      </c>
      <c r="P5351" s="7">
        <v>5.5810000000000004</v>
      </c>
      <c r="Q5351" s="7">
        <v>5.8579999999999997</v>
      </c>
      <c r="R5351" s="7">
        <v>6.1829999999999998</v>
      </c>
      <c r="S5351" s="7">
        <f t="shared" si="83"/>
        <v>5.1628333333333325</v>
      </c>
    </row>
    <row r="5352" spans="1:19">
      <c r="A5352" s="5" t="str">
        <f>B5352&amp;"-"&amp;COUNTIF($B$2:B5352,B5352)</f>
        <v>SÃO PAULO-641</v>
      </c>
      <c r="B5352" s="5" t="s">
        <v>3122</v>
      </c>
      <c r="C5352" s="5" t="s">
        <v>3514</v>
      </c>
      <c r="D5352" s="6">
        <v>-48629</v>
      </c>
      <c r="E5352" s="6">
        <v>-21171</v>
      </c>
      <c r="F5352" s="7">
        <v>5.1310000000000002</v>
      </c>
      <c r="G5352" s="7">
        <v>5.7889999999999997</v>
      </c>
      <c r="H5352" s="7">
        <v>5.9619999999999997</v>
      </c>
      <c r="I5352" s="7">
        <v>5.2089999999999996</v>
      </c>
      <c r="J5352" s="7">
        <v>4.806</v>
      </c>
      <c r="K5352" s="7">
        <v>4.1210000000000004</v>
      </c>
      <c r="L5352" s="7">
        <v>3.8839999999999999</v>
      </c>
      <c r="M5352" s="7">
        <v>4.0990000000000002</v>
      </c>
      <c r="N5352" s="7">
        <v>4.9610000000000003</v>
      </c>
      <c r="O5352" s="7">
        <v>5.0819999999999999</v>
      </c>
      <c r="P5352" s="7">
        <v>5.6150000000000002</v>
      </c>
      <c r="Q5352" s="7">
        <v>5.9029999999999996</v>
      </c>
      <c r="R5352" s="7">
        <v>6.1390000000000002</v>
      </c>
      <c r="S5352" s="7">
        <f t="shared" si="83"/>
        <v>5.1308333333333342</v>
      </c>
    </row>
    <row r="5353" spans="1:19">
      <c r="A5353" s="5" t="str">
        <f>B5353&amp;"-"&amp;COUNTIF($B$2:B5353,B5353)</f>
        <v>SÃO PAULO-642</v>
      </c>
      <c r="B5353" s="5" t="s">
        <v>3122</v>
      </c>
      <c r="C5353" s="5" t="s">
        <v>5260</v>
      </c>
      <c r="D5353" s="6">
        <v>-504839</v>
      </c>
      <c r="E5353" s="6">
        <v>-20197</v>
      </c>
      <c r="F5353" s="7">
        <v>5.1859999999999999</v>
      </c>
      <c r="G5353" s="7">
        <v>5.798</v>
      </c>
      <c r="H5353" s="7">
        <v>5.8890000000000002</v>
      </c>
      <c r="I5353" s="7">
        <v>5.3230000000000004</v>
      </c>
      <c r="J5353" s="7">
        <v>4.9020000000000001</v>
      </c>
      <c r="K5353" s="7">
        <v>4.2249999999999996</v>
      </c>
      <c r="L5353" s="7">
        <v>3.9420000000000002</v>
      </c>
      <c r="M5353" s="7">
        <v>4.1820000000000004</v>
      </c>
      <c r="N5353" s="7">
        <v>5.1150000000000002</v>
      </c>
      <c r="O5353" s="7">
        <v>5.0999999999999996</v>
      </c>
      <c r="P5353" s="7">
        <v>5.6420000000000003</v>
      </c>
      <c r="Q5353" s="7">
        <v>5.9029999999999996</v>
      </c>
      <c r="R5353" s="7">
        <v>6.2039999999999997</v>
      </c>
      <c r="S5353" s="7">
        <f t="shared" si="83"/>
        <v>5.1854166666666677</v>
      </c>
    </row>
    <row r="5354" spans="1:19">
      <c r="A5354" s="5" t="str">
        <f>B5354&amp;"-"&amp;COUNTIF($B$2:B5354,B5354)</f>
        <v>SÃO PAULO-643</v>
      </c>
      <c r="B5354" s="5" t="s">
        <v>3122</v>
      </c>
      <c r="C5354" s="5" t="s">
        <v>3515</v>
      </c>
      <c r="D5354" s="6">
        <v>-474392</v>
      </c>
      <c r="E5354" s="6">
        <v>-235451</v>
      </c>
      <c r="F5354" s="7">
        <v>4.758</v>
      </c>
      <c r="G5354" s="7">
        <v>5.532</v>
      </c>
      <c r="H5354" s="7">
        <v>5.7309999999999999</v>
      </c>
      <c r="I5354" s="7">
        <v>4.9690000000000003</v>
      </c>
      <c r="J5354" s="7">
        <v>4.4290000000000003</v>
      </c>
      <c r="K5354" s="7">
        <v>3.6160000000000001</v>
      </c>
      <c r="L5354" s="7">
        <v>3.3620000000000001</v>
      </c>
      <c r="M5354" s="7">
        <v>3.4630000000000001</v>
      </c>
      <c r="N5354" s="7">
        <v>4.4420000000000002</v>
      </c>
      <c r="O5354" s="7">
        <v>4.6280000000000001</v>
      </c>
      <c r="P5354" s="7">
        <v>5.2130000000000001</v>
      </c>
      <c r="Q5354" s="7">
        <v>5.61</v>
      </c>
      <c r="R5354" s="7">
        <v>6.1079999999999997</v>
      </c>
      <c r="S5354" s="7">
        <f t="shared" si="83"/>
        <v>4.7585833333333332</v>
      </c>
    </row>
    <row r="5355" spans="1:19">
      <c r="A5355" s="5" t="str">
        <f>B5355&amp;"-"&amp;COUNTIF($B$2:B5355,B5355)</f>
        <v>SÃO PAULO-644</v>
      </c>
      <c r="B5355" s="5" t="s">
        <v>3122</v>
      </c>
      <c r="C5355" s="5" t="s">
        <v>3516</v>
      </c>
      <c r="D5355" s="6">
        <v>-499785</v>
      </c>
      <c r="E5355" s="6">
        <v>-204241</v>
      </c>
      <c r="F5355" s="7">
        <v>5.1820000000000004</v>
      </c>
      <c r="G5355" s="7">
        <v>5.8719999999999999</v>
      </c>
      <c r="H5355" s="7">
        <v>5.9109999999999996</v>
      </c>
      <c r="I5355" s="7">
        <v>5.29</v>
      </c>
      <c r="J5355" s="7">
        <v>4.9160000000000004</v>
      </c>
      <c r="K5355" s="7">
        <v>4.1909999999999998</v>
      </c>
      <c r="L5355" s="7">
        <v>3.9369999999999998</v>
      </c>
      <c r="M5355" s="7">
        <v>4.1950000000000003</v>
      </c>
      <c r="N5355" s="7">
        <v>5.0469999999999997</v>
      </c>
      <c r="O5355" s="7">
        <v>5.0970000000000004</v>
      </c>
      <c r="P5355" s="7">
        <v>5.6070000000000002</v>
      </c>
      <c r="Q5355" s="7">
        <v>5.9580000000000002</v>
      </c>
      <c r="R5355" s="7">
        <v>6.1680000000000001</v>
      </c>
      <c r="S5355" s="7">
        <f t="shared" si="83"/>
        <v>5.1824166666666658</v>
      </c>
    </row>
    <row r="5356" spans="1:19">
      <c r="A5356" s="5" t="str">
        <f>B5356&amp;"-"&amp;COUNTIF($B$2:B5356,B5356)</f>
        <v>SÃO PAULO-645</v>
      </c>
      <c r="B5356" s="5" t="s">
        <v>3122</v>
      </c>
      <c r="C5356" s="5" t="s">
        <v>3517</v>
      </c>
      <c r="D5356" s="6">
        <v>-500509</v>
      </c>
      <c r="E5356" s="6">
        <v>-21052</v>
      </c>
      <c r="F5356" s="7">
        <v>5.1289999999999996</v>
      </c>
      <c r="G5356" s="7">
        <v>5.8949999999999996</v>
      </c>
      <c r="H5356" s="7">
        <v>5.9359999999999999</v>
      </c>
      <c r="I5356" s="7">
        <v>5.3479999999999999</v>
      </c>
      <c r="J5356" s="7">
        <v>4.8819999999999997</v>
      </c>
      <c r="K5356" s="7">
        <v>4.0460000000000003</v>
      </c>
      <c r="L5356" s="7">
        <v>3.7229999999999999</v>
      </c>
      <c r="M5356" s="7">
        <v>3.992</v>
      </c>
      <c r="N5356" s="7">
        <v>4.8620000000000001</v>
      </c>
      <c r="O5356" s="7">
        <v>4.9550000000000001</v>
      </c>
      <c r="P5356" s="7">
        <v>5.601</v>
      </c>
      <c r="Q5356" s="7">
        <v>6.03</v>
      </c>
      <c r="R5356" s="7">
        <v>6.2750000000000004</v>
      </c>
      <c r="S5356" s="7">
        <f t="shared" si="83"/>
        <v>5.1287499999999993</v>
      </c>
    </row>
    <row r="5357" spans="1:19">
      <c r="A5357" s="5" t="str">
        <f>B5357&amp;"-"&amp;COUNTIF($B$2:B5357,B5357)</f>
        <v>SERGIPE-1</v>
      </c>
      <c r="B5357" s="5" t="s">
        <v>3518</v>
      </c>
      <c r="C5357" s="5" t="s">
        <v>4253</v>
      </c>
      <c r="D5357" s="6">
        <v>-369284</v>
      </c>
      <c r="E5357" s="6">
        <v>-101349</v>
      </c>
      <c r="F5357" s="7">
        <v>5.399</v>
      </c>
      <c r="G5357" s="7">
        <v>6.2210000000000001</v>
      </c>
      <c r="H5357" s="7">
        <v>6.0069999999999997</v>
      </c>
      <c r="I5357" s="7">
        <v>5.9320000000000004</v>
      </c>
      <c r="J5357" s="7">
        <v>5.2050000000000001</v>
      </c>
      <c r="K5357" s="7">
        <v>4.3630000000000004</v>
      </c>
      <c r="L5357" s="7">
        <v>4.1230000000000002</v>
      </c>
      <c r="M5357" s="7">
        <v>4.1849999999999996</v>
      </c>
      <c r="N5357" s="7">
        <v>4.7729999999999997</v>
      </c>
      <c r="O5357" s="7">
        <v>5.5519999999999996</v>
      </c>
      <c r="P5357" s="7">
        <v>5.8520000000000003</v>
      </c>
      <c r="Q5357" s="7">
        <v>6.2910000000000004</v>
      </c>
      <c r="R5357" s="7">
        <v>6.2839999999999998</v>
      </c>
      <c r="S5357" s="7">
        <f t="shared" si="83"/>
        <v>5.399</v>
      </c>
    </row>
    <row r="5358" spans="1:19">
      <c r="A5358" s="5" t="str">
        <f>B5358&amp;"-"&amp;COUNTIF($B$2:B5358,B5358)</f>
        <v>SERGIPE-2</v>
      </c>
      <c r="B5358" s="5" t="s">
        <v>3518</v>
      </c>
      <c r="C5358" s="5" t="s">
        <v>5422</v>
      </c>
      <c r="D5358" s="6">
        <v>-370151</v>
      </c>
      <c r="E5358" s="6">
        <v>-102785</v>
      </c>
      <c r="F5358" s="7">
        <v>5.2450000000000001</v>
      </c>
      <c r="G5358" s="7">
        <v>5.9530000000000003</v>
      </c>
      <c r="H5358" s="7">
        <v>5.8049999999999997</v>
      </c>
      <c r="I5358" s="7">
        <v>5.7469999999999999</v>
      </c>
      <c r="J5358" s="7">
        <v>5.0640000000000001</v>
      </c>
      <c r="K5358" s="7">
        <v>4.202</v>
      </c>
      <c r="L5358" s="7">
        <v>3.9830000000000001</v>
      </c>
      <c r="M5358" s="7">
        <v>4.0609999999999999</v>
      </c>
      <c r="N5358" s="7">
        <v>4.6269999999999998</v>
      </c>
      <c r="O5358" s="7">
        <v>5.3739999999999997</v>
      </c>
      <c r="P5358" s="7">
        <v>5.7169999999999996</v>
      </c>
      <c r="Q5358" s="7">
        <v>6.25</v>
      </c>
      <c r="R5358" s="7">
        <v>6.1619999999999999</v>
      </c>
      <c r="S5358" s="7">
        <f t="shared" si="83"/>
        <v>5.2454166666666664</v>
      </c>
    </row>
    <row r="5359" spans="1:19">
      <c r="A5359" s="5" t="str">
        <f>B5359&amp;"-"&amp;COUNTIF($B$2:B5359,B5359)</f>
        <v>SERGIPE-3</v>
      </c>
      <c r="B5359" s="5" t="s">
        <v>3518</v>
      </c>
      <c r="C5359" s="5" t="s">
        <v>3519</v>
      </c>
      <c r="D5359" s="6">
        <v>-370683</v>
      </c>
      <c r="E5359" s="5" t="s">
        <v>3520</v>
      </c>
      <c r="F5359" s="7">
        <v>5.4960000000000004</v>
      </c>
      <c r="G5359" s="7">
        <v>6.2770000000000001</v>
      </c>
      <c r="H5359" s="7">
        <v>6.3840000000000003</v>
      </c>
      <c r="I5359" s="7">
        <v>6.0789999999999997</v>
      </c>
      <c r="J5359" s="7">
        <v>5.09</v>
      </c>
      <c r="K5359" s="7">
        <v>4.4290000000000003</v>
      </c>
      <c r="L5359" s="7">
        <v>4.0679999999999996</v>
      </c>
      <c r="M5359" s="7">
        <v>4.1920000000000002</v>
      </c>
      <c r="N5359" s="7">
        <v>4.8259999999999996</v>
      </c>
      <c r="O5359" s="7">
        <v>5.5919999999999996</v>
      </c>
      <c r="P5359" s="7">
        <v>6.0730000000000004</v>
      </c>
      <c r="Q5359" s="7">
        <v>6.3559999999999999</v>
      </c>
      <c r="R5359" s="7">
        <v>6.5839999999999996</v>
      </c>
      <c r="S5359" s="7">
        <f t="shared" si="83"/>
        <v>5.4958333333333336</v>
      </c>
    </row>
    <row r="5360" spans="1:19">
      <c r="A5360" s="5" t="str">
        <f>B5360&amp;"-"&amp;COUNTIF($B$2:B5360,B5360)</f>
        <v>SERGIPE-4</v>
      </c>
      <c r="B5360" s="5" t="s">
        <v>3518</v>
      </c>
      <c r="C5360" s="5" t="s">
        <v>5796</v>
      </c>
      <c r="D5360" s="6">
        <v>-376179</v>
      </c>
      <c r="E5360" s="6">
        <v>-112652</v>
      </c>
      <c r="F5360" s="7">
        <v>5.2750000000000004</v>
      </c>
      <c r="G5360" s="7">
        <v>6.226</v>
      </c>
      <c r="H5360" s="7">
        <v>6.0709999999999997</v>
      </c>
      <c r="I5360" s="7">
        <v>5.9249999999999998</v>
      </c>
      <c r="J5360" s="7">
        <v>4.9059999999999997</v>
      </c>
      <c r="K5360" s="7">
        <v>4.2210000000000001</v>
      </c>
      <c r="L5360" s="7">
        <v>3.9670000000000001</v>
      </c>
      <c r="M5360" s="7">
        <v>4.0609999999999999</v>
      </c>
      <c r="N5360" s="7">
        <v>4.5430000000000001</v>
      </c>
      <c r="O5360" s="7">
        <v>5.3029999999999999</v>
      </c>
      <c r="P5360" s="7">
        <v>5.6609999999999996</v>
      </c>
      <c r="Q5360" s="7">
        <v>6.1219999999999999</v>
      </c>
      <c r="R5360" s="7">
        <v>6.2949999999999999</v>
      </c>
      <c r="S5360" s="7">
        <f t="shared" si="83"/>
        <v>5.2750833333333329</v>
      </c>
    </row>
    <row r="5361" spans="1:19">
      <c r="A5361" s="5" t="str">
        <f>B5361&amp;"-"&amp;COUNTIF($B$2:B5361,B5361)</f>
        <v>SERGIPE-5</v>
      </c>
      <c r="B5361" s="5" t="s">
        <v>3518</v>
      </c>
      <c r="C5361" s="5" t="s">
        <v>2458</v>
      </c>
      <c r="D5361" s="6">
        <v>-373114</v>
      </c>
      <c r="E5361" s="6">
        <v>-107602</v>
      </c>
      <c r="F5361" s="7">
        <v>5.1539999999999999</v>
      </c>
      <c r="G5361" s="7">
        <v>5.9960000000000004</v>
      </c>
      <c r="H5361" s="7">
        <v>5.891</v>
      </c>
      <c r="I5361" s="7">
        <v>5.7889999999999997</v>
      </c>
      <c r="J5361" s="7">
        <v>4.9340000000000002</v>
      </c>
      <c r="K5361" s="7">
        <v>4.1289999999999996</v>
      </c>
      <c r="L5361" s="7">
        <v>3.7970000000000002</v>
      </c>
      <c r="M5361" s="7">
        <v>3.92</v>
      </c>
      <c r="N5361" s="7">
        <v>4.4260000000000002</v>
      </c>
      <c r="O5361" s="7">
        <v>5.1840000000000002</v>
      </c>
      <c r="P5361" s="7">
        <v>5.5750000000000002</v>
      </c>
      <c r="Q5361" s="7">
        <v>6.0709999999999997</v>
      </c>
      <c r="R5361" s="7">
        <v>6.1360000000000001</v>
      </c>
      <c r="S5361" s="7">
        <f t="shared" si="83"/>
        <v>5.1540000000000008</v>
      </c>
    </row>
    <row r="5362" spans="1:19">
      <c r="A5362" s="5" t="str">
        <f>B5362&amp;"-"&amp;COUNTIF($B$2:B5362,B5362)</f>
        <v>SERGIPE-6</v>
      </c>
      <c r="B5362" s="5" t="s">
        <v>3518</v>
      </c>
      <c r="C5362" s="5" t="s">
        <v>3521</v>
      </c>
      <c r="D5362" s="6">
        <v>-370326</v>
      </c>
      <c r="E5362" s="6">
        <v>-109001</v>
      </c>
      <c r="F5362" s="7">
        <v>5.4960000000000004</v>
      </c>
      <c r="G5362" s="7">
        <v>6.2770000000000001</v>
      </c>
      <c r="H5362" s="7">
        <v>6.3840000000000003</v>
      </c>
      <c r="I5362" s="7">
        <v>6.0789999999999997</v>
      </c>
      <c r="J5362" s="7">
        <v>5.09</v>
      </c>
      <c r="K5362" s="7">
        <v>4.4290000000000003</v>
      </c>
      <c r="L5362" s="7">
        <v>4.0679999999999996</v>
      </c>
      <c r="M5362" s="7">
        <v>4.1920000000000002</v>
      </c>
      <c r="N5362" s="7">
        <v>4.8259999999999996</v>
      </c>
      <c r="O5362" s="7">
        <v>5.5919999999999996</v>
      </c>
      <c r="P5362" s="7">
        <v>6.0730000000000004</v>
      </c>
      <c r="Q5362" s="7">
        <v>6.3559999999999999</v>
      </c>
      <c r="R5362" s="7">
        <v>6.5839999999999996</v>
      </c>
      <c r="S5362" s="7">
        <f t="shared" si="83"/>
        <v>5.4958333333333336</v>
      </c>
    </row>
    <row r="5363" spans="1:19">
      <c r="A5363" s="5" t="str">
        <f>B5363&amp;"-"&amp;COUNTIF($B$2:B5363,B5363)</f>
        <v>SERGIPE-7</v>
      </c>
      <c r="B5363" s="5" t="s">
        <v>3518</v>
      </c>
      <c r="C5363" s="5" t="s">
        <v>3522</v>
      </c>
      <c r="D5363" s="6">
        <v>-376206</v>
      </c>
      <c r="E5363" s="6">
        <v>-111463</v>
      </c>
      <c r="F5363" s="7">
        <v>5.2359999999999998</v>
      </c>
      <c r="G5363" s="7">
        <v>6.101</v>
      </c>
      <c r="H5363" s="7">
        <v>6.0039999999999996</v>
      </c>
      <c r="I5363" s="7">
        <v>5.8540000000000001</v>
      </c>
      <c r="J5363" s="7">
        <v>4.9539999999999997</v>
      </c>
      <c r="K5363" s="7">
        <v>4.1980000000000004</v>
      </c>
      <c r="L5363" s="7">
        <v>3.96</v>
      </c>
      <c r="M5363" s="7">
        <v>4.0590000000000002</v>
      </c>
      <c r="N5363" s="7">
        <v>4.5679999999999996</v>
      </c>
      <c r="O5363" s="7">
        <v>5.3150000000000004</v>
      </c>
      <c r="P5363" s="7">
        <v>5.6379999999999999</v>
      </c>
      <c r="Q5363" s="7">
        <v>6.0369999999999999</v>
      </c>
      <c r="R5363" s="7">
        <v>6.141</v>
      </c>
      <c r="S5363" s="7">
        <f t="shared" si="83"/>
        <v>5.2357499999999995</v>
      </c>
    </row>
    <row r="5364" spans="1:19">
      <c r="A5364" s="5" t="str">
        <f>B5364&amp;"-"&amp;COUNTIF($B$2:B5364,B5364)</f>
        <v>SERGIPE-8</v>
      </c>
      <c r="B5364" s="5" t="s">
        <v>3518</v>
      </c>
      <c r="C5364" s="5" t="s">
        <v>3523</v>
      </c>
      <c r="D5364" s="6">
        <v>-364614</v>
      </c>
      <c r="E5364" s="6">
        <v>-104302</v>
      </c>
      <c r="F5364" s="7">
        <v>5.4409999999999998</v>
      </c>
      <c r="G5364" s="7">
        <v>6.1509999999999998</v>
      </c>
      <c r="H5364" s="7">
        <v>6.1689999999999996</v>
      </c>
      <c r="I5364" s="7">
        <v>6.0590000000000002</v>
      </c>
      <c r="J5364" s="7">
        <v>5.0389999999999997</v>
      </c>
      <c r="K5364" s="7">
        <v>4.3659999999999997</v>
      </c>
      <c r="L5364" s="7">
        <v>4.1059999999999999</v>
      </c>
      <c r="M5364" s="7">
        <v>4.1580000000000004</v>
      </c>
      <c r="N5364" s="7">
        <v>4.8550000000000004</v>
      </c>
      <c r="O5364" s="7">
        <v>5.5350000000000001</v>
      </c>
      <c r="P5364" s="7">
        <v>6.0170000000000003</v>
      </c>
      <c r="Q5364" s="7">
        <v>6.3579999999999997</v>
      </c>
      <c r="R5364" s="7">
        <v>6.4729999999999999</v>
      </c>
      <c r="S5364" s="7">
        <f t="shared" si="83"/>
        <v>5.4405000000000001</v>
      </c>
    </row>
    <row r="5365" spans="1:19">
      <c r="A5365" s="5" t="str">
        <f>B5365&amp;"-"&amp;COUNTIF($B$2:B5365,B5365)</f>
        <v>SERGIPE-9</v>
      </c>
      <c r="B5365" s="5" t="s">
        <v>3518</v>
      </c>
      <c r="C5365" s="5" t="s">
        <v>3524</v>
      </c>
      <c r="D5365" s="6">
        <v>-374935</v>
      </c>
      <c r="E5365" s="6">
        <v>-107458</v>
      </c>
      <c r="F5365" s="7">
        <v>5.2560000000000002</v>
      </c>
      <c r="G5365" s="7">
        <v>6.0679999999999996</v>
      </c>
      <c r="H5365" s="7">
        <v>5.9539999999999997</v>
      </c>
      <c r="I5365" s="7">
        <v>5.8289999999999997</v>
      </c>
      <c r="J5365" s="7">
        <v>5.008</v>
      </c>
      <c r="K5365" s="7">
        <v>4.2080000000000002</v>
      </c>
      <c r="L5365" s="7">
        <v>3.93</v>
      </c>
      <c r="M5365" s="7">
        <v>4.0129999999999999</v>
      </c>
      <c r="N5365" s="7">
        <v>4.5519999999999996</v>
      </c>
      <c r="O5365" s="7">
        <v>5.3460000000000001</v>
      </c>
      <c r="P5365" s="7">
        <v>5.7220000000000004</v>
      </c>
      <c r="Q5365" s="7">
        <v>6.1950000000000003</v>
      </c>
      <c r="R5365" s="7">
        <v>6.2439999999999998</v>
      </c>
      <c r="S5365" s="7">
        <f t="shared" si="83"/>
        <v>5.2557499999999999</v>
      </c>
    </row>
    <row r="5366" spans="1:19">
      <c r="A5366" s="5" t="str">
        <f>B5366&amp;"-"&amp;COUNTIF($B$2:B5366,B5366)</f>
        <v>SERGIPE-10</v>
      </c>
      <c r="B5366" s="5" t="s">
        <v>3518</v>
      </c>
      <c r="C5366" s="5" t="s">
        <v>3525</v>
      </c>
      <c r="D5366" s="6">
        <v>-369734</v>
      </c>
      <c r="E5366" s="6">
        <v>-101382</v>
      </c>
      <c r="F5366" s="7">
        <v>5.399</v>
      </c>
      <c r="G5366" s="7">
        <v>6.2210000000000001</v>
      </c>
      <c r="H5366" s="7">
        <v>6.0069999999999997</v>
      </c>
      <c r="I5366" s="7">
        <v>5.9320000000000004</v>
      </c>
      <c r="J5366" s="7">
        <v>5.2050000000000001</v>
      </c>
      <c r="K5366" s="7">
        <v>4.3630000000000004</v>
      </c>
      <c r="L5366" s="7">
        <v>4.1230000000000002</v>
      </c>
      <c r="M5366" s="7">
        <v>4.1849999999999996</v>
      </c>
      <c r="N5366" s="7">
        <v>4.7729999999999997</v>
      </c>
      <c r="O5366" s="7">
        <v>5.5519999999999996</v>
      </c>
      <c r="P5366" s="7">
        <v>5.8520000000000003</v>
      </c>
      <c r="Q5366" s="7">
        <v>6.2910000000000004</v>
      </c>
      <c r="R5366" s="7">
        <v>6.2839999999999998</v>
      </c>
      <c r="S5366" s="7">
        <f t="shared" si="83"/>
        <v>5.399</v>
      </c>
    </row>
    <row r="5367" spans="1:19">
      <c r="A5367" s="5" t="str">
        <f>B5367&amp;"-"&amp;COUNTIF($B$2:B5367,B5367)</f>
        <v>SERGIPE-11</v>
      </c>
      <c r="B5367" s="5" t="s">
        <v>3518</v>
      </c>
      <c r="C5367" s="5" t="s">
        <v>4530</v>
      </c>
      <c r="D5367" s="6">
        <v>-377891</v>
      </c>
      <c r="E5367" s="6">
        <v>-96606</v>
      </c>
      <c r="F5367" s="7">
        <v>5.4320000000000004</v>
      </c>
      <c r="G5367" s="7">
        <v>6.3230000000000004</v>
      </c>
      <c r="H5367" s="7">
        <v>6.069</v>
      </c>
      <c r="I5367" s="7">
        <v>5.96</v>
      </c>
      <c r="J5367" s="7">
        <v>5.28</v>
      </c>
      <c r="K5367" s="7">
        <v>4.3739999999999997</v>
      </c>
      <c r="L5367" s="7">
        <v>4</v>
      </c>
      <c r="M5367" s="7">
        <v>4.1050000000000004</v>
      </c>
      <c r="N5367" s="7">
        <v>4.7939999999999996</v>
      </c>
      <c r="O5367" s="7">
        <v>5.54</v>
      </c>
      <c r="P5367" s="7">
        <v>5.9050000000000002</v>
      </c>
      <c r="Q5367" s="7">
        <v>6.4269999999999996</v>
      </c>
      <c r="R5367" s="7">
        <v>6.4020000000000001</v>
      </c>
      <c r="S5367" s="7">
        <f t="shared" si="83"/>
        <v>5.4315833333333332</v>
      </c>
    </row>
    <row r="5368" spans="1:19">
      <c r="A5368" s="5" t="str">
        <f>B5368&amp;"-"&amp;COUNTIF($B$2:B5368,B5368)</f>
        <v>SERGIPE-12</v>
      </c>
      <c r="B5368" s="5" t="s">
        <v>3518</v>
      </c>
      <c r="C5368" s="5" t="s">
        <v>115</v>
      </c>
      <c r="D5368" s="6">
        <v>-370539</v>
      </c>
      <c r="E5368" s="6">
        <v>-105063</v>
      </c>
      <c r="F5368" s="7">
        <v>5.258</v>
      </c>
      <c r="G5368" s="7">
        <v>6.1630000000000003</v>
      </c>
      <c r="H5368" s="7">
        <v>5.8479999999999999</v>
      </c>
      <c r="I5368" s="7">
        <v>5.8</v>
      </c>
      <c r="J5368" s="7">
        <v>5.0549999999999997</v>
      </c>
      <c r="K5368" s="7">
        <v>4.2750000000000004</v>
      </c>
      <c r="L5368" s="7">
        <v>3.9769999999999999</v>
      </c>
      <c r="M5368" s="7">
        <v>4.0860000000000003</v>
      </c>
      <c r="N5368" s="7">
        <v>4.62</v>
      </c>
      <c r="O5368" s="7">
        <v>5.38</v>
      </c>
      <c r="P5368" s="7">
        <v>5.6680000000000001</v>
      </c>
      <c r="Q5368" s="7">
        <v>6.09</v>
      </c>
      <c r="R5368" s="7">
        <v>6.1340000000000003</v>
      </c>
      <c r="S5368" s="7">
        <f t="shared" si="83"/>
        <v>5.258</v>
      </c>
    </row>
    <row r="5369" spans="1:19">
      <c r="A5369" s="5" t="str">
        <f>B5369&amp;"-"&amp;COUNTIF($B$2:B5369,B5369)</f>
        <v>SERGIPE-13</v>
      </c>
      <c r="B5369" s="5" t="s">
        <v>3518</v>
      </c>
      <c r="C5369" s="5" t="s">
        <v>3526</v>
      </c>
      <c r="D5369" s="6">
        <v>-377032</v>
      </c>
      <c r="E5369" s="6">
        <v>-10357</v>
      </c>
      <c r="F5369" s="7">
        <v>5.2850000000000001</v>
      </c>
      <c r="G5369" s="7">
        <v>6.1040000000000001</v>
      </c>
      <c r="H5369" s="7">
        <v>5.9740000000000002</v>
      </c>
      <c r="I5369" s="7">
        <v>5.8010000000000002</v>
      </c>
      <c r="J5369" s="7">
        <v>5.0780000000000003</v>
      </c>
      <c r="K5369" s="7">
        <v>4.28</v>
      </c>
      <c r="L5369" s="7">
        <v>3.956</v>
      </c>
      <c r="M5369" s="7">
        <v>4.0940000000000003</v>
      </c>
      <c r="N5369" s="7">
        <v>4.6749999999999998</v>
      </c>
      <c r="O5369" s="7">
        <v>5.4420000000000002</v>
      </c>
      <c r="P5369" s="7">
        <v>5.6550000000000002</v>
      </c>
      <c r="Q5369" s="7">
        <v>6.1879999999999997</v>
      </c>
      <c r="R5369" s="7">
        <v>6.1689999999999996</v>
      </c>
      <c r="S5369" s="7">
        <f t="shared" si="83"/>
        <v>5.2846666666666664</v>
      </c>
    </row>
    <row r="5370" spans="1:19">
      <c r="A5370" s="5" t="str">
        <f>B5370&amp;"-"&amp;COUNTIF($B$2:B5370,B5370)</f>
        <v>SERGIPE-14</v>
      </c>
      <c r="B5370" s="5" t="s">
        <v>3518</v>
      </c>
      <c r="C5370" s="5" t="s">
        <v>5261</v>
      </c>
      <c r="D5370" s="6">
        <v>-369842</v>
      </c>
      <c r="E5370" s="6">
        <v>-10649</v>
      </c>
      <c r="F5370" s="7">
        <v>5.3689999999999998</v>
      </c>
      <c r="G5370" s="7">
        <v>6.24</v>
      </c>
      <c r="H5370" s="7">
        <v>6.0659999999999998</v>
      </c>
      <c r="I5370" s="7">
        <v>5.9569999999999999</v>
      </c>
      <c r="J5370" s="7">
        <v>5.1150000000000002</v>
      </c>
      <c r="K5370" s="7">
        <v>4.3330000000000002</v>
      </c>
      <c r="L5370" s="7">
        <v>4.056</v>
      </c>
      <c r="M5370" s="7">
        <v>4.1079999999999997</v>
      </c>
      <c r="N5370" s="7">
        <v>4.7460000000000004</v>
      </c>
      <c r="O5370" s="7">
        <v>5.4489999999999998</v>
      </c>
      <c r="P5370" s="7">
        <v>5.7880000000000003</v>
      </c>
      <c r="Q5370" s="7">
        <v>6.2779999999999996</v>
      </c>
      <c r="R5370" s="7">
        <v>6.2930000000000001</v>
      </c>
      <c r="S5370" s="7">
        <f t="shared" si="83"/>
        <v>5.3690833333333332</v>
      </c>
    </row>
    <row r="5371" spans="1:19">
      <c r="A5371" s="5" t="str">
        <f>B5371&amp;"-"&amp;COUNTIF($B$2:B5371,B5371)</f>
        <v>SERGIPE-15</v>
      </c>
      <c r="B5371" s="5" t="s">
        <v>3518</v>
      </c>
      <c r="C5371" s="5" t="s">
        <v>4254</v>
      </c>
      <c r="D5371" s="6">
        <v>-368812</v>
      </c>
      <c r="E5371" s="6">
        <v>-102517</v>
      </c>
      <c r="F5371" s="7">
        <v>5.2560000000000002</v>
      </c>
      <c r="G5371" s="7">
        <v>5.9889999999999999</v>
      </c>
      <c r="H5371" s="7">
        <v>5.7880000000000003</v>
      </c>
      <c r="I5371" s="7">
        <v>5.7450000000000001</v>
      </c>
      <c r="J5371" s="7">
        <v>4.9379999999999997</v>
      </c>
      <c r="K5371" s="7">
        <v>4.218</v>
      </c>
      <c r="L5371" s="7">
        <v>4.0030000000000001</v>
      </c>
      <c r="M5371" s="7">
        <v>4.0510000000000002</v>
      </c>
      <c r="N5371" s="7">
        <v>4.6020000000000003</v>
      </c>
      <c r="O5371" s="7">
        <v>5.4210000000000003</v>
      </c>
      <c r="P5371" s="7">
        <v>5.8079999999999998</v>
      </c>
      <c r="Q5371" s="7">
        <v>6.2430000000000003</v>
      </c>
      <c r="R5371" s="7">
        <v>6.2679999999999998</v>
      </c>
      <c r="S5371" s="7">
        <f t="shared" si="83"/>
        <v>5.2561666666666671</v>
      </c>
    </row>
    <row r="5372" spans="1:19">
      <c r="A5372" s="5" t="str">
        <f>B5372&amp;"-"&amp;COUNTIF($B$2:B5372,B5372)</f>
        <v>SERGIPE-16</v>
      </c>
      <c r="B5372" s="5" t="s">
        <v>3518</v>
      </c>
      <c r="C5372" s="5" t="s">
        <v>5797</v>
      </c>
      <c r="D5372" s="6">
        <v>-377634</v>
      </c>
      <c r="E5372" s="6">
        <v>-114603</v>
      </c>
      <c r="F5372" s="7">
        <v>5.2489999999999997</v>
      </c>
      <c r="G5372" s="7">
        <v>6.2229999999999999</v>
      </c>
      <c r="H5372" s="7">
        <v>6.0609999999999999</v>
      </c>
      <c r="I5372" s="7">
        <v>5.8449999999999998</v>
      </c>
      <c r="J5372" s="7">
        <v>4.9059999999999997</v>
      </c>
      <c r="K5372" s="7">
        <v>4.133</v>
      </c>
      <c r="L5372" s="7">
        <v>3.923</v>
      </c>
      <c r="M5372" s="7">
        <v>4.056</v>
      </c>
      <c r="N5372" s="7">
        <v>4.53</v>
      </c>
      <c r="O5372" s="7">
        <v>5.3140000000000001</v>
      </c>
      <c r="P5372" s="7">
        <v>5.6550000000000002</v>
      </c>
      <c r="Q5372" s="7">
        <v>6.0629999999999997</v>
      </c>
      <c r="R5372" s="7">
        <v>6.2789999999999999</v>
      </c>
      <c r="S5372" s="7">
        <f t="shared" si="83"/>
        <v>5.2489999999999997</v>
      </c>
    </row>
    <row r="5373" spans="1:19">
      <c r="A5373" s="5" t="str">
        <f>B5373&amp;"-"&amp;COUNTIF($B$2:B5373,B5373)</f>
        <v>SERGIPE-17</v>
      </c>
      <c r="B5373" s="5" t="s">
        <v>3518</v>
      </c>
      <c r="C5373" s="5" t="s">
        <v>3527</v>
      </c>
      <c r="D5373" s="6">
        <v>-371878</v>
      </c>
      <c r="E5373" s="6">
        <v>-10353</v>
      </c>
      <c r="F5373" s="7">
        <v>5.2649999999999997</v>
      </c>
      <c r="G5373" s="7">
        <v>6.0819999999999999</v>
      </c>
      <c r="H5373" s="7">
        <v>5.8719999999999999</v>
      </c>
      <c r="I5373" s="7">
        <v>5.7670000000000003</v>
      </c>
      <c r="J5373" s="7">
        <v>5.0519999999999996</v>
      </c>
      <c r="K5373" s="7">
        <v>4.2409999999999997</v>
      </c>
      <c r="L5373" s="7">
        <v>3.9950000000000001</v>
      </c>
      <c r="M5373" s="7">
        <v>4.09</v>
      </c>
      <c r="N5373" s="7">
        <v>4.6379999999999999</v>
      </c>
      <c r="O5373" s="7">
        <v>5.4160000000000004</v>
      </c>
      <c r="P5373" s="7">
        <v>5.6989999999999998</v>
      </c>
      <c r="Q5373" s="7">
        <v>6.165</v>
      </c>
      <c r="R5373" s="7">
        <v>6.17</v>
      </c>
      <c r="S5373" s="7">
        <f t="shared" si="83"/>
        <v>5.2655833333333337</v>
      </c>
    </row>
    <row r="5374" spans="1:19">
      <c r="A5374" s="5" t="str">
        <f>B5374&amp;"-"&amp;COUNTIF($B$2:B5374,B5374)</f>
        <v>SERGIPE-18</v>
      </c>
      <c r="B5374" s="5" t="s">
        <v>3518</v>
      </c>
      <c r="C5374" s="5" t="s">
        <v>3528</v>
      </c>
      <c r="D5374" s="6">
        <v>-371509</v>
      </c>
      <c r="E5374" s="6">
        <v>-106786</v>
      </c>
      <c r="F5374" s="7">
        <v>5.335</v>
      </c>
      <c r="G5374" s="7">
        <v>6.16</v>
      </c>
      <c r="H5374" s="7">
        <v>6.0860000000000003</v>
      </c>
      <c r="I5374" s="7">
        <v>5.9539999999999997</v>
      </c>
      <c r="J5374" s="7">
        <v>5.0460000000000003</v>
      </c>
      <c r="K5374" s="7">
        <v>4.319</v>
      </c>
      <c r="L5374" s="7">
        <v>4.0069999999999997</v>
      </c>
      <c r="M5374" s="7">
        <v>4.1269999999999998</v>
      </c>
      <c r="N5374" s="7">
        <v>4.6449999999999996</v>
      </c>
      <c r="O5374" s="7">
        <v>5.4059999999999997</v>
      </c>
      <c r="P5374" s="7">
        <v>5.7720000000000002</v>
      </c>
      <c r="Q5374" s="7">
        <v>6.2510000000000003</v>
      </c>
      <c r="R5374" s="7">
        <v>6.2469999999999999</v>
      </c>
      <c r="S5374" s="7">
        <f t="shared" si="83"/>
        <v>5.3349999999999982</v>
      </c>
    </row>
    <row r="5375" spans="1:19">
      <c r="A5375" s="5" t="str">
        <f>B5375&amp;"-"&amp;COUNTIF($B$2:B5375,B5375)</f>
        <v>SERGIPE-19</v>
      </c>
      <c r="B5375" s="5" t="s">
        <v>3518</v>
      </c>
      <c r="C5375" s="5" t="s">
        <v>5038</v>
      </c>
      <c r="D5375" s="6">
        <v>-374376</v>
      </c>
      <c r="E5375" s="6">
        <v>-112686</v>
      </c>
      <c r="F5375" s="7">
        <v>5.306</v>
      </c>
      <c r="G5375" s="7">
        <v>6.258</v>
      </c>
      <c r="H5375" s="7">
        <v>6.03</v>
      </c>
      <c r="I5375" s="7">
        <v>5.9390000000000001</v>
      </c>
      <c r="J5375" s="7">
        <v>4.9729999999999999</v>
      </c>
      <c r="K5375" s="7">
        <v>4.22</v>
      </c>
      <c r="L5375" s="7">
        <v>3.9470000000000001</v>
      </c>
      <c r="M5375" s="7">
        <v>4.0910000000000002</v>
      </c>
      <c r="N5375" s="7">
        <v>4.5780000000000003</v>
      </c>
      <c r="O5375" s="7">
        <v>5.3330000000000002</v>
      </c>
      <c r="P5375" s="7">
        <v>5.7279999999999998</v>
      </c>
      <c r="Q5375" s="7">
        <v>6.1879999999999997</v>
      </c>
      <c r="R5375" s="7">
        <v>6.3890000000000002</v>
      </c>
      <c r="S5375" s="7">
        <f t="shared" si="83"/>
        <v>5.3061666666666669</v>
      </c>
    </row>
    <row r="5376" spans="1:19">
      <c r="A5376" s="5" t="str">
        <f>B5376&amp;"-"&amp;COUNTIF($B$2:B5376,B5376)</f>
        <v>SERGIPE-20</v>
      </c>
      <c r="B5376" s="5" t="s">
        <v>3518</v>
      </c>
      <c r="C5376" s="5" t="s">
        <v>2178</v>
      </c>
      <c r="D5376" s="6">
        <v>-373095</v>
      </c>
      <c r="E5376" s="6">
        <v>-102637</v>
      </c>
      <c r="F5376" s="7">
        <v>5.2560000000000002</v>
      </c>
      <c r="G5376" s="7">
        <v>6.0060000000000002</v>
      </c>
      <c r="H5376" s="7">
        <v>5.8280000000000003</v>
      </c>
      <c r="I5376" s="7">
        <v>5.7830000000000004</v>
      </c>
      <c r="J5376" s="7">
        <v>5.032</v>
      </c>
      <c r="K5376" s="7">
        <v>4.24</v>
      </c>
      <c r="L5376" s="7">
        <v>3.9990000000000001</v>
      </c>
      <c r="M5376" s="7">
        <v>4.0739999999999998</v>
      </c>
      <c r="N5376" s="7">
        <v>4.6849999999999996</v>
      </c>
      <c r="O5376" s="7">
        <v>5.4180000000000001</v>
      </c>
      <c r="P5376" s="7">
        <v>5.6459999999999999</v>
      </c>
      <c r="Q5376" s="7">
        <v>6.218</v>
      </c>
      <c r="R5376" s="7">
        <v>6.1470000000000002</v>
      </c>
      <c r="S5376" s="7">
        <f t="shared" si="83"/>
        <v>5.2563333333333331</v>
      </c>
    </row>
    <row r="5377" spans="1:19">
      <c r="A5377" s="5" t="str">
        <f>B5377&amp;"-"&amp;COUNTIF($B$2:B5377,B5377)</f>
        <v>SERGIPE-21</v>
      </c>
      <c r="B5377" s="5" t="s">
        <v>3518</v>
      </c>
      <c r="C5377" s="5" t="s">
        <v>3529</v>
      </c>
      <c r="D5377" s="6">
        <v>-37534</v>
      </c>
      <c r="E5377" s="6">
        <v>-105506</v>
      </c>
      <c r="F5377" s="7">
        <v>5.2539999999999996</v>
      </c>
      <c r="G5377" s="7">
        <v>6.0970000000000004</v>
      </c>
      <c r="H5377" s="7">
        <v>5.9379999999999997</v>
      </c>
      <c r="I5377" s="7">
        <v>5.8079999999999998</v>
      </c>
      <c r="J5377" s="7">
        <v>4.9989999999999997</v>
      </c>
      <c r="K5377" s="7">
        <v>4.1989999999999998</v>
      </c>
      <c r="L5377" s="7">
        <v>3.9239999999999999</v>
      </c>
      <c r="M5377" s="7">
        <v>4.0510000000000002</v>
      </c>
      <c r="N5377" s="7">
        <v>4.6050000000000004</v>
      </c>
      <c r="O5377" s="7">
        <v>5.3609999999999998</v>
      </c>
      <c r="P5377" s="7">
        <v>5.726</v>
      </c>
      <c r="Q5377" s="7">
        <v>6.2030000000000003</v>
      </c>
      <c r="R5377" s="7">
        <v>6.1449999999999996</v>
      </c>
      <c r="S5377" s="7">
        <f t="shared" si="83"/>
        <v>5.2546666666666662</v>
      </c>
    </row>
    <row r="5378" spans="1:19">
      <c r="A5378" s="5" t="str">
        <f>B5378&amp;"-"&amp;COUNTIF($B$2:B5378,B5378)</f>
        <v>SERGIPE-22</v>
      </c>
      <c r="B5378" s="5" t="s">
        <v>3518</v>
      </c>
      <c r="C5378" s="5" t="s">
        <v>3530</v>
      </c>
      <c r="D5378" s="6">
        <v>-370869</v>
      </c>
      <c r="E5378" s="6">
        <v>-99701</v>
      </c>
      <c r="F5378" s="7">
        <v>5.4630000000000001</v>
      </c>
      <c r="G5378" s="7">
        <v>6.2889999999999997</v>
      </c>
      <c r="H5378" s="7">
        <v>6.0510000000000002</v>
      </c>
      <c r="I5378" s="7">
        <v>5.9989999999999997</v>
      </c>
      <c r="J5378" s="7">
        <v>5.2759999999999998</v>
      </c>
      <c r="K5378" s="7">
        <v>4.383</v>
      </c>
      <c r="L5378" s="7">
        <v>4.141</v>
      </c>
      <c r="M5378" s="7">
        <v>4.2140000000000004</v>
      </c>
      <c r="N5378" s="7">
        <v>4.867</v>
      </c>
      <c r="O5378" s="7">
        <v>5.694</v>
      </c>
      <c r="P5378" s="7">
        <v>5.93</v>
      </c>
      <c r="Q5378" s="7">
        <v>6.3789999999999996</v>
      </c>
      <c r="R5378" s="7">
        <v>6.3280000000000003</v>
      </c>
      <c r="S5378" s="7">
        <f t="shared" si="83"/>
        <v>5.462583333333332</v>
      </c>
    </row>
    <row r="5379" spans="1:19">
      <c r="A5379" s="5" t="str">
        <f>B5379&amp;"-"&amp;COUNTIF($B$2:B5379,B5379)</f>
        <v>SERGIPE-23</v>
      </c>
      <c r="B5379" s="5" t="s">
        <v>3518</v>
      </c>
      <c r="C5379" s="5" t="s">
        <v>3531</v>
      </c>
      <c r="D5379" s="6">
        <v>-369841</v>
      </c>
      <c r="E5379" s="6">
        <v>-106839</v>
      </c>
      <c r="F5379" s="7">
        <v>5.5039999999999996</v>
      </c>
      <c r="G5379" s="7">
        <v>6.4359999999999999</v>
      </c>
      <c r="H5379" s="7">
        <v>6.3070000000000004</v>
      </c>
      <c r="I5379" s="7">
        <v>6.1390000000000002</v>
      </c>
      <c r="J5379" s="7">
        <v>5.1639999999999997</v>
      </c>
      <c r="K5379" s="7">
        <v>4.37</v>
      </c>
      <c r="L5379" s="7">
        <v>4.0919999999999996</v>
      </c>
      <c r="M5379" s="7">
        <v>4.1680000000000001</v>
      </c>
      <c r="N5379" s="7">
        <v>4.8120000000000003</v>
      </c>
      <c r="O5379" s="7">
        <v>5.5780000000000003</v>
      </c>
      <c r="P5379" s="7">
        <v>5.9960000000000004</v>
      </c>
      <c r="Q5379" s="7">
        <v>6.468</v>
      </c>
      <c r="R5379" s="7">
        <v>6.5250000000000004</v>
      </c>
      <c r="S5379" s="7">
        <f t="shared" ref="S5379:S5442" si="84">(G5379+H5379+I5379+J5379+K5379+L5379+M5379+N5379+O5379+P5379+Q5379+R5379)/12</f>
        <v>5.5045833333333336</v>
      </c>
    </row>
    <row r="5380" spans="1:19">
      <c r="A5380" s="5" t="str">
        <f>B5380&amp;"-"&amp;COUNTIF($B$2:B5380,B5380)</f>
        <v>SERGIPE-24</v>
      </c>
      <c r="B5380" s="5" t="s">
        <v>3518</v>
      </c>
      <c r="C5380" s="5" t="s">
        <v>3532</v>
      </c>
      <c r="D5380" s="6">
        <v>-37197</v>
      </c>
      <c r="E5380" s="5" t="s">
        <v>3533</v>
      </c>
      <c r="F5380" s="7">
        <v>5.2649999999999997</v>
      </c>
      <c r="G5380" s="7">
        <v>6.0170000000000003</v>
      </c>
      <c r="H5380" s="7">
        <v>5.8220000000000001</v>
      </c>
      <c r="I5380" s="7">
        <v>5.7889999999999997</v>
      </c>
      <c r="J5380" s="7">
        <v>5.0519999999999996</v>
      </c>
      <c r="K5380" s="7">
        <v>4.226</v>
      </c>
      <c r="L5380" s="7">
        <v>3.9940000000000002</v>
      </c>
      <c r="M5380" s="7">
        <v>4.1230000000000002</v>
      </c>
      <c r="N5380" s="7">
        <v>4.649</v>
      </c>
      <c r="O5380" s="7">
        <v>5.4509999999999996</v>
      </c>
      <c r="P5380" s="7">
        <v>5.7240000000000002</v>
      </c>
      <c r="Q5380" s="7">
        <v>6.1520000000000001</v>
      </c>
      <c r="R5380" s="7">
        <v>6.1769999999999996</v>
      </c>
      <c r="S5380" s="7">
        <f t="shared" si="84"/>
        <v>5.2646666666666659</v>
      </c>
    </row>
    <row r="5381" spans="1:19">
      <c r="A5381" s="5" t="str">
        <f>B5381&amp;"-"&amp;COUNTIF($B$2:B5381,B5381)</f>
        <v>SERGIPE-25</v>
      </c>
      <c r="B5381" s="5" t="s">
        <v>3518</v>
      </c>
      <c r="C5381" s="5" t="s">
        <v>3534</v>
      </c>
      <c r="D5381" s="6">
        <v>-365482</v>
      </c>
      <c r="E5381" s="6">
        <v>-104429</v>
      </c>
      <c r="F5381" s="7">
        <v>5.4180000000000001</v>
      </c>
      <c r="G5381" s="7">
        <v>6.234</v>
      </c>
      <c r="H5381" s="7">
        <v>6.1059999999999999</v>
      </c>
      <c r="I5381" s="7">
        <v>6.0170000000000003</v>
      </c>
      <c r="J5381" s="7">
        <v>5.0750000000000002</v>
      </c>
      <c r="K5381" s="7">
        <v>4.3099999999999996</v>
      </c>
      <c r="L5381" s="7">
        <v>4.0369999999999999</v>
      </c>
      <c r="M5381" s="7">
        <v>4.1349999999999998</v>
      </c>
      <c r="N5381" s="7">
        <v>4.758</v>
      </c>
      <c r="O5381" s="7">
        <v>5.5339999999999998</v>
      </c>
      <c r="P5381" s="7">
        <v>6.008</v>
      </c>
      <c r="Q5381" s="7">
        <v>6.3879999999999999</v>
      </c>
      <c r="R5381" s="7">
        <v>6.4119999999999999</v>
      </c>
      <c r="S5381" s="7">
        <f t="shared" si="84"/>
        <v>5.4178333333333333</v>
      </c>
    </row>
    <row r="5382" spans="1:19">
      <c r="A5382" s="5" t="str">
        <f>B5382&amp;"-"&amp;COUNTIF($B$2:B5382,B5382)</f>
        <v>SERGIPE-26</v>
      </c>
      <c r="B5382" s="5" t="s">
        <v>3518</v>
      </c>
      <c r="C5382" s="5" t="s">
        <v>3535</v>
      </c>
      <c r="D5382" s="6">
        <v>-375104</v>
      </c>
      <c r="E5382" s="6">
        <v>-115185</v>
      </c>
      <c r="F5382" s="7">
        <v>5.319</v>
      </c>
      <c r="G5382" s="7">
        <v>6.3070000000000004</v>
      </c>
      <c r="H5382" s="7">
        <v>6.1310000000000002</v>
      </c>
      <c r="I5382" s="7">
        <v>5.9930000000000003</v>
      </c>
      <c r="J5382" s="7">
        <v>4.9710000000000001</v>
      </c>
      <c r="K5382" s="7">
        <v>4.2160000000000002</v>
      </c>
      <c r="L5382" s="7">
        <v>3.9470000000000001</v>
      </c>
      <c r="M5382" s="7">
        <v>4.0810000000000004</v>
      </c>
      <c r="N5382" s="7">
        <v>4.5490000000000004</v>
      </c>
      <c r="O5382" s="7">
        <v>5.3319999999999999</v>
      </c>
      <c r="P5382" s="7">
        <v>5.7229999999999999</v>
      </c>
      <c r="Q5382" s="7">
        <v>6.1680000000000001</v>
      </c>
      <c r="R5382" s="7">
        <v>6.407</v>
      </c>
      <c r="S5382" s="7">
        <f t="shared" si="84"/>
        <v>5.3187500000000005</v>
      </c>
    </row>
    <row r="5383" spans="1:19">
      <c r="A5383" s="5" t="str">
        <f>B5383&amp;"-"&amp;COUNTIF($B$2:B5383,B5383)</f>
        <v>SERGIPE-27</v>
      </c>
      <c r="B5383" s="5" t="s">
        <v>3518</v>
      </c>
      <c r="C5383" s="5" t="s">
        <v>1851</v>
      </c>
      <c r="D5383" s="6">
        <v>-374276</v>
      </c>
      <c r="E5383" s="6">
        <v>-10683</v>
      </c>
      <c r="F5383" s="7">
        <v>5.2560000000000002</v>
      </c>
      <c r="G5383" s="7">
        <v>6.0679999999999996</v>
      </c>
      <c r="H5383" s="7">
        <v>5.9539999999999997</v>
      </c>
      <c r="I5383" s="7">
        <v>5.8289999999999997</v>
      </c>
      <c r="J5383" s="7">
        <v>5.008</v>
      </c>
      <c r="K5383" s="7">
        <v>4.2080000000000002</v>
      </c>
      <c r="L5383" s="7">
        <v>3.93</v>
      </c>
      <c r="M5383" s="7">
        <v>4.0129999999999999</v>
      </c>
      <c r="N5383" s="7">
        <v>4.5519999999999996</v>
      </c>
      <c r="O5383" s="7">
        <v>5.3460000000000001</v>
      </c>
      <c r="P5383" s="7">
        <v>5.7220000000000004</v>
      </c>
      <c r="Q5383" s="7">
        <v>6.1950000000000003</v>
      </c>
      <c r="R5383" s="7">
        <v>6.2439999999999998</v>
      </c>
      <c r="S5383" s="7">
        <f t="shared" si="84"/>
        <v>5.2557499999999999</v>
      </c>
    </row>
    <row r="5384" spans="1:19">
      <c r="A5384" s="5" t="str">
        <f>B5384&amp;"-"&amp;COUNTIF($B$2:B5384,B5384)</f>
        <v>SERGIPE-28</v>
      </c>
      <c r="B5384" s="5" t="s">
        <v>3518</v>
      </c>
      <c r="C5384" s="5" t="s">
        <v>3536</v>
      </c>
      <c r="D5384" s="6">
        <v>-377878</v>
      </c>
      <c r="E5384" s="6">
        <v>-112697</v>
      </c>
      <c r="F5384" s="7">
        <v>5.2489999999999997</v>
      </c>
      <c r="G5384" s="7">
        <v>6.1779999999999999</v>
      </c>
      <c r="H5384" s="7">
        <v>5.9930000000000003</v>
      </c>
      <c r="I5384" s="7">
        <v>5.867</v>
      </c>
      <c r="J5384" s="7">
        <v>4.8949999999999996</v>
      </c>
      <c r="K5384" s="7">
        <v>4.1929999999999996</v>
      </c>
      <c r="L5384" s="7">
        <v>3.88</v>
      </c>
      <c r="M5384" s="7">
        <v>4.0460000000000003</v>
      </c>
      <c r="N5384" s="7">
        <v>4.54</v>
      </c>
      <c r="O5384" s="7">
        <v>5.3129999999999997</v>
      </c>
      <c r="P5384" s="7">
        <v>5.6609999999999996</v>
      </c>
      <c r="Q5384" s="7">
        <v>6.1680000000000001</v>
      </c>
      <c r="R5384" s="7">
        <v>6.25</v>
      </c>
      <c r="S5384" s="7">
        <f t="shared" si="84"/>
        <v>5.2486666666666668</v>
      </c>
    </row>
    <row r="5385" spans="1:19">
      <c r="A5385" s="5" t="str">
        <f>B5385&amp;"-"&amp;COUNTIF($B$2:B5385,B5385)</f>
        <v>SERGIPE-29</v>
      </c>
      <c r="B5385" s="5" t="s">
        <v>3518</v>
      </c>
      <c r="C5385" s="5" t="s">
        <v>3537</v>
      </c>
      <c r="D5385" s="6">
        <v>-371059</v>
      </c>
      <c r="E5385" s="6">
        <v>-101252</v>
      </c>
      <c r="F5385" s="7">
        <v>5.306</v>
      </c>
      <c r="G5385" s="7">
        <v>6.0590000000000002</v>
      </c>
      <c r="H5385" s="7">
        <v>5.8710000000000004</v>
      </c>
      <c r="I5385" s="7">
        <v>5.8360000000000003</v>
      </c>
      <c r="J5385" s="7">
        <v>5.1150000000000002</v>
      </c>
      <c r="K5385" s="7">
        <v>4.2670000000000003</v>
      </c>
      <c r="L5385" s="7">
        <v>3.984</v>
      </c>
      <c r="M5385" s="7">
        <v>4.1390000000000002</v>
      </c>
      <c r="N5385" s="7">
        <v>4.7110000000000003</v>
      </c>
      <c r="O5385" s="7">
        <v>5.5090000000000003</v>
      </c>
      <c r="P5385" s="7">
        <v>5.7949999999999999</v>
      </c>
      <c r="Q5385" s="7">
        <v>6.2110000000000003</v>
      </c>
      <c r="R5385" s="7">
        <v>6.1769999999999996</v>
      </c>
      <c r="S5385" s="7">
        <f t="shared" si="84"/>
        <v>5.3061666666666669</v>
      </c>
    </row>
    <row r="5386" spans="1:19">
      <c r="A5386" s="5" t="str">
        <f>B5386&amp;"-"&amp;COUNTIF($B$2:B5386,B5386)</f>
        <v>SERGIPE-30</v>
      </c>
      <c r="B5386" s="5" t="s">
        <v>3518</v>
      </c>
      <c r="C5386" s="5" t="s">
        <v>3538</v>
      </c>
      <c r="D5386" s="6">
        <v>-373121</v>
      </c>
      <c r="E5386" s="6">
        <v>-109981</v>
      </c>
      <c r="F5386" s="7">
        <v>5.3109999999999999</v>
      </c>
      <c r="G5386" s="7">
        <v>6.2060000000000004</v>
      </c>
      <c r="H5386" s="7">
        <v>6.0970000000000004</v>
      </c>
      <c r="I5386" s="7">
        <v>5.9790000000000001</v>
      </c>
      <c r="J5386" s="7">
        <v>5.0030000000000001</v>
      </c>
      <c r="K5386" s="7">
        <v>4.2050000000000001</v>
      </c>
      <c r="L5386" s="7">
        <v>3.9540000000000002</v>
      </c>
      <c r="M5386" s="7">
        <v>4.0590000000000002</v>
      </c>
      <c r="N5386" s="7">
        <v>4.609</v>
      </c>
      <c r="O5386" s="7">
        <v>5.3609999999999998</v>
      </c>
      <c r="P5386" s="7">
        <v>5.7389999999999999</v>
      </c>
      <c r="Q5386" s="7">
        <v>6.2160000000000002</v>
      </c>
      <c r="R5386" s="7">
        <v>6.3049999999999997</v>
      </c>
      <c r="S5386" s="7">
        <f t="shared" si="84"/>
        <v>5.3110833333333334</v>
      </c>
    </row>
    <row r="5387" spans="1:19">
      <c r="A5387" s="5" t="str">
        <f>B5387&amp;"-"&amp;COUNTIF($B$2:B5387,B5387)</f>
        <v>SERGIPE-31</v>
      </c>
      <c r="B5387" s="5" t="s">
        <v>3518</v>
      </c>
      <c r="C5387" s="5" t="s">
        <v>3539</v>
      </c>
      <c r="D5387" s="6">
        <v>-369421</v>
      </c>
      <c r="E5387" s="6">
        <v>-105854</v>
      </c>
      <c r="F5387" s="7">
        <v>5.3689999999999998</v>
      </c>
      <c r="G5387" s="7">
        <v>6.24</v>
      </c>
      <c r="H5387" s="7">
        <v>6.0659999999999998</v>
      </c>
      <c r="I5387" s="7">
        <v>5.9569999999999999</v>
      </c>
      <c r="J5387" s="7">
        <v>5.1150000000000002</v>
      </c>
      <c r="K5387" s="7">
        <v>4.3330000000000002</v>
      </c>
      <c r="L5387" s="7">
        <v>4.056</v>
      </c>
      <c r="M5387" s="7">
        <v>4.1079999999999997</v>
      </c>
      <c r="N5387" s="7">
        <v>4.7460000000000004</v>
      </c>
      <c r="O5387" s="7">
        <v>5.4489999999999998</v>
      </c>
      <c r="P5387" s="7">
        <v>5.7880000000000003</v>
      </c>
      <c r="Q5387" s="7">
        <v>6.2779999999999996</v>
      </c>
      <c r="R5387" s="7">
        <v>6.2930000000000001</v>
      </c>
      <c r="S5387" s="7">
        <f t="shared" si="84"/>
        <v>5.3690833333333332</v>
      </c>
    </row>
    <row r="5388" spans="1:19">
      <c r="A5388" s="5" t="str">
        <f>B5388&amp;"-"&amp;COUNTIF($B$2:B5388,B5388)</f>
        <v>SERGIPE-32</v>
      </c>
      <c r="B5388" s="5" t="s">
        <v>3518</v>
      </c>
      <c r="C5388" s="5" t="s">
        <v>5423</v>
      </c>
      <c r="D5388" s="6">
        <v>-367983</v>
      </c>
      <c r="E5388" s="6">
        <v>-103445</v>
      </c>
      <c r="F5388" s="7">
        <v>5.375</v>
      </c>
      <c r="G5388" s="7">
        <v>6.141</v>
      </c>
      <c r="H5388" s="7">
        <v>6.085</v>
      </c>
      <c r="I5388" s="7">
        <v>5.9429999999999996</v>
      </c>
      <c r="J5388" s="7">
        <v>5.0490000000000004</v>
      </c>
      <c r="K5388" s="7">
        <v>4.2910000000000004</v>
      </c>
      <c r="L5388" s="7">
        <v>4.0439999999999996</v>
      </c>
      <c r="M5388" s="7">
        <v>4.1100000000000003</v>
      </c>
      <c r="N5388" s="7">
        <v>4.6529999999999996</v>
      </c>
      <c r="O5388" s="7">
        <v>5.5389999999999997</v>
      </c>
      <c r="P5388" s="7">
        <v>5.9180000000000001</v>
      </c>
      <c r="Q5388" s="7">
        <v>6.3639999999999999</v>
      </c>
      <c r="R5388" s="7">
        <v>6.3630000000000004</v>
      </c>
      <c r="S5388" s="7">
        <f t="shared" si="84"/>
        <v>5.375</v>
      </c>
    </row>
    <row r="5389" spans="1:19">
      <c r="A5389" s="5" t="str">
        <f>B5389&amp;"-"&amp;COUNTIF($B$2:B5389,B5389)</f>
        <v>SERGIPE-33</v>
      </c>
      <c r="B5389" s="5" t="s">
        <v>3518</v>
      </c>
      <c r="C5389" s="5" t="s">
        <v>3540</v>
      </c>
      <c r="D5389" s="6">
        <v>-376693</v>
      </c>
      <c r="E5389" s="6">
        <v>-109141</v>
      </c>
      <c r="F5389" s="7">
        <v>5.2130000000000001</v>
      </c>
      <c r="G5389" s="7">
        <v>6.0759999999999996</v>
      </c>
      <c r="H5389" s="7">
        <v>5.952</v>
      </c>
      <c r="I5389" s="7">
        <v>5.8179999999999996</v>
      </c>
      <c r="J5389" s="7">
        <v>4.9779999999999998</v>
      </c>
      <c r="K5389" s="7">
        <v>4.1559999999999997</v>
      </c>
      <c r="L5389" s="7">
        <v>3.8650000000000002</v>
      </c>
      <c r="M5389" s="7">
        <v>4.0149999999999997</v>
      </c>
      <c r="N5389" s="7">
        <v>4.4720000000000004</v>
      </c>
      <c r="O5389" s="7">
        <v>5.2930000000000001</v>
      </c>
      <c r="P5389" s="7">
        <v>5.6509999999999998</v>
      </c>
      <c r="Q5389" s="7">
        <v>6.0869999999999997</v>
      </c>
      <c r="R5389" s="7">
        <v>6.1950000000000003</v>
      </c>
      <c r="S5389" s="7">
        <f t="shared" si="84"/>
        <v>5.2131666666666669</v>
      </c>
    </row>
    <row r="5390" spans="1:19">
      <c r="A5390" s="5" t="str">
        <f>B5390&amp;"-"&amp;COUNTIF($B$2:B5390,B5390)</f>
        <v>SERGIPE-34</v>
      </c>
      <c r="B5390" s="5" t="s">
        <v>3518</v>
      </c>
      <c r="C5390" s="5" t="s">
        <v>3541</v>
      </c>
      <c r="D5390" s="6">
        <v>-371671</v>
      </c>
      <c r="E5390" s="6">
        <v>-108048</v>
      </c>
      <c r="F5390" s="7">
        <v>5.3890000000000002</v>
      </c>
      <c r="G5390" s="7">
        <v>6.3419999999999996</v>
      </c>
      <c r="H5390" s="7">
        <v>6.1680000000000001</v>
      </c>
      <c r="I5390" s="7">
        <v>6.0570000000000004</v>
      </c>
      <c r="J5390" s="7">
        <v>5.0839999999999996</v>
      </c>
      <c r="K5390" s="7">
        <v>4.3289999999999997</v>
      </c>
      <c r="L5390" s="7">
        <v>3.9380000000000002</v>
      </c>
      <c r="M5390" s="7">
        <v>4.09</v>
      </c>
      <c r="N5390" s="7">
        <v>4.6130000000000004</v>
      </c>
      <c r="O5390" s="7">
        <v>5.431</v>
      </c>
      <c r="P5390" s="7">
        <v>5.8529999999999998</v>
      </c>
      <c r="Q5390" s="7">
        <v>6.3440000000000003</v>
      </c>
      <c r="R5390" s="7">
        <v>6.4160000000000004</v>
      </c>
      <c r="S5390" s="7">
        <f t="shared" si="84"/>
        <v>5.388749999999999</v>
      </c>
    </row>
    <row r="5391" spans="1:19">
      <c r="A5391" s="5" t="str">
        <f>B5391&amp;"-"&amp;COUNTIF($B$2:B5391,B5391)</f>
        <v>SERGIPE-35</v>
      </c>
      <c r="B5391" s="5" t="s">
        <v>3518</v>
      </c>
      <c r="C5391" s="5" t="s">
        <v>3542</v>
      </c>
      <c r="D5391" s="6">
        <v>-375414</v>
      </c>
      <c r="E5391" s="6">
        <v>-106665</v>
      </c>
      <c r="F5391" s="7">
        <v>5.226</v>
      </c>
      <c r="G5391" s="7">
        <v>6.0860000000000003</v>
      </c>
      <c r="H5391" s="7">
        <v>5.9020000000000001</v>
      </c>
      <c r="I5391" s="7">
        <v>5.7779999999999996</v>
      </c>
      <c r="J5391" s="7">
        <v>4.97</v>
      </c>
      <c r="K5391" s="7">
        <v>4.1529999999999996</v>
      </c>
      <c r="L5391" s="7">
        <v>3.919</v>
      </c>
      <c r="M5391" s="7">
        <v>4.0250000000000004</v>
      </c>
      <c r="N5391" s="7">
        <v>4.5410000000000004</v>
      </c>
      <c r="O5391" s="7">
        <v>5.3540000000000001</v>
      </c>
      <c r="P5391" s="7">
        <v>5.6559999999999997</v>
      </c>
      <c r="Q5391" s="7">
        <v>6.157</v>
      </c>
      <c r="R5391" s="7">
        <v>6.1740000000000004</v>
      </c>
      <c r="S5391" s="7">
        <f t="shared" si="84"/>
        <v>5.2262499999999994</v>
      </c>
    </row>
    <row r="5392" spans="1:19">
      <c r="A5392" s="5" t="str">
        <f>B5392&amp;"-"&amp;COUNTIF($B$2:B5392,B5392)</f>
        <v>SERGIPE-36</v>
      </c>
      <c r="B5392" s="5" t="s">
        <v>3518</v>
      </c>
      <c r="C5392" s="5" t="s">
        <v>3543</v>
      </c>
      <c r="D5392" s="6">
        <v>-369209</v>
      </c>
      <c r="E5392" s="6">
        <v>-103446</v>
      </c>
      <c r="F5392" s="7">
        <v>5.2069999999999999</v>
      </c>
      <c r="G5392" s="7">
        <v>5.9109999999999996</v>
      </c>
      <c r="H5392" s="7">
        <v>5.7249999999999996</v>
      </c>
      <c r="I5392" s="7">
        <v>5.7039999999999997</v>
      </c>
      <c r="J5392" s="7">
        <v>4.9770000000000003</v>
      </c>
      <c r="K5392" s="7">
        <v>4.2060000000000004</v>
      </c>
      <c r="L5392" s="7">
        <v>3.98</v>
      </c>
      <c r="M5392" s="7">
        <v>4.0439999999999996</v>
      </c>
      <c r="N5392" s="7">
        <v>4.6150000000000002</v>
      </c>
      <c r="O5392" s="7">
        <v>5.31</v>
      </c>
      <c r="P5392" s="7">
        <v>5.66</v>
      </c>
      <c r="Q5392" s="7">
        <v>6.1870000000000003</v>
      </c>
      <c r="R5392" s="7">
        <v>6.1619999999999999</v>
      </c>
      <c r="S5392" s="7">
        <f t="shared" si="84"/>
        <v>5.2067500000000004</v>
      </c>
    </row>
    <row r="5393" spans="1:19">
      <c r="A5393" s="5" t="str">
        <f>B5393&amp;"-"&amp;COUNTIF($B$2:B5393,B5393)</f>
        <v>SERGIPE-37</v>
      </c>
      <c r="B5393" s="5" t="s">
        <v>3518</v>
      </c>
      <c r="C5393" s="5" t="s">
        <v>3544</v>
      </c>
      <c r="D5393" s="6">
        <v>-373062</v>
      </c>
      <c r="E5393" s="6">
        <v>-106586</v>
      </c>
      <c r="F5393" s="7">
        <v>5.2759999999999998</v>
      </c>
      <c r="G5393" s="7">
        <v>6.2190000000000003</v>
      </c>
      <c r="H5393" s="7">
        <v>5.9530000000000003</v>
      </c>
      <c r="I5393" s="7">
        <v>5.9</v>
      </c>
      <c r="J5393" s="7">
        <v>5.0350000000000001</v>
      </c>
      <c r="K5393" s="7">
        <v>4.141</v>
      </c>
      <c r="L5393" s="7">
        <v>3.91</v>
      </c>
      <c r="M5393" s="7">
        <v>3.9980000000000002</v>
      </c>
      <c r="N5393" s="7">
        <v>4.54</v>
      </c>
      <c r="O5393" s="7">
        <v>5.3449999999999998</v>
      </c>
      <c r="P5393" s="7">
        <v>5.74</v>
      </c>
      <c r="Q5393" s="7">
        <v>6.2329999999999997</v>
      </c>
      <c r="R5393" s="7">
        <v>6.3019999999999996</v>
      </c>
      <c r="S5393" s="7">
        <f t="shared" si="84"/>
        <v>5.2763333333333335</v>
      </c>
    </row>
    <row r="5394" spans="1:19">
      <c r="A5394" s="5" t="str">
        <f>B5394&amp;"-"&amp;COUNTIF($B$2:B5394,B5394)</f>
        <v>SERGIPE-38</v>
      </c>
      <c r="B5394" s="5" t="s">
        <v>3518</v>
      </c>
      <c r="C5394" s="5" t="s">
        <v>3545</v>
      </c>
      <c r="D5394" s="6">
        <v>-370865</v>
      </c>
      <c r="E5394" s="6">
        <v>-107425</v>
      </c>
      <c r="F5394" s="7">
        <v>5.4240000000000004</v>
      </c>
      <c r="G5394" s="7">
        <v>6.3380000000000001</v>
      </c>
      <c r="H5394" s="7">
        <v>6.1909999999999998</v>
      </c>
      <c r="I5394" s="7">
        <v>6.048</v>
      </c>
      <c r="J5394" s="7">
        <v>5.0990000000000002</v>
      </c>
      <c r="K5394" s="7">
        <v>4.3319999999999999</v>
      </c>
      <c r="L5394" s="7">
        <v>4.0650000000000004</v>
      </c>
      <c r="M5394" s="7">
        <v>4.1189999999999998</v>
      </c>
      <c r="N5394" s="7">
        <v>4.7149999999999999</v>
      </c>
      <c r="O5394" s="7">
        <v>5.4850000000000003</v>
      </c>
      <c r="P5394" s="7">
        <v>5.8780000000000001</v>
      </c>
      <c r="Q5394" s="7">
        <v>6.3929999999999998</v>
      </c>
      <c r="R5394" s="7">
        <v>6.4189999999999996</v>
      </c>
      <c r="S5394" s="7">
        <f t="shared" si="84"/>
        <v>5.4234999999999998</v>
      </c>
    </row>
    <row r="5395" spans="1:19">
      <c r="A5395" s="5" t="str">
        <f>B5395&amp;"-"&amp;COUNTIF($B$2:B5395,B5395)</f>
        <v>SERGIPE-39</v>
      </c>
      <c r="B5395" s="5" t="s">
        <v>3518</v>
      </c>
      <c r="C5395" s="5" t="s">
        <v>3546</v>
      </c>
      <c r="D5395" s="6">
        <v>-373431</v>
      </c>
      <c r="E5395" s="6">
        <v>-105791</v>
      </c>
      <c r="F5395" s="7">
        <v>5.3079999999999998</v>
      </c>
      <c r="G5395" s="7">
        <v>6.1779999999999999</v>
      </c>
      <c r="H5395" s="7">
        <v>6.0190000000000001</v>
      </c>
      <c r="I5395" s="7">
        <v>5.9050000000000002</v>
      </c>
      <c r="J5395" s="7">
        <v>5.07</v>
      </c>
      <c r="K5395" s="7">
        <v>4.2149999999999999</v>
      </c>
      <c r="L5395" s="7">
        <v>3.952</v>
      </c>
      <c r="M5395" s="7">
        <v>4.0519999999999996</v>
      </c>
      <c r="N5395" s="7">
        <v>4.6260000000000003</v>
      </c>
      <c r="O5395" s="7">
        <v>5.39</v>
      </c>
      <c r="P5395" s="7">
        <v>5.7779999999999996</v>
      </c>
      <c r="Q5395" s="7">
        <v>6.218</v>
      </c>
      <c r="R5395" s="7">
        <v>6.2910000000000004</v>
      </c>
      <c r="S5395" s="7">
        <f t="shared" si="84"/>
        <v>5.3078333333333321</v>
      </c>
    </row>
    <row r="5396" spans="1:19">
      <c r="A5396" s="5" t="str">
        <f>B5396&amp;"-"&amp;COUNTIF($B$2:B5396,B5396)</f>
        <v>SERGIPE-40</v>
      </c>
      <c r="B5396" s="5" t="s">
        <v>3518</v>
      </c>
      <c r="C5396" s="5" t="s">
        <v>3547</v>
      </c>
      <c r="D5396" s="6">
        <v>-375619</v>
      </c>
      <c r="E5396" s="6">
        <v>-10026</v>
      </c>
      <c r="F5396" s="7">
        <v>5.2990000000000004</v>
      </c>
      <c r="G5396" s="7">
        <v>6.0259999999999998</v>
      </c>
      <c r="H5396" s="7">
        <v>5.899</v>
      </c>
      <c r="I5396" s="7">
        <v>5.8620000000000001</v>
      </c>
      <c r="J5396" s="7">
        <v>5.1260000000000003</v>
      </c>
      <c r="K5396" s="7">
        <v>4.2830000000000004</v>
      </c>
      <c r="L5396" s="7">
        <v>3.9710000000000001</v>
      </c>
      <c r="M5396" s="7">
        <v>4.1310000000000002</v>
      </c>
      <c r="N5396" s="7">
        <v>4.7009999999999996</v>
      </c>
      <c r="O5396" s="7">
        <v>5.468</v>
      </c>
      <c r="P5396" s="7">
        <v>5.6970000000000001</v>
      </c>
      <c r="Q5396" s="7">
        <v>6.2229999999999999</v>
      </c>
      <c r="R5396" s="7">
        <v>6.2</v>
      </c>
      <c r="S5396" s="7">
        <f t="shared" si="84"/>
        <v>5.2989166666666669</v>
      </c>
    </row>
    <row r="5397" spans="1:19">
      <c r="A5397" s="5" t="str">
        <f>B5397&amp;"-"&amp;COUNTIF($B$2:B5397,B5397)</f>
        <v>SERGIPE-41</v>
      </c>
      <c r="B5397" s="5" t="s">
        <v>3518</v>
      </c>
      <c r="C5397" s="5" t="s">
        <v>3548</v>
      </c>
      <c r="D5397" s="6">
        <v>-369565</v>
      </c>
      <c r="E5397" s="6">
        <v>-104243</v>
      </c>
      <c r="F5397" s="7">
        <v>5.2050000000000001</v>
      </c>
      <c r="G5397" s="7">
        <v>6.0039999999999996</v>
      </c>
      <c r="H5397" s="7">
        <v>5.7610000000000001</v>
      </c>
      <c r="I5397" s="7">
        <v>5.7160000000000002</v>
      </c>
      <c r="J5397" s="7">
        <v>4.9720000000000004</v>
      </c>
      <c r="K5397" s="7">
        <v>4.2220000000000004</v>
      </c>
      <c r="L5397" s="7">
        <v>3.9649999999999999</v>
      </c>
      <c r="M5397" s="7">
        <v>4.0670000000000002</v>
      </c>
      <c r="N5397" s="7">
        <v>4.5599999999999996</v>
      </c>
      <c r="O5397" s="7">
        <v>5.319</v>
      </c>
      <c r="P5397" s="7">
        <v>5.61</v>
      </c>
      <c r="Q5397" s="7">
        <v>6.1260000000000003</v>
      </c>
      <c r="R5397" s="7">
        <v>6.133</v>
      </c>
      <c r="S5397" s="7">
        <f t="shared" si="84"/>
        <v>5.2045833333333347</v>
      </c>
    </row>
    <row r="5398" spans="1:19">
      <c r="A5398" s="5" t="str">
        <f>B5398&amp;"-"&amp;COUNTIF($B$2:B5398,B5398)</f>
        <v>SERGIPE-42</v>
      </c>
      <c r="B5398" s="5" t="s">
        <v>3518</v>
      </c>
      <c r="C5398" s="5" t="s">
        <v>5262</v>
      </c>
      <c r="D5398" s="6">
        <v>-365853</v>
      </c>
      <c r="E5398" s="6">
        <v>-103219</v>
      </c>
      <c r="F5398" s="7">
        <v>5.3380000000000001</v>
      </c>
      <c r="G5398" s="7">
        <v>6.0970000000000004</v>
      </c>
      <c r="H5398" s="7">
        <v>5.9470000000000001</v>
      </c>
      <c r="I5398" s="7">
        <v>5.891</v>
      </c>
      <c r="J5398" s="7">
        <v>5.0449999999999999</v>
      </c>
      <c r="K5398" s="7">
        <v>4.298</v>
      </c>
      <c r="L5398" s="7">
        <v>4.0419999999999998</v>
      </c>
      <c r="M5398" s="7">
        <v>4.1100000000000003</v>
      </c>
      <c r="N5398" s="7">
        <v>4.7220000000000004</v>
      </c>
      <c r="O5398" s="7">
        <v>5.4420000000000002</v>
      </c>
      <c r="P5398" s="7">
        <v>5.8609999999999998</v>
      </c>
      <c r="Q5398" s="7">
        <v>6.2969999999999997</v>
      </c>
      <c r="R5398" s="7">
        <v>6.3120000000000003</v>
      </c>
      <c r="S5398" s="7">
        <f t="shared" si="84"/>
        <v>5.3386666666666676</v>
      </c>
    </row>
    <row r="5399" spans="1:19">
      <c r="A5399" s="5" t="str">
        <f>B5399&amp;"-"&amp;COUNTIF($B$2:B5399,B5399)</f>
        <v>SERGIPE-43</v>
      </c>
      <c r="B5399" s="5" t="s">
        <v>3518</v>
      </c>
      <c r="C5399" s="5" t="s">
        <v>3549</v>
      </c>
      <c r="D5399" s="6">
        <v>-374518</v>
      </c>
      <c r="E5399" s="6">
        <v>-103975</v>
      </c>
      <c r="F5399" s="7">
        <v>5.274</v>
      </c>
      <c r="G5399" s="7">
        <v>6.0549999999999997</v>
      </c>
      <c r="H5399" s="7">
        <v>5.9039999999999999</v>
      </c>
      <c r="I5399" s="7">
        <v>5.7610000000000001</v>
      </c>
      <c r="J5399" s="7">
        <v>5.0780000000000003</v>
      </c>
      <c r="K5399" s="7">
        <v>4.274</v>
      </c>
      <c r="L5399" s="7">
        <v>3.9870000000000001</v>
      </c>
      <c r="M5399" s="7">
        <v>4.1040000000000001</v>
      </c>
      <c r="N5399" s="7">
        <v>4.7030000000000003</v>
      </c>
      <c r="O5399" s="7">
        <v>5.4509999999999996</v>
      </c>
      <c r="P5399" s="7">
        <v>5.6749999999999998</v>
      </c>
      <c r="Q5399" s="7">
        <v>6.1189999999999998</v>
      </c>
      <c r="R5399" s="7">
        <v>6.173</v>
      </c>
      <c r="S5399" s="7">
        <f t="shared" si="84"/>
        <v>5.2736666666666663</v>
      </c>
    </row>
    <row r="5400" spans="1:19">
      <c r="A5400" s="5" t="str">
        <f>B5400&amp;"-"&amp;COUNTIF($B$2:B5400,B5400)</f>
        <v>SERGIPE-44</v>
      </c>
      <c r="B5400" s="5" t="s">
        <v>3518</v>
      </c>
      <c r="C5400" s="5" t="s">
        <v>5263</v>
      </c>
      <c r="D5400" s="6">
        <v>-374214</v>
      </c>
      <c r="E5400" s="6">
        <v>-102162</v>
      </c>
      <c r="F5400" s="7">
        <v>5.3209999999999997</v>
      </c>
      <c r="G5400" s="7">
        <v>6.12</v>
      </c>
      <c r="H5400" s="7">
        <v>5.91</v>
      </c>
      <c r="I5400" s="7">
        <v>5.7530000000000001</v>
      </c>
      <c r="J5400" s="7">
        <v>5.101</v>
      </c>
      <c r="K5400" s="7">
        <v>4.3090000000000002</v>
      </c>
      <c r="L5400" s="7">
        <v>4.0140000000000002</v>
      </c>
      <c r="M5400" s="7">
        <v>4.2</v>
      </c>
      <c r="N5400" s="7">
        <v>4.7910000000000004</v>
      </c>
      <c r="O5400" s="7">
        <v>5.5359999999999996</v>
      </c>
      <c r="P5400" s="7">
        <v>5.7030000000000003</v>
      </c>
      <c r="Q5400" s="7">
        <v>6.2439999999999998</v>
      </c>
      <c r="R5400" s="7">
        <v>6.1710000000000003</v>
      </c>
      <c r="S5400" s="7">
        <f t="shared" si="84"/>
        <v>5.3210000000000006</v>
      </c>
    </row>
    <row r="5401" spans="1:19">
      <c r="A5401" s="5" t="str">
        <f>B5401&amp;"-"&amp;COUNTIF($B$2:B5401,B5401)</f>
        <v>SERGIPE-45</v>
      </c>
      <c r="B5401" s="5" t="s">
        <v>3518</v>
      </c>
      <c r="C5401" s="5" t="s">
        <v>3550</v>
      </c>
      <c r="D5401" s="6">
        <v>-371966</v>
      </c>
      <c r="E5401" s="6">
        <v>-104911</v>
      </c>
      <c r="F5401" s="7">
        <v>5.2729999999999997</v>
      </c>
      <c r="G5401" s="7">
        <v>6.1970000000000001</v>
      </c>
      <c r="H5401" s="7">
        <v>5.931</v>
      </c>
      <c r="I5401" s="7">
        <v>5.79</v>
      </c>
      <c r="J5401" s="7">
        <v>5.0670000000000002</v>
      </c>
      <c r="K5401" s="7">
        <v>4.2309999999999999</v>
      </c>
      <c r="L5401" s="7">
        <v>3.9750000000000001</v>
      </c>
      <c r="M5401" s="7">
        <v>4.056</v>
      </c>
      <c r="N5401" s="7">
        <v>4.6020000000000003</v>
      </c>
      <c r="O5401" s="7">
        <v>5.391</v>
      </c>
      <c r="P5401" s="7">
        <v>5.6920000000000002</v>
      </c>
      <c r="Q5401" s="7">
        <v>6.1390000000000002</v>
      </c>
      <c r="R5401" s="7">
        <v>6.2009999999999996</v>
      </c>
      <c r="S5401" s="7">
        <f t="shared" si="84"/>
        <v>5.2726666666666668</v>
      </c>
    </row>
    <row r="5402" spans="1:19">
      <c r="A5402" s="5" t="str">
        <f>B5402&amp;"-"&amp;COUNTIF($B$2:B5402,B5402)</f>
        <v>SERGIPE-46</v>
      </c>
      <c r="B5402" s="5" t="s">
        <v>3518</v>
      </c>
      <c r="C5402" s="5" t="s">
        <v>3551</v>
      </c>
      <c r="D5402" s="6">
        <v>-370575</v>
      </c>
      <c r="E5402" s="6">
        <v>-100788</v>
      </c>
      <c r="F5402" s="7">
        <v>5.37</v>
      </c>
      <c r="G5402" s="7">
        <v>6.1989999999999998</v>
      </c>
      <c r="H5402" s="7">
        <v>5.907</v>
      </c>
      <c r="I5402" s="7">
        <v>5.8680000000000003</v>
      </c>
      <c r="J5402" s="7">
        <v>5.1539999999999999</v>
      </c>
      <c r="K5402" s="7">
        <v>4.3360000000000003</v>
      </c>
      <c r="L5402" s="7">
        <v>4.0910000000000002</v>
      </c>
      <c r="M5402" s="7">
        <v>4.16</v>
      </c>
      <c r="N5402" s="7">
        <v>4.7699999999999996</v>
      </c>
      <c r="O5402" s="7">
        <v>5.57</v>
      </c>
      <c r="P5402" s="7">
        <v>5.835</v>
      </c>
      <c r="Q5402" s="7">
        <v>6.2930000000000001</v>
      </c>
      <c r="R5402" s="7">
        <v>6.2519999999999998</v>
      </c>
      <c r="S5402" s="7">
        <f t="shared" si="84"/>
        <v>5.3695833333333338</v>
      </c>
    </row>
    <row r="5403" spans="1:19">
      <c r="A5403" s="5" t="str">
        <f>B5403&amp;"-"&amp;COUNTIF($B$2:B5403,B5403)</f>
        <v>SERGIPE-47</v>
      </c>
      <c r="B5403" s="5" t="s">
        <v>3518</v>
      </c>
      <c r="C5403" s="5" t="s">
        <v>3552</v>
      </c>
      <c r="D5403" s="6">
        <v>-371284</v>
      </c>
      <c r="E5403" s="6">
        <v>-108537</v>
      </c>
      <c r="F5403" s="7">
        <v>5.4089999999999998</v>
      </c>
      <c r="G5403" s="7">
        <v>6.3239999999999998</v>
      </c>
      <c r="H5403" s="7">
        <v>6.266</v>
      </c>
      <c r="I5403" s="7">
        <v>6.0620000000000003</v>
      </c>
      <c r="J5403" s="7">
        <v>5.0609999999999999</v>
      </c>
      <c r="K5403" s="7">
        <v>4.3109999999999999</v>
      </c>
      <c r="L5403" s="7">
        <v>3.96</v>
      </c>
      <c r="M5403" s="7">
        <v>4.0449999999999999</v>
      </c>
      <c r="N5403" s="7">
        <v>4.6619999999999999</v>
      </c>
      <c r="O5403" s="7">
        <v>5.4359999999999999</v>
      </c>
      <c r="P5403" s="7">
        <v>5.94</v>
      </c>
      <c r="Q5403" s="7">
        <v>6.3650000000000002</v>
      </c>
      <c r="R5403" s="7">
        <v>6.4720000000000004</v>
      </c>
      <c r="S5403" s="7">
        <f t="shared" si="84"/>
        <v>5.4086666666666661</v>
      </c>
    </row>
    <row r="5404" spans="1:19">
      <c r="A5404" s="5" t="str">
        <f>B5404&amp;"-"&amp;COUNTIF($B$2:B5404,B5404)</f>
        <v>SERGIPE-48</v>
      </c>
      <c r="B5404" s="5" t="s">
        <v>3518</v>
      </c>
      <c r="C5404" s="5" t="s">
        <v>651</v>
      </c>
      <c r="D5404" s="6">
        <v>-366485</v>
      </c>
      <c r="E5404" s="6">
        <v>-104555</v>
      </c>
      <c r="F5404" s="7">
        <v>5.3049999999999997</v>
      </c>
      <c r="G5404" s="7">
        <v>6.14</v>
      </c>
      <c r="H5404" s="7">
        <v>6.02</v>
      </c>
      <c r="I5404" s="7">
        <v>5.859</v>
      </c>
      <c r="J5404" s="7">
        <v>4.9859999999999998</v>
      </c>
      <c r="K5404" s="7">
        <v>4.2350000000000003</v>
      </c>
      <c r="L5404" s="7">
        <v>4.0049999999999999</v>
      </c>
      <c r="M5404" s="7">
        <v>4.07</v>
      </c>
      <c r="N5404" s="7">
        <v>4.6710000000000003</v>
      </c>
      <c r="O5404" s="7">
        <v>5.3609999999999998</v>
      </c>
      <c r="P5404" s="7">
        <v>5.7530000000000001</v>
      </c>
      <c r="Q5404" s="7">
        <v>6.2469999999999999</v>
      </c>
      <c r="R5404" s="7">
        <v>6.3150000000000004</v>
      </c>
      <c r="S5404" s="7">
        <f t="shared" si="84"/>
        <v>5.3051666666666657</v>
      </c>
    </row>
    <row r="5405" spans="1:19">
      <c r="A5405" s="5" t="str">
        <f>B5405&amp;"-"&amp;COUNTIF($B$2:B5405,B5405)</f>
        <v>SERGIPE-49</v>
      </c>
      <c r="B5405" s="5" t="s">
        <v>3518</v>
      </c>
      <c r="C5405" s="5" t="s">
        <v>3553</v>
      </c>
      <c r="D5405" s="6">
        <v>-376872</v>
      </c>
      <c r="E5405" s="6">
        <v>-10619</v>
      </c>
      <c r="F5405" s="7">
        <v>5.2309999999999999</v>
      </c>
      <c r="G5405" s="7">
        <v>6.0259999999999998</v>
      </c>
      <c r="H5405" s="7">
        <v>5.8529999999999998</v>
      </c>
      <c r="I5405" s="7">
        <v>5.8239999999999998</v>
      </c>
      <c r="J5405" s="7">
        <v>5.0149999999999997</v>
      </c>
      <c r="K5405" s="7">
        <v>4.2149999999999999</v>
      </c>
      <c r="L5405" s="7">
        <v>3.94</v>
      </c>
      <c r="M5405" s="7">
        <v>4.0679999999999996</v>
      </c>
      <c r="N5405" s="7">
        <v>4.5730000000000004</v>
      </c>
      <c r="O5405" s="7">
        <v>5.3579999999999997</v>
      </c>
      <c r="P5405" s="7">
        <v>5.6609999999999996</v>
      </c>
      <c r="Q5405" s="7">
        <v>6.1390000000000002</v>
      </c>
      <c r="R5405" s="7">
        <v>6.1050000000000004</v>
      </c>
      <c r="S5405" s="7">
        <f t="shared" si="84"/>
        <v>5.231416666666667</v>
      </c>
    </row>
    <row r="5406" spans="1:19">
      <c r="A5406" s="5" t="str">
        <f>B5406&amp;"-"&amp;COUNTIF($B$2:B5406,B5406)</f>
        <v>SERGIPE-50</v>
      </c>
      <c r="B5406" s="5" t="s">
        <v>3518</v>
      </c>
      <c r="C5406" s="5" t="s">
        <v>3554</v>
      </c>
      <c r="D5406" s="6">
        <v>-376778</v>
      </c>
      <c r="E5406" s="6">
        <v>-111906</v>
      </c>
      <c r="F5406" s="7">
        <v>5.2469999999999999</v>
      </c>
      <c r="G5406" s="7">
        <v>6.1669999999999998</v>
      </c>
      <c r="H5406" s="7">
        <v>6.0339999999999998</v>
      </c>
      <c r="I5406" s="7">
        <v>5.9050000000000002</v>
      </c>
      <c r="J5406" s="7">
        <v>4.9189999999999996</v>
      </c>
      <c r="K5406" s="7">
        <v>4.21</v>
      </c>
      <c r="L5406" s="7">
        <v>3.9409999999999998</v>
      </c>
      <c r="M5406" s="7">
        <v>4.0659999999999998</v>
      </c>
      <c r="N5406" s="7">
        <v>4.4870000000000001</v>
      </c>
      <c r="O5406" s="7">
        <v>5.2839999999999998</v>
      </c>
      <c r="P5406" s="7">
        <v>5.6070000000000002</v>
      </c>
      <c r="Q5406" s="7">
        <v>6.1189999999999998</v>
      </c>
      <c r="R5406" s="7">
        <v>6.2309999999999999</v>
      </c>
      <c r="S5406" s="7">
        <f t="shared" si="84"/>
        <v>5.2475000000000005</v>
      </c>
    </row>
    <row r="5407" spans="1:19">
      <c r="A5407" s="5" t="str">
        <f>B5407&amp;"-"&amp;COUNTIF($B$2:B5407,B5407)</f>
        <v>SERGIPE-51</v>
      </c>
      <c r="B5407" s="5" t="s">
        <v>3518</v>
      </c>
      <c r="C5407" s="5" t="s">
        <v>4080</v>
      </c>
      <c r="D5407" s="6">
        <v>-377246</v>
      </c>
      <c r="E5407" s="6">
        <v>-105681</v>
      </c>
      <c r="F5407" s="7">
        <v>5.2329999999999997</v>
      </c>
      <c r="G5407" s="7">
        <v>5.9939999999999998</v>
      </c>
      <c r="H5407" s="7">
        <v>5.843</v>
      </c>
      <c r="I5407" s="7">
        <v>5.758</v>
      </c>
      <c r="J5407" s="7">
        <v>5.0609999999999999</v>
      </c>
      <c r="K5407" s="7">
        <v>4.28</v>
      </c>
      <c r="L5407" s="7">
        <v>3.9470000000000001</v>
      </c>
      <c r="M5407" s="7">
        <v>4.0960000000000001</v>
      </c>
      <c r="N5407" s="7">
        <v>4.633</v>
      </c>
      <c r="O5407" s="7">
        <v>5.3789999999999996</v>
      </c>
      <c r="P5407" s="7">
        <v>5.5869999999999997</v>
      </c>
      <c r="Q5407" s="7">
        <v>6.1440000000000001</v>
      </c>
      <c r="R5407" s="7">
        <v>6.0709999999999997</v>
      </c>
      <c r="S5407" s="7">
        <f t="shared" si="84"/>
        <v>5.2327500000000002</v>
      </c>
    </row>
    <row r="5408" spans="1:19">
      <c r="A5408" s="5" t="str">
        <f>B5408&amp;"-"&amp;COUNTIF($B$2:B5408,B5408)</f>
        <v>SERGIPE-52</v>
      </c>
      <c r="B5408" s="5" t="s">
        <v>3518</v>
      </c>
      <c r="C5408" s="5" t="s">
        <v>3555</v>
      </c>
      <c r="D5408" s="6">
        <v>-368577</v>
      </c>
      <c r="E5408" s="6">
        <v>-107389</v>
      </c>
      <c r="F5408" s="7">
        <v>5.5309999999999997</v>
      </c>
      <c r="G5408" s="7">
        <v>6.4349999999999996</v>
      </c>
      <c r="H5408" s="7">
        <v>6.3449999999999998</v>
      </c>
      <c r="I5408" s="7">
        <v>6.1379999999999999</v>
      </c>
      <c r="J5408" s="7">
        <v>5.1879999999999997</v>
      </c>
      <c r="K5408" s="7">
        <v>4.3979999999999997</v>
      </c>
      <c r="L5408" s="7">
        <v>4.1230000000000002</v>
      </c>
      <c r="M5408" s="7">
        <v>4.2119999999999997</v>
      </c>
      <c r="N5408" s="7">
        <v>4.9039999999999999</v>
      </c>
      <c r="O5408" s="7">
        <v>5.63</v>
      </c>
      <c r="P5408" s="7">
        <v>6.0469999999999997</v>
      </c>
      <c r="Q5408" s="7">
        <v>6.4029999999999996</v>
      </c>
      <c r="R5408" s="7">
        <v>6.5510000000000002</v>
      </c>
      <c r="S5408" s="7">
        <f t="shared" si="84"/>
        <v>5.5311666666666666</v>
      </c>
    </row>
    <row r="5409" spans="1:19">
      <c r="A5409" s="5" t="str">
        <f>B5409&amp;"-"&amp;COUNTIF($B$2:B5409,B5409)</f>
        <v>SERGIPE-53</v>
      </c>
      <c r="B5409" s="5" t="s">
        <v>3518</v>
      </c>
      <c r="C5409" s="5" t="s">
        <v>4801</v>
      </c>
      <c r="D5409" s="6">
        <v>-376836</v>
      </c>
      <c r="E5409" s="6">
        <v>-98066</v>
      </c>
      <c r="F5409" s="7">
        <v>5.343</v>
      </c>
      <c r="G5409" s="7">
        <v>6.1479999999999997</v>
      </c>
      <c r="H5409" s="7">
        <v>5.9470000000000001</v>
      </c>
      <c r="I5409" s="7">
        <v>5.9160000000000004</v>
      </c>
      <c r="J5409" s="7">
        <v>5.1669999999999998</v>
      </c>
      <c r="K5409" s="7">
        <v>4.3390000000000004</v>
      </c>
      <c r="L5409" s="7">
        <v>3.9689999999999999</v>
      </c>
      <c r="M5409" s="7">
        <v>4.0819999999999999</v>
      </c>
      <c r="N5409" s="7">
        <v>4.6289999999999996</v>
      </c>
      <c r="O5409" s="7">
        <v>5.4649999999999999</v>
      </c>
      <c r="P5409" s="7">
        <v>5.8010000000000002</v>
      </c>
      <c r="Q5409" s="7">
        <v>6.3449999999999998</v>
      </c>
      <c r="R5409" s="7">
        <v>6.3109999999999999</v>
      </c>
      <c r="S5409" s="7">
        <f t="shared" si="84"/>
        <v>5.3432500000000003</v>
      </c>
    </row>
    <row r="5410" spans="1:19">
      <c r="A5410" s="5" t="str">
        <f>B5410&amp;"-"&amp;COUNTIF($B$2:B5410,B5410)</f>
        <v>SERGIPE-54</v>
      </c>
      <c r="B5410" s="5" t="s">
        <v>3518</v>
      </c>
      <c r="C5410" s="5" t="s">
        <v>4802</v>
      </c>
      <c r="D5410" s="6">
        <v>-38178</v>
      </c>
      <c r="E5410" s="6">
        <v>-107155</v>
      </c>
      <c r="F5410" s="7">
        <v>5.2249999999999996</v>
      </c>
      <c r="G5410" s="7">
        <v>6.1219999999999999</v>
      </c>
      <c r="H5410" s="7">
        <v>5.8659999999999997</v>
      </c>
      <c r="I5410" s="7">
        <v>5.8109999999999999</v>
      </c>
      <c r="J5410" s="7">
        <v>5.0140000000000002</v>
      </c>
      <c r="K5410" s="7">
        <v>4.1760000000000002</v>
      </c>
      <c r="L5410" s="7">
        <v>3.8519999999999999</v>
      </c>
      <c r="M5410" s="7">
        <v>4.0380000000000003</v>
      </c>
      <c r="N5410" s="7">
        <v>4.4749999999999996</v>
      </c>
      <c r="O5410" s="7">
        <v>5.3520000000000003</v>
      </c>
      <c r="P5410" s="7">
        <v>5.657</v>
      </c>
      <c r="Q5410" s="7">
        <v>6.1840000000000002</v>
      </c>
      <c r="R5410" s="7">
        <v>6.15</v>
      </c>
      <c r="S5410" s="7">
        <f t="shared" si="84"/>
        <v>5.2247499999999993</v>
      </c>
    </row>
    <row r="5411" spans="1:19">
      <c r="A5411" s="5" t="str">
        <f>B5411&amp;"-"&amp;COUNTIF($B$2:B5411,B5411)</f>
        <v>SERGIPE-55</v>
      </c>
      <c r="B5411" s="5" t="s">
        <v>3518</v>
      </c>
      <c r="C5411" s="5" t="s">
        <v>3556</v>
      </c>
      <c r="D5411" s="6">
        <v>-372845</v>
      </c>
      <c r="E5411" s="6">
        <v>-99167</v>
      </c>
      <c r="F5411" s="7">
        <v>5.4240000000000004</v>
      </c>
      <c r="G5411" s="7">
        <v>6.2709999999999999</v>
      </c>
      <c r="H5411" s="7">
        <v>6.0430000000000001</v>
      </c>
      <c r="I5411" s="7">
        <v>5.9009999999999998</v>
      </c>
      <c r="J5411" s="7">
        <v>5.202</v>
      </c>
      <c r="K5411" s="7">
        <v>4.3280000000000003</v>
      </c>
      <c r="L5411" s="7">
        <v>4.0780000000000003</v>
      </c>
      <c r="M5411" s="7">
        <v>4.2</v>
      </c>
      <c r="N5411" s="7">
        <v>4.7830000000000004</v>
      </c>
      <c r="O5411" s="7">
        <v>5.6310000000000002</v>
      </c>
      <c r="P5411" s="7">
        <v>5.8869999999999996</v>
      </c>
      <c r="Q5411" s="7">
        <v>6.4390000000000001</v>
      </c>
      <c r="R5411" s="7">
        <v>6.3220000000000001</v>
      </c>
      <c r="S5411" s="7">
        <f t="shared" si="84"/>
        <v>5.423750000000001</v>
      </c>
    </row>
    <row r="5412" spans="1:19">
      <c r="A5412" s="5" t="str">
        <f>B5412&amp;"-"&amp;COUNTIF($B$2:B5412,B5412)</f>
        <v>SERGIPE-56</v>
      </c>
      <c r="B5412" s="5" t="s">
        <v>3518</v>
      </c>
      <c r="C5412" s="5" t="s">
        <v>5798</v>
      </c>
      <c r="D5412" s="6">
        <v>-368396</v>
      </c>
      <c r="E5412" s="6">
        <v>-102168</v>
      </c>
      <c r="F5412" s="7">
        <v>5.4340000000000002</v>
      </c>
      <c r="G5412" s="7">
        <v>6.3330000000000002</v>
      </c>
      <c r="H5412" s="7">
        <v>6.1180000000000003</v>
      </c>
      <c r="I5412" s="7">
        <v>5.9960000000000004</v>
      </c>
      <c r="J5412" s="7">
        <v>5.2389999999999999</v>
      </c>
      <c r="K5412" s="7">
        <v>4.3490000000000002</v>
      </c>
      <c r="L5412" s="7">
        <v>4.101</v>
      </c>
      <c r="M5412" s="7">
        <v>4.1509999999999998</v>
      </c>
      <c r="N5412" s="7">
        <v>4.7160000000000002</v>
      </c>
      <c r="O5412" s="7">
        <v>5.5380000000000003</v>
      </c>
      <c r="P5412" s="7">
        <v>5.9029999999999996</v>
      </c>
      <c r="Q5412" s="7">
        <v>6.3490000000000002</v>
      </c>
      <c r="R5412" s="7">
        <v>6.4080000000000004</v>
      </c>
      <c r="S5412" s="7">
        <f t="shared" si="84"/>
        <v>5.433416666666667</v>
      </c>
    </row>
    <row r="5413" spans="1:19">
      <c r="A5413" s="5" t="str">
        <f>B5413&amp;"-"&amp;COUNTIF($B$2:B5413,B5413)</f>
        <v>SERGIPE-57</v>
      </c>
      <c r="B5413" s="5" t="s">
        <v>3518</v>
      </c>
      <c r="C5413" s="5" t="s">
        <v>4255</v>
      </c>
      <c r="D5413" s="6">
        <v>-377256</v>
      </c>
      <c r="E5413" s="6">
        <v>-110696</v>
      </c>
      <c r="F5413" s="7">
        <v>5.1959999999999997</v>
      </c>
      <c r="G5413" s="7">
        <v>6.0469999999999997</v>
      </c>
      <c r="H5413" s="7">
        <v>5.9720000000000004</v>
      </c>
      <c r="I5413" s="7">
        <v>5.8259999999999996</v>
      </c>
      <c r="J5413" s="7">
        <v>4.9249999999999998</v>
      </c>
      <c r="K5413" s="7">
        <v>4.1559999999999997</v>
      </c>
      <c r="L5413" s="7">
        <v>3.8820000000000001</v>
      </c>
      <c r="M5413" s="7">
        <v>4.0220000000000002</v>
      </c>
      <c r="N5413" s="7">
        <v>4.4930000000000003</v>
      </c>
      <c r="O5413" s="7">
        <v>5.2619999999999996</v>
      </c>
      <c r="P5413" s="7">
        <v>5.5789999999999997</v>
      </c>
      <c r="Q5413" s="7">
        <v>6.0469999999999997</v>
      </c>
      <c r="R5413" s="7">
        <v>6.1470000000000002</v>
      </c>
      <c r="S5413" s="7">
        <f t="shared" si="84"/>
        <v>5.1964999999999995</v>
      </c>
    </row>
    <row r="5414" spans="1:19">
      <c r="A5414" s="5" t="str">
        <f>B5414&amp;"-"&amp;COUNTIF($B$2:B5414,B5414)</f>
        <v>SERGIPE-58</v>
      </c>
      <c r="B5414" s="5" t="s">
        <v>3518</v>
      </c>
      <c r="C5414" s="5" t="s">
        <v>2527</v>
      </c>
      <c r="D5414" s="6">
        <v>-371871</v>
      </c>
      <c r="E5414" s="6">
        <v>-107314</v>
      </c>
      <c r="F5414" s="7">
        <v>5.335</v>
      </c>
      <c r="G5414" s="7">
        <v>6.16</v>
      </c>
      <c r="H5414" s="7">
        <v>6.0860000000000003</v>
      </c>
      <c r="I5414" s="7">
        <v>5.9539999999999997</v>
      </c>
      <c r="J5414" s="7">
        <v>5.0460000000000003</v>
      </c>
      <c r="K5414" s="7">
        <v>4.319</v>
      </c>
      <c r="L5414" s="7">
        <v>4.0069999999999997</v>
      </c>
      <c r="M5414" s="7">
        <v>4.1269999999999998</v>
      </c>
      <c r="N5414" s="7">
        <v>4.6449999999999996</v>
      </c>
      <c r="O5414" s="7">
        <v>5.4059999999999997</v>
      </c>
      <c r="P5414" s="7">
        <v>5.7720000000000002</v>
      </c>
      <c r="Q5414" s="7">
        <v>6.2510000000000003</v>
      </c>
      <c r="R5414" s="7">
        <v>6.2469999999999999</v>
      </c>
      <c r="S5414" s="7">
        <f t="shared" si="84"/>
        <v>5.3349999999999982</v>
      </c>
    </row>
    <row r="5415" spans="1:19">
      <c r="A5415" s="5" t="str">
        <f>B5415&amp;"-"&amp;COUNTIF($B$2:B5415,B5415)</f>
        <v>SERGIPE-59</v>
      </c>
      <c r="B5415" s="5" t="s">
        <v>3518</v>
      </c>
      <c r="C5415" s="5" t="s">
        <v>5264</v>
      </c>
      <c r="D5415" s="6">
        <v>-374383</v>
      </c>
      <c r="E5415" s="6">
        <v>-105361</v>
      </c>
      <c r="F5415" s="7">
        <v>5.2629999999999999</v>
      </c>
      <c r="G5415" s="7">
        <v>6.0730000000000004</v>
      </c>
      <c r="H5415" s="7">
        <v>5.9349999999999996</v>
      </c>
      <c r="I5415" s="7">
        <v>5.7519999999999998</v>
      </c>
      <c r="J5415" s="7">
        <v>5.0359999999999996</v>
      </c>
      <c r="K5415" s="7">
        <v>4.24</v>
      </c>
      <c r="L5415" s="7">
        <v>3.9580000000000002</v>
      </c>
      <c r="M5415" s="7">
        <v>4.0640000000000001</v>
      </c>
      <c r="N5415" s="7">
        <v>4.6680000000000001</v>
      </c>
      <c r="O5415" s="7">
        <v>5.4</v>
      </c>
      <c r="P5415" s="7">
        <v>5.6870000000000003</v>
      </c>
      <c r="Q5415" s="7">
        <v>6.1559999999999997</v>
      </c>
      <c r="R5415" s="7">
        <v>6.1920000000000002</v>
      </c>
      <c r="S5415" s="7">
        <f t="shared" si="84"/>
        <v>5.2634166666666662</v>
      </c>
    </row>
    <row r="5416" spans="1:19">
      <c r="A5416" s="5" t="str">
        <f>B5416&amp;"-"&amp;COUNTIF($B$2:B5416,B5416)</f>
        <v>SERGIPE-60</v>
      </c>
      <c r="B5416" s="5" t="s">
        <v>3518</v>
      </c>
      <c r="C5416" s="5" t="s">
        <v>5799</v>
      </c>
      <c r="D5416" s="6">
        <v>-370325</v>
      </c>
      <c r="E5416" s="6">
        <v>-106962</v>
      </c>
      <c r="F5416" s="7">
        <v>5.4240000000000004</v>
      </c>
      <c r="G5416" s="7">
        <v>6.3380000000000001</v>
      </c>
      <c r="H5416" s="7">
        <v>6.1909999999999998</v>
      </c>
      <c r="I5416" s="7">
        <v>6.048</v>
      </c>
      <c r="J5416" s="7">
        <v>5.0990000000000002</v>
      </c>
      <c r="K5416" s="7">
        <v>4.3319999999999999</v>
      </c>
      <c r="L5416" s="7">
        <v>4.0650000000000004</v>
      </c>
      <c r="M5416" s="7">
        <v>4.1189999999999998</v>
      </c>
      <c r="N5416" s="7">
        <v>4.7149999999999999</v>
      </c>
      <c r="O5416" s="7">
        <v>5.4850000000000003</v>
      </c>
      <c r="P5416" s="7">
        <v>5.8780000000000001</v>
      </c>
      <c r="Q5416" s="7">
        <v>6.3929999999999998</v>
      </c>
      <c r="R5416" s="7">
        <v>6.4189999999999996</v>
      </c>
      <c r="S5416" s="7">
        <f t="shared" si="84"/>
        <v>5.4234999999999998</v>
      </c>
    </row>
    <row r="5417" spans="1:19">
      <c r="A5417" s="5" t="str">
        <f>B5417&amp;"-"&amp;COUNTIF($B$2:B5417,B5417)</f>
        <v>SERGIPE-61</v>
      </c>
      <c r="B5417" s="5" t="s">
        <v>3518</v>
      </c>
      <c r="C5417" s="5" t="s">
        <v>5265</v>
      </c>
      <c r="D5417" s="6">
        <v>-372082</v>
      </c>
      <c r="E5417" s="6">
        <v>-110097</v>
      </c>
      <c r="F5417" s="7">
        <v>5.3529999999999998</v>
      </c>
      <c r="G5417" s="7">
        <v>6.2629999999999999</v>
      </c>
      <c r="H5417" s="7">
        <v>6.1619999999999999</v>
      </c>
      <c r="I5417" s="7">
        <v>6.0119999999999996</v>
      </c>
      <c r="J5417" s="7">
        <v>5.0170000000000003</v>
      </c>
      <c r="K5417" s="7">
        <v>4.2610000000000001</v>
      </c>
      <c r="L5417" s="7">
        <v>3.9729999999999999</v>
      </c>
      <c r="M5417" s="7">
        <v>4.0780000000000003</v>
      </c>
      <c r="N5417" s="7">
        <v>4.6210000000000004</v>
      </c>
      <c r="O5417" s="7">
        <v>5.3849999999999998</v>
      </c>
      <c r="P5417" s="7">
        <v>5.7969999999999997</v>
      </c>
      <c r="Q5417" s="7">
        <v>6.2779999999999996</v>
      </c>
      <c r="R5417" s="7">
        <v>6.3810000000000002</v>
      </c>
      <c r="S5417" s="7">
        <f t="shared" si="84"/>
        <v>5.3523333333333332</v>
      </c>
    </row>
    <row r="5418" spans="1:19">
      <c r="A5418" s="5" t="str">
        <f>B5418&amp;"-"&amp;COUNTIF($B$2:B5418,B5418)</f>
        <v>SERGIPE-62</v>
      </c>
      <c r="B5418" s="5" t="s">
        <v>3518</v>
      </c>
      <c r="C5418" s="5" t="s">
        <v>3917</v>
      </c>
      <c r="D5418" s="6">
        <v>-375688</v>
      </c>
      <c r="E5418" s="6">
        <v>-107921</v>
      </c>
      <c r="F5418" s="7">
        <v>5.242</v>
      </c>
      <c r="G5418" s="7">
        <v>6.117</v>
      </c>
      <c r="H5418" s="7">
        <v>5.931</v>
      </c>
      <c r="I5418" s="7">
        <v>5.7770000000000001</v>
      </c>
      <c r="J5418" s="7">
        <v>4.9580000000000002</v>
      </c>
      <c r="K5418" s="7">
        <v>4.194</v>
      </c>
      <c r="L5418" s="7">
        <v>3.9169999999999998</v>
      </c>
      <c r="M5418" s="7">
        <v>4.0380000000000003</v>
      </c>
      <c r="N5418" s="7">
        <v>4.5339999999999998</v>
      </c>
      <c r="O5418" s="7">
        <v>5.3789999999999996</v>
      </c>
      <c r="P5418" s="7">
        <v>5.6719999999999997</v>
      </c>
      <c r="Q5418" s="7">
        <v>6.1509999999999998</v>
      </c>
      <c r="R5418" s="7">
        <v>6.2309999999999999</v>
      </c>
      <c r="S5418" s="7">
        <f t="shared" si="84"/>
        <v>5.2415833333333328</v>
      </c>
    </row>
    <row r="5419" spans="1:19">
      <c r="A5419" s="5" t="str">
        <f>B5419&amp;"-"&amp;COUNTIF($B$2:B5419,B5419)</f>
        <v>SERGIPE-63</v>
      </c>
      <c r="B5419" s="5" t="s">
        <v>3518</v>
      </c>
      <c r="C5419" s="5" t="s">
        <v>4011</v>
      </c>
      <c r="D5419" s="6">
        <v>-368837</v>
      </c>
      <c r="E5419" s="6">
        <v>-103453</v>
      </c>
      <c r="F5419" s="7">
        <v>5.2560000000000002</v>
      </c>
      <c r="G5419" s="7">
        <v>5.9889999999999999</v>
      </c>
      <c r="H5419" s="7">
        <v>5.7880000000000003</v>
      </c>
      <c r="I5419" s="7">
        <v>5.7450000000000001</v>
      </c>
      <c r="J5419" s="7">
        <v>4.9379999999999997</v>
      </c>
      <c r="K5419" s="7">
        <v>4.218</v>
      </c>
      <c r="L5419" s="7">
        <v>4.0030000000000001</v>
      </c>
      <c r="M5419" s="7">
        <v>4.0510000000000002</v>
      </c>
      <c r="N5419" s="7">
        <v>4.6020000000000003</v>
      </c>
      <c r="O5419" s="7">
        <v>5.4210000000000003</v>
      </c>
      <c r="P5419" s="7">
        <v>5.8079999999999998</v>
      </c>
      <c r="Q5419" s="7">
        <v>6.2430000000000003</v>
      </c>
      <c r="R5419" s="7">
        <v>6.2679999999999998</v>
      </c>
      <c r="S5419" s="7">
        <f t="shared" si="84"/>
        <v>5.2561666666666671</v>
      </c>
    </row>
    <row r="5420" spans="1:19">
      <c r="A5420" s="5" t="str">
        <f>B5420&amp;"-"&amp;COUNTIF($B$2:B5420,B5420)</f>
        <v>SERGIPE-64</v>
      </c>
      <c r="B5420" s="5" t="s">
        <v>3518</v>
      </c>
      <c r="C5420" s="5" t="s">
        <v>4256</v>
      </c>
      <c r="D5420" s="6">
        <v>-373825</v>
      </c>
      <c r="E5420" s="6">
        <v>-103887</v>
      </c>
      <c r="F5420" s="7">
        <v>5.2569999999999997</v>
      </c>
      <c r="G5420" s="7">
        <v>6.0170000000000003</v>
      </c>
      <c r="H5420" s="7">
        <v>5.9180000000000001</v>
      </c>
      <c r="I5420" s="7">
        <v>5.75</v>
      </c>
      <c r="J5420" s="7">
        <v>5.0460000000000003</v>
      </c>
      <c r="K5420" s="7">
        <v>4.2439999999999998</v>
      </c>
      <c r="L5420" s="7">
        <v>4.03</v>
      </c>
      <c r="M5420" s="7">
        <v>4.093</v>
      </c>
      <c r="N5420" s="7">
        <v>4.6909999999999998</v>
      </c>
      <c r="O5420" s="7">
        <v>5.3970000000000002</v>
      </c>
      <c r="P5420" s="7">
        <v>5.6420000000000003</v>
      </c>
      <c r="Q5420" s="7">
        <v>6.157</v>
      </c>
      <c r="R5420" s="7">
        <v>6.1029999999999998</v>
      </c>
      <c r="S5420" s="7">
        <f t="shared" si="84"/>
        <v>5.2573333333333334</v>
      </c>
    </row>
    <row r="5421" spans="1:19">
      <c r="A5421" s="5" t="str">
        <f>B5421&amp;"-"&amp;COUNTIF($B$2:B5421,B5421)</f>
        <v>SERGIPE-65</v>
      </c>
      <c r="B5421" s="5" t="s">
        <v>3518</v>
      </c>
      <c r="C5421" s="5" t="s">
        <v>3557</v>
      </c>
      <c r="D5421" s="6">
        <v>-374763</v>
      </c>
      <c r="E5421" s="6">
        <v>-110268</v>
      </c>
      <c r="F5421" s="7">
        <v>5.2679999999999998</v>
      </c>
      <c r="G5421" s="7">
        <v>6.1870000000000003</v>
      </c>
      <c r="H5421" s="7">
        <v>5.99</v>
      </c>
      <c r="I5421" s="7">
        <v>5.9050000000000002</v>
      </c>
      <c r="J5421" s="7">
        <v>4.984</v>
      </c>
      <c r="K5421" s="7">
        <v>4.1749999999999998</v>
      </c>
      <c r="L5421" s="7">
        <v>3.952</v>
      </c>
      <c r="M5421" s="7">
        <v>4.0060000000000002</v>
      </c>
      <c r="N5421" s="7">
        <v>4.5449999999999999</v>
      </c>
      <c r="O5421" s="7">
        <v>5.3390000000000004</v>
      </c>
      <c r="P5421" s="7">
        <v>5.681</v>
      </c>
      <c r="Q5421" s="7">
        <v>6.1909999999999998</v>
      </c>
      <c r="R5421" s="7">
        <v>6.2569999999999997</v>
      </c>
      <c r="S5421" s="7">
        <f t="shared" si="84"/>
        <v>5.2676666666666669</v>
      </c>
    </row>
    <row r="5422" spans="1:19">
      <c r="A5422" s="5" t="str">
        <f>B5422&amp;"-"&amp;COUNTIF($B$2:B5422,B5422)</f>
        <v>SERGIPE-66</v>
      </c>
      <c r="B5422" s="5" t="s">
        <v>3518</v>
      </c>
      <c r="C5422" s="5" t="s">
        <v>3558</v>
      </c>
      <c r="D5422" s="6">
        <v>-374612</v>
      </c>
      <c r="E5422" s="6">
        <v>-113512</v>
      </c>
      <c r="F5422" s="7">
        <v>5.3470000000000004</v>
      </c>
      <c r="G5422" s="7">
        <v>6.3819999999999997</v>
      </c>
      <c r="H5422" s="7">
        <v>6.1210000000000004</v>
      </c>
      <c r="I5422" s="7">
        <v>5.9980000000000002</v>
      </c>
      <c r="J5422" s="7">
        <v>5.0209999999999999</v>
      </c>
      <c r="K5422" s="7">
        <v>4.226</v>
      </c>
      <c r="L5422" s="7">
        <v>3.956</v>
      </c>
      <c r="M5422" s="7">
        <v>4.0759999999999996</v>
      </c>
      <c r="N5422" s="7">
        <v>4.5830000000000002</v>
      </c>
      <c r="O5422" s="7">
        <v>5.3449999999999998</v>
      </c>
      <c r="P5422" s="7">
        <v>5.73</v>
      </c>
      <c r="Q5422" s="7">
        <v>6.2530000000000001</v>
      </c>
      <c r="R5422" s="7">
        <v>6.4720000000000004</v>
      </c>
      <c r="S5422" s="7">
        <f t="shared" si="84"/>
        <v>5.3469166666666661</v>
      </c>
    </row>
    <row r="5423" spans="1:19">
      <c r="A5423" s="5" t="str">
        <f>B5423&amp;"-"&amp;COUNTIF($B$2:B5423,B5423)</f>
        <v>SERGIPE-67</v>
      </c>
      <c r="B5423" s="5" t="s">
        <v>3518</v>
      </c>
      <c r="C5423" s="5" t="s">
        <v>3095</v>
      </c>
      <c r="D5423" s="6">
        <v>-371934</v>
      </c>
      <c r="E5423" s="6">
        <v>-106438</v>
      </c>
      <c r="F5423" s="7">
        <v>5.2880000000000003</v>
      </c>
      <c r="G5423" s="7">
        <v>6.1920000000000002</v>
      </c>
      <c r="H5423" s="7">
        <v>5.9969999999999999</v>
      </c>
      <c r="I5423" s="7">
        <v>5.8650000000000002</v>
      </c>
      <c r="J5423" s="7">
        <v>5.048</v>
      </c>
      <c r="K5423" s="7">
        <v>4.2539999999999996</v>
      </c>
      <c r="L5423" s="7">
        <v>3.9710000000000001</v>
      </c>
      <c r="M5423" s="7">
        <v>4.0549999999999997</v>
      </c>
      <c r="N5423" s="7">
        <v>4.6079999999999997</v>
      </c>
      <c r="O5423" s="7">
        <v>5.3579999999999997</v>
      </c>
      <c r="P5423" s="7">
        <v>5.7030000000000003</v>
      </c>
      <c r="Q5423" s="7">
        <v>6.1970000000000001</v>
      </c>
      <c r="R5423" s="7">
        <v>6.2089999999999996</v>
      </c>
      <c r="S5423" s="7">
        <f t="shared" si="84"/>
        <v>5.2880833333333337</v>
      </c>
    </row>
    <row r="5424" spans="1:19">
      <c r="A5424" s="5" t="str">
        <f>B5424&amp;"-"&amp;COUNTIF($B$2:B5424,B5424)</f>
        <v>SERGIPE-68</v>
      </c>
      <c r="B5424" s="5" t="s">
        <v>3518</v>
      </c>
      <c r="C5424" s="5" t="s">
        <v>4257</v>
      </c>
      <c r="D5424" s="6">
        <v>-366122</v>
      </c>
      <c r="E5424" s="6">
        <v>-102913</v>
      </c>
      <c r="F5424" s="7">
        <v>5.3840000000000003</v>
      </c>
      <c r="G5424" s="7">
        <v>6.1319999999999997</v>
      </c>
      <c r="H5424" s="7">
        <v>6.0609999999999999</v>
      </c>
      <c r="I5424" s="7">
        <v>5.931</v>
      </c>
      <c r="J5424" s="7">
        <v>5.07</v>
      </c>
      <c r="K5424" s="7">
        <v>4.3099999999999996</v>
      </c>
      <c r="L5424" s="7">
        <v>4.0590000000000002</v>
      </c>
      <c r="M5424" s="7">
        <v>4.1399999999999997</v>
      </c>
      <c r="N5424" s="7">
        <v>4.7149999999999999</v>
      </c>
      <c r="O5424" s="7">
        <v>5.5220000000000002</v>
      </c>
      <c r="P5424" s="7">
        <v>5.944</v>
      </c>
      <c r="Q5424" s="7">
        <v>6.3630000000000004</v>
      </c>
      <c r="R5424" s="7">
        <v>6.3540000000000001</v>
      </c>
      <c r="S5424" s="7">
        <f t="shared" si="84"/>
        <v>5.3834166666666663</v>
      </c>
    </row>
    <row r="5425" spans="1:19">
      <c r="A5425" s="5" t="str">
        <f>B5425&amp;"-"&amp;COUNTIF($B$2:B5425,B5425)</f>
        <v>SERGIPE-69</v>
      </c>
      <c r="B5425" s="5" t="s">
        <v>3518</v>
      </c>
      <c r="C5425" s="5" t="s">
        <v>3559</v>
      </c>
      <c r="D5425" s="6">
        <v>-370534</v>
      </c>
      <c r="E5425" s="6">
        <v>-107885</v>
      </c>
      <c r="F5425" s="7">
        <v>5.4370000000000003</v>
      </c>
      <c r="G5425" s="7">
        <v>6.282</v>
      </c>
      <c r="H5425" s="7">
        <v>6.2770000000000001</v>
      </c>
      <c r="I5425" s="7">
        <v>6.0960000000000001</v>
      </c>
      <c r="J5425" s="7">
        <v>5.0730000000000004</v>
      </c>
      <c r="K5425" s="7">
        <v>4.3339999999999996</v>
      </c>
      <c r="L5425" s="7">
        <v>4.0010000000000003</v>
      </c>
      <c r="M5425" s="7">
        <v>4.1079999999999997</v>
      </c>
      <c r="N5425" s="7">
        <v>4.6879999999999997</v>
      </c>
      <c r="O5425" s="7">
        <v>5.492</v>
      </c>
      <c r="P5425" s="7">
        <v>5.9649999999999999</v>
      </c>
      <c r="Q5425" s="7">
        <v>6.4059999999999997</v>
      </c>
      <c r="R5425" s="7">
        <v>6.516</v>
      </c>
      <c r="S5425" s="7">
        <f t="shared" si="84"/>
        <v>5.4364999999999997</v>
      </c>
    </row>
    <row r="5426" spans="1:19">
      <c r="A5426" s="5" t="str">
        <f>B5426&amp;"-"&amp;COUNTIF($B$2:B5426,B5426)</f>
        <v>SERGIPE-70</v>
      </c>
      <c r="B5426" s="5" t="s">
        <v>3518</v>
      </c>
      <c r="C5426" s="5" t="s">
        <v>4258</v>
      </c>
      <c r="D5426" s="6">
        <v>-378101</v>
      </c>
      <c r="E5426" s="6">
        <v>-107391</v>
      </c>
      <c r="F5426" s="7">
        <v>5.2190000000000003</v>
      </c>
      <c r="G5426" s="7">
        <v>6.1120000000000001</v>
      </c>
      <c r="H5426" s="7">
        <v>5.827</v>
      </c>
      <c r="I5426" s="7">
        <v>5.7619999999999996</v>
      </c>
      <c r="J5426" s="7">
        <v>5.0839999999999996</v>
      </c>
      <c r="K5426" s="7">
        <v>4.2530000000000001</v>
      </c>
      <c r="L5426" s="7">
        <v>3.8660000000000001</v>
      </c>
      <c r="M5426" s="7">
        <v>4.0330000000000004</v>
      </c>
      <c r="N5426" s="7">
        <v>4.5540000000000003</v>
      </c>
      <c r="O5426" s="7">
        <v>5.2789999999999999</v>
      </c>
      <c r="P5426" s="7">
        <v>5.59</v>
      </c>
      <c r="Q5426" s="7">
        <v>6.1479999999999997</v>
      </c>
      <c r="R5426" s="7">
        <v>6.1180000000000003</v>
      </c>
      <c r="S5426" s="7">
        <f t="shared" si="84"/>
        <v>5.2188333333333334</v>
      </c>
    </row>
    <row r="5427" spans="1:19">
      <c r="A5427" s="5" t="str">
        <f>B5427&amp;"-"&amp;COUNTIF($B$2:B5427,B5427)</f>
        <v>SERGIPE-71</v>
      </c>
      <c r="B5427" s="5" t="s">
        <v>3518</v>
      </c>
      <c r="C5427" s="5" t="s">
        <v>3560</v>
      </c>
      <c r="D5427" s="6">
        <v>-371135</v>
      </c>
      <c r="E5427" s="6">
        <v>-106045</v>
      </c>
      <c r="F5427" s="7">
        <v>5.2880000000000003</v>
      </c>
      <c r="G5427" s="7">
        <v>6.1920000000000002</v>
      </c>
      <c r="H5427" s="7">
        <v>5.9969999999999999</v>
      </c>
      <c r="I5427" s="7">
        <v>5.8650000000000002</v>
      </c>
      <c r="J5427" s="7">
        <v>5.048</v>
      </c>
      <c r="K5427" s="7">
        <v>4.2539999999999996</v>
      </c>
      <c r="L5427" s="7">
        <v>3.9710000000000001</v>
      </c>
      <c r="M5427" s="7">
        <v>4.0549999999999997</v>
      </c>
      <c r="N5427" s="7">
        <v>4.6079999999999997</v>
      </c>
      <c r="O5427" s="7">
        <v>5.3579999999999997</v>
      </c>
      <c r="P5427" s="7">
        <v>5.7030000000000003</v>
      </c>
      <c r="Q5427" s="7">
        <v>6.1970000000000001</v>
      </c>
      <c r="R5427" s="7">
        <v>6.2089999999999996</v>
      </c>
      <c r="S5427" s="7">
        <f t="shared" si="84"/>
        <v>5.2880833333333337</v>
      </c>
    </row>
    <row r="5428" spans="1:19">
      <c r="A5428" s="5" t="str">
        <f>B5428&amp;"-"&amp;COUNTIF($B$2:B5428,B5428)</f>
        <v>SERGIPE-72</v>
      </c>
      <c r="B5428" s="5" t="s">
        <v>3518</v>
      </c>
      <c r="C5428" s="5" t="s">
        <v>3561</v>
      </c>
      <c r="D5428" s="6">
        <v>-368821</v>
      </c>
      <c r="E5428" s="6">
        <v>-102069</v>
      </c>
      <c r="F5428" s="7">
        <v>5.4340000000000002</v>
      </c>
      <c r="G5428" s="7">
        <v>6.3330000000000002</v>
      </c>
      <c r="H5428" s="7">
        <v>6.1180000000000003</v>
      </c>
      <c r="I5428" s="7">
        <v>5.9960000000000004</v>
      </c>
      <c r="J5428" s="7">
        <v>5.2389999999999999</v>
      </c>
      <c r="K5428" s="7">
        <v>4.3490000000000002</v>
      </c>
      <c r="L5428" s="7">
        <v>4.101</v>
      </c>
      <c r="M5428" s="7">
        <v>4.1509999999999998</v>
      </c>
      <c r="N5428" s="7">
        <v>4.7160000000000002</v>
      </c>
      <c r="O5428" s="7">
        <v>5.5380000000000003</v>
      </c>
      <c r="P5428" s="7">
        <v>5.9029999999999996</v>
      </c>
      <c r="Q5428" s="7">
        <v>6.3490000000000002</v>
      </c>
      <c r="R5428" s="7">
        <v>6.4080000000000004</v>
      </c>
      <c r="S5428" s="7">
        <f t="shared" si="84"/>
        <v>5.433416666666667</v>
      </c>
    </row>
    <row r="5429" spans="1:19">
      <c r="A5429" s="5" t="str">
        <f>B5429&amp;"-"&amp;COUNTIF($B$2:B5429,B5429)</f>
        <v>SERGIPE-73</v>
      </c>
      <c r="B5429" s="5" t="s">
        <v>3518</v>
      </c>
      <c r="C5429" s="5" t="s">
        <v>3562</v>
      </c>
      <c r="D5429" s="6">
        <v>-379998</v>
      </c>
      <c r="E5429" s="6">
        <v>-111802</v>
      </c>
      <c r="F5429" s="7">
        <v>5.1829999999999998</v>
      </c>
      <c r="G5429" s="7">
        <v>6.141</v>
      </c>
      <c r="H5429" s="7">
        <v>5.8879999999999999</v>
      </c>
      <c r="I5429" s="7">
        <v>5.8179999999999996</v>
      </c>
      <c r="J5429" s="7">
        <v>4.9390000000000001</v>
      </c>
      <c r="K5429" s="7">
        <v>4.1360000000000001</v>
      </c>
      <c r="L5429" s="7">
        <v>3.839</v>
      </c>
      <c r="M5429" s="7">
        <v>4.0430000000000001</v>
      </c>
      <c r="N5429" s="7">
        <v>4.524</v>
      </c>
      <c r="O5429" s="7">
        <v>5.2030000000000003</v>
      </c>
      <c r="P5429" s="7">
        <v>5.5839999999999996</v>
      </c>
      <c r="Q5429" s="7">
        <v>5.9950000000000001</v>
      </c>
      <c r="R5429" s="7">
        <v>6.0880000000000001</v>
      </c>
      <c r="S5429" s="7">
        <f t="shared" si="84"/>
        <v>5.1831666666666676</v>
      </c>
    </row>
    <row r="5430" spans="1:19">
      <c r="A5430" s="5" t="str">
        <f>B5430&amp;"-"&amp;COUNTIF($B$2:B5430,B5430)</f>
        <v>SERGIPE-74</v>
      </c>
      <c r="B5430" s="5" t="s">
        <v>3518</v>
      </c>
      <c r="C5430" s="5" t="s">
        <v>3563</v>
      </c>
      <c r="D5430" s="6">
        <v>-378437</v>
      </c>
      <c r="E5430" s="6">
        <v>-113698</v>
      </c>
      <c r="F5430" s="7">
        <v>5.2149999999999999</v>
      </c>
      <c r="G5430" s="7">
        <v>6.1779999999999999</v>
      </c>
      <c r="H5430" s="7">
        <v>5.9870000000000001</v>
      </c>
      <c r="I5430" s="7">
        <v>5.7729999999999997</v>
      </c>
      <c r="J5430" s="7">
        <v>4.8620000000000001</v>
      </c>
      <c r="K5430" s="7">
        <v>4.133</v>
      </c>
      <c r="L5430" s="7">
        <v>3.9169999999999998</v>
      </c>
      <c r="M5430" s="7">
        <v>4.0519999999999996</v>
      </c>
      <c r="N5430" s="7">
        <v>4.5279999999999996</v>
      </c>
      <c r="O5430" s="7">
        <v>5.2839999999999998</v>
      </c>
      <c r="P5430" s="7">
        <v>5.6379999999999999</v>
      </c>
      <c r="Q5430" s="7">
        <v>6.0090000000000003</v>
      </c>
      <c r="R5430" s="7">
        <v>6.2169999999999996</v>
      </c>
      <c r="S5430" s="7">
        <f t="shared" si="84"/>
        <v>5.2148333333333321</v>
      </c>
    </row>
    <row r="5431" spans="1:19">
      <c r="A5431" s="5" t="str">
        <f>B5431&amp;"-"&amp;COUNTIF($B$2:B5431,B5431)</f>
        <v>SERGIPE-75</v>
      </c>
      <c r="B5431" s="5" t="s">
        <v>3518</v>
      </c>
      <c r="C5431" s="5" t="s">
        <v>4896</v>
      </c>
      <c r="D5431" s="6">
        <v>-376615</v>
      </c>
      <c r="E5431" s="6">
        <v>-113834</v>
      </c>
      <c r="F5431" s="7">
        <v>5.2720000000000002</v>
      </c>
      <c r="G5431" s="7">
        <v>6.2530000000000001</v>
      </c>
      <c r="H5431" s="7">
        <v>6.0679999999999996</v>
      </c>
      <c r="I5431" s="7">
        <v>5.9539999999999997</v>
      </c>
      <c r="J5431" s="7">
        <v>4.93</v>
      </c>
      <c r="K5431" s="7">
        <v>4.1959999999999997</v>
      </c>
      <c r="L5431" s="7">
        <v>3.927</v>
      </c>
      <c r="M5431" s="7">
        <v>4.0949999999999998</v>
      </c>
      <c r="N5431" s="7">
        <v>4.5279999999999996</v>
      </c>
      <c r="O5431" s="7">
        <v>5.2560000000000002</v>
      </c>
      <c r="P5431" s="7">
        <v>5.665</v>
      </c>
      <c r="Q5431" s="7">
        <v>6.0990000000000002</v>
      </c>
      <c r="R5431" s="7">
        <v>6.298</v>
      </c>
      <c r="S5431" s="7">
        <f t="shared" si="84"/>
        <v>5.2724166666666656</v>
      </c>
    </row>
    <row r="5432" spans="1:19">
      <c r="A5432" s="5" t="str">
        <f>B5432&amp;"-"&amp;COUNTIF($B$2:B5432,B5432)</f>
        <v>TOCANTINS-1</v>
      </c>
      <c r="B5432" s="5" t="s">
        <v>3564</v>
      </c>
      <c r="C5432" s="5" t="s">
        <v>5039</v>
      </c>
      <c r="D5432" s="6">
        <v>-491565</v>
      </c>
      <c r="E5432" s="6">
        <v>-96222</v>
      </c>
      <c r="F5432" s="7">
        <v>5.125</v>
      </c>
      <c r="G5432" s="7">
        <v>4.9279999999999999</v>
      </c>
      <c r="H5432" s="7">
        <v>4.9329999999999998</v>
      </c>
      <c r="I5432" s="7">
        <v>4.7409999999999997</v>
      </c>
      <c r="J5432" s="7">
        <v>4.7460000000000004</v>
      </c>
      <c r="K5432" s="7">
        <v>4.9539999999999997</v>
      </c>
      <c r="L5432" s="7">
        <v>5.0759999999999996</v>
      </c>
      <c r="M5432" s="7">
        <v>5.3520000000000003</v>
      </c>
      <c r="N5432" s="7">
        <v>5.9829999999999997</v>
      </c>
      <c r="O5432" s="7">
        <v>5.6059999999999999</v>
      </c>
      <c r="P5432" s="7">
        <v>5.1689999999999996</v>
      </c>
      <c r="Q5432" s="7">
        <v>5.0679999999999996</v>
      </c>
      <c r="R5432" s="7">
        <v>4.9470000000000001</v>
      </c>
      <c r="S5432" s="7">
        <f t="shared" si="84"/>
        <v>5.1252500000000003</v>
      </c>
    </row>
    <row r="5433" spans="1:19">
      <c r="A5433" s="5" t="str">
        <f>B5433&amp;"-"&amp;COUNTIF($B$2:B5433,B5433)</f>
        <v>TOCANTINS-2</v>
      </c>
      <c r="B5433" s="5" t="s">
        <v>3564</v>
      </c>
      <c r="C5433" s="5" t="s">
        <v>5266</v>
      </c>
      <c r="D5433" s="6">
        <v>-474771</v>
      </c>
      <c r="E5433" s="6">
        <v>-65601</v>
      </c>
      <c r="F5433" s="7">
        <v>5.1559999999999997</v>
      </c>
      <c r="G5433" s="7">
        <v>4.8179999999999996</v>
      </c>
      <c r="H5433" s="7">
        <v>4.9009999999999998</v>
      </c>
      <c r="I5433" s="7">
        <v>4.8940000000000001</v>
      </c>
      <c r="J5433" s="7">
        <v>4.9160000000000004</v>
      </c>
      <c r="K5433" s="7">
        <v>4.9349999999999996</v>
      </c>
      <c r="L5433" s="7">
        <v>5.2210000000000001</v>
      </c>
      <c r="M5433" s="7">
        <v>5.42</v>
      </c>
      <c r="N5433" s="7">
        <v>5.8840000000000003</v>
      </c>
      <c r="O5433" s="7">
        <v>5.9029999999999996</v>
      </c>
      <c r="P5433" s="7">
        <v>5.3470000000000004</v>
      </c>
      <c r="Q5433" s="7">
        <v>4.8609999999999998</v>
      </c>
      <c r="R5433" s="7">
        <v>4.7729999999999997</v>
      </c>
      <c r="S5433" s="7">
        <f t="shared" si="84"/>
        <v>5.1560833333333322</v>
      </c>
    </row>
    <row r="5434" spans="1:19">
      <c r="A5434" s="5" t="str">
        <f>B5434&amp;"-"&amp;COUNTIF($B$2:B5434,B5434)</f>
        <v>TOCANTINS-3</v>
      </c>
      <c r="B5434" s="5" t="s">
        <v>3564</v>
      </c>
      <c r="C5434" s="5" t="s">
        <v>4803</v>
      </c>
      <c r="D5434" s="6">
        <v>-489365</v>
      </c>
      <c r="E5434" s="6">
        <v>-11306</v>
      </c>
      <c r="F5434" s="7">
        <v>5.2830000000000004</v>
      </c>
      <c r="G5434" s="7">
        <v>5.2060000000000004</v>
      </c>
      <c r="H5434" s="7">
        <v>5.2930000000000001</v>
      </c>
      <c r="I5434" s="7">
        <v>4.9269999999999996</v>
      </c>
      <c r="J5434" s="7">
        <v>4.9960000000000004</v>
      </c>
      <c r="K5434" s="7">
        <v>5.0110000000000001</v>
      </c>
      <c r="L5434" s="7">
        <v>4.9660000000000002</v>
      </c>
      <c r="M5434" s="7">
        <v>5.3220000000000001</v>
      </c>
      <c r="N5434" s="7">
        <v>5.93</v>
      </c>
      <c r="O5434" s="7">
        <v>5.7389999999999999</v>
      </c>
      <c r="P5434" s="7">
        <v>5.4669999999999996</v>
      </c>
      <c r="Q5434" s="7">
        <v>5.26</v>
      </c>
      <c r="R5434" s="7">
        <v>5.274</v>
      </c>
      <c r="S5434" s="7">
        <f t="shared" si="84"/>
        <v>5.2825833333333332</v>
      </c>
    </row>
    <row r="5435" spans="1:19">
      <c r="A5435" s="5" t="str">
        <f>B5435&amp;"-"&amp;COUNTIF($B$2:B5435,B5435)</f>
        <v>TOCANTINS-4</v>
      </c>
      <c r="B5435" s="5" t="s">
        <v>3564</v>
      </c>
      <c r="C5435" s="5" t="s">
        <v>3565</v>
      </c>
      <c r="D5435" s="6">
        <v>-471662</v>
      </c>
      <c r="E5435" s="6">
        <v>-115678</v>
      </c>
      <c r="F5435" s="7">
        <v>5.5350000000000001</v>
      </c>
      <c r="G5435" s="7">
        <v>5.649</v>
      </c>
      <c r="H5435" s="7">
        <v>5.532</v>
      </c>
      <c r="I5435" s="7">
        <v>5.1909999999999998</v>
      </c>
      <c r="J5435" s="7">
        <v>5.2350000000000003</v>
      </c>
      <c r="K5435" s="7">
        <v>5.2850000000000001</v>
      </c>
      <c r="L5435" s="7">
        <v>5.1630000000000003</v>
      </c>
      <c r="M5435" s="7">
        <v>5.4210000000000003</v>
      </c>
      <c r="N5435" s="7">
        <v>6.08</v>
      </c>
      <c r="O5435" s="7">
        <v>6.125</v>
      </c>
      <c r="P5435" s="7">
        <v>5.7460000000000004</v>
      </c>
      <c r="Q5435" s="7">
        <v>5.4210000000000003</v>
      </c>
      <c r="R5435" s="7">
        <v>5.5750000000000002</v>
      </c>
      <c r="S5435" s="7">
        <f t="shared" si="84"/>
        <v>5.5352500000000004</v>
      </c>
    </row>
    <row r="5436" spans="1:19">
      <c r="A5436" s="5" t="str">
        <f>B5436&amp;"-"&amp;COUNTIF($B$2:B5436,B5436)</f>
        <v>TOCANTINS-5</v>
      </c>
      <c r="B5436" s="5" t="s">
        <v>3564</v>
      </c>
      <c r="C5436" s="5" t="s">
        <v>2563</v>
      </c>
      <c r="D5436" s="6">
        <v>-491253</v>
      </c>
      <c r="E5436" s="6">
        <v>-124789</v>
      </c>
      <c r="F5436" s="7">
        <v>5.3239999999999998</v>
      </c>
      <c r="G5436" s="7">
        <v>5.4240000000000004</v>
      </c>
      <c r="H5436" s="7">
        <v>5.4370000000000003</v>
      </c>
      <c r="I5436" s="7">
        <v>5.1539999999999999</v>
      </c>
      <c r="J5436" s="7">
        <v>5.1429999999999998</v>
      </c>
      <c r="K5436" s="7">
        <v>5.0129999999999999</v>
      </c>
      <c r="L5436" s="7">
        <v>4.88</v>
      </c>
      <c r="M5436" s="7">
        <v>5.1879999999999997</v>
      </c>
      <c r="N5436" s="7">
        <v>5.7190000000000003</v>
      </c>
      <c r="O5436" s="7">
        <v>5.7809999999999997</v>
      </c>
      <c r="P5436" s="7">
        <v>5.5830000000000002</v>
      </c>
      <c r="Q5436" s="7">
        <v>5.2110000000000003</v>
      </c>
      <c r="R5436" s="7">
        <v>5.3570000000000002</v>
      </c>
      <c r="S5436" s="7">
        <f t="shared" si="84"/>
        <v>5.3241666666666658</v>
      </c>
    </row>
    <row r="5437" spans="1:19">
      <c r="A5437" s="5" t="str">
        <f>B5437&amp;"-"&amp;COUNTIF($B$2:B5437,B5437)</f>
        <v>TOCANTINS-6</v>
      </c>
      <c r="B5437" s="5" t="s">
        <v>3564</v>
      </c>
      <c r="C5437" s="5" t="s">
        <v>5800</v>
      </c>
      <c r="D5437" s="6">
        <v>-480738</v>
      </c>
      <c r="E5437" s="6">
        <v>-63648</v>
      </c>
      <c r="F5437" s="7">
        <v>4.95</v>
      </c>
      <c r="G5437" s="7">
        <v>4.5250000000000004</v>
      </c>
      <c r="H5437" s="7">
        <v>4.6989999999999998</v>
      </c>
      <c r="I5437" s="7">
        <v>4.6219999999999999</v>
      </c>
      <c r="J5437" s="7">
        <v>4.657</v>
      </c>
      <c r="K5437" s="7">
        <v>4.843</v>
      </c>
      <c r="L5437" s="7">
        <v>5.1420000000000003</v>
      </c>
      <c r="M5437" s="7">
        <v>5.33</v>
      </c>
      <c r="N5437" s="7">
        <v>5.8259999999999996</v>
      </c>
      <c r="O5437" s="7">
        <v>5.673</v>
      </c>
      <c r="P5437" s="7">
        <v>4.9909999999999997</v>
      </c>
      <c r="Q5437" s="7">
        <v>4.6079999999999997</v>
      </c>
      <c r="R5437" s="7">
        <v>4.484</v>
      </c>
      <c r="S5437" s="7">
        <f t="shared" si="84"/>
        <v>4.95</v>
      </c>
    </row>
    <row r="5438" spans="1:19">
      <c r="A5438" s="5" t="str">
        <f>B5438&amp;"-"&amp;COUNTIF($B$2:B5438,B5438)</f>
        <v>TOCANTINS-7</v>
      </c>
      <c r="B5438" s="5" t="s">
        <v>3564</v>
      </c>
      <c r="C5438" s="5" t="s">
        <v>3566</v>
      </c>
      <c r="D5438" s="6">
        <v>-478615</v>
      </c>
      <c r="E5438" s="6">
        <v>-63922</v>
      </c>
      <c r="F5438" s="7">
        <v>5.0199999999999996</v>
      </c>
      <c r="G5438" s="7">
        <v>4.6070000000000002</v>
      </c>
      <c r="H5438" s="7">
        <v>4.8090000000000002</v>
      </c>
      <c r="I5438" s="7">
        <v>4.7450000000000001</v>
      </c>
      <c r="J5438" s="7">
        <v>4.8</v>
      </c>
      <c r="K5438" s="7">
        <v>4.915</v>
      </c>
      <c r="L5438" s="7">
        <v>5.2229999999999999</v>
      </c>
      <c r="M5438" s="7">
        <v>5.3940000000000001</v>
      </c>
      <c r="N5438" s="7">
        <v>5.8689999999999998</v>
      </c>
      <c r="O5438" s="7">
        <v>5.6749999999999998</v>
      </c>
      <c r="P5438" s="7">
        <v>4.9960000000000004</v>
      </c>
      <c r="Q5438" s="7">
        <v>4.6539999999999999</v>
      </c>
      <c r="R5438" s="7">
        <v>4.556</v>
      </c>
      <c r="S5438" s="7">
        <f t="shared" si="84"/>
        <v>5.0202499999999999</v>
      </c>
    </row>
    <row r="5439" spans="1:19">
      <c r="A5439" s="5" t="str">
        <f>B5439&amp;"-"&amp;COUNTIF($B$2:B5439,B5439)</f>
        <v>TOCANTINS-8</v>
      </c>
      <c r="B5439" s="5" t="s">
        <v>3564</v>
      </c>
      <c r="C5439" s="5" t="s">
        <v>3567</v>
      </c>
      <c r="D5439" s="6">
        <v>-47972</v>
      </c>
      <c r="E5439" s="6">
        <v>-99528</v>
      </c>
      <c r="F5439" s="7">
        <v>5.3010000000000002</v>
      </c>
      <c r="G5439" s="7">
        <v>5.1959999999999997</v>
      </c>
      <c r="H5439" s="7">
        <v>5.1989999999999998</v>
      </c>
      <c r="I5439" s="7">
        <v>5.0069999999999997</v>
      </c>
      <c r="J5439" s="7">
        <v>5.0119999999999996</v>
      </c>
      <c r="K5439" s="7">
        <v>5.1159999999999997</v>
      </c>
      <c r="L5439" s="7">
        <v>5.0620000000000003</v>
      </c>
      <c r="M5439" s="7">
        <v>5.3150000000000004</v>
      </c>
      <c r="N5439" s="7">
        <v>6.06</v>
      </c>
      <c r="O5439" s="7">
        <v>5.8540000000000001</v>
      </c>
      <c r="P5439" s="7">
        <v>5.4349999999999996</v>
      </c>
      <c r="Q5439" s="7">
        <v>5.1440000000000001</v>
      </c>
      <c r="R5439" s="7">
        <v>5.2080000000000002</v>
      </c>
      <c r="S5439" s="7">
        <f t="shared" si="84"/>
        <v>5.3006666666666664</v>
      </c>
    </row>
    <row r="5440" spans="1:19">
      <c r="A5440" s="5" t="str">
        <f>B5440&amp;"-"&amp;COUNTIF($B$2:B5440,B5440)</f>
        <v>TOCANTINS-9</v>
      </c>
      <c r="B5440" s="5" t="s">
        <v>3564</v>
      </c>
      <c r="C5440" s="5" t="s">
        <v>3568</v>
      </c>
      <c r="D5440" s="6">
        <v>-485274</v>
      </c>
      <c r="E5440" s="6">
        <v>-71674</v>
      </c>
      <c r="F5440" s="7">
        <v>4.9829999999999997</v>
      </c>
      <c r="G5440" s="7">
        <v>4.6449999999999996</v>
      </c>
      <c r="H5440" s="7">
        <v>4.7699999999999996</v>
      </c>
      <c r="I5440" s="7">
        <v>4.58</v>
      </c>
      <c r="J5440" s="7">
        <v>4.6900000000000004</v>
      </c>
      <c r="K5440" s="7">
        <v>4.9189999999999996</v>
      </c>
      <c r="L5440" s="7">
        <v>5.1760000000000002</v>
      </c>
      <c r="M5440" s="7">
        <v>5.22</v>
      </c>
      <c r="N5440" s="7">
        <v>5.8490000000000002</v>
      </c>
      <c r="O5440" s="7">
        <v>5.6429999999999998</v>
      </c>
      <c r="P5440" s="7">
        <v>5.0220000000000002</v>
      </c>
      <c r="Q5440" s="7">
        <v>4.6859999999999999</v>
      </c>
      <c r="R5440" s="7">
        <v>4.5949999999999998</v>
      </c>
      <c r="S5440" s="7">
        <f t="shared" si="84"/>
        <v>4.9829166666666671</v>
      </c>
    </row>
    <row r="5441" spans="1:19">
      <c r="A5441" s="5" t="str">
        <f>B5441&amp;"-"&amp;COUNTIF($B$2:B5441,B5441)</f>
        <v>TOCANTINS-10</v>
      </c>
      <c r="B5441" s="5" t="s">
        <v>3564</v>
      </c>
      <c r="C5441" s="5" t="s">
        <v>4804</v>
      </c>
      <c r="D5441" s="6">
        <v>-498314</v>
      </c>
      <c r="E5441" s="6">
        <v>-129273</v>
      </c>
      <c r="F5441" s="7">
        <v>5.298</v>
      </c>
      <c r="G5441" s="7">
        <v>5.3220000000000001</v>
      </c>
      <c r="H5441" s="7">
        <v>5.4219999999999997</v>
      </c>
      <c r="I5441" s="7">
        <v>5.0739999999999998</v>
      </c>
      <c r="J5441" s="7">
        <v>5.0960000000000001</v>
      </c>
      <c r="K5441" s="7">
        <v>5.0309999999999997</v>
      </c>
      <c r="L5441" s="7">
        <v>4.8120000000000003</v>
      </c>
      <c r="M5441" s="7">
        <v>5.2779999999999996</v>
      </c>
      <c r="N5441" s="7">
        <v>5.7949999999999999</v>
      </c>
      <c r="O5441" s="7">
        <v>5.6820000000000004</v>
      </c>
      <c r="P5441" s="7">
        <v>5.4909999999999997</v>
      </c>
      <c r="Q5441" s="7">
        <v>5.2240000000000002</v>
      </c>
      <c r="R5441" s="7">
        <v>5.3520000000000003</v>
      </c>
      <c r="S5441" s="7">
        <f t="shared" si="84"/>
        <v>5.2982500000000003</v>
      </c>
    </row>
    <row r="5442" spans="1:19">
      <c r="A5442" s="5" t="str">
        <f>B5442&amp;"-"&amp;COUNTIF($B$2:B5442,B5442)</f>
        <v>TOCANTINS-11</v>
      </c>
      <c r="B5442" s="5" t="s">
        <v>3564</v>
      </c>
      <c r="C5442" s="5" t="s">
        <v>3569</v>
      </c>
      <c r="D5442" s="6">
        <v>-482048</v>
      </c>
      <c r="E5442" s="6">
        <v>-71928</v>
      </c>
      <c r="F5442" s="7">
        <v>5.024</v>
      </c>
      <c r="G5442" s="7">
        <v>4.657</v>
      </c>
      <c r="H5442" s="7">
        <v>4.8280000000000003</v>
      </c>
      <c r="I5442" s="7">
        <v>4.6040000000000001</v>
      </c>
      <c r="J5442" s="7">
        <v>4.7649999999999997</v>
      </c>
      <c r="K5442" s="7">
        <v>4.9139999999999997</v>
      </c>
      <c r="L5442" s="7">
        <v>5.1989999999999998</v>
      </c>
      <c r="M5442" s="7">
        <v>5.282</v>
      </c>
      <c r="N5442" s="7">
        <v>5.9080000000000004</v>
      </c>
      <c r="O5442" s="7">
        <v>5.7110000000000003</v>
      </c>
      <c r="P5442" s="7">
        <v>5.069</v>
      </c>
      <c r="Q5442" s="7">
        <v>4.7279999999999998</v>
      </c>
      <c r="R5442" s="7">
        <v>4.6230000000000002</v>
      </c>
      <c r="S5442" s="7">
        <f t="shared" si="84"/>
        <v>5.024</v>
      </c>
    </row>
    <row r="5443" spans="1:19">
      <c r="A5443" s="5" t="str">
        <f>B5443&amp;"-"&amp;COUNTIF($B$2:B5443,B5443)</f>
        <v>TOCANTINS-12</v>
      </c>
      <c r="B5443" s="5" t="s">
        <v>3564</v>
      </c>
      <c r="C5443" s="5" t="s">
        <v>3570</v>
      </c>
      <c r="D5443" s="6">
        <v>-495573</v>
      </c>
      <c r="E5443" s="6">
        <v>-8808</v>
      </c>
      <c r="F5443" s="7">
        <v>5.1059999999999999</v>
      </c>
      <c r="G5443" s="7">
        <v>4.9039999999999999</v>
      </c>
      <c r="H5443" s="7">
        <v>4.9770000000000003</v>
      </c>
      <c r="I5443" s="7">
        <v>4.8140000000000001</v>
      </c>
      <c r="J5443" s="7">
        <v>4.766</v>
      </c>
      <c r="K5443" s="7">
        <v>4.9489999999999998</v>
      </c>
      <c r="L5443" s="7">
        <v>5.08</v>
      </c>
      <c r="M5443" s="7">
        <v>5.2519999999999998</v>
      </c>
      <c r="N5443" s="7">
        <v>5.8739999999999997</v>
      </c>
      <c r="O5443" s="7">
        <v>5.5620000000000003</v>
      </c>
      <c r="P5443" s="7">
        <v>5.1070000000000002</v>
      </c>
      <c r="Q5443" s="7">
        <v>5.032</v>
      </c>
      <c r="R5443" s="7">
        <v>4.9640000000000004</v>
      </c>
      <c r="S5443" s="7">
        <f t="shared" ref="S5443:S5506" si="85">(G5443+H5443+I5443+J5443+K5443+L5443+M5443+N5443+O5443+P5443+Q5443+R5443)/12</f>
        <v>5.106749999999999</v>
      </c>
    </row>
    <row r="5444" spans="1:19">
      <c r="A5444" s="5" t="str">
        <f>B5444&amp;"-"&amp;COUNTIF($B$2:B5444,B5444)</f>
        <v>TOCANTINS-13</v>
      </c>
      <c r="B5444" s="5" t="s">
        <v>3564</v>
      </c>
      <c r="C5444" s="5" t="s">
        <v>5356</v>
      </c>
      <c r="D5444" s="6">
        <v>-486427</v>
      </c>
      <c r="E5444" s="6">
        <v>-65799</v>
      </c>
      <c r="F5444" s="7">
        <v>5.01</v>
      </c>
      <c r="G5444" s="7">
        <v>4.7679999999999998</v>
      </c>
      <c r="H5444" s="7">
        <v>4.8280000000000003</v>
      </c>
      <c r="I5444" s="7">
        <v>4.7590000000000003</v>
      </c>
      <c r="J5444" s="7">
        <v>4.7190000000000003</v>
      </c>
      <c r="K5444" s="7">
        <v>4.8819999999999997</v>
      </c>
      <c r="L5444" s="7">
        <v>5.1440000000000001</v>
      </c>
      <c r="M5444" s="7">
        <v>5.2750000000000004</v>
      </c>
      <c r="N5444" s="7">
        <v>5.806</v>
      </c>
      <c r="O5444" s="7">
        <v>5.585</v>
      </c>
      <c r="P5444" s="7">
        <v>5.0250000000000004</v>
      </c>
      <c r="Q5444" s="7">
        <v>4.7370000000000001</v>
      </c>
      <c r="R5444" s="7">
        <v>4.5970000000000004</v>
      </c>
      <c r="S5444" s="7">
        <f t="shared" si="85"/>
        <v>5.010416666666667</v>
      </c>
    </row>
    <row r="5445" spans="1:19">
      <c r="A5445" s="5" t="str">
        <f>B5445&amp;"-"&amp;COUNTIF($B$2:B5445,B5445)</f>
        <v>TOCANTINS-14</v>
      </c>
      <c r="B5445" s="5" t="s">
        <v>3564</v>
      </c>
      <c r="C5445" s="5" t="s">
        <v>3571</v>
      </c>
      <c r="D5445" s="6">
        <v>-481236</v>
      </c>
      <c r="E5445" s="6">
        <v>-5647</v>
      </c>
      <c r="F5445" s="7">
        <v>5.0119999999999996</v>
      </c>
      <c r="G5445" s="7">
        <v>4.6150000000000002</v>
      </c>
      <c r="H5445" s="7">
        <v>4.7480000000000002</v>
      </c>
      <c r="I5445" s="7">
        <v>4.8869999999999996</v>
      </c>
      <c r="J5445" s="7">
        <v>4.8929999999999998</v>
      </c>
      <c r="K5445" s="7">
        <v>4.8390000000000004</v>
      </c>
      <c r="L5445" s="7">
        <v>5.1159999999999997</v>
      </c>
      <c r="M5445" s="7">
        <v>5.2279999999999998</v>
      </c>
      <c r="N5445" s="7">
        <v>5.7430000000000003</v>
      </c>
      <c r="O5445" s="7">
        <v>5.476</v>
      </c>
      <c r="P5445" s="7">
        <v>5.0469999999999997</v>
      </c>
      <c r="Q5445" s="7">
        <v>4.8540000000000001</v>
      </c>
      <c r="R5445" s="7">
        <v>4.6929999999999996</v>
      </c>
      <c r="S5445" s="7">
        <f t="shared" si="85"/>
        <v>5.0115833333333333</v>
      </c>
    </row>
    <row r="5446" spans="1:19">
      <c r="A5446" s="5" t="str">
        <f>B5446&amp;"-"&amp;COUNTIF($B$2:B5446,B5446)</f>
        <v>TOCANTINS-15</v>
      </c>
      <c r="B5446" s="5" t="s">
        <v>3564</v>
      </c>
      <c r="C5446" s="5" t="s">
        <v>3572</v>
      </c>
      <c r="D5446" s="6">
        <v>-490641</v>
      </c>
      <c r="E5446" s="6">
        <v>-7655</v>
      </c>
      <c r="F5446" s="7">
        <v>4.9790000000000001</v>
      </c>
      <c r="G5446" s="7">
        <v>4.6769999999999996</v>
      </c>
      <c r="H5446" s="7">
        <v>4.8049999999999997</v>
      </c>
      <c r="I5446" s="7">
        <v>4.665</v>
      </c>
      <c r="J5446" s="7">
        <v>4.617</v>
      </c>
      <c r="K5446" s="7">
        <v>4.9219999999999997</v>
      </c>
      <c r="L5446" s="7">
        <v>5.0759999999999996</v>
      </c>
      <c r="M5446" s="7">
        <v>5.1449999999999996</v>
      </c>
      <c r="N5446" s="7">
        <v>5.8879999999999999</v>
      </c>
      <c r="O5446" s="7">
        <v>5.6</v>
      </c>
      <c r="P5446" s="7">
        <v>5.0369999999999999</v>
      </c>
      <c r="Q5446" s="7">
        <v>4.702</v>
      </c>
      <c r="R5446" s="7">
        <v>4.6180000000000003</v>
      </c>
      <c r="S5446" s="7">
        <f t="shared" si="85"/>
        <v>4.9793333333333329</v>
      </c>
    </row>
    <row r="5447" spans="1:19">
      <c r="A5447" s="5" t="str">
        <f>B5447&amp;"-"&amp;COUNTIF($B$2:B5447,B5447)</f>
        <v>TOCANTINS-16</v>
      </c>
      <c r="B5447" s="5" t="s">
        <v>3564</v>
      </c>
      <c r="C5447" s="5" t="s">
        <v>3573</v>
      </c>
      <c r="D5447" s="6">
        <v>-469485</v>
      </c>
      <c r="E5447" s="6">
        <v>-129228</v>
      </c>
      <c r="F5447" s="7">
        <v>5.5259999999999998</v>
      </c>
      <c r="G5447" s="7">
        <v>5.6890000000000001</v>
      </c>
      <c r="H5447" s="7">
        <v>5.59</v>
      </c>
      <c r="I5447" s="7">
        <v>5.2210000000000001</v>
      </c>
      <c r="J5447" s="7">
        <v>5.2549999999999999</v>
      </c>
      <c r="K5447" s="7">
        <v>5.21</v>
      </c>
      <c r="L5447" s="7">
        <v>5.0369999999999999</v>
      </c>
      <c r="M5447" s="7">
        <v>5.4260000000000002</v>
      </c>
      <c r="N5447" s="7">
        <v>6.0330000000000004</v>
      </c>
      <c r="O5447" s="7">
        <v>6.0069999999999997</v>
      </c>
      <c r="P5447" s="7">
        <v>5.774</v>
      </c>
      <c r="Q5447" s="7">
        <v>5.3849999999999998</v>
      </c>
      <c r="R5447" s="7">
        <v>5.6820000000000004</v>
      </c>
      <c r="S5447" s="7">
        <f t="shared" si="85"/>
        <v>5.5257499999999995</v>
      </c>
    </row>
    <row r="5448" spans="1:19">
      <c r="A5448" s="5" t="str">
        <f>B5448&amp;"-"&amp;COUNTIF($B$2:B5448,B5448)</f>
        <v>TOCANTINS-17</v>
      </c>
      <c r="B5448" s="5" t="s">
        <v>3564</v>
      </c>
      <c r="C5448" s="5" t="s">
        <v>5267</v>
      </c>
      <c r="D5448" s="6">
        <v>-478866</v>
      </c>
      <c r="E5448" s="6">
        <v>-5469</v>
      </c>
      <c r="F5448" s="7">
        <v>5.0380000000000003</v>
      </c>
      <c r="G5448" s="7">
        <v>4.6180000000000003</v>
      </c>
      <c r="H5448" s="7">
        <v>4.8120000000000003</v>
      </c>
      <c r="I5448" s="7">
        <v>4.851</v>
      </c>
      <c r="J5448" s="7">
        <v>4.8879999999999999</v>
      </c>
      <c r="K5448" s="7">
        <v>4.8319999999999999</v>
      </c>
      <c r="L5448" s="7">
        <v>5.1449999999999996</v>
      </c>
      <c r="M5448" s="7">
        <v>5.2729999999999997</v>
      </c>
      <c r="N5448" s="7">
        <v>5.726</v>
      </c>
      <c r="O5448" s="7">
        <v>5.5359999999999996</v>
      </c>
      <c r="P5448" s="7">
        <v>5.14</v>
      </c>
      <c r="Q5448" s="7">
        <v>4.8970000000000002</v>
      </c>
      <c r="R5448" s="7">
        <v>4.7359999999999998</v>
      </c>
      <c r="S5448" s="7">
        <f t="shared" si="85"/>
        <v>5.0378333333333325</v>
      </c>
    </row>
    <row r="5449" spans="1:19">
      <c r="A5449" s="5" t="str">
        <f>B5449&amp;"-"&amp;COUNTIF($B$2:B5449,B5449)</f>
        <v>TOCANTINS-18</v>
      </c>
      <c r="B5449" s="5" t="s">
        <v>3564</v>
      </c>
      <c r="C5449" s="5" t="s">
        <v>3574</v>
      </c>
      <c r="D5449" s="6">
        <v>-46408</v>
      </c>
      <c r="E5449" s="6">
        <v>-127109</v>
      </c>
      <c r="F5449" s="7">
        <v>5.6139999999999999</v>
      </c>
      <c r="G5449" s="7">
        <v>5.9169999999999998</v>
      </c>
      <c r="H5449" s="7">
        <v>5.8109999999999999</v>
      </c>
      <c r="I5449" s="7">
        <v>5.4909999999999997</v>
      </c>
      <c r="J5449" s="7">
        <v>5.367</v>
      </c>
      <c r="K5449" s="7">
        <v>5.242</v>
      </c>
      <c r="L5449" s="7">
        <v>5.0460000000000003</v>
      </c>
      <c r="M5449" s="7">
        <v>5.3369999999999997</v>
      </c>
      <c r="N5449" s="7">
        <v>5.94</v>
      </c>
      <c r="O5449" s="7">
        <v>6.101</v>
      </c>
      <c r="P5449" s="7">
        <v>5.7949999999999999</v>
      </c>
      <c r="Q5449" s="7">
        <v>5.4409999999999998</v>
      </c>
      <c r="R5449" s="7">
        <v>5.875</v>
      </c>
      <c r="S5449" s="7">
        <f t="shared" si="85"/>
        <v>5.6135833333333336</v>
      </c>
    </row>
    <row r="5450" spans="1:19">
      <c r="A5450" s="5" t="str">
        <f>B5450&amp;"-"&amp;COUNTIF($B$2:B5450,B5450)</f>
        <v>TOCANTINS-19</v>
      </c>
      <c r="B5450" s="5" t="s">
        <v>3564</v>
      </c>
      <c r="C5450" s="5" t="s">
        <v>5801</v>
      </c>
      <c r="D5450" s="6">
        <v>-477721</v>
      </c>
      <c r="E5450" s="6">
        <v>-5618</v>
      </c>
      <c r="F5450" s="7">
        <v>5.01</v>
      </c>
      <c r="G5450" s="7">
        <v>4.5750000000000002</v>
      </c>
      <c r="H5450" s="7">
        <v>4.7169999999999996</v>
      </c>
      <c r="I5450" s="7">
        <v>4.7850000000000001</v>
      </c>
      <c r="J5450" s="7">
        <v>4.8239999999999998</v>
      </c>
      <c r="K5450" s="7">
        <v>4.8040000000000003</v>
      </c>
      <c r="L5450" s="7">
        <v>5.1100000000000003</v>
      </c>
      <c r="M5450" s="7">
        <v>5.2789999999999999</v>
      </c>
      <c r="N5450" s="7">
        <v>5.7939999999999996</v>
      </c>
      <c r="O5450" s="7">
        <v>5.5590000000000002</v>
      </c>
      <c r="P5450" s="7">
        <v>5.117</v>
      </c>
      <c r="Q5450" s="7">
        <v>4.8849999999999998</v>
      </c>
      <c r="R5450" s="7">
        <v>4.673</v>
      </c>
      <c r="S5450" s="7">
        <f t="shared" si="85"/>
        <v>5.0101666666666658</v>
      </c>
    </row>
    <row r="5451" spans="1:19">
      <c r="A5451" s="5" t="str">
        <f>B5451&amp;"-"&amp;COUNTIF($B$2:B5451,B5451)</f>
        <v>TOCANTINS-20</v>
      </c>
      <c r="B5451" s="5" t="s">
        <v>3564</v>
      </c>
      <c r="C5451" s="5" t="s">
        <v>5040</v>
      </c>
      <c r="D5451" s="6">
        <v>-477614</v>
      </c>
      <c r="E5451" s="6">
        <v>-72048</v>
      </c>
      <c r="F5451" s="7">
        <v>5.1870000000000003</v>
      </c>
      <c r="G5451" s="7">
        <v>4.8789999999999996</v>
      </c>
      <c r="H5451" s="7">
        <v>4.9610000000000003</v>
      </c>
      <c r="I5451" s="7">
        <v>4.9390000000000001</v>
      </c>
      <c r="J5451" s="7">
        <v>4.9119999999999999</v>
      </c>
      <c r="K5451" s="7">
        <v>5.0919999999999996</v>
      </c>
      <c r="L5451" s="7">
        <v>5.3259999999999996</v>
      </c>
      <c r="M5451" s="7">
        <v>5.3319999999999999</v>
      </c>
      <c r="N5451" s="7">
        <v>5.8280000000000003</v>
      </c>
      <c r="O5451" s="7">
        <v>6.0220000000000002</v>
      </c>
      <c r="P5451" s="7">
        <v>5.32</v>
      </c>
      <c r="Q5451" s="7">
        <v>4.87</v>
      </c>
      <c r="R5451" s="7">
        <v>4.766</v>
      </c>
      <c r="S5451" s="7">
        <f t="shared" si="85"/>
        <v>5.1872499999999997</v>
      </c>
    </row>
    <row r="5452" spans="1:19">
      <c r="A5452" s="5" t="str">
        <f>B5452&amp;"-"&amp;COUNTIF($B$2:B5452,B5452)</f>
        <v>TOCANTINS-21</v>
      </c>
      <c r="B5452" s="5" t="s">
        <v>3564</v>
      </c>
      <c r="C5452" s="5" t="s">
        <v>3575</v>
      </c>
      <c r="D5452" s="6">
        <v>-485775</v>
      </c>
      <c r="E5452" s="6">
        <v>-77604</v>
      </c>
      <c r="F5452" s="7">
        <v>5.0030000000000001</v>
      </c>
      <c r="G5452" s="7">
        <v>4.7279999999999998</v>
      </c>
      <c r="H5452" s="7">
        <v>4.7930000000000001</v>
      </c>
      <c r="I5452" s="7">
        <v>4.6890000000000001</v>
      </c>
      <c r="J5452" s="7">
        <v>4.6820000000000004</v>
      </c>
      <c r="K5452" s="7">
        <v>4.9470000000000001</v>
      </c>
      <c r="L5452" s="7">
        <v>5.1189999999999998</v>
      </c>
      <c r="M5452" s="7">
        <v>5.1890000000000001</v>
      </c>
      <c r="N5452" s="7">
        <v>5.9059999999999997</v>
      </c>
      <c r="O5452" s="7">
        <v>5.6669999999999998</v>
      </c>
      <c r="P5452" s="7">
        <v>5.0359999999999996</v>
      </c>
      <c r="Q5452" s="7">
        <v>4.71</v>
      </c>
      <c r="R5452" s="7">
        <v>4.569</v>
      </c>
      <c r="S5452" s="7">
        <f t="shared" si="85"/>
        <v>5.0029166666666676</v>
      </c>
    </row>
    <row r="5453" spans="1:19">
      <c r="A5453" s="5" t="str">
        <f>B5453&amp;"-"&amp;COUNTIF($B$2:B5453,B5453)</f>
        <v>TOCANTINS-22</v>
      </c>
      <c r="B5453" s="5" t="s">
        <v>3564</v>
      </c>
      <c r="C5453" s="5" t="s">
        <v>3576</v>
      </c>
      <c r="D5453" s="6">
        <v>-47678</v>
      </c>
      <c r="E5453" s="6">
        <v>-76963</v>
      </c>
      <c r="F5453" s="7">
        <v>5.2</v>
      </c>
      <c r="G5453" s="7">
        <v>4.9219999999999997</v>
      </c>
      <c r="H5453" s="7">
        <v>5.0519999999999996</v>
      </c>
      <c r="I5453" s="7">
        <v>5.0069999999999997</v>
      </c>
      <c r="J5453" s="7">
        <v>4.915</v>
      </c>
      <c r="K5453" s="7">
        <v>5.1139999999999999</v>
      </c>
      <c r="L5453" s="7">
        <v>5.2190000000000003</v>
      </c>
      <c r="M5453" s="7">
        <v>5.2460000000000004</v>
      </c>
      <c r="N5453" s="7">
        <v>5.8890000000000002</v>
      </c>
      <c r="O5453" s="7">
        <v>5.9550000000000001</v>
      </c>
      <c r="P5453" s="7">
        <v>5.3109999999999999</v>
      </c>
      <c r="Q5453" s="7">
        <v>4.9429999999999996</v>
      </c>
      <c r="R5453" s="7">
        <v>4.8220000000000001</v>
      </c>
      <c r="S5453" s="7">
        <f t="shared" si="85"/>
        <v>5.1995833333333339</v>
      </c>
    </row>
    <row r="5454" spans="1:19">
      <c r="A5454" s="5" t="str">
        <f>B5454&amp;"-"&amp;COUNTIF($B$2:B5454,B5454)</f>
        <v>TOCANTINS-23</v>
      </c>
      <c r="B5454" s="5" t="s">
        <v>3564</v>
      </c>
      <c r="C5454" s="5" t="s">
        <v>5041</v>
      </c>
      <c r="D5454" s="6">
        <v>-487256</v>
      </c>
      <c r="E5454" s="6">
        <v>-98345</v>
      </c>
      <c r="F5454" s="7">
        <v>5.14</v>
      </c>
      <c r="G5454" s="7">
        <v>4.9560000000000004</v>
      </c>
      <c r="H5454" s="7">
        <v>5.0129999999999999</v>
      </c>
      <c r="I5454" s="7">
        <v>4.7300000000000004</v>
      </c>
      <c r="J5454" s="7">
        <v>4.8520000000000003</v>
      </c>
      <c r="K5454" s="7">
        <v>4.9779999999999998</v>
      </c>
      <c r="L5454" s="7">
        <v>5.0979999999999999</v>
      </c>
      <c r="M5454" s="7">
        <v>5.3250000000000002</v>
      </c>
      <c r="N5454" s="7">
        <v>5.9989999999999997</v>
      </c>
      <c r="O5454" s="7">
        <v>5.6219999999999999</v>
      </c>
      <c r="P5454" s="7">
        <v>5.1379999999999999</v>
      </c>
      <c r="Q5454" s="7">
        <v>5.0279999999999996</v>
      </c>
      <c r="R5454" s="7">
        <v>4.9370000000000003</v>
      </c>
      <c r="S5454" s="7">
        <f t="shared" si="85"/>
        <v>5.1396666666666668</v>
      </c>
    </row>
    <row r="5455" spans="1:19">
      <c r="A5455" s="5" t="str">
        <f>B5455&amp;"-"&amp;COUNTIF($B$2:B5455,B5455)</f>
        <v>TOCANTINS-24</v>
      </c>
      <c r="B5455" s="5" t="s">
        <v>3564</v>
      </c>
      <c r="C5455" s="5" t="s">
        <v>4259</v>
      </c>
      <c r="D5455" s="6">
        <v>-488958</v>
      </c>
      <c r="E5455" s="6">
        <v>-78809</v>
      </c>
      <c r="F5455" s="7">
        <v>5.0279999999999996</v>
      </c>
      <c r="G5455" s="7">
        <v>4.7060000000000004</v>
      </c>
      <c r="H5455" s="7">
        <v>4.8029999999999999</v>
      </c>
      <c r="I5455" s="7">
        <v>4.6929999999999996</v>
      </c>
      <c r="J5455" s="7">
        <v>4.7089999999999996</v>
      </c>
      <c r="K5455" s="7">
        <v>4.9729999999999999</v>
      </c>
      <c r="L5455" s="7">
        <v>5.1280000000000001</v>
      </c>
      <c r="M5455" s="7">
        <v>5.2169999999999996</v>
      </c>
      <c r="N5455" s="7">
        <v>5.9169999999999998</v>
      </c>
      <c r="O5455" s="7">
        <v>5.6550000000000002</v>
      </c>
      <c r="P5455" s="7">
        <v>5.117</v>
      </c>
      <c r="Q5455" s="7">
        <v>4.7750000000000004</v>
      </c>
      <c r="R5455" s="7">
        <v>4.6449999999999996</v>
      </c>
      <c r="S5455" s="7">
        <f t="shared" si="85"/>
        <v>5.0281666666666665</v>
      </c>
    </row>
    <row r="5456" spans="1:19">
      <c r="A5456" s="5" t="str">
        <f>B5456&amp;"-"&amp;COUNTIF($B$2:B5456,B5456)</f>
        <v>TOCANTINS-25</v>
      </c>
      <c r="B5456" s="5" t="s">
        <v>3564</v>
      </c>
      <c r="C5456" s="5" t="s">
        <v>1713</v>
      </c>
      <c r="D5456" s="6">
        <v>-481654</v>
      </c>
      <c r="E5456" s="6">
        <v>-89635</v>
      </c>
      <c r="F5456" s="7">
        <v>5.2350000000000003</v>
      </c>
      <c r="G5456" s="7">
        <v>5.0880000000000001</v>
      </c>
      <c r="H5456" s="7">
        <v>5.15</v>
      </c>
      <c r="I5456" s="7">
        <v>4.9539999999999997</v>
      </c>
      <c r="J5456" s="7">
        <v>4.8869999999999996</v>
      </c>
      <c r="K5456" s="7">
        <v>5.0999999999999996</v>
      </c>
      <c r="L5456" s="7">
        <v>5.1509999999999998</v>
      </c>
      <c r="M5456" s="7">
        <v>5.2690000000000001</v>
      </c>
      <c r="N5456" s="7">
        <v>5.9779999999999998</v>
      </c>
      <c r="O5456" s="7">
        <v>5.8</v>
      </c>
      <c r="P5456" s="7">
        <v>5.3159999999999998</v>
      </c>
      <c r="Q5456" s="7">
        <v>5.0990000000000002</v>
      </c>
      <c r="R5456" s="7">
        <v>5.0279999999999996</v>
      </c>
      <c r="S5456" s="7">
        <f t="shared" si="85"/>
        <v>5.2350000000000003</v>
      </c>
    </row>
    <row r="5457" spans="1:19">
      <c r="A5457" s="5" t="str">
        <f>B5457&amp;"-"&amp;COUNTIF($B$2:B5457,B5457)</f>
        <v>TOCANTINS-26</v>
      </c>
      <c r="B5457" s="5" t="s">
        <v>3564</v>
      </c>
      <c r="C5457" s="5" t="s">
        <v>5042</v>
      </c>
      <c r="D5457" s="6">
        <v>-484826</v>
      </c>
      <c r="E5457" s="6">
        <v>-83896</v>
      </c>
      <c r="F5457" s="7">
        <v>5.0670000000000002</v>
      </c>
      <c r="G5457" s="7">
        <v>4.819</v>
      </c>
      <c r="H5457" s="7">
        <v>4.9089999999999998</v>
      </c>
      <c r="I5457" s="7">
        <v>4.7320000000000002</v>
      </c>
      <c r="J5457" s="7">
        <v>4.7089999999999996</v>
      </c>
      <c r="K5457" s="7">
        <v>4.9279999999999999</v>
      </c>
      <c r="L5457" s="7">
        <v>5.17</v>
      </c>
      <c r="M5457" s="7">
        <v>5.2629999999999999</v>
      </c>
      <c r="N5457" s="7">
        <v>5.8819999999999997</v>
      </c>
      <c r="O5457" s="7">
        <v>5.6989999999999998</v>
      </c>
      <c r="P5457" s="7">
        <v>5.125</v>
      </c>
      <c r="Q5457" s="7">
        <v>4.7889999999999997</v>
      </c>
      <c r="R5457" s="7">
        <v>4.782</v>
      </c>
      <c r="S5457" s="7">
        <f t="shared" si="85"/>
        <v>5.0672500000000005</v>
      </c>
    </row>
    <row r="5458" spans="1:19">
      <c r="A5458" s="5" t="str">
        <f>B5458&amp;"-"&amp;COUNTIF($B$2:B5458,B5458)</f>
        <v>TOCANTINS-27</v>
      </c>
      <c r="B5458" s="5" t="s">
        <v>3564</v>
      </c>
      <c r="C5458" s="5" t="s">
        <v>4531</v>
      </c>
      <c r="D5458" s="6">
        <v>-485683</v>
      </c>
      <c r="E5458" s="6">
        <v>-110209</v>
      </c>
      <c r="F5458" s="7">
        <v>5.2839999999999998</v>
      </c>
      <c r="G5458" s="7">
        <v>5.234</v>
      </c>
      <c r="H5458" s="7">
        <v>5.2610000000000001</v>
      </c>
      <c r="I5458" s="7">
        <v>4.9859999999999998</v>
      </c>
      <c r="J5458" s="7">
        <v>5.0979999999999999</v>
      </c>
      <c r="K5458" s="7">
        <v>5.0739999999999998</v>
      </c>
      <c r="L5458" s="7">
        <v>5.032</v>
      </c>
      <c r="M5458" s="7">
        <v>5.1909999999999998</v>
      </c>
      <c r="N5458" s="7">
        <v>5.8630000000000004</v>
      </c>
      <c r="O5458" s="7">
        <v>5.7990000000000004</v>
      </c>
      <c r="P5458" s="7">
        <v>5.492</v>
      </c>
      <c r="Q5458" s="7">
        <v>5.1929999999999996</v>
      </c>
      <c r="R5458" s="7">
        <v>5.1909999999999998</v>
      </c>
      <c r="S5458" s="7">
        <f t="shared" si="85"/>
        <v>5.2844999999999995</v>
      </c>
    </row>
    <row r="5459" spans="1:19">
      <c r="A5459" s="5" t="str">
        <f>B5459&amp;"-"&amp;COUNTIF($B$2:B5459,B5459)</f>
        <v>TOCANTINS-28</v>
      </c>
      <c r="B5459" s="5" t="s">
        <v>3564</v>
      </c>
      <c r="C5459" s="5" t="s">
        <v>3577</v>
      </c>
      <c r="D5459" s="6">
        <v>-482275</v>
      </c>
      <c r="E5459" s="6">
        <v>-53149</v>
      </c>
      <c r="F5459" s="7">
        <v>5</v>
      </c>
      <c r="G5459" s="7">
        <v>4.5640000000000001</v>
      </c>
      <c r="H5459" s="7">
        <v>4.7249999999999996</v>
      </c>
      <c r="I5459" s="7">
        <v>4.8230000000000004</v>
      </c>
      <c r="J5459" s="7">
        <v>4.8769999999999998</v>
      </c>
      <c r="K5459" s="7">
        <v>4.8159999999999998</v>
      </c>
      <c r="L5459" s="7">
        <v>5.1529999999999996</v>
      </c>
      <c r="M5459" s="7">
        <v>5.2480000000000002</v>
      </c>
      <c r="N5459" s="7">
        <v>5.7249999999999996</v>
      </c>
      <c r="O5459" s="7">
        <v>5.5179999999999998</v>
      </c>
      <c r="P5459" s="7">
        <v>5.0119999999999996</v>
      </c>
      <c r="Q5459" s="7">
        <v>4.8810000000000002</v>
      </c>
      <c r="R5459" s="7">
        <v>4.6550000000000002</v>
      </c>
      <c r="S5459" s="7">
        <f t="shared" si="85"/>
        <v>4.9997499999999997</v>
      </c>
    </row>
    <row r="5460" spans="1:19">
      <c r="A5460" s="5" t="str">
        <f>B5460&amp;"-"&amp;COUNTIF($B$2:B5460,B5460)</f>
        <v>TOCANTINS-29</v>
      </c>
      <c r="B5460" s="5" t="s">
        <v>3564</v>
      </c>
      <c r="C5460" s="5" t="s">
        <v>2160</v>
      </c>
      <c r="D5460" s="6">
        <v>-479206</v>
      </c>
      <c r="E5460" s="6">
        <v>-6118</v>
      </c>
      <c r="F5460" s="7">
        <v>5.008</v>
      </c>
      <c r="G5460" s="7">
        <v>4.6130000000000004</v>
      </c>
      <c r="H5460" s="7">
        <v>4.7460000000000004</v>
      </c>
      <c r="I5460" s="7">
        <v>4.72</v>
      </c>
      <c r="J5460" s="7">
        <v>4.7320000000000002</v>
      </c>
      <c r="K5460" s="7">
        <v>4.8170000000000002</v>
      </c>
      <c r="L5460" s="7">
        <v>5.1070000000000002</v>
      </c>
      <c r="M5460" s="7">
        <v>5.2960000000000003</v>
      </c>
      <c r="N5460" s="7">
        <v>5.8920000000000003</v>
      </c>
      <c r="O5460" s="7">
        <v>5.6609999999999996</v>
      </c>
      <c r="P5460" s="7">
        <v>5.0960000000000001</v>
      </c>
      <c r="Q5460" s="7">
        <v>4.774</v>
      </c>
      <c r="R5460" s="7">
        <v>4.641</v>
      </c>
      <c r="S5460" s="7">
        <f t="shared" si="85"/>
        <v>5.0079166666666675</v>
      </c>
    </row>
    <row r="5461" spans="1:19">
      <c r="A5461" s="5" t="str">
        <f>B5461&amp;"-"&amp;COUNTIF($B$2:B5461,B5461)</f>
        <v>TOCANTINS-30</v>
      </c>
      <c r="B5461" s="5" t="s">
        <v>3564</v>
      </c>
      <c r="C5461" s="5" t="s">
        <v>3578</v>
      </c>
      <c r="D5461" s="6">
        <v>-468022</v>
      </c>
      <c r="E5461" s="6">
        <v>-79741</v>
      </c>
      <c r="F5461" s="7">
        <v>5.25</v>
      </c>
      <c r="G5461" s="7">
        <v>4.9180000000000001</v>
      </c>
      <c r="H5461" s="7">
        <v>4.9039999999999999</v>
      </c>
      <c r="I5461" s="7">
        <v>4.8609999999999998</v>
      </c>
      <c r="J5461" s="7">
        <v>4.9489999999999998</v>
      </c>
      <c r="K5461" s="7">
        <v>5.1660000000000004</v>
      </c>
      <c r="L5461" s="7">
        <v>5.3029999999999999</v>
      </c>
      <c r="M5461" s="7">
        <v>5.4059999999999997</v>
      </c>
      <c r="N5461" s="7">
        <v>5.9480000000000004</v>
      </c>
      <c r="O5461" s="7">
        <v>6.266</v>
      </c>
      <c r="P5461" s="7">
        <v>5.4939999999999998</v>
      </c>
      <c r="Q5461" s="7">
        <v>4.9400000000000004</v>
      </c>
      <c r="R5461" s="7">
        <v>4.8490000000000002</v>
      </c>
      <c r="S5461" s="7">
        <f t="shared" si="85"/>
        <v>5.2503333333333329</v>
      </c>
    </row>
    <row r="5462" spans="1:19">
      <c r="A5462" s="5" t="str">
        <f>B5462&amp;"-"&amp;COUNTIF($B$2:B5462,B5462)</f>
        <v>TOCANTINS-31</v>
      </c>
      <c r="B5462" s="5" t="s">
        <v>3564</v>
      </c>
      <c r="C5462" s="5" t="s">
        <v>3579</v>
      </c>
      <c r="D5462" s="6">
        <v>-491613</v>
      </c>
      <c r="E5462" s="6">
        <v>-118885</v>
      </c>
      <c r="F5462" s="7">
        <v>5.26</v>
      </c>
      <c r="G5462" s="7">
        <v>5.32</v>
      </c>
      <c r="H5462" s="7">
        <v>5.375</v>
      </c>
      <c r="I5462" s="7">
        <v>5.0259999999999998</v>
      </c>
      <c r="J5462" s="7">
        <v>5.0510000000000002</v>
      </c>
      <c r="K5462" s="7">
        <v>5.032</v>
      </c>
      <c r="L5462" s="7">
        <v>4.8019999999999996</v>
      </c>
      <c r="M5462" s="7">
        <v>5.1319999999999997</v>
      </c>
      <c r="N5462" s="7">
        <v>5.7160000000000002</v>
      </c>
      <c r="O5462" s="7">
        <v>5.7270000000000003</v>
      </c>
      <c r="P5462" s="7">
        <v>5.4539999999999997</v>
      </c>
      <c r="Q5462" s="7">
        <v>5.2130000000000001</v>
      </c>
      <c r="R5462" s="7">
        <v>5.2720000000000002</v>
      </c>
      <c r="S5462" s="7">
        <f t="shared" si="85"/>
        <v>5.26</v>
      </c>
    </row>
    <row r="5463" spans="1:19">
      <c r="A5463" s="5" t="str">
        <f>B5463&amp;"-"&amp;COUNTIF($B$2:B5463,B5463)</f>
        <v>TOCANTINS-32</v>
      </c>
      <c r="B5463" s="5" t="s">
        <v>3564</v>
      </c>
      <c r="C5463" s="5" t="s">
        <v>5043</v>
      </c>
      <c r="D5463" s="6">
        <v>-483982</v>
      </c>
      <c r="E5463" s="6">
        <v>-7033</v>
      </c>
      <c r="F5463" s="7">
        <v>5.0069999999999997</v>
      </c>
      <c r="G5463" s="7">
        <v>4.7679999999999998</v>
      </c>
      <c r="H5463" s="7">
        <v>4.8019999999999996</v>
      </c>
      <c r="I5463" s="7">
        <v>4.5949999999999998</v>
      </c>
      <c r="J5463" s="7">
        <v>4.774</v>
      </c>
      <c r="K5463" s="7">
        <v>4.8879999999999999</v>
      </c>
      <c r="L5463" s="7">
        <v>5.1989999999999998</v>
      </c>
      <c r="M5463" s="7">
        <v>5.2320000000000002</v>
      </c>
      <c r="N5463" s="7">
        <v>5.8659999999999997</v>
      </c>
      <c r="O5463" s="7">
        <v>5.6929999999999996</v>
      </c>
      <c r="P5463" s="7">
        <v>4.9729999999999999</v>
      </c>
      <c r="Q5463" s="7">
        <v>4.7119999999999997</v>
      </c>
      <c r="R5463" s="7">
        <v>4.5780000000000003</v>
      </c>
      <c r="S5463" s="7">
        <f t="shared" si="85"/>
        <v>5.0066666666666668</v>
      </c>
    </row>
    <row r="5464" spans="1:19">
      <c r="A5464" s="5" t="str">
        <f>B5464&amp;"-"&amp;COUNTIF($B$2:B5464,B5464)</f>
        <v>TOCANTINS-33</v>
      </c>
      <c r="B5464" s="5" t="s">
        <v>3564</v>
      </c>
      <c r="C5464" s="5" t="s">
        <v>3580</v>
      </c>
      <c r="D5464" s="6">
        <v>-480357</v>
      </c>
      <c r="E5464" s="6">
        <v>-53236</v>
      </c>
      <c r="F5464" s="7">
        <v>5.0289999999999999</v>
      </c>
      <c r="G5464" s="7">
        <v>4.62</v>
      </c>
      <c r="H5464" s="7">
        <v>4.7210000000000001</v>
      </c>
      <c r="I5464" s="7">
        <v>4.8639999999999999</v>
      </c>
      <c r="J5464" s="7">
        <v>4.9379999999999997</v>
      </c>
      <c r="K5464" s="7">
        <v>4.8559999999999999</v>
      </c>
      <c r="L5464" s="7">
        <v>5.1440000000000001</v>
      </c>
      <c r="M5464" s="7">
        <v>5.2590000000000003</v>
      </c>
      <c r="N5464" s="7">
        <v>5.7039999999999997</v>
      </c>
      <c r="O5464" s="7">
        <v>5.5519999999999996</v>
      </c>
      <c r="P5464" s="7">
        <v>5.1050000000000004</v>
      </c>
      <c r="Q5464" s="7">
        <v>4.9009999999999998</v>
      </c>
      <c r="R5464" s="7">
        <v>4.6879999999999997</v>
      </c>
      <c r="S5464" s="7">
        <f t="shared" si="85"/>
        <v>5.0293333333333337</v>
      </c>
    </row>
    <row r="5465" spans="1:19">
      <c r="A5465" s="5" t="str">
        <f>B5465&amp;"-"&amp;COUNTIF($B$2:B5465,B5465)</f>
        <v>TOCANTINS-34</v>
      </c>
      <c r="B5465" s="5" t="s">
        <v>3564</v>
      </c>
      <c r="C5465" s="5" t="s">
        <v>3581</v>
      </c>
      <c r="D5465" s="6">
        <v>-499559</v>
      </c>
      <c r="E5465" s="6">
        <v>-92743</v>
      </c>
      <c r="F5465" s="7">
        <v>5.1180000000000003</v>
      </c>
      <c r="G5465" s="7">
        <v>5.1040000000000001</v>
      </c>
      <c r="H5465" s="7">
        <v>5.0110000000000001</v>
      </c>
      <c r="I5465" s="7">
        <v>4.8440000000000003</v>
      </c>
      <c r="J5465" s="7">
        <v>4.742</v>
      </c>
      <c r="K5465" s="7">
        <v>4.8979999999999997</v>
      </c>
      <c r="L5465" s="7">
        <v>5.016</v>
      </c>
      <c r="M5465" s="7">
        <v>5.2759999999999998</v>
      </c>
      <c r="N5465" s="7">
        <v>5.7789999999999999</v>
      </c>
      <c r="O5465" s="7">
        <v>5.42</v>
      </c>
      <c r="P5465" s="7">
        <v>5.194</v>
      </c>
      <c r="Q5465" s="7">
        <v>5.0830000000000002</v>
      </c>
      <c r="R5465" s="7">
        <v>5.0490000000000004</v>
      </c>
      <c r="S5465" s="7">
        <f t="shared" si="85"/>
        <v>5.1180000000000003</v>
      </c>
    </row>
    <row r="5466" spans="1:19">
      <c r="A5466" s="5" t="str">
        <f>B5466&amp;"-"&amp;COUNTIF($B$2:B5466,B5466)</f>
        <v>TOCANTINS-35</v>
      </c>
      <c r="B5466" s="5" t="s">
        <v>3564</v>
      </c>
      <c r="C5466" s="5" t="s">
        <v>5713</v>
      </c>
      <c r="D5466" s="6">
        <v>-47338</v>
      </c>
      <c r="E5466" s="6">
        <v>-89616</v>
      </c>
      <c r="F5466" s="7">
        <v>5.2809999999999997</v>
      </c>
      <c r="G5466" s="7">
        <v>5.0730000000000004</v>
      </c>
      <c r="H5466" s="7">
        <v>4.9880000000000004</v>
      </c>
      <c r="I5466" s="7">
        <v>4.83</v>
      </c>
      <c r="J5466" s="7">
        <v>4.907</v>
      </c>
      <c r="K5466" s="7">
        <v>5.1660000000000004</v>
      </c>
      <c r="L5466" s="7">
        <v>5.1840000000000002</v>
      </c>
      <c r="M5466" s="7">
        <v>5.4189999999999996</v>
      </c>
      <c r="N5466" s="7">
        <v>6.1970000000000001</v>
      </c>
      <c r="O5466" s="7">
        <v>6.1109999999999998</v>
      </c>
      <c r="P5466" s="7">
        <v>5.476</v>
      </c>
      <c r="Q5466" s="7">
        <v>5.0229999999999997</v>
      </c>
      <c r="R5466" s="7">
        <v>4.9960000000000004</v>
      </c>
      <c r="S5466" s="7">
        <f t="shared" si="85"/>
        <v>5.2808333333333328</v>
      </c>
    </row>
    <row r="5467" spans="1:19">
      <c r="A5467" s="5" t="str">
        <f>B5467&amp;"-"&amp;COUNTIF($B$2:B5467,B5467)</f>
        <v>TOCANTINS-36</v>
      </c>
      <c r="B5467" s="5" t="s">
        <v>3564</v>
      </c>
      <c r="C5467" s="5" t="s">
        <v>3582</v>
      </c>
      <c r="D5467" s="6">
        <v>-47749</v>
      </c>
      <c r="E5467" s="6">
        <v>-116179</v>
      </c>
      <c r="F5467" s="7">
        <v>5.4530000000000003</v>
      </c>
      <c r="G5467" s="7">
        <v>5.4569999999999999</v>
      </c>
      <c r="H5467" s="7">
        <v>5.51</v>
      </c>
      <c r="I5467" s="7">
        <v>5.1130000000000004</v>
      </c>
      <c r="J5467" s="7">
        <v>5.157</v>
      </c>
      <c r="K5467" s="7">
        <v>5.1879999999999997</v>
      </c>
      <c r="L5467" s="7">
        <v>5.0750000000000002</v>
      </c>
      <c r="M5467" s="7">
        <v>5.3659999999999997</v>
      </c>
      <c r="N5467" s="7">
        <v>6.0309999999999997</v>
      </c>
      <c r="O5467" s="7">
        <v>6.048</v>
      </c>
      <c r="P5467" s="7">
        <v>5.6760000000000002</v>
      </c>
      <c r="Q5467" s="7">
        <v>5.375</v>
      </c>
      <c r="R5467" s="7">
        <v>5.4359999999999999</v>
      </c>
      <c r="S5467" s="7">
        <f t="shared" si="85"/>
        <v>5.4526666666666666</v>
      </c>
    </row>
    <row r="5468" spans="1:19">
      <c r="A5468" s="5" t="str">
        <f>B5468&amp;"-"&amp;COUNTIF($B$2:B5468,B5468)</f>
        <v>TOCANTINS-37</v>
      </c>
      <c r="B5468" s="5" t="s">
        <v>3564</v>
      </c>
      <c r="C5468" s="5" t="s">
        <v>3583</v>
      </c>
      <c r="D5468" s="6">
        <v>-491481</v>
      </c>
      <c r="E5468" s="6">
        <v>-101379</v>
      </c>
      <c r="F5468" s="7">
        <v>5.1779999999999999</v>
      </c>
      <c r="G5468" s="7">
        <v>5.0220000000000002</v>
      </c>
      <c r="H5468" s="7">
        <v>5.008</v>
      </c>
      <c r="I5468" s="7">
        <v>4.7519999999999998</v>
      </c>
      <c r="J5468" s="7">
        <v>4.8369999999999997</v>
      </c>
      <c r="K5468" s="7">
        <v>4.99</v>
      </c>
      <c r="L5468" s="7">
        <v>5.0730000000000004</v>
      </c>
      <c r="M5468" s="7">
        <v>5.3479999999999999</v>
      </c>
      <c r="N5468" s="7">
        <v>5.9820000000000002</v>
      </c>
      <c r="O5468" s="7">
        <v>5.657</v>
      </c>
      <c r="P5468" s="7">
        <v>5.3230000000000004</v>
      </c>
      <c r="Q5468" s="7">
        <v>5.0990000000000002</v>
      </c>
      <c r="R5468" s="7">
        <v>5.0510000000000002</v>
      </c>
      <c r="S5468" s="7">
        <f t="shared" si="85"/>
        <v>5.1784999999999997</v>
      </c>
    </row>
    <row r="5469" spans="1:19">
      <c r="A5469" s="5" t="str">
        <f>B5469&amp;"-"&amp;COUNTIF($B$2:B5469,B5469)</f>
        <v>TOCANTINS-38</v>
      </c>
      <c r="B5469" s="5" t="s">
        <v>3564</v>
      </c>
      <c r="C5469" s="5" t="s">
        <v>3584</v>
      </c>
      <c r="D5469" s="6">
        <v>-484761</v>
      </c>
      <c r="E5469" s="6">
        <v>-80581</v>
      </c>
      <c r="F5469" s="7">
        <v>5.1100000000000003</v>
      </c>
      <c r="G5469" s="7">
        <v>4.8780000000000001</v>
      </c>
      <c r="H5469" s="7">
        <v>4.9640000000000004</v>
      </c>
      <c r="I5469" s="7">
        <v>4.8079999999999998</v>
      </c>
      <c r="J5469" s="7">
        <v>4.827</v>
      </c>
      <c r="K5469" s="7">
        <v>4.9550000000000001</v>
      </c>
      <c r="L5469" s="7">
        <v>5.117</v>
      </c>
      <c r="M5469" s="7">
        <v>5.2439999999999998</v>
      </c>
      <c r="N5469" s="7">
        <v>5.9989999999999997</v>
      </c>
      <c r="O5469" s="7">
        <v>5.75</v>
      </c>
      <c r="P5469" s="7">
        <v>5.14</v>
      </c>
      <c r="Q5469" s="7">
        <v>4.8540000000000001</v>
      </c>
      <c r="R5469" s="7">
        <v>4.7830000000000004</v>
      </c>
      <c r="S5469" s="7">
        <f t="shared" si="85"/>
        <v>5.1099166666666678</v>
      </c>
    </row>
    <row r="5470" spans="1:19">
      <c r="A5470" s="5" t="str">
        <f>B5470&amp;"-"&amp;COUNTIF($B$2:B5470,B5470)</f>
        <v>TOCANTINS-39</v>
      </c>
      <c r="B5470" s="5" t="s">
        <v>3564</v>
      </c>
      <c r="C5470" s="5" t="s">
        <v>4532</v>
      </c>
      <c r="D5470" s="6">
        <v>-487562</v>
      </c>
      <c r="E5470" s="6">
        <v>-87317</v>
      </c>
      <c r="F5470" s="7">
        <v>5.0620000000000003</v>
      </c>
      <c r="G5470" s="7">
        <v>4.8019999999999996</v>
      </c>
      <c r="H5470" s="7">
        <v>4.8040000000000003</v>
      </c>
      <c r="I5470" s="7">
        <v>4.6459999999999999</v>
      </c>
      <c r="J5470" s="7">
        <v>4.6760000000000002</v>
      </c>
      <c r="K5470" s="7">
        <v>4.9980000000000002</v>
      </c>
      <c r="L5470" s="7">
        <v>5.1109999999999998</v>
      </c>
      <c r="M5470" s="7">
        <v>5.2709999999999999</v>
      </c>
      <c r="N5470" s="7">
        <v>6.0309999999999997</v>
      </c>
      <c r="O5470" s="7">
        <v>5.6980000000000004</v>
      </c>
      <c r="P5470" s="7">
        <v>5.0999999999999996</v>
      </c>
      <c r="Q5470" s="7">
        <v>4.8390000000000004</v>
      </c>
      <c r="R5470" s="7">
        <v>4.7729999999999997</v>
      </c>
      <c r="S5470" s="7">
        <f t="shared" si="85"/>
        <v>5.0624166666666666</v>
      </c>
    </row>
    <row r="5471" spans="1:19">
      <c r="A5471" s="5" t="str">
        <f>B5471&amp;"-"&amp;COUNTIF($B$2:B5471,B5471)</f>
        <v>TOCANTINS-40</v>
      </c>
      <c r="B5471" s="5" t="s">
        <v>3564</v>
      </c>
      <c r="C5471" s="5" t="s">
        <v>3585</v>
      </c>
      <c r="D5471" s="6">
        <v>-465485</v>
      </c>
      <c r="E5471" s="6">
        <v>-128122</v>
      </c>
      <c r="F5471" s="7">
        <v>5.6310000000000002</v>
      </c>
      <c r="G5471" s="7">
        <v>5.9859999999999998</v>
      </c>
      <c r="H5471" s="7">
        <v>5.8920000000000003</v>
      </c>
      <c r="I5471" s="7">
        <v>5.5449999999999999</v>
      </c>
      <c r="J5471" s="7">
        <v>5.4580000000000002</v>
      </c>
      <c r="K5471" s="7">
        <v>5.2240000000000002</v>
      </c>
      <c r="L5471" s="7">
        <v>5.008</v>
      </c>
      <c r="M5471" s="7">
        <v>5.3479999999999999</v>
      </c>
      <c r="N5471" s="7">
        <v>5.8330000000000002</v>
      </c>
      <c r="O5471" s="7">
        <v>5.99</v>
      </c>
      <c r="P5471" s="7">
        <v>5.8230000000000004</v>
      </c>
      <c r="Q5471" s="7">
        <v>5.5419999999999998</v>
      </c>
      <c r="R5471" s="7">
        <v>5.923</v>
      </c>
      <c r="S5471" s="7">
        <f t="shared" si="85"/>
        <v>5.6310000000000002</v>
      </c>
    </row>
    <row r="5472" spans="1:19">
      <c r="A5472" s="5" t="str">
        <f>B5472&amp;"-"&amp;COUNTIF($B$2:B5472,B5472)</f>
        <v>TOCANTINS-41</v>
      </c>
      <c r="B5472" s="5" t="s">
        <v>3564</v>
      </c>
      <c r="C5472" s="5" t="s">
        <v>4805</v>
      </c>
      <c r="D5472" s="6">
        <v>-472952</v>
      </c>
      <c r="E5472" s="6">
        <v>-122237</v>
      </c>
      <c r="F5472" s="7">
        <v>5.6239999999999997</v>
      </c>
      <c r="G5472" s="7">
        <v>5.7869999999999999</v>
      </c>
      <c r="H5472" s="7">
        <v>5.7649999999999997</v>
      </c>
      <c r="I5472" s="7">
        <v>5.4320000000000004</v>
      </c>
      <c r="J5472" s="7">
        <v>5.359</v>
      </c>
      <c r="K5472" s="7">
        <v>5.3</v>
      </c>
      <c r="L5472" s="7">
        <v>5.1340000000000003</v>
      </c>
      <c r="M5472" s="7">
        <v>5.4349999999999996</v>
      </c>
      <c r="N5472" s="7">
        <v>5.9880000000000004</v>
      </c>
      <c r="O5472" s="7">
        <v>6.1260000000000003</v>
      </c>
      <c r="P5472" s="7">
        <v>5.8540000000000001</v>
      </c>
      <c r="Q5472" s="7">
        <v>5.5739999999999998</v>
      </c>
      <c r="R5472" s="7">
        <v>5.7270000000000003</v>
      </c>
      <c r="S5472" s="7">
        <f t="shared" si="85"/>
        <v>5.6234166666666665</v>
      </c>
    </row>
    <row r="5473" spans="1:19">
      <c r="A5473" s="5" t="str">
        <f>B5473&amp;"-"&amp;COUNTIF($B$2:B5473,B5473)</f>
        <v>TOCANTINS-42</v>
      </c>
      <c r="B5473" s="5" t="s">
        <v>3564</v>
      </c>
      <c r="C5473" s="5" t="s">
        <v>5424</v>
      </c>
      <c r="D5473" s="6">
        <v>-49247</v>
      </c>
      <c r="E5473" s="6">
        <v>-82832</v>
      </c>
      <c r="F5473" s="7">
        <v>5.0789999999999997</v>
      </c>
      <c r="G5473" s="7">
        <v>4.7919999999999998</v>
      </c>
      <c r="H5473" s="7">
        <v>4.9269999999999996</v>
      </c>
      <c r="I5473" s="7">
        <v>4.8150000000000004</v>
      </c>
      <c r="J5473" s="7">
        <v>4.7229999999999999</v>
      </c>
      <c r="K5473" s="7">
        <v>4.915</v>
      </c>
      <c r="L5473" s="7">
        <v>5.1289999999999996</v>
      </c>
      <c r="M5473" s="7">
        <v>5.2619999999999996</v>
      </c>
      <c r="N5473" s="7">
        <v>5.89</v>
      </c>
      <c r="O5473" s="7">
        <v>5.6580000000000004</v>
      </c>
      <c r="P5473" s="7">
        <v>5.15</v>
      </c>
      <c r="Q5473" s="7">
        <v>4.8879999999999999</v>
      </c>
      <c r="R5473" s="7">
        <v>4.79</v>
      </c>
      <c r="S5473" s="7">
        <f t="shared" si="85"/>
        <v>5.0782499999999997</v>
      </c>
    </row>
    <row r="5474" spans="1:19">
      <c r="A5474" s="5" t="str">
        <f>B5474&amp;"-"&amp;COUNTIF($B$2:B5474,B5474)</f>
        <v>TOCANTINS-43</v>
      </c>
      <c r="B5474" s="5" t="s">
        <v>3564</v>
      </c>
      <c r="C5474" s="5" t="s">
        <v>5044</v>
      </c>
      <c r="D5474" s="6">
        <v>-491946</v>
      </c>
      <c r="E5474" s="6">
        <v>-105989</v>
      </c>
      <c r="F5474" s="7">
        <v>5.18</v>
      </c>
      <c r="G5474" s="7">
        <v>5.0220000000000002</v>
      </c>
      <c r="H5474" s="7">
        <v>5.0279999999999996</v>
      </c>
      <c r="I5474" s="7">
        <v>4.7770000000000001</v>
      </c>
      <c r="J5474" s="7">
        <v>4.8570000000000002</v>
      </c>
      <c r="K5474" s="7">
        <v>4.93</v>
      </c>
      <c r="L5474" s="7">
        <v>5.117</v>
      </c>
      <c r="M5474" s="7">
        <v>5.3019999999999996</v>
      </c>
      <c r="N5474" s="7">
        <v>5.9809999999999999</v>
      </c>
      <c r="O5474" s="7">
        <v>5.68</v>
      </c>
      <c r="P5474" s="7">
        <v>5.3570000000000002</v>
      </c>
      <c r="Q5474" s="7">
        <v>5.0990000000000002</v>
      </c>
      <c r="R5474" s="7">
        <v>5.0119999999999996</v>
      </c>
      <c r="S5474" s="7">
        <f t="shared" si="85"/>
        <v>5.1801666666666675</v>
      </c>
    </row>
    <row r="5475" spans="1:19">
      <c r="A5475" s="5" t="str">
        <f>B5475&amp;"-"&amp;COUNTIF($B$2:B5475,B5475)</f>
        <v>TOCANTINS-44</v>
      </c>
      <c r="B5475" s="5" t="s">
        <v>3564</v>
      </c>
      <c r="C5475" s="5" t="s">
        <v>5802</v>
      </c>
      <c r="D5475" s="6">
        <v>-48919</v>
      </c>
      <c r="E5475" s="6">
        <v>-111049</v>
      </c>
      <c r="F5475" s="7">
        <v>5.2750000000000004</v>
      </c>
      <c r="G5475" s="7">
        <v>5.1890000000000001</v>
      </c>
      <c r="H5475" s="7">
        <v>5.2640000000000002</v>
      </c>
      <c r="I5475" s="7">
        <v>4.9370000000000003</v>
      </c>
      <c r="J5475" s="7">
        <v>4.9969999999999999</v>
      </c>
      <c r="K5475" s="7">
        <v>5.0380000000000003</v>
      </c>
      <c r="L5475" s="7">
        <v>5.0149999999999997</v>
      </c>
      <c r="M5475" s="7">
        <v>5.3719999999999999</v>
      </c>
      <c r="N5475" s="7">
        <v>5.9649999999999999</v>
      </c>
      <c r="O5475" s="7">
        <v>5.6639999999999997</v>
      </c>
      <c r="P5475" s="7">
        <v>5.3979999999999997</v>
      </c>
      <c r="Q5475" s="7">
        <v>5.2409999999999997</v>
      </c>
      <c r="R5475" s="7">
        <v>5.2169999999999996</v>
      </c>
      <c r="S5475" s="7">
        <f t="shared" si="85"/>
        <v>5.27475</v>
      </c>
    </row>
    <row r="5476" spans="1:19">
      <c r="A5476" s="5" t="str">
        <f>B5476&amp;"-"&amp;COUNTIF($B$2:B5476,B5476)</f>
        <v>TOCANTINS-45</v>
      </c>
      <c r="B5476" s="5" t="s">
        <v>3564</v>
      </c>
      <c r="C5476" s="5" t="s">
        <v>5268</v>
      </c>
      <c r="D5476" s="6">
        <v>-477531</v>
      </c>
      <c r="E5476" s="6">
        <v>-67101</v>
      </c>
      <c r="F5476" s="7">
        <v>5.0739999999999998</v>
      </c>
      <c r="G5476" s="7">
        <v>4.72</v>
      </c>
      <c r="H5476" s="7">
        <v>4.8159999999999998</v>
      </c>
      <c r="I5476" s="7">
        <v>4.7649999999999997</v>
      </c>
      <c r="J5476" s="7">
        <v>4.8650000000000002</v>
      </c>
      <c r="K5476" s="7">
        <v>4.9240000000000004</v>
      </c>
      <c r="L5476" s="7">
        <v>5.19</v>
      </c>
      <c r="M5476" s="7">
        <v>5.431</v>
      </c>
      <c r="N5476" s="7">
        <v>5.97</v>
      </c>
      <c r="O5476" s="7">
        <v>5.8109999999999999</v>
      </c>
      <c r="P5476" s="7">
        <v>5.1050000000000004</v>
      </c>
      <c r="Q5476" s="7">
        <v>4.6950000000000003</v>
      </c>
      <c r="R5476" s="7">
        <v>4.5949999999999998</v>
      </c>
      <c r="S5476" s="7">
        <f t="shared" si="85"/>
        <v>5.0739166666666664</v>
      </c>
    </row>
    <row r="5477" spans="1:19">
      <c r="A5477" s="5" t="str">
        <f>B5477&amp;"-"&amp;COUNTIF($B$2:B5477,B5477)</f>
        <v>TOCANTINS-46</v>
      </c>
      <c r="B5477" s="5" t="s">
        <v>3564</v>
      </c>
      <c r="C5477" s="5" t="s">
        <v>5269</v>
      </c>
      <c r="D5477" s="6">
        <v>-468202</v>
      </c>
      <c r="E5477" s="6">
        <v>-116244</v>
      </c>
      <c r="F5477" s="7">
        <v>5.4950000000000001</v>
      </c>
      <c r="G5477" s="7">
        <v>5.5579999999999998</v>
      </c>
      <c r="H5477" s="7">
        <v>5.3979999999999997</v>
      </c>
      <c r="I5477" s="7">
        <v>5.0919999999999996</v>
      </c>
      <c r="J5477" s="7">
        <v>5.1219999999999999</v>
      </c>
      <c r="K5477" s="7">
        <v>5.2489999999999997</v>
      </c>
      <c r="L5477" s="7">
        <v>5.1829999999999998</v>
      </c>
      <c r="M5477" s="7">
        <v>5.4889999999999999</v>
      </c>
      <c r="N5477" s="7">
        <v>6.1470000000000002</v>
      </c>
      <c r="O5477" s="7">
        <v>6.2160000000000002</v>
      </c>
      <c r="P5477" s="7">
        <v>5.6970000000000001</v>
      </c>
      <c r="Q5477" s="7">
        <v>5.3540000000000001</v>
      </c>
      <c r="R5477" s="7">
        <v>5.4329999999999998</v>
      </c>
      <c r="S5477" s="7">
        <f t="shared" si="85"/>
        <v>5.4948333333333323</v>
      </c>
    </row>
    <row r="5478" spans="1:19">
      <c r="A5478" s="5" t="str">
        <f>B5478&amp;"-"&amp;COUNTIF($B$2:B5478,B5478)</f>
        <v>TOCANTINS-47</v>
      </c>
      <c r="B5478" s="5" t="s">
        <v>3564</v>
      </c>
      <c r="C5478" s="5" t="s">
        <v>5270</v>
      </c>
      <c r="D5478" s="6">
        <v>-492172</v>
      </c>
      <c r="E5478" s="6">
        <v>-98006</v>
      </c>
      <c r="F5478" s="7">
        <v>5.1390000000000002</v>
      </c>
      <c r="G5478" s="7">
        <v>4.984</v>
      </c>
      <c r="H5478" s="7">
        <v>4.9930000000000003</v>
      </c>
      <c r="I5478" s="7">
        <v>4.74</v>
      </c>
      <c r="J5478" s="7">
        <v>4.7380000000000004</v>
      </c>
      <c r="K5478" s="7">
        <v>4.92</v>
      </c>
      <c r="L5478" s="7">
        <v>5.0720000000000001</v>
      </c>
      <c r="M5478" s="7">
        <v>5.3730000000000002</v>
      </c>
      <c r="N5478" s="7">
        <v>5.9420000000000002</v>
      </c>
      <c r="O5478" s="7">
        <v>5.6020000000000003</v>
      </c>
      <c r="P5478" s="7">
        <v>5.2359999999999998</v>
      </c>
      <c r="Q5478" s="7">
        <v>5.0890000000000004</v>
      </c>
      <c r="R5478" s="7">
        <v>4.9800000000000004</v>
      </c>
      <c r="S5478" s="7">
        <f t="shared" si="85"/>
        <v>5.1390833333333328</v>
      </c>
    </row>
    <row r="5479" spans="1:19">
      <c r="A5479" s="5" t="str">
        <f>B5479&amp;"-"&amp;COUNTIF($B$2:B5479,B5479)</f>
        <v>TOCANTINS-48</v>
      </c>
      <c r="B5479" s="5" t="s">
        <v>3564</v>
      </c>
      <c r="C5479" s="5" t="s">
        <v>4260</v>
      </c>
      <c r="D5479" s="6">
        <v>-490641</v>
      </c>
      <c r="E5479" s="6">
        <v>-92558</v>
      </c>
      <c r="F5479" s="7">
        <v>5.1349999999999998</v>
      </c>
      <c r="G5479" s="7">
        <v>4.9359999999999999</v>
      </c>
      <c r="H5479" s="7">
        <v>4.944</v>
      </c>
      <c r="I5479" s="7">
        <v>4.7549999999999999</v>
      </c>
      <c r="J5479" s="7">
        <v>4.7430000000000003</v>
      </c>
      <c r="K5479" s="7">
        <v>5.0250000000000004</v>
      </c>
      <c r="L5479" s="7">
        <v>5.0789999999999997</v>
      </c>
      <c r="M5479" s="7">
        <v>5.3150000000000004</v>
      </c>
      <c r="N5479" s="7">
        <v>5.9610000000000003</v>
      </c>
      <c r="O5479" s="7">
        <v>5.6559999999999997</v>
      </c>
      <c r="P5479" s="7">
        <v>5.2279999999999998</v>
      </c>
      <c r="Q5479" s="7">
        <v>5.048</v>
      </c>
      <c r="R5479" s="7">
        <v>4.9249999999999998</v>
      </c>
      <c r="S5479" s="7">
        <f t="shared" si="85"/>
        <v>5.1345833333333326</v>
      </c>
    </row>
    <row r="5480" spans="1:19">
      <c r="A5480" s="5" t="str">
        <f>B5480&amp;"-"&amp;COUNTIF($B$2:B5480,B5480)</f>
        <v>TOCANTINS-49</v>
      </c>
      <c r="B5480" s="5" t="s">
        <v>3564</v>
      </c>
      <c r="C5480" s="5" t="s">
        <v>4533</v>
      </c>
      <c r="D5480" s="6">
        <v>-49272</v>
      </c>
      <c r="E5480" s="6">
        <v>-113421</v>
      </c>
      <c r="F5480" s="7">
        <v>5.274</v>
      </c>
      <c r="G5480" s="7">
        <v>5.2069999999999999</v>
      </c>
      <c r="H5480" s="7">
        <v>5.202</v>
      </c>
      <c r="I5480" s="7">
        <v>4.9480000000000004</v>
      </c>
      <c r="J5480" s="7">
        <v>4.9939999999999998</v>
      </c>
      <c r="K5480" s="7">
        <v>5.0049999999999999</v>
      </c>
      <c r="L5480" s="7">
        <v>5.0229999999999997</v>
      </c>
      <c r="M5480" s="7">
        <v>5.3490000000000002</v>
      </c>
      <c r="N5480" s="7">
        <v>5.9649999999999999</v>
      </c>
      <c r="O5480" s="7">
        <v>5.7050000000000001</v>
      </c>
      <c r="P5480" s="7">
        <v>5.4180000000000001</v>
      </c>
      <c r="Q5480" s="7">
        <v>5.1859999999999999</v>
      </c>
      <c r="R5480" s="7">
        <v>5.2910000000000004</v>
      </c>
      <c r="S5480" s="7">
        <f t="shared" si="85"/>
        <v>5.2744166666666663</v>
      </c>
    </row>
    <row r="5481" spans="1:19">
      <c r="A5481" s="5" t="str">
        <f>B5481&amp;"-"&amp;COUNTIF($B$2:B5481,B5481)</f>
        <v>TOCANTINS-50</v>
      </c>
      <c r="B5481" s="5" t="s">
        <v>3564</v>
      </c>
      <c r="C5481" s="5" t="s">
        <v>2306</v>
      </c>
      <c r="D5481" s="6">
        <v>-485382</v>
      </c>
      <c r="E5481" s="6">
        <v>-53663</v>
      </c>
      <c r="F5481" s="7">
        <v>4.9770000000000003</v>
      </c>
      <c r="G5481" s="7">
        <v>4.55</v>
      </c>
      <c r="H5481" s="7">
        <v>4.7489999999999997</v>
      </c>
      <c r="I5481" s="7">
        <v>4.7949999999999999</v>
      </c>
      <c r="J5481" s="7">
        <v>4.8659999999999997</v>
      </c>
      <c r="K5481" s="7">
        <v>4.8209999999999997</v>
      </c>
      <c r="L5481" s="7">
        <v>5.1360000000000001</v>
      </c>
      <c r="M5481" s="7">
        <v>5.2130000000000001</v>
      </c>
      <c r="N5481" s="7">
        <v>5.7110000000000003</v>
      </c>
      <c r="O5481" s="7">
        <v>5.4770000000000003</v>
      </c>
      <c r="P5481" s="7">
        <v>4.9550000000000001</v>
      </c>
      <c r="Q5481" s="7">
        <v>4.8620000000000001</v>
      </c>
      <c r="R5481" s="7">
        <v>4.5789999999999997</v>
      </c>
      <c r="S5481" s="7">
        <f t="shared" si="85"/>
        <v>4.9761666666666668</v>
      </c>
    </row>
    <row r="5482" spans="1:19">
      <c r="A5482" s="5" t="str">
        <f>B5482&amp;"-"&amp;COUNTIF($B$2:B5482,B5482)</f>
        <v>TOCANTINS-51</v>
      </c>
      <c r="B5482" s="5" t="s">
        <v>3564</v>
      </c>
      <c r="C5482" s="5" t="s">
        <v>5463</v>
      </c>
      <c r="D5482" s="6">
        <v>-48903</v>
      </c>
      <c r="E5482" s="6">
        <v>-107579</v>
      </c>
      <c r="F5482" s="7">
        <v>5.2140000000000004</v>
      </c>
      <c r="G5482" s="7">
        <v>5.0350000000000001</v>
      </c>
      <c r="H5482" s="7">
        <v>5.0919999999999996</v>
      </c>
      <c r="I5482" s="7">
        <v>4.8410000000000002</v>
      </c>
      <c r="J5482" s="7">
        <v>4.9290000000000003</v>
      </c>
      <c r="K5482" s="7">
        <v>4.976</v>
      </c>
      <c r="L5482" s="7">
        <v>5.0869999999999997</v>
      </c>
      <c r="M5482" s="7">
        <v>5.444</v>
      </c>
      <c r="N5482" s="7">
        <v>5.96</v>
      </c>
      <c r="O5482" s="7">
        <v>5.7030000000000003</v>
      </c>
      <c r="P5482" s="7">
        <v>5.3019999999999996</v>
      </c>
      <c r="Q5482" s="7">
        <v>5.141</v>
      </c>
      <c r="R5482" s="7">
        <v>5.0640000000000001</v>
      </c>
      <c r="S5482" s="7">
        <f t="shared" si="85"/>
        <v>5.2145000000000001</v>
      </c>
    </row>
    <row r="5483" spans="1:19">
      <c r="A5483" s="5" t="str">
        <f>B5483&amp;"-"&amp;COUNTIF($B$2:B5483,B5483)</f>
        <v>TOCANTINS-52</v>
      </c>
      <c r="B5483" s="5" t="s">
        <v>3564</v>
      </c>
      <c r="C5483" s="5" t="s">
        <v>5271</v>
      </c>
      <c r="D5483" s="6">
        <v>-491712</v>
      </c>
      <c r="E5483" s="6">
        <v>-121382</v>
      </c>
      <c r="F5483" s="7">
        <v>5.2839999999999998</v>
      </c>
      <c r="G5483" s="7">
        <v>5.3680000000000003</v>
      </c>
      <c r="H5483" s="7">
        <v>5.4039999999999999</v>
      </c>
      <c r="I5483" s="7">
        <v>5.069</v>
      </c>
      <c r="J5483" s="7">
        <v>5.1040000000000001</v>
      </c>
      <c r="K5483" s="7">
        <v>5.0389999999999997</v>
      </c>
      <c r="L5483" s="7">
        <v>4.7759999999999998</v>
      </c>
      <c r="M5483" s="7">
        <v>5.125</v>
      </c>
      <c r="N5483" s="7">
        <v>5.7439999999999998</v>
      </c>
      <c r="O5483" s="7">
        <v>5.7560000000000002</v>
      </c>
      <c r="P5483" s="7">
        <v>5.492</v>
      </c>
      <c r="Q5483" s="7">
        <v>5.2270000000000003</v>
      </c>
      <c r="R5483" s="7">
        <v>5.3010000000000002</v>
      </c>
      <c r="S5483" s="7">
        <f t="shared" si="85"/>
        <v>5.2837500000000004</v>
      </c>
    </row>
    <row r="5484" spans="1:19">
      <c r="A5484" s="5" t="str">
        <f>B5484&amp;"-"&amp;COUNTIF($B$2:B5484,B5484)</f>
        <v>TOCANTINS-53</v>
      </c>
      <c r="B5484" s="5" t="s">
        <v>3564</v>
      </c>
      <c r="C5484" s="5" t="s">
        <v>4274</v>
      </c>
      <c r="D5484" s="6">
        <v>-474958</v>
      </c>
      <c r="E5484" s="6">
        <v>-73354</v>
      </c>
      <c r="F5484" s="7">
        <v>5.1779999999999999</v>
      </c>
      <c r="G5484" s="7">
        <v>4.8689999999999998</v>
      </c>
      <c r="H5484" s="7">
        <v>4.9249999999999998</v>
      </c>
      <c r="I5484" s="7">
        <v>4.806</v>
      </c>
      <c r="J5484" s="7">
        <v>4.8470000000000004</v>
      </c>
      <c r="K5484" s="7">
        <v>5.1050000000000004</v>
      </c>
      <c r="L5484" s="7">
        <v>5.3440000000000003</v>
      </c>
      <c r="M5484" s="7">
        <v>5.32</v>
      </c>
      <c r="N5484" s="7">
        <v>5.9429999999999996</v>
      </c>
      <c r="O5484" s="7">
        <v>6.0309999999999997</v>
      </c>
      <c r="P5484" s="7">
        <v>5.3419999999999996</v>
      </c>
      <c r="Q5484" s="7">
        <v>4.835</v>
      </c>
      <c r="R5484" s="7">
        <v>4.774</v>
      </c>
      <c r="S5484" s="7">
        <f t="shared" si="85"/>
        <v>5.1784166666666671</v>
      </c>
    </row>
    <row r="5485" spans="1:19">
      <c r="A5485" s="5" t="str">
        <f>B5485&amp;"-"&amp;COUNTIF($B$2:B5485,B5485)</f>
        <v>TOCANTINS-54</v>
      </c>
      <c r="B5485" s="5" t="s">
        <v>3564</v>
      </c>
      <c r="C5485" s="5" t="s">
        <v>3586</v>
      </c>
      <c r="D5485" s="6">
        <v>-495252</v>
      </c>
      <c r="E5485" s="6">
        <v>-118064</v>
      </c>
      <c r="F5485" s="7">
        <v>5.242</v>
      </c>
      <c r="G5485" s="7">
        <v>5.3239999999999998</v>
      </c>
      <c r="H5485" s="7">
        <v>5.3040000000000003</v>
      </c>
      <c r="I5485" s="7">
        <v>5.0759999999999996</v>
      </c>
      <c r="J5485" s="7">
        <v>4.9930000000000003</v>
      </c>
      <c r="K5485" s="7">
        <v>4.9909999999999997</v>
      </c>
      <c r="L5485" s="7">
        <v>4.8209999999999997</v>
      </c>
      <c r="M5485" s="7">
        <v>5.03</v>
      </c>
      <c r="N5485" s="7">
        <v>5.7409999999999997</v>
      </c>
      <c r="O5485" s="7">
        <v>5.62</v>
      </c>
      <c r="P5485" s="7">
        <v>5.4649999999999999</v>
      </c>
      <c r="Q5485" s="7">
        <v>5.2130000000000001</v>
      </c>
      <c r="R5485" s="7">
        <v>5.3220000000000001</v>
      </c>
      <c r="S5485" s="7">
        <f t="shared" si="85"/>
        <v>5.2416666666666663</v>
      </c>
    </row>
    <row r="5486" spans="1:19">
      <c r="A5486" s="5" t="str">
        <f>B5486&amp;"-"&amp;COUNTIF($B$2:B5486,B5486)</f>
        <v>TOCANTINS-55</v>
      </c>
      <c r="B5486" s="5" t="s">
        <v>3564</v>
      </c>
      <c r="C5486" s="5" t="s">
        <v>4261</v>
      </c>
      <c r="D5486" s="6">
        <v>-485209</v>
      </c>
      <c r="E5486" s="6">
        <v>-90565</v>
      </c>
      <c r="F5486" s="7">
        <v>5.1420000000000003</v>
      </c>
      <c r="G5486" s="7">
        <v>4.9180000000000001</v>
      </c>
      <c r="H5486" s="7">
        <v>5.0279999999999996</v>
      </c>
      <c r="I5486" s="7">
        <v>4.8170000000000002</v>
      </c>
      <c r="J5486" s="7">
        <v>4.8070000000000004</v>
      </c>
      <c r="K5486" s="7">
        <v>5.0019999999999998</v>
      </c>
      <c r="L5486" s="7">
        <v>5.0990000000000002</v>
      </c>
      <c r="M5486" s="7">
        <v>5.3040000000000003</v>
      </c>
      <c r="N5486" s="7">
        <v>5.9690000000000003</v>
      </c>
      <c r="O5486" s="7">
        <v>5.7709999999999999</v>
      </c>
      <c r="P5486" s="7">
        <v>5.1280000000000001</v>
      </c>
      <c r="Q5486" s="7">
        <v>4.9409999999999998</v>
      </c>
      <c r="R5486" s="7">
        <v>4.92</v>
      </c>
      <c r="S5486" s="7">
        <f t="shared" si="85"/>
        <v>5.1420000000000003</v>
      </c>
    </row>
    <row r="5487" spans="1:19">
      <c r="A5487" s="5" t="str">
        <f>B5487&amp;"-"&amp;COUNTIF($B$2:B5487,B5487)</f>
        <v>TOCANTINS-56</v>
      </c>
      <c r="B5487" s="5" t="s">
        <v>3564</v>
      </c>
      <c r="C5487" s="5" t="s">
        <v>3587</v>
      </c>
      <c r="D5487" s="6">
        <v>-48936</v>
      </c>
      <c r="E5487" s="6">
        <v>-87709</v>
      </c>
      <c r="F5487" s="7">
        <v>5.1109999999999998</v>
      </c>
      <c r="G5487" s="7">
        <v>4.8579999999999997</v>
      </c>
      <c r="H5487" s="7">
        <v>4.9109999999999996</v>
      </c>
      <c r="I5487" s="7">
        <v>4.702</v>
      </c>
      <c r="J5487" s="7">
        <v>4.7430000000000003</v>
      </c>
      <c r="K5487" s="7">
        <v>4.9889999999999999</v>
      </c>
      <c r="L5487" s="7">
        <v>5.1079999999999997</v>
      </c>
      <c r="M5487" s="7">
        <v>5.3440000000000003</v>
      </c>
      <c r="N5487" s="7">
        <v>6.06</v>
      </c>
      <c r="O5487" s="7">
        <v>5.6859999999999999</v>
      </c>
      <c r="P5487" s="7">
        <v>5.117</v>
      </c>
      <c r="Q5487" s="7">
        <v>4.968</v>
      </c>
      <c r="R5487" s="7">
        <v>4.8460000000000001</v>
      </c>
      <c r="S5487" s="7">
        <f t="shared" si="85"/>
        <v>5.1110000000000007</v>
      </c>
    </row>
    <row r="5488" spans="1:19">
      <c r="A5488" s="5" t="str">
        <f>B5488&amp;"-"&amp;COUNTIF($B$2:B5488,B5488)</f>
        <v>TOCANTINS-57</v>
      </c>
      <c r="B5488" s="5" t="s">
        <v>3564</v>
      </c>
      <c r="C5488" s="5" t="s">
        <v>3588</v>
      </c>
      <c r="D5488" s="6">
        <v>-473164</v>
      </c>
      <c r="E5488" s="6">
        <v>-77146</v>
      </c>
      <c r="F5488" s="7">
        <v>5.2249999999999996</v>
      </c>
      <c r="G5488" s="7">
        <v>4.9749999999999996</v>
      </c>
      <c r="H5488" s="7">
        <v>4.968</v>
      </c>
      <c r="I5488" s="7">
        <v>4.9560000000000004</v>
      </c>
      <c r="J5488" s="7">
        <v>4.9329999999999998</v>
      </c>
      <c r="K5488" s="7">
        <v>5.1550000000000002</v>
      </c>
      <c r="L5488" s="7">
        <v>5.282</v>
      </c>
      <c r="M5488" s="7">
        <v>5.3410000000000002</v>
      </c>
      <c r="N5488" s="7">
        <v>6.02</v>
      </c>
      <c r="O5488" s="7">
        <v>6.0709999999999997</v>
      </c>
      <c r="P5488" s="7">
        <v>5.3129999999999997</v>
      </c>
      <c r="Q5488" s="7">
        <v>4.9059999999999997</v>
      </c>
      <c r="R5488" s="7">
        <v>4.7779999999999996</v>
      </c>
      <c r="S5488" s="7">
        <f t="shared" si="85"/>
        <v>5.2248333333333328</v>
      </c>
    </row>
    <row r="5489" spans="1:19">
      <c r="A5489" s="5" t="str">
        <f>B5489&amp;"-"&amp;COUNTIF($B$2:B5489,B5489)</f>
        <v>TOCANTINS-58</v>
      </c>
      <c r="B5489" s="5" t="s">
        <v>3564</v>
      </c>
      <c r="C5489" s="5" t="s">
        <v>3589</v>
      </c>
      <c r="D5489" s="6">
        <v>-485118</v>
      </c>
      <c r="E5489" s="6">
        <v>-88358</v>
      </c>
      <c r="F5489" s="7">
        <v>5.0880000000000001</v>
      </c>
      <c r="G5489" s="7">
        <v>4.859</v>
      </c>
      <c r="H5489" s="7">
        <v>4.9169999999999998</v>
      </c>
      <c r="I5489" s="7">
        <v>4.7750000000000004</v>
      </c>
      <c r="J5489" s="7">
        <v>4.742</v>
      </c>
      <c r="K5489" s="7">
        <v>4.9930000000000003</v>
      </c>
      <c r="L5489" s="7">
        <v>5.0510000000000002</v>
      </c>
      <c r="M5489" s="7">
        <v>5.2629999999999999</v>
      </c>
      <c r="N5489" s="7">
        <v>5.9859999999999998</v>
      </c>
      <c r="O5489" s="7">
        <v>5.6950000000000003</v>
      </c>
      <c r="P5489" s="7">
        <v>5.1159999999999997</v>
      </c>
      <c r="Q5489" s="7">
        <v>4.8159999999999998</v>
      </c>
      <c r="R5489" s="7">
        <v>4.84</v>
      </c>
      <c r="S5489" s="7">
        <f t="shared" si="85"/>
        <v>5.0877499999999998</v>
      </c>
    </row>
    <row r="5490" spans="1:19">
      <c r="A5490" s="5" t="str">
        <f>B5490&amp;"-"&amp;COUNTIF($B$2:B5490,B5490)</f>
        <v>TOCANTINS-59</v>
      </c>
      <c r="B5490" s="5" t="s">
        <v>3564</v>
      </c>
      <c r="C5490" s="5" t="s">
        <v>3590</v>
      </c>
      <c r="D5490" s="6">
        <v>-490684</v>
      </c>
      <c r="E5490" s="6">
        <v>-117284</v>
      </c>
      <c r="F5490" s="7">
        <v>5.282</v>
      </c>
      <c r="G5490" s="7">
        <v>5.2430000000000003</v>
      </c>
      <c r="H5490" s="7">
        <v>5.3840000000000003</v>
      </c>
      <c r="I5490" s="7">
        <v>5.0110000000000001</v>
      </c>
      <c r="J5490" s="7">
        <v>5.0209999999999999</v>
      </c>
      <c r="K5490" s="7">
        <v>5.016</v>
      </c>
      <c r="L5490" s="7">
        <v>4.8680000000000003</v>
      </c>
      <c r="M5490" s="7">
        <v>5.2270000000000003</v>
      </c>
      <c r="N5490" s="7">
        <v>5.806</v>
      </c>
      <c r="O5490" s="7">
        <v>5.7789999999999999</v>
      </c>
      <c r="P5490" s="7">
        <v>5.4640000000000004</v>
      </c>
      <c r="Q5490" s="7">
        <v>5.2450000000000001</v>
      </c>
      <c r="R5490" s="7">
        <v>5.3159999999999998</v>
      </c>
      <c r="S5490" s="7">
        <f t="shared" si="85"/>
        <v>5.2816666666666672</v>
      </c>
    </row>
    <row r="5491" spans="1:19">
      <c r="A5491" s="5" t="str">
        <f>B5491&amp;"-"&amp;COUNTIF($B$2:B5491,B5491)</f>
        <v>TOCANTINS-60</v>
      </c>
      <c r="B5491" s="5" t="s">
        <v>3564</v>
      </c>
      <c r="C5491" s="5" t="s">
        <v>619</v>
      </c>
      <c r="D5491" s="6">
        <v>-484552</v>
      </c>
      <c r="E5491" s="6">
        <v>-112379</v>
      </c>
      <c r="F5491" s="7">
        <v>5.3230000000000004</v>
      </c>
      <c r="G5491" s="7">
        <v>5.1989999999999998</v>
      </c>
      <c r="H5491" s="7">
        <v>5.41</v>
      </c>
      <c r="I5491" s="7">
        <v>5.0590000000000002</v>
      </c>
      <c r="J5491" s="7">
        <v>5.1319999999999997</v>
      </c>
      <c r="K5491" s="7">
        <v>5.0999999999999996</v>
      </c>
      <c r="L5491" s="7">
        <v>5.0309999999999997</v>
      </c>
      <c r="M5491" s="7">
        <v>5.1840000000000002</v>
      </c>
      <c r="N5491" s="7">
        <v>5.9080000000000004</v>
      </c>
      <c r="O5491" s="7">
        <v>5.7969999999999997</v>
      </c>
      <c r="P5491" s="7">
        <v>5.476</v>
      </c>
      <c r="Q5491" s="7">
        <v>5.2750000000000004</v>
      </c>
      <c r="R5491" s="7">
        <v>5.3010000000000002</v>
      </c>
      <c r="S5491" s="7">
        <f t="shared" si="85"/>
        <v>5.3226666666666658</v>
      </c>
    </row>
    <row r="5492" spans="1:19">
      <c r="A5492" s="5" t="str">
        <f>B5492&amp;"-"&amp;COUNTIF($B$2:B5492,B5492)</f>
        <v>TOCANTINS-61</v>
      </c>
      <c r="B5492" s="5" t="s">
        <v>3564</v>
      </c>
      <c r="C5492" s="5" t="s">
        <v>5803</v>
      </c>
      <c r="D5492" s="6">
        <v>-47773</v>
      </c>
      <c r="E5492" s="6">
        <v>-83934</v>
      </c>
      <c r="F5492" s="7">
        <v>5.1980000000000004</v>
      </c>
      <c r="G5492" s="7">
        <v>4.99</v>
      </c>
      <c r="H5492" s="7">
        <v>4.9589999999999996</v>
      </c>
      <c r="I5492" s="7">
        <v>4.8479999999999999</v>
      </c>
      <c r="J5492" s="7">
        <v>4.8609999999999998</v>
      </c>
      <c r="K5492" s="7">
        <v>5.08</v>
      </c>
      <c r="L5492" s="7">
        <v>5.1769999999999996</v>
      </c>
      <c r="M5492" s="7">
        <v>5.3289999999999997</v>
      </c>
      <c r="N5492" s="7">
        <v>6.0750000000000002</v>
      </c>
      <c r="O5492" s="7">
        <v>5.9829999999999997</v>
      </c>
      <c r="P5492" s="7">
        <v>5.34</v>
      </c>
      <c r="Q5492" s="7">
        <v>4.883</v>
      </c>
      <c r="R5492" s="7">
        <v>4.8499999999999996</v>
      </c>
      <c r="S5492" s="7">
        <f t="shared" si="85"/>
        <v>5.197916666666667</v>
      </c>
    </row>
    <row r="5493" spans="1:19">
      <c r="A5493" s="5" t="str">
        <f>B5493&amp;"-"&amp;COUNTIF($B$2:B5493,B5493)</f>
        <v>TOCANTINS-62</v>
      </c>
      <c r="B5493" s="5" t="s">
        <v>3564</v>
      </c>
      <c r="C5493" s="5" t="s">
        <v>3591</v>
      </c>
      <c r="D5493" s="6">
        <v>-474798</v>
      </c>
      <c r="E5493" s="6">
        <v>-57766</v>
      </c>
      <c r="F5493" s="7">
        <v>5.0659999999999998</v>
      </c>
      <c r="G5493" s="7">
        <v>4.6740000000000004</v>
      </c>
      <c r="H5493" s="7">
        <v>4.7380000000000004</v>
      </c>
      <c r="I5493" s="7">
        <v>4.7750000000000004</v>
      </c>
      <c r="J5493" s="7">
        <v>4.8170000000000002</v>
      </c>
      <c r="K5493" s="7">
        <v>4.8760000000000003</v>
      </c>
      <c r="L5493" s="7">
        <v>5.1429999999999998</v>
      </c>
      <c r="M5493" s="7">
        <v>5.34</v>
      </c>
      <c r="N5493" s="7">
        <v>5.827</v>
      </c>
      <c r="O5493" s="7">
        <v>5.6050000000000004</v>
      </c>
      <c r="P5493" s="7">
        <v>5.2670000000000003</v>
      </c>
      <c r="Q5493" s="7">
        <v>4.9379999999999997</v>
      </c>
      <c r="R5493" s="7">
        <v>4.7889999999999997</v>
      </c>
      <c r="S5493" s="7">
        <f t="shared" si="85"/>
        <v>5.0657500000000004</v>
      </c>
    </row>
    <row r="5494" spans="1:19">
      <c r="A5494" s="5" t="str">
        <f>B5494&amp;"-"&amp;COUNTIF($B$2:B5494,B5494)</f>
        <v>TOCANTINS-63</v>
      </c>
      <c r="B5494" s="5" t="s">
        <v>3564</v>
      </c>
      <c r="C5494" s="5" t="s">
        <v>3592</v>
      </c>
      <c r="D5494" s="6">
        <v>-481066</v>
      </c>
      <c r="E5494" s="6">
        <v>-83848</v>
      </c>
      <c r="F5494" s="7">
        <v>5.1909999999999998</v>
      </c>
      <c r="G5494" s="7">
        <v>4.9660000000000002</v>
      </c>
      <c r="H5494" s="7">
        <v>5.0439999999999996</v>
      </c>
      <c r="I5494" s="7">
        <v>4.915</v>
      </c>
      <c r="J5494" s="7">
        <v>4.923</v>
      </c>
      <c r="K5494" s="7">
        <v>5.1100000000000003</v>
      </c>
      <c r="L5494" s="7">
        <v>5.1859999999999999</v>
      </c>
      <c r="M5494" s="7">
        <v>5.18</v>
      </c>
      <c r="N5494" s="7">
        <v>6.0090000000000003</v>
      </c>
      <c r="O5494" s="7">
        <v>5.8280000000000003</v>
      </c>
      <c r="P5494" s="7">
        <v>5.3159999999999998</v>
      </c>
      <c r="Q5494" s="7">
        <v>4.9029999999999996</v>
      </c>
      <c r="R5494" s="7">
        <v>4.9089999999999998</v>
      </c>
      <c r="S5494" s="7">
        <f t="shared" si="85"/>
        <v>5.1907500000000004</v>
      </c>
    </row>
    <row r="5495" spans="1:19">
      <c r="A5495" s="5" t="str">
        <f>B5495&amp;"-"&amp;COUNTIF($B$2:B5495,B5495)</f>
        <v>TOCANTINS-64</v>
      </c>
      <c r="B5495" s="5" t="s">
        <v>3564</v>
      </c>
      <c r="C5495" s="5" t="s">
        <v>5425</v>
      </c>
      <c r="D5495" s="6">
        <v>-486899</v>
      </c>
      <c r="E5495" s="6">
        <v>-85721</v>
      </c>
      <c r="F5495" s="7">
        <v>5.0350000000000001</v>
      </c>
      <c r="G5495" s="7">
        <v>4.742</v>
      </c>
      <c r="H5495" s="7">
        <v>4.8310000000000004</v>
      </c>
      <c r="I5495" s="7">
        <v>4.6529999999999996</v>
      </c>
      <c r="J5495" s="7">
        <v>4.6870000000000003</v>
      </c>
      <c r="K5495" s="7">
        <v>4.984</v>
      </c>
      <c r="L5495" s="7">
        <v>5.1680000000000001</v>
      </c>
      <c r="M5495" s="7">
        <v>5.2510000000000003</v>
      </c>
      <c r="N5495" s="7">
        <v>5.9480000000000004</v>
      </c>
      <c r="O5495" s="7">
        <v>5.6539999999999999</v>
      </c>
      <c r="P5495" s="7">
        <v>5.016</v>
      </c>
      <c r="Q5495" s="7">
        <v>4.766</v>
      </c>
      <c r="R5495" s="7">
        <v>4.718</v>
      </c>
      <c r="S5495" s="7">
        <f t="shared" si="85"/>
        <v>5.0348333333333324</v>
      </c>
    </row>
    <row r="5496" spans="1:19">
      <c r="A5496" s="5" t="str">
        <f>B5496&amp;"-"&amp;COUNTIF($B$2:B5496,B5496)</f>
        <v>TOCANTINS-65</v>
      </c>
      <c r="B5496" s="5" t="s">
        <v>3564</v>
      </c>
      <c r="C5496" s="5" t="s">
        <v>4897</v>
      </c>
      <c r="D5496" s="6">
        <v>-48591</v>
      </c>
      <c r="E5496" s="6">
        <v>-126526</v>
      </c>
      <c r="F5496" s="7">
        <v>5.3689999999999998</v>
      </c>
      <c r="G5496" s="7">
        <v>5.4550000000000001</v>
      </c>
      <c r="H5496" s="7">
        <v>5.4619999999999997</v>
      </c>
      <c r="I5496" s="7">
        <v>5.1550000000000002</v>
      </c>
      <c r="J5496" s="7">
        <v>5.1769999999999996</v>
      </c>
      <c r="K5496" s="7">
        <v>5.1319999999999997</v>
      </c>
      <c r="L5496" s="7">
        <v>4.952</v>
      </c>
      <c r="M5496" s="7">
        <v>5.2190000000000003</v>
      </c>
      <c r="N5496" s="7">
        <v>5.9059999999999997</v>
      </c>
      <c r="O5496" s="7">
        <v>5.8570000000000002</v>
      </c>
      <c r="P5496" s="7">
        <v>5.5629999999999997</v>
      </c>
      <c r="Q5496" s="7">
        <v>5.1769999999999996</v>
      </c>
      <c r="R5496" s="7">
        <v>5.3710000000000004</v>
      </c>
      <c r="S5496" s="7">
        <f t="shared" si="85"/>
        <v>5.3688333333333338</v>
      </c>
    </row>
    <row r="5497" spans="1:19">
      <c r="A5497" s="5" t="str">
        <f>B5497&amp;"-"&amp;COUNTIF($B$2:B5497,B5497)</f>
        <v>TOCANTINS-66</v>
      </c>
      <c r="B5497" s="5" t="s">
        <v>3564</v>
      </c>
      <c r="C5497" s="5" t="s">
        <v>3593</v>
      </c>
      <c r="D5497" s="6">
        <v>-490969</v>
      </c>
      <c r="E5497" s="6">
        <v>-81195</v>
      </c>
      <c r="F5497" s="7">
        <v>5.0010000000000003</v>
      </c>
      <c r="G5497" s="7">
        <v>4.681</v>
      </c>
      <c r="H5497" s="7">
        <v>4.782</v>
      </c>
      <c r="I5497" s="7">
        <v>4.6989999999999998</v>
      </c>
      <c r="J5497" s="7">
        <v>4.6740000000000004</v>
      </c>
      <c r="K5497" s="7">
        <v>4.8970000000000002</v>
      </c>
      <c r="L5497" s="7">
        <v>5.1070000000000002</v>
      </c>
      <c r="M5497" s="7">
        <v>5.2160000000000002</v>
      </c>
      <c r="N5497" s="7">
        <v>5.9249999999999998</v>
      </c>
      <c r="O5497" s="7">
        <v>5.5640000000000001</v>
      </c>
      <c r="P5497" s="7">
        <v>5.0490000000000004</v>
      </c>
      <c r="Q5497" s="7">
        <v>4.7809999999999997</v>
      </c>
      <c r="R5497" s="7">
        <v>4.6340000000000003</v>
      </c>
      <c r="S5497" s="7">
        <f t="shared" si="85"/>
        <v>5.00075</v>
      </c>
    </row>
    <row r="5498" spans="1:19">
      <c r="A5498" s="5" t="str">
        <f>B5498&amp;"-"&amp;COUNTIF($B$2:B5498,B5498)</f>
        <v>TOCANTINS-67</v>
      </c>
      <c r="B5498" s="5" t="s">
        <v>3564</v>
      </c>
      <c r="C5498" s="5" t="s">
        <v>4262</v>
      </c>
      <c r="D5498" s="6">
        <v>-496213</v>
      </c>
      <c r="E5498" s="6">
        <v>-107876</v>
      </c>
      <c r="F5498" s="7">
        <v>5.1879999999999997</v>
      </c>
      <c r="G5498" s="7">
        <v>5.1719999999999997</v>
      </c>
      <c r="H5498" s="7">
        <v>5.1870000000000003</v>
      </c>
      <c r="I5498" s="7">
        <v>4.8869999999999996</v>
      </c>
      <c r="J5498" s="7">
        <v>4.9089999999999998</v>
      </c>
      <c r="K5498" s="7">
        <v>4.9560000000000004</v>
      </c>
      <c r="L5498" s="7">
        <v>4.9740000000000002</v>
      </c>
      <c r="M5498" s="7">
        <v>5.1829999999999998</v>
      </c>
      <c r="N5498" s="7">
        <v>5.7709999999999999</v>
      </c>
      <c r="O5498" s="7">
        <v>5.5510000000000002</v>
      </c>
      <c r="P5498" s="7">
        <v>5.3449999999999998</v>
      </c>
      <c r="Q5498" s="7">
        <v>5.157</v>
      </c>
      <c r="R5498" s="7">
        <v>5.1630000000000003</v>
      </c>
      <c r="S5498" s="7">
        <f t="shared" si="85"/>
        <v>5.1879166666666663</v>
      </c>
    </row>
    <row r="5499" spans="1:19">
      <c r="A5499" s="5" t="str">
        <f>B5499&amp;"-"&amp;COUNTIF($B$2:B5499,B5499)</f>
        <v>TOCANTINS-68</v>
      </c>
      <c r="B5499" s="5" t="s">
        <v>3564</v>
      </c>
      <c r="C5499" s="5" t="s">
        <v>3594</v>
      </c>
      <c r="D5499" s="6">
        <v>-475653</v>
      </c>
      <c r="E5499" s="6">
        <v>-102963</v>
      </c>
      <c r="F5499" s="7">
        <v>5.4160000000000004</v>
      </c>
      <c r="G5499" s="7">
        <v>5.4089999999999998</v>
      </c>
      <c r="H5499" s="7">
        <v>5.3259999999999996</v>
      </c>
      <c r="I5499" s="7">
        <v>5.0620000000000003</v>
      </c>
      <c r="J5499" s="7">
        <v>5.1369999999999996</v>
      </c>
      <c r="K5499" s="7">
        <v>5.2089999999999996</v>
      </c>
      <c r="L5499" s="7">
        <v>5.117</v>
      </c>
      <c r="M5499" s="7">
        <v>5.3440000000000003</v>
      </c>
      <c r="N5499" s="7">
        <v>5.9660000000000002</v>
      </c>
      <c r="O5499" s="7">
        <v>6.0670000000000002</v>
      </c>
      <c r="P5499" s="7">
        <v>5.5739999999999998</v>
      </c>
      <c r="Q5499" s="7">
        <v>5.375</v>
      </c>
      <c r="R5499" s="7">
        <v>5.4020000000000001</v>
      </c>
      <c r="S5499" s="7">
        <f t="shared" si="85"/>
        <v>5.4156666666666666</v>
      </c>
    </row>
    <row r="5500" spans="1:19">
      <c r="A5500" s="5" t="str">
        <f>B5500&amp;"-"&amp;COUNTIF($B$2:B5500,B5500)</f>
        <v>TOCANTINS-69</v>
      </c>
      <c r="B5500" s="5" t="s">
        <v>3564</v>
      </c>
      <c r="C5500" s="5" t="s">
        <v>2729</v>
      </c>
      <c r="D5500" s="6">
        <v>-483569</v>
      </c>
      <c r="E5500" s="6">
        <v>-97504</v>
      </c>
      <c r="F5500" s="7">
        <v>5.21</v>
      </c>
      <c r="G5500" s="7">
        <v>4.984</v>
      </c>
      <c r="H5500" s="7">
        <v>5.0060000000000002</v>
      </c>
      <c r="I5500" s="7">
        <v>4.8029999999999999</v>
      </c>
      <c r="J5500" s="7">
        <v>4.8849999999999998</v>
      </c>
      <c r="K5500" s="7">
        <v>5.0330000000000004</v>
      </c>
      <c r="L5500" s="7">
        <v>5.1260000000000003</v>
      </c>
      <c r="M5500" s="7">
        <v>5.343</v>
      </c>
      <c r="N5500" s="7">
        <v>6.0860000000000003</v>
      </c>
      <c r="O5500" s="7">
        <v>5.77</v>
      </c>
      <c r="P5500" s="7">
        <v>5.3490000000000002</v>
      </c>
      <c r="Q5500" s="7">
        <v>5.085</v>
      </c>
      <c r="R5500" s="7">
        <v>5.0490000000000004</v>
      </c>
      <c r="S5500" s="7">
        <f t="shared" si="85"/>
        <v>5.2099166666666674</v>
      </c>
    </row>
    <row r="5501" spans="1:19">
      <c r="A5501" s="5" t="str">
        <f>B5501&amp;"-"&amp;COUNTIF($B$2:B5501,B5501)</f>
        <v>TOCANTINS-70</v>
      </c>
      <c r="B5501" s="5" t="s">
        <v>3564</v>
      </c>
      <c r="C5501" s="5" t="s">
        <v>3595</v>
      </c>
      <c r="D5501" s="6">
        <v>-46508</v>
      </c>
      <c r="E5501" s="6">
        <v>-127875</v>
      </c>
      <c r="F5501" s="7">
        <v>5.6310000000000002</v>
      </c>
      <c r="G5501" s="7">
        <v>5.9859999999999998</v>
      </c>
      <c r="H5501" s="7">
        <v>5.8920000000000003</v>
      </c>
      <c r="I5501" s="7">
        <v>5.5449999999999999</v>
      </c>
      <c r="J5501" s="7">
        <v>5.4580000000000002</v>
      </c>
      <c r="K5501" s="7">
        <v>5.2240000000000002</v>
      </c>
      <c r="L5501" s="7">
        <v>5.008</v>
      </c>
      <c r="M5501" s="7">
        <v>5.3479999999999999</v>
      </c>
      <c r="N5501" s="7">
        <v>5.8330000000000002</v>
      </c>
      <c r="O5501" s="7">
        <v>5.99</v>
      </c>
      <c r="P5501" s="7">
        <v>5.8230000000000004</v>
      </c>
      <c r="Q5501" s="7">
        <v>5.5419999999999998</v>
      </c>
      <c r="R5501" s="7">
        <v>5.923</v>
      </c>
      <c r="S5501" s="7">
        <f t="shared" si="85"/>
        <v>5.6310000000000002</v>
      </c>
    </row>
    <row r="5502" spans="1:19">
      <c r="A5502" s="5" t="str">
        <f>B5502&amp;"-"&amp;COUNTIF($B$2:B5502,B5502)</f>
        <v>TOCANTINS-71</v>
      </c>
      <c r="B5502" s="5" t="s">
        <v>3564</v>
      </c>
      <c r="C5502" s="5" t="s">
        <v>3596</v>
      </c>
      <c r="D5502" s="6">
        <v>-466731</v>
      </c>
      <c r="E5502" s="6">
        <v>-95954</v>
      </c>
      <c r="F5502" s="7">
        <v>5.3970000000000002</v>
      </c>
      <c r="G5502" s="7">
        <v>5.3620000000000001</v>
      </c>
      <c r="H5502" s="7">
        <v>5.1349999999999998</v>
      </c>
      <c r="I5502" s="7">
        <v>4.9610000000000003</v>
      </c>
      <c r="J5502" s="7">
        <v>5.0940000000000003</v>
      </c>
      <c r="K5502" s="7">
        <v>5.2830000000000004</v>
      </c>
      <c r="L5502" s="7">
        <v>5.1059999999999999</v>
      </c>
      <c r="M5502" s="7">
        <v>5.2930000000000001</v>
      </c>
      <c r="N5502" s="7">
        <v>5.9809999999999999</v>
      </c>
      <c r="O5502" s="7">
        <v>6.2629999999999999</v>
      </c>
      <c r="P5502" s="7">
        <v>5.7060000000000004</v>
      </c>
      <c r="Q5502" s="7">
        <v>5.2949999999999999</v>
      </c>
      <c r="R5502" s="7">
        <v>5.28</v>
      </c>
      <c r="S5502" s="7">
        <f t="shared" si="85"/>
        <v>5.3965833333333331</v>
      </c>
    </row>
    <row r="5503" spans="1:19">
      <c r="A5503" s="5" t="str">
        <f>B5503&amp;"-"&amp;COUNTIF($B$2:B5503,B5503)</f>
        <v>TOCANTINS-72</v>
      </c>
      <c r="B5503" s="5" t="s">
        <v>3564</v>
      </c>
      <c r="C5503" s="5" t="s">
        <v>5272</v>
      </c>
      <c r="D5503" s="6">
        <v>-478562</v>
      </c>
      <c r="E5503" s="6">
        <v>-61921</v>
      </c>
      <c r="F5503" s="7">
        <v>5.008</v>
      </c>
      <c r="G5503" s="7">
        <v>4.6029999999999998</v>
      </c>
      <c r="H5503" s="7">
        <v>4.7830000000000004</v>
      </c>
      <c r="I5503" s="7">
        <v>4.7389999999999999</v>
      </c>
      <c r="J5503" s="7">
        <v>4.7530000000000001</v>
      </c>
      <c r="K5503" s="7">
        <v>4.8159999999999998</v>
      </c>
      <c r="L5503" s="7">
        <v>5.12</v>
      </c>
      <c r="M5503" s="7">
        <v>5.3579999999999997</v>
      </c>
      <c r="N5503" s="7">
        <v>5.8920000000000003</v>
      </c>
      <c r="O5503" s="7">
        <v>5.6879999999999997</v>
      </c>
      <c r="P5503" s="7">
        <v>5.093</v>
      </c>
      <c r="Q5503" s="7">
        <v>4.6959999999999997</v>
      </c>
      <c r="R5503" s="7">
        <v>4.5599999999999996</v>
      </c>
      <c r="S5503" s="7">
        <f t="shared" si="85"/>
        <v>5.0084166666666663</v>
      </c>
    </row>
    <row r="5504" spans="1:19">
      <c r="A5504" s="5" t="str">
        <f>B5504&amp;"-"&amp;COUNTIF($B$2:B5504,B5504)</f>
        <v>TOCANTINS-73</v>
      </c>
      <c r="B5504" s="5" t="s">
        <v>3564</v>
      </c>
      <c r="C5504" s="5" t="s">
        <v>5273</v>
      </c>
      <c r="D5504" s="6">
        <v>-496557</v>
      </c>
      <c r="E5504" s="6">
        <v>-97942</v>
      </c>
      <c r="F5504" s="7">
        <v>5.1180000000000003</v>
      </c>
      <c r="G5504" s="7">
        <v>4.9989999999999997</v>
      </c>
      <c r="H5504" s="7">
        <v>5.0170000000000003</v>
      </c>
      <c r="I5504" s="7">
        <v>4.7709999999999999</v>
      </c>
      <c r="J5504" s="7">
        <v>4.7160000000000002</v>
      </c>
      <c r="K5504" s="7">
        <v>4.87</v>
      </c>
      <c r="L5504" s="7">
        <v>5.0350000000000001</v>
      </c>
      <c r="M5504" s="7">
        <v>5.3140000000000001</v>
      </c>
      <c r="N5504" s="7">
        <v>5.899</v>
      </c>
      <c r="O5504" s="7">
        <v>5.5170000000000003</v>
      </c>
      <c r="P5504" s="7">
        <v>5.1909999999999998</v>
      </c>
      <c r="Q5504" s="7">
        <v>5.0359999999999996</v>
      </c>
      <c r="R5504" s="7">
        <v>5.0529999999999999</v>
      </c>
      <c r="S5504" s="7">
        <f t="shared" si="85"/>
        <v>5.1181666666666672</v>
      </c>
    </row>
    <row r="5505" spans="1:19">
      <c r="A5505" s="5" t="str">
        <f>B5505&amp;"-"&amp;COUNTIF($B$2:B5505,B5505)</f>
        <v>TOCANTINS-74</v>
      </c>
      <c r="B5505" s="5" t="s">
        <v>3564</v>
      </c>
      <c r="C5505" s="5" t="s">
        <v>3597</v>
      </c>
      <c r="D5505" s="6">
        <v>-464171</v>
      </c>
      <c r="E5505" s="6">
        <v>-105468</v>
      </c>
      <c r="F5505" s="7">
        <v>5.4269999999999996</v>
      </c>
      <c r="G5505" s="7">
        <v>5.4569999999999999</v>
      </c>
      <c r="H5505" s="7">
        <v>5.23</v>
      </c>
      <c r="I5505" s="7">
        <v>4.9640000000000004</v>
      </c>
      <c r="J5505" s="7">
        <v>5.0599999999999996</v>
      </c>
      <c r="K5505" s="7">
        <v>5.1360000000000001</v>
      </c>
      <c r="L5505" s="7">
        <v>5.1059999999999999</v>
      </c>
      <c r="M5505" s="7">
        <v>5.3730000000000002</v>
      </c>
      <c r="N5505" s="7">
        <v>6.12</v>
      </c>
      <c r="O5505" s="7">
        <v>6.2359999999999998</v>
      </c>
      <c r="P5505" s="7">
        <v>5.7290000000000001</v>
      </c>
      <c r="Q5505" s="7">
        <v>5.3390000000000004</v>
      </c>
      <c r="R5505" s="7">
        <v>5.3689999999999998</v>
      </c>
      <c r="S5505" s="7">
        <f t="shared" si="85"/>
        <v>5.4265833333333333</v>
      </c>
    </row>
    <row r="5506" spans="1:19">
      <c r="A5506" s="5" t="str">
        <f>B5506&amp;"-"&amp;COUNTIF($B$2:B5506,B5506)</f>
        <v>TOCANTINS-75</v>
      </c>
      <c r="B5506" s="5" t="s">
        <v>3564</v>
      </c>
      <c r="C5506" s="5" t="s">
        <v>5045</v>
      </c>
      <c r="D5506" s="5" t="s">
        <v>3598</v>
      </c>
      <c r="E5506" s="6">
        <v>-59549</v>
      </c>
      <c r="F5506" s="7">
        <v>5.1100000000000003</v>
      </c>
      <c r="G5506" s="7">
        <v>4.6950000000000003</v>
      </c>
      <c r="H5506" s="7">
        <v>4.8470000000000004</v>
      </c>
      <c r="I5506" s="7">
        <v>4.8109999999999999</v>
      </c>
      <c r="J5506" s="7">
        <v>4.8460000000000001</v>
      </c>
      <c r="K5506" s="7">
        <v>4.9269999999999996</v>
      </c>
      <c r="L5506" s="7">
        <v>5.1929999999999996</v>
      </c>
      <c r="M5506" s="7">
        <v>5.3860000000000001</v>
      </c>
      <c r="N5506" s="7">
        <v>5.9169999999999998</v>
      </c>
      <c r="O5506" s="7">
        <v>5.7560000000000002</v>
      </c>
      <c r="P5506" s="7">
        <v>5.2830000000000004</v>
      </c>
      <c r="Q5506" s="7">
        <v>4.9160000000000004</v>
      </c>
      <c r="R5506" s="7">
        <v>4.7430000000000003</v>
      </c>
      <c r="S5506" s="7">
        <f t="shared" si="85"/>
        <v>5.1100000000000012</v>
      </c>
    </row>
    <row r="5507" spans="1:19">
      <c r="A5507" s="5" t="str">
        <f>B5507&amp;"-"&amp;COUNTIF($B$2:B5507,B5507)</f>
        <v>TOCANTINS-76</v>
      </c>
      <c r="B5507" s="5" t="s">
        <v>3564</v>
      </c>
      <c r="C5507" s="5" t="s">
        <v>3599</v>
      </c>
      <c r="D5507" s="6">
        <v>-483934</v>
      </c>
      <c r="E5507" s="6">
        <v>-9566</v>
      </c>
      <c r="F5507" s="7">
        <v>5.2409999999999997</v>
      </c>
      <c r="G5507" s="7">
        <v>5.0289999999999999</v>
      </c>
      <c r="H5507" s="7">
        <v>5.0629999999999997</v>
      </c>
      <c r="I5507" s="7">
        <v>4.8949999999999996</v>
      </c>
      <c r="J5507" s="7">
        <v>4.9539999999999997</v>
      </c>
      <c r="K5507" s="7">
        <v>5.0869999999999997</v>
      </c>
      <c r="L5507" s="7">
        <v>5.1070000000000002</v>
      </c>
      <c r="M5507" s="7">
        <v>5.3250000000000002</v>
      </c>
      <c r="N5507" s="7">
        <v>6.077</v>
      </c>
      <c r="O5507" s="7">
        <v>5.8239999999999998</v>
      </c>
      <c r="P5507" s="7">
        <v>5.359</v>
      </c>
      <c r="Q5507" s="7">
        <v>5.1070000000000002</v>
      </c>
      <c r="R5507" s="7">
        <v>5.0620000000000003</v>
      </c>
      <c r="S5507" s="7">
        <f t="shared" ref="S5507:S5570" si="86">(G5507+H5507+I5507+J5507+K5507+L5507+M5507+N5507+O5507+P5507+Q5507+R5507)/12</f>
        <v>5.2407499999999994</v>
      </c>
    </row>
    <row r="5508" spans="1:19">
      <c r="A5508" s="5" t="str">
        <f>B5508&amp;"-"&amp;COUNTIF($B$2:B5508,B5508)</f>
        <v>TOCANTINS-77</v>
      </c>
      <c r="B5508" s="5" t="s">
        <v>3564</v>
      </c>
      <c r="C5508" s="5" t="s">
        <v>3600</v>
      </c>
      <c r="D5508" s="6">
        <v>-485926</v>
      </c>
      <c r="E5508" s="6">
        <v>-95295</v>
      </c>
      <c r="F5508" s="7">
        <v>5.1859999999999999</v>
      </c>
      <c r="G5508" s="7">
        <v>5.0430000000000001</v>
      </c>
      <c r="H5508" s="7">
        <v>5.0789999999999997</v>
      </c>
      <c r="I5508" s="7">
        <v>4.8330000000000002</v>
      </c>
      <c r="J5508" s="7">
        <v>4.91</v>
      </c>
      <c r="K5508" s="7">
        <v>5.0419999999999998</v>
      </c>
      <c r="L5508" s="7">
        <v>5.0780000000000003</v>
      </c>
      <c r="M5508" s="7">
        <v>5.2869999999999999</v>
      </c>
      <c r="N5508" s="7">
        <v>6.0069999999999997</v>
      </c>
      <c r="O5508" s="7">
        <v>5.7619999999999996</v>
      </c>
      <c r="P5508" s="7">
        <v>5.2009999999999996</v>
      </c>
      <c r="Q5508" s="7">
        <v>5.03</v>
      </c>
      <c r="R5508" s="7">
        <v>4.9640000000000004</v>
      </c>
      <c r="S5508" s="7">
        <f t="shared" si="86"/>
        <v>5.1863333333333337</v>
      </c>
    </row>
    <row r="5509" spans="1:19">
      <c r="A5509" s="5" t="str">
        <f>B5509&amp;"-"&amp;COUNTIF($B$2:B5509,B5509)</f>
        <v>TOCANTINS-78</v>
      </c>
      <c r="B5509" s="5" t="s">
        <v>3564</v>
      </c>
      <c r="C5509" s="5" t="s">
        <v>3601</v>
      </c>
      <c r="D5509" s="6">
        <v>-481118</v>
      </c>
      <c r="E5509" s="6">
        <v>-107615</v>
      </c>
      <c r="F5509" s="7">
        <v>5.282</v>
      </c>
      <c r="G5509" s="7">
        <v>5.2210000000000001</v>
      </c>
      <c r="H5509" s="7">
        <v>5.1280000000000001</v>
      </c>
      <c r="I5509" s="7">
        <v>4.7969999999999997</v>
      </c>
      <c r="J5509" s="7">
        <v>5.024</v>
      </c>
      <c r="K5509" s="7">
        <v>5.0789999999999997</v>
      </c>
      <c r="L5509" s="7">
        <v>5.0119999999999996</v>
      </c>
      <c r="M5509" s="7">
        <v>5.3529999999999998</v>
      </c>
      <c r="N5509" s="7">
        <v>6.0609999999999999</v>
      </c>
      <c r="O5509" s="7">
        <v>5.9409999999999998</v>
      </c>
      <c r="P5509" s="7">
        <v>5.4130000000000003</v>
      </c>
      <c r="Q5509" s="7">
        <v>5.141</v>
      </c>
      <c r="R5509" s="7">
        <v>5.2190000000000003</v>
      </c>
      <c r="S5509" s="7">
        <f t="shared" si="86"/>
        <v>5.2824166666666672</v>
      </c>
    </row>
    <row r="5510" spans="1:19">
      <c r="A5510" s="5" t="str">
        <f>B5510&amp;"-"&amp;COUNTIF($B$2:B5510,B5510)</f>
        <v>TOCANTINS-79</v>
      </c>
      <c r="B5510" s="5" t="s">
        <v>3564</v>
      </c>
      <c r="C5510" s="5" t="s">
        <v>3602</v>
      </c>
      <c r="D5510" s="6">
        <v>-489923</v>
      </c>
      <c r="E5510" s="6">
        <v>-100063</v>
      </c>
      <c r="F5510" s="7">
        <v>5.1390000000000002</v>
      </c>
      <c r="G5510" s="7">
        <v>4.9429999999999996</v>
      </c>
      <c r="H5510" s="7">
        <v>4.952</v>
      </c>
      <c r="I5510" s="7">
        <v>4.6470000000000002</v>
      </c>
      <c r="J5510" s="7">
        <v>4.8010000000000002</v>
      </c>
      <c r="K5510" s="7">
        <v>4.9580000000000002</v>
      </c>
      <c r="L5510" s="7">
        <v>5.16</v>
      </c>
      <c r="M5510" s="7">
        <v>5.4020000000000001</v>
      </c>
      <c r="N5510" s="7">
        <v>5.9950000000000001</v>
      </c>
      <c r="O5510" s="7">
        <v>5.6360000000000001</v>
      </c>
      <c r="P5510" s="7">
        <v>5.1660000000000004</v>
      </c>
      <c r="Q5510" s="7">
        <v>5.0620000000000003</v>
      </c>
      <c r="R5510" s="7">
        <v>4.95</v>
      </c>
      <c r="S5510" s="7">
        <f t="shared" si="86"/>
        <v>5.1393333333333331</v>
      </c>
    </row>
    <row r="5511" spans="1:19">
      <c r="A5511" s="5" t="str">
        <f>B5511&amp;"-"&amp;COUNTIF($B$2:B5511,B5511)</f>
        <v>TOCANTINS-80</v>
      </c>
      <c r="B5511" s="5" t="s">
        <v>3564</v>
      </c>
      <c r="C5511" s="5" t="s">
        <v>5046</v>
      </c>
      <c r="D5511" s="6">
        <v>-486076</v>
      </c>
      <c r="E5511" s="6">
        <v>-71451</v>
      </c>
      <c r="F5511" s="7">
        <v>4.9850000000000003</v>
      </c>
      <c r="G5511" s="7">
        <v>4.7</v>
      </c>
      <c r="H5511" s="7">
        <v>4.8</v>
      </c>
      <c r="I5511" s="7">
        <v>4.6230000000000002</v>
      </c>
      <c r="J5511" s="7">
        <v>4.7220000000000004</v>
      </c>
      <c r="K5511" s="7">
        <v>4.8860000000000001</v>
      </c>
      <c r="L5511" s="7">
        <v>5.101</v>
      </c>
      <c r="M5511" s="7">
        <v>5.2229999999999999</v>
      </c>
      <c r="N5511" s="7">
        <v>5.8520000000000003</v>
      </c>
      <c r="O5511" s="7">
        <v>5.61</v>
      </c>
      <c r="P5511" s="7">
        <v>4.9909999999999997</v>
      </c>
      <c r="Q5511" s="7">
        <v>4.68</v>
      </c>
      <c r="R5511" s="7">
        <v>4.6269999999999998</v>
      </c>
      <c r="S5511" s="7">
        <f t="shared" si="86"/>
        <v>4.9845833333333331</v>
      </c>
    </row>
    <row r="5512" spans="1:19">
      <c r="A5512" s="5" t="str">
        <f>B5512&amp;"-"&amp;COUNTIF($B$2:B5512,B5512)</f>
        <v>TOCANTINS-81</v>
      </c>
      <c r="B5512" s="5" t="s">
        <v>3564</v>
      </c>
      <c r="C5512" s="5" t="s">
        <v>2424</v>
      </c>
      <c r="D5512" s="6">
        <v>-477281</v>
      </c>
      <c r="E5512" s="6">
        <v>-117072</v>
      </c>
      <c r="F5512" s="7">
        <v>5.4690000000000003</v>
      </c>
      <c r="G5512" s="7">
        <v>5.5179999999999998</v>
      </c>
      <c r="H5512" s="7">
        <v>5.5350000000000001</v>
      </c>
      <c r="I5512" s="7">
        <v>5.1459999999999999</v>
      </c>
      <c r="J5512" s="7">
        <v>5.1769999999999996</v>
      </c>
      <c r="K5512" s="7">
        <v>5.1909999999999998</v>
      </c>
      <c r="L5512" s="7">
        <v>5.0540000000000003</v>
      </c>
      <c r="M5512" s="7">
        <v>5.37</v>
      </c>
      <c r="N5512" s="7">
        <v>6.04</v>
      </c>
      <c r="O5512" s="7">
        <v>6.0640000000000001</v>
      </c>
      <c r="P5512" s="7">
        <v>5.6630000000000003</v>
      </c>
      <c r="Q5512" s="7">
        <v>5.3940000000000001</v>
      </c>
      <c r="R5512" s="7">
        <v>5.4749999999999996</v>
      </c>
      <c r="S5512" s="7">
        <f t="shared" si="86"/>
        <v>5.468916666666666</v>
      </c>
    </row>
    <row r="5513" spans="1:19">
      <c r="A5513" s="5" t="str">
        <f>B5513&amp;"-"&amp;COUNTIF($B$2:B5513,B5513)</f>
        <v>TOCANTINS-82</v>
      </c>
      <c r="B5513" s="5" t="s">
        <v>3564</v>
      </c>
      <c r="C5513" s="5" t="s">
        <v>4285</v>
      </c>
      <c r="D5513" s="6">
        <v>-476647</v>
      </c>
      <c r="E5513" s="6">
        <v>-63754</v>
      </c>
      <c r="F5513" s="7">
        <v>5.0759999999999996</v>
      </c>
      <c r="G5513" s="7">
        <v>4.6520000000000001</v>
      </c>
      <c r="H5513" s="7">
        <v>4.8570000000000002</v>
      </c>
      <c r="I5513" s="7">
        <v>4.7910000000000004</v>
      </c>
      <c r="J5513" s="7">
        <v>4.8559999999999999</v>
      </c>
      <c r="K5513" s="7">
        <v>4.9329999999999998</v>
      </c>
      <c r="L5513" s="7">
        <v>5.2430000000000003</v>
      </c>
      <c r="M5513" s="7">
        <v>5.4169999999999998</v>
      </c>
      <c r="N5513" s="7">
        <v>5.9390000000000001</v>
      </c>
      <c r="O5513" s="7">
        <v>5.7530000000000001</v>
      </c>
      <c r="P5513" s="7">
        <v>5.0860000000000003</v>
      </c>
      <c r="Q5513" s="7">
        <v>4.7320000000000002</v>
      </c>
      <c r="R5513" s="7">
        <v>4.6550000000000002</v>
      </c>
      <c r="S5513" s="7">
        <f t="shared" si="86"/>
        <v>5.0761666666666665</v>
      </c>
    </row>
    <row r="5514" spans="1:19">
      <c r="A5514" s="5" t="str">
        <f>B5514&amp;"-"&amp;COUNTIF($B$2:B5514,B5514)</f>
        <v>TOCANTINS-83</v>
      </c>
      <c r="B5514" s="5" t="s">
        <v>3564</v>
      </c>
      <c r="C5514" s="5" t="s">
        <v>646</v>
      </c>
      <c r="D5514" s="6">
        <v>-484256</v>
      </c>
      <c r="E5514" s="6">
        <v>-76321</v>
      </c>
      <c r="F5514" s="7">
        <v>5.0190000000000001</v>
      </c>
      <c r="G5514" s="7">
        <v>4.6630000000000003</v>
      </c>
      <c r="H5514" s="7">
        <v>4.8179999999999996</v>
      </c>
      <c r="I5514" s="7">
        <v>4.7130000000000001</v>
      </c>
      <c r="J5514" s="7">
        <v>4.7530000000000001</v>
      </c>
      <c r="K5514" s="7">
        <v>4.9240000000000004</v>
      </c>
      <c r="L5514" s="7">
        <v>5.1749999999999998</v>
      </c>
      <c r="M5514" s="7">
        <v>5.2270000000000003</v>
      </c>
      <c r="N5514" s="7">
        <v>5.9320000000000004</v>
      </c>
      <c r="O5514" s="7">
        <v>5.7089999999999996</v>
      </c>
      <c r="P5514" s="7">
        <v>5.0199999999999996</v>
      </c>
      <c r="Q5514" s="7">
        <v>4.6870000000000003</v>
      </c>
      <c r="R5514" s="7">
        <v>4.6120000000000001</v>
      </c>
      <c r="S5514" s="7">
        <f t="shared" si="86"/>
        <v>5.0194166666666664</v>
      </c>
    </row>
    <row r="5515" spans="1:19">
      <c r="A5515" s="5" t="str">
        <f>B5515&amp;"-"&amp;COUNTIF($B$2:B5515,B5515)</f>
        <v>TOCANTINS-84</v>
      </c>
      <c r="B5515" s="5" t="s">
        <v>3564</v>
      </c>
      <c r="C5515" s="5" t="s">
        <v>5047</v>
      </c>
      <c r="D5515" s="6">
        <v>-489129</v>
      </c>
      <c r="E5515" s="6">
        <v>-105655</v>
      </c>
      <c r="F5515" s="7">
        <v>5.1989999999999998</v>
      </c>
      <c r="G5515" s="7">
        <v>5.0149999999999997</v>
      </c>
      <c r="H5515" s="7">
        <v>5.04</v>
      </c>
      <c r="I5515" s="7">
        <v>4.8</v>
      </c>
      <c r="J5515" s="7">
        <v>4.9329999999999998</v>
      </c>
      <c r="K5515" s="7">
        <v>4.9589999999999996</v>
      </c>
      <c r="L5515" s="7">
        <v>5.1050000000000004</v>
      </c>
      <c r="M5515" s="7">
        <v>5.2960000000000003</v>
      </c>
      <c r="N5515" s="7">
        <v>5.9710000000000001</v>
      </c>
      <c r="O5515" s="7">
        <v>5.7220000000000004</v>
      </c>
      <c r="P5515" s="7">
        <v>5.37</v>
      </c>
      <c r="Q5515" s="7">
        <v>5.1150000000000002</v>
      </c>
      <c r="R5515" s="7">
        <v>5.0659999999999998</v>
      </c>
      <c r="S5515" s="7">
        <f t="shared" si="86"/>
        <v>5.1993333333333336</v>
      </c>
    </row>
    <row r="5516" spans="1:19">
      <c r="A5516" s="5" t="str">
        <f>B5516&amp;"-"&amp;COUNTIF($B$2:B5516,B5516)</f>
        <v>TOCANTINS-85</v>
      </c>
      <c r="B5516" s="5" t="s">
        <v>3564</v>
      </c>
      <c r="C5516" s="5" t="s">
        <v>3603</v>
      </c>
      <c r="D5516" s="6">
        <v>-476789</v>
      </c>
      <c r="E5516" s="6">
        <v>-99711</v>
      </c>
      <c r="F5516" s="7">
        <v>5.383</v>
      </c>
      <c r="G5516" s="7">
        <v>5.3120000000000003</v>
      </c>
      <c r="H5516" s="7">
        <v>5.23</v>
      </c>
      <c r="I5516" s="7">
        <v>5.0069999999999997</v>
      </c>
      <c r="J5516" s="7">
        <v>5.0869999999999997</v>
      </c>
      <c r="K5516" s="7">
        <v>5.1589999999999998</v>
      </c>
      <c r="L5516" s="7">
        <v>5.1269999999999998</v>
      </c>
      <c r="M5516" s="7">
        <v>5.4029999999999996</v>
      </c>
      <c r="N5516" s="7">
        <v>6.17</v>
      </c>
      <c r="O5516" s="7">
        <v>5.968</v>
      </c>
      <c r="P5516" s="7">
        <v>5.5250000000000004</v>
      </c>
      <c r="Q5516" s="7">
        <v>5.2690000000000001</v>
      </c>
      <c r="R5516" s="7">
        <v>5.3339999999999996</v>
      </c>
      <c r="S5516" s="7">
        <f t="shared" si="86"/>
        <v>5.3825833333333337</v>
      </c>
    </row>
    <row r="5517" spans="1:19">
      <c r="A5517" s="5" t="str">
        <f>B5517&amp;"-"&amp;COUNTIF($B$2:B5517,B5517)</f>
        <v>TOCANTINS-86</v>
      </c>
      <c r="B5517" s="5" t="s">
        <v>3564</v>
      </c>
      <c r="C5517" s="5" t="s">
        <v>3604</v>
      </c>
      <c r="D5517" s="6">
        <v>-465772</v>
      </c>
      <c r="E5517" s="6">
        <v>-129151</v>
      </c>
      <c r="F5517" s="7">
        <v>5.569</v>
      </c>
      <c r="G5517" s="7">
        <v>5.9210000000000003</v>
      </c>
      <c r="H5517" s="7">
        <v>5.7610000000000001</v>
      </c>
      <c r="I5517" s="7">
        <v>5.4290000000000003</v>
      </c>
      <c r="J5517" s="7">
        <v>5.3659999999999997</v>
      </c>
      <c r="K5517" s="7">
        <v>5.2</v>
      </c>
      <c r="L5517" s="7">
        <v>5.0019999999999998</v>
      </c>
      <c r="M5517" s="7">
        <v>5.3259999999999996</v>
      </c>
      <c r="N5517" s="7">
        <v>5.8540000000000001</v>
      </c>
      <c r="O5517" s="7">
        <v>5.875</v>
      </c>
      <c r="P5517" s="7">
        <v>5.7489999999999997</v>
      </c>
      <c r="Q5517" s="7">
        <v>5.4740000000000002</v>
      </c>
      <c r="R5517" s="7">
        <v>5.8780000000000001</v>
      </c>
      <c r="S5517" s="7">
        <f t="shared" si="86"/>
        <v>5.569583333333334</v>
      </c>
    </row>
    <row r="5518" spans="1:19">
      <c r="A5518" s="5" t="str">
        <f>B5518&amp;"-"&amp;COUNTIF($B$2:B5518,B5518)</f>
        <v>TOCANTINS-87</v>
      </c>
      <c r="B5518" s="5" t="s">
        <v>3564</v>
      </c>
      <c r="C5518" s="5" t="s">
        <v>3605</v>
      </c>
      <c r="D5518" s="6">
        <v>-46625</v>
      </c>
      <c r="E5518" s="6">
        <v>-118205</v>
      </c>
      <c r="F5518" s="7">
        <v>5.4989999999999997</v>
      </c>
      <c r="G5518" s="7">
        <v>5.6</v>
      </c>
      <c r="H5518" s="7">
        <v>5.4290000000000003</v>
      </c>
      <c r="I5518" s="7">
        <v>5.1070000000000002</v>
      </c>
      <c r="J5518" s="7">
        <v>5.15</v>
      </c>
      <c r="K5518" s="7">
        <v>5.2210000000000001</v>
      </c>
      <c r="L5518" s="7">
        <v>5.1820000000000004</v>
      </c>
      <c r="M5518" s="7">
        <v>5.4249999999999998</v>
      </c>
      <c r="N5518" s="7">
        <v>6.12</v>
      </c>
      <c r="O5518" s="7">
        <v>6.1989999999999998</v>
      </c>
      <c r="P5518" s="7">
        <v>5.7119999999999997</v>
      </c>
      <c r="Q5518" s="7">
        <v>5.3559999999999999</v>
      </c>
      <c r="R5518" s="7">
        <v>5.4829999999999997</v>
      </c>
      <c r="S5518" s="7">
        <f t="shared" si="86"/>
        <v>5.4986666666666659</v>
      </c>
    </row>
    <row r="5519" spans="1:19">
      <c r="A5519" s="5" t="str">
        <f>B5519&amp;"-"&amp;COUNTIF($B$2:B5519,B5519)</f>
        <v>TOCANTINS-88</v>
      </c>
      <c r="B5519" s="5" t="s">
        <v>3564</v>
      </c>
      <c r="C5519" s="5" t="s">
        <v>5804</v>
      </c>
      <c r="D5519" s="6">
        <v>-48909</v>
      </c>
      <c r="E5519" s="6">
        <v>-107074</v>
      </c>
      <c r="F5519" s="7">
        <v>5.1909999999999998</v>
      </c>
      <c r="G5519" s="7">
        <v>4.97</v>
      </c>
      <c r="H5519" s="7">
        <v>5.0129999999999999</v>
      </c>
      <c r="I5519" s="7">
        <v>4.7990000000000004</v>
      </c>
      <c r="J5519" s="7">
        <v>4.9279999999999999</v>
      </c>
      <c r="K5519" s="7">
        <v>4.9240000000000004</v>
      </c>
      <c r="L5519" s="7">
        <v>5.0860000000000003</v>
      </c>
      <c r="M5519" s="7">
        <v>5.367</v>
      </c>
      <c r="N5519" s="7">
        <v>5.9630000000000001</v>
      </c>
      <c r="O5519" s="7">
        <v>5.72</v>
      </c>
      <c r="P5519" s="7">
        <v>5.3460000000000001</v>
      </c>
      <c r="Q5519" s="7">
        <v>5.1189999999999998</v>
      </c>
      <c r="R5519" s="7">
        <v>5.0540000000000003</v>
      </c>
      <c r="S5519" s="7">
        <f t="shared" si="86"/>
        <v>5.1907500000000004</v>
      </c>
    </row>
    <row r="5520" spans="1:19">
      <c r="A5520" s="5" t="str">
        <f>B5520&amp;"-"&amp;COUNTIF($B$2:B5520,B5520)</f>
        <v>TOCANTINS-89</v>
      </c>
      <c r="B5520" s="5" t="s">
        <v>3564</v>
      </c>
      <c r="C5520" s="5" t="s">
        <v>2064</v>
      </c>
      <c r="D5520" s="6">
        <v>-483565</v>
      </c>
      <c r="E5520" s="6">
        <v>-102408</v>
      </c>
      <c r="F5520" s="7">
        <v>5.218</v>
      </c>
      <c r="G5520" s="7">
        <v>5.1429999999999998</v>
      </c>
      <c r="H5520" s="7">
        <v>5.133</v>
      </c>
      <c r="I5520" s="7">
        <v>4.8570000000000002</v>
      </c>
      <c r="J5520" s="7">
        <v>4.9539999999999997</v>
      </c>
      <c r="K5520" s="7">
        <v>4.9669999999999996</v>
      </c>
      <c r="L5520" s="7">
        <v>5.0350000000000001</v>
      </c>
      <c r="M5520" s="7">
        <v>5.2439999999999998</v>
      </c>
      <c r="N5520" s="7">
        <v>5.9420000000000002</v>
      </c>
      <c r="O5520" s="7">
        <v>5.7149999999999999</v>
      </c>
      <c r="P5520" s="7">
        <v>5.4009999999999998</v>
      </c>
      <c r="Q5520" s="7">
        <v>5.1369999999999996</v>
      </c>
      <c r="R5520" s="7">
        <v>5.0890000000000004</v>
      </c>
      <c r="S5520" s="7">
        <f t="shared" si="86"/>
        <v>5.2180833333333325</v>
      </c>
    </row>
    <row r="5521" spans="1:19">
      <c r="A5521" s="5" t="str">
        <f>B5521&amp;"-"&amp;COUNTIF($B$2:B5521,B5521)</f>
        <v>TOCANTINS-90</v>
      </c>
      <c r="B5521" s="5" t="s">
        <v>3564</v>
      </c>
      <c r="C5521" s="5" t="s">
        <v>5274</v>
      </c>
      <c r="D5521" s="6">
        <v>-484134</v>
      </c>
      <c r="E5521" s="5" t="s">
        <v>3606</v>
      </c>
      <c r="F5521" s="7">
        <v>5.2930000000000001</v>
      </c>
      <c r="G5521" s="7">
        <v>5.2880000000000003</v>
      </c>
      <c r="H5521" s="7">
        <v>5.3979999999999997</v>
      </c>
      <c r="I5521" s="7">
        <v>5.0389999999999997</v>
      </c>
      <c r="J5521" s="7">
        <v>5.165</v>
      </c>
      <c r="K5521" s="7">
        <v>5.0609999999999999</v>
      </c>
      <c r="L5521" s="7">
        <v>4.931</v>
      </c>
      <c r="M5521" s="7">
        <v>5.3010000000000002</v>
      </c>
      <c r="N5521" s="7">
        <v>5.8440000000000003</v>
      </c>
      <c r="O5521" s="7">
        <v>5.7949999999999999</v>
      </c>
      <c r="P5521" s="7">
        <v>5.516</v>
      </c>
      <c r="Q5521" s="7">
        <v>4.99</v>
      </c>
      <c r="R5521" s="7">
        <v>5.1849999999999996</v>
      </c>
      <c r="S5521" s="7">
        <f t="shared" si="86"/>
        <v>5.2927500000000007</v>
      </c>
    </row>
    <row r="5522" spans="1:19">
      <c r="A5522" s="5" t="str">
        <f>B5522&amp;"-"&amp;COUNTIF($B$2:B5522,B5522)</f>
        <v>TOCANTINS-91</v>
      </c>
      <c r="B5522" s="5" t="s">
        <v>3564</v>
      </c>
      <c r="C5522" s="5" t="s">
        <v>3607</v>
      </c>
      <c r="D5522" s="6">
        <v>-479261</v>
      </c>
      <c r="E5522" s="6">
        <v>-78479</v>
      </c>
      <c r="F5522" s="7">
        <v>5.1539999999999999</v>
      </c>
      <c r="G5522" s="7">
        <v>4.8479999999999999</v>
      </c>
      <c r="H5522" s="7">
        <v>4.9329999999999998</v>
      </c>
      <c r="I5522" s="7">
        <v>4.9249999999999998</v>
      </c>
      <c r="J5522" s="7">
        <v>4.8780000000000001</v>
      </c>
      <c r="K5522" s="7">
        <v>5.0590000000000002</v>
      </c>
      <c r="L5522" s="7">
        <v>5.1970000000000001</v>
      </c>
      <c r="M5522" s="7">
        <v>5.3090000000000002</v>
      </c>
      <c r="N5522" s="7">
        <v>5.8730000000000002</v>
      </c>
      <c r="O5522" s="7">
        <v>5.8730000000000002</v>
      </c>
      <c r="P5522" s="7">
        <v>5.2619999999999996</v>
      </c>
      <c r="Q5522" s="7">
        <v>4.8769999999999998</v>
      </c>
      <c r="R5522" s="7">
        <v>4.8090000000000002</v>
      </c>
      <c r="S5522" s="7">
        <f t="shared" si="86"/>
        <v>5.1535833333333327</v>
      </c>
    </row>
    <row r="5523" spans="1:19">
      <c r="A5523" s="5" t="str">
        <f>B5523&amp;"-"&amp;COUNTIF($B$2:B5523,B5523)</f>
        <v>TOCANTINS-92</v>
      </c>
      <c r="B5523" s="5" t="s">
        <v>3564</v>
      </c>
      <c r="C5523" s="5" t="s">
        <v>3608</v>
      </c>
      <c r="D5523" s="6">
        <v>-475484</v>
      </c>
      <c r="E5523" s="6">
        <v>-66113</v>
      </c>
      <c r="F5523" s="7">
        <v>5.1289999999999996</v>
      </c>
      <c r="G5523" s="7">
        <v>4.742</v>
      </c>
      <c r="H5523" s="7">
        <v>4.87</v>
      </c>
      <c r="I5523" s="7">
        <v>4.8719999999999999</v>
      </c>
      <c r="J5523" s="7">
        <v>4.899</v>
      </c>
      <c r="K5523" s="7">
        <v>4.976</v>
      </c>
      <c r="L5523" s="7">
        <v>5.2759999999999998</v>
      </c>
      <c r="M5523" s="7">
        <v>5.4249999999999998</v>
      </c>
      <c r="N5523" s="7">
        <v>5.9240000000000004</v>
      </c>
      <c r="O5523" s="7">
        <v>5.8559999999999999</v>
      </c>
      <c r="P5523" s="7">
        <v>5.1950000000000003</v>
      </c>
      <c r="Q5523" s="7">
        <v>4.7770000000000001</v>
      </c>
      <c r="R5523" s="7">
        <v>4.74</v>
      </c>
      <c r="S5523" s="7">
        <f t="shared" si="86"/>
        <v>5.1293333333333333</v>
      </c>
    </row>
    <row r="5524" spans="1:19">
      <c r="A5524" s="5" t="str">
        <f>B5524&amp;"-"&amp;COUNTIF($B$2:B5524,B5524)</f>
        <v>TOCANTINS-93</v>
      </c>
      <c r="B5524" s="5" t="s">
        <v>3564</v>
      </c>
      <c r="C5524" s="5" t="s">
        <v>3609</v>
      </c>
      <c r="D5524" s="6">
        <v>-488827</v>
      </c>
      <c r="E5524" s="6">
        <v>-101754</v>
      </c>
      <c r="F5524" s="7">
        <v>5.1429999999999998</v>
      </c>
      <c r="G5524" s="7">
        <v>4.9459999999999997</v>
      </c>
      <c r="H5524" s="7">
        <v>4.9880000000000004</v>
      </c>
      <c r="I5524" s="7">
        <v>4.6219999999999999</v>
      </c>
      <c r="J5524" s="7">
        <v>4.84</v>
      </c>
      <c r="K5524" s="7">
        <v>4.9740000000000002</v>
      </c>
      <c r="L5524" s="7">
        <v>5.0819999999999999</v>
      </c>
      <c r="M5524" s="7">
        <v>5.3029999999999999</v>
      </c>
      <c r="N5524" s="7">
        <v>6.032</v>
      </c>
      <c r="O5524" s="7">
        <v>5.6950000000000003</v>
      </c>
      <c r="P5524" s="7">
        <v>5.26</v>
      </c>
      <c r="Q5524" s="7">
        <v>5.0350000000000001</v>
      </c>
      <c r="R5524" s="7">
        <v>4.9340000000000002</v>
      </c>
      <c r="S5524" s="7">
        <f t="shared" si="86"/>
        <v>5.1425833333333335</v>
      </c>
    </row>
    <row r="5525" spans="1:19">
      <c r="A5525" s="5" t="str">
        <f>B5525&amp;"-"&amp;COUNTIF($B$2:B5525,B5525)</f>
        <v>TOCANTINS-94</v>
      </c>
      <c r="B5525" s="5" t="s">
        <v>3564</v>
      </c>
      <c r="C5525" s="5" t="s">
        <v>5426</v>
      </c>
      <c r="D5525" s="6">
        <v>-478738</v>
      </c>
      <c r="E5525" s="6">
        <v>-126172</v>
      </c>
      <c r="F5525" s="7">
        <v>5.5129999999999999</v>
      </c>
      <c r="G5525" s="7">
        <v>5.7430000000000003</v>
      </c>
      <c r="H5525" s="7">
        <v>5.7039999999999997</v>
      </c>
      <c r="I5525" s="7">
        <v>5.3689999999999998</v>
      </c>
      <c r="J5525" s="7">
        <v>5.32</v>
      </c>
      <c r="K5525" s="7">
        <v>5.117</v>
      </c>
      <c r="L5525" s="7">
        <v>4.9770000000000003</v>
      </c>
      <c r="M5525" s="7">
        <v>5.3659999999999997</v>
      </c>
      <c r="N5525" s="7">
        <v>5.9219999999999997</v>
      </c>
      <c r="O5525" s="7">
        <v>5.9459999999999997</v>
      </c>
      <c r="P5525" s="7">
        <v>5.6879999999999997</v>
      </c>
      <c r="Q5525" s="7">
        <v>5.38</v>
      </c>
      <c r="R5525" s="7">
        <v>5.6260000000000003</v>
      </c>
      <c r="S5525" s="7">
        <f t="shared" si="86"/>
        <v>5.5131666666666668</v>
      </c>
    </row>
    <row r="5526" spans="1:19">
      <c r="A5526" s="5" t="str">
        <f>B5526&amp;"-"&amp;COUNTIF($B$2:B5526,B5526)</f>
        <v>TOCANTINS-95</v>
      </c>
      <c r="B5526" s="5" t="s">
        <v>3564</v>
      </c>
      <c r="C5526" s="5" t="s">
        <v>1754</v>
      </c>
      <c r="D5526" s="6">
        <v>-493674</v>
      </c>
      <c r="E5526" s="6">
        <v>-75396</v>
      </c>
      <c r="F5526" s="7">
        <v>5.0209999999999999</v>
      </c>
      <c r="G5526" s="7">
        <v>4.7859999999999996</v>
      </c>
      <c r="H5526" s="7">
        <v>4.91</v>
      </c>
      <c r="I5526" s="7">
        <v>4.6859999999999999</v>
      </c>
      <c r="J5526" s="7">
        <v>4.7069999999999999</v>
      </c>
      <c r="K5526" s="7">
        <v>4.8940000000000001</v>
      </c>
      <c r="L5526" s="7">
        <v>5.093</v>
      </c>
      <c r="M5526" s="7">
        <v>5.14</v>
      </c>
      <c r="N5526" s="7">
        <v>5.7640000000000002</v>
      </c>
      <c r="O5526" s="7">
        <v>5.6180000000000003</v>
      </c>
      <c r="P5526" s="7">
        <v>5.1219999999999999</v>
      </c>
      <c r="Q5526" s="7">
        <v>4.7530000000000001</v>
      </c>
      <c r="R5526" s="7">
        <v>4.774</v>
      </c>
      <c r="S5526" s="7">
        <f t="shared" si="86"/>
        <v>5.0205833333333336</v>
      </c>
    </row>
    <row r="5527" spans="1:19">
      <c r="A5527" s="5" t="str">
        <f>B5527&amp;"-"&amp;COUNTIF($B$2:B5527,B5527)</f>
        <v>TOCANTINS-96</v>
      </c>
      <c r="B5527" s="5" t="s">
        <v>3564</v>
      </c>
      <c r="C5527" s="5" t="s">
        <v>3610</v>
      </c>
      <c r="D5527" s="6">
        <v>-481733</v>
      </c>
      <c r="E5527" s="6">
        <v>-89708</v>
      </c>
      <c r="F5527" s="7">
        <v>5.2350000000000003</v>
      </c>
      <c r="G5527" s="7">
        <v>5.0880000000000001</v>
      </c>
      <c r="H5527" s="7">
        <v>5.15</v>
      </c>
      <c r="I5527" s="7">
        <v>4.9539999999999997</v>
      </c>
      <c r="J5527" s="7">
        <v>4.8869999999999996</v>
      </c>
      <c r="K5527" s="7">
        <v>5.0999999999999996</v>
      </c>
      <c r="L5527" s="7">
        <v>5.1509999999999998</v>
      </c>
      <c r="M5527" s="7">
        <v>5.2690000000000001</v>
      </c>
      <c r="N5527" s="7">
        <v>5.9779999999999998</v>
      </c>
      <c r="O5527" s="7">
        <v>5.8</v>
      </c>
      <c r="P5527" s="7">
        <v>5.3159999999999998</v>
      </c>
      <c r="Q5527" s="7">
        <v>5.0990000000000002</v>
      </c>
      <c r="R5527" s="7">
        <v>5.0279999999999996</v>
      </c>
      <c r="S5527" s="7">
        <f t="shared" si="86"/>
        <v>5.2350000000000003</v>
      </c>
    </row>
    <row r="5528" spans="1:19">
      <c r="A5528" s="5" t="str">
        <f>B5528&amp;"-"&amp;COUNTIF($B$2:B5528,B5528)</f>
        <v>TOCANTINS-97</v>
      </c>
      <c r="B5528" s="5" t="s">
        <v>3564</v>
      </c>
      <c r="C5528" s="5" t="s">
        <v>3611</v>
      </c>
      <c r="D5528" s="6">
        <v>-485418</v>
      </c>
      <c r="E5528" s="6">
        <v>-120374</v>
      </c>
      <c r="F5528" s="7">
        <v>5.3639999999999999</v>
      </c>
      <c r="G5528" s="7">
        <v>5.452</v>
      </c>
      <c r="H5528" s="7">
        <v>5.5</v>
      </c>
      <c r="I5528" s="7">
        <v>5.1660000000000004</v>
      </c>
      <c r="J5528" s="7">
        <v>5.1260000000000003</v>
      </c>
      <c r="K5528" s="7">
        <v>5.032</v>
      </c>
      <c r="L5528" s="7">
        <v>4.931</v>
      </c>
      <c r="M5528" s="7">
        <v>5.2249999999999996</v>
      </c>
      <c r="N5528" s="7">
        <v>5.7880000000000003</v>
      </c>
      <c r="O5528" s="7">
        <v>5.8310000000000004</v>
      </c>
      <c r="P5528" s="7">
        <v>5.6180000000000003</v>
      </c>
      <c r="Q5528" s="7">
        <v>5.306</v>
      </c>
      <c r="R5528" s="7">
        <v>5.3920000000000003</v>
      </c>
      <c r="S5528" s="7">
        <f t="shared" si="86"/>
        <v>5.3639166666666673</v>
      </c>
    </row>
    <row r="5529" spans="1:19">
      <c r="A5529" s="5" t="str">
        <f>B5529&amp;"-"&amp;COUNTIF($B$2:B5529,B5529)</f>
        <v>TOCANTINS-98</v>
      </c>
      <c r="B5529" s="5" t="s">
        <v>3564</v>
      </c>
      <c r="C5529" s="5" t="s">
        <v>3612</v>
      </c>
      <c r="D5529" s="6">
        <v>-489331</v>
      </c>
      <c r="E5529" s="6">
        <v>-85936</v>
      </c>
      <c r="F5529" s="7">
        <v>5.09</v>
      </c>
      <c r="G5529" s="7">
        <v>4.8460000000000001</v>
      </c>
      <c r="H5529" s="7">
        <v>4.8769999999999998</v>
      </c>
      <c r="I5529" s="7">
        <v>4.7190000000000003</v>
      </c>
      <c r="J5529" s="7">
        <v>4.6959999999999997</v>
      </c>
      <c r="K5529" s="7">
        <v>4.9649999999999999</v>
      </c>
      <c r="L5529" s="7">
        <v>5.1849999999999996</v>
      </c>
      <c r="M5529" s="7">
        <v>5.3559999999999999</v>
      </c>
      <c r="N5529" s="7">
        <v>6.0110000000000001</v>
      </c>
      <c r="O5529" s="7">
        <v>5.6689999999999996</v>
      </c>
      <c r="P5529" s="7">
        <v>5.0860000000000003</v>
      </c>
      <c r="Q5529" s="7">
        <v>4.9119999999999999</v>
      </c>
      <c r="R5529" s="7">
        <v>4.758</v>
      </c>
      <c r="S5529" s="7">
        <f t="shared" si="86"/>
        <v>5.09</v>
      </c>
    </row>
    <row r="5530" spans="1:19">
      <c r="A5530" s="5" t="str">
        <f>B5530&amp;"-"&amp;COUNTIF($B$2:B5530,B5530)</f>
        <v>TOCANTINS-99</v>
      </c>
      <c r="B5530" s="5" t="s">
        <v>3564</v>
      </c>
      <c r="C5530" s="5" t="s">
        <v>3613</v>
      </c>
      <c r="D5530" s="6">
        <v>-475782</v>
      </c>
      <c r="E5530" s="6">
        <v>-111358</v>
      </c>
      <c r="F5530" s="7">
        <v>5.4530000000000003</v>
      </c>
      <c r="G5530" s="7">
        <v>5.4409999999999998</v>
      </c>
      <c r="H5530" s="7">
        <v>5.2789999999999999</v>
      </c>
      <c r="I5530" s="7">
        <v>5.0259999999999998</v>
      </c>
      <c r="J5530" s="7">
        <v>5.1639999999999997</v>
      </c>
      <c r="K5530" s="7">
        <v>5.2149999999999999</v>
      </c>
      <c r="L5530" s="7">
        <v>5.2320000000000002</v>
      </c>
      <c r="M5530" s="7">
        <v>5.5110000000000001</v>
      </c>
      <c r="N5530" s="7">
        <v>6.1289999999999996</v>
      </c>
      <c r="O5530" s="7">
        <v>6.1180000000000003</v>
      </c>
      <c r="P5530" s="7">
        <v>5.6349999999999998</v>
      </c>
      <c r="Q5530" s="7">
        <v>5.32</v>
      </c>
      <c r="R5530" s="7">
        <v>5.3650000000000002</v>
      </c>
      <c r="S5530" s="7">
        <f t="shared" si="86"/>
        <v>5.452916666666666</v>
      </c>
    </row>
    <row r="5531" spans="1:19">
      <c r="A5531" s="5" t="str">
        <f>B5531&amp;"-"&amp;COUNTIF($B$2:B5531,B5531)</f>
        <v>TOCANTINS-100</v>
      </c>
      <c r="B5531" s="5" t="s">
        <v>3564</v>
      </c>
      <c r="C5531" s="5" t="s">
        <v>5342</v>
      </c>
      <c r="D5531" s="6">
        <v>-482949</v>
      </c>
      <c r="E5531" s="6">
        <v>-67684</v>
      </c>
      <c r="F5531" s="7">
        <v>5.0030000000000001</v>
      </c>
      <c r="G5531" s="7">
        <v>4.7210000000000001</v>
      </c>
      <c r="H5531" s="7">
        <v>4.7670000000000003</v>
      </c>
      <c r="I5531" s="7">
        <v>4.6539999999999999</v>
      </c>
      <c r="J5531" s="7">
        <v>4.7240000000000002</v>
      </c>
      <c r="K5531" s="7">
        <v>4.8440000000000003</v>
      </c>
      <c r="L5531" s="7">
        <v>5.1369999999999996</v>
      </c>
      <c r="M5531" s="7">
        <v>5.3209999999999997</v>
      </c>
      <c r="N5531" s="7">
        <v>5.8680000000000003</v>
      </c>
      <c r="O5531" s="7">
        <v>5.6719999999999997</v>
      </c>
      <c r="P5531" s="7">
        <v>5.0549999999999997</v>
      </c>
      <c r="Q5531" s="7">
        <v>4.7069999999999999</v>
      </c>
      <c r="R5531" s="7">
        <v>4.5720000000000001</v>
      </c>
      <c r="S5531" s="7">
        <f t="shared" si="86"/>
        <v>5.0034999999999998</v>
      </c>
    </row>
    <row r="5532" spans="1:19">
      <c r="A5532" s="5" t="str">
        <f>B5532&amp;"-"&amp;COUNTIF($B$2:B5532,B5532)</f>
        <v>TOCANTINS-101</v>
      </c>
      <c r="B5532" s="5" t="s">
        <v>3564</v>
      </c>
      <c r="C5532" s="5" t="s">
        <v>3614</v>
      </c>
      <c r="D5532" s="6">
        <v>-491797</v>
      </c>
      <c r="E5532" s="6">
        <v>-104409</v>
      </c>
      <c r="F5532" s="7">
        <v>5.1760000000000002</v>
      </c>
      <c r="G5532" s="7">
        <v>5.024</v>
      </c>
      <c r="H5532" s="7">
        <v>4.9909999999999997</v>
      </c>
      <c r="I5532" s="7">
        <v>4.7329999999999997</v>
      </c>
      <c r="J5532" s="7">
        <v>4.835</v>
      </c>
      <c r="K5532" s="7">
        <v>4.9279999999999999</v>
      </c>
      <c r="L5532" s="7">
        <v>5.0890000000000004</v>
      </c>
      <c r="M5532" s="7">
        <v>5.3840000000000003</v>
      </c>
      <c r="N5532" s="7">
        <v>5.9950000000000001</v>
      </c>
      <c r="O5532" s="7">
        <v>5.6849999999999996</v>
      </c>
      <c r="P5532" s="7">
        <v>5.3440000000000003</v>
      </c>
      <c r="Q5532" s="7">
        <v>5.0970000000000004</v>
      </c>
      <c r="R5532" s="7">
        <v>5.0069999999999997</v>
      </c>
      <c r="S5532" s="7">
        <f t="shared" si="86"/>
        <v>5.1760000000000002</v>
      </c>
    </row>
    <row r="5533" spans="1:19">
      <c r="A5533" s="5" t="str">
        <f>B5533&amp;"-"&amp;COUNTIF($B$2:B5533,B5533)</f>
        <v>TOCANTINS-102</v>
      </c>
      <c r="B5533" s="5" t="s">
        <v>3564</v>
      </c>
      <c r="C5533" s="5" t="s">
        <v>3615</v>
      </c>
      <c r="D5533" s="6">
        <v>-464749</v>
      </c>
      <c r="E5533" s="6">
        <v>-120878</v>
      </c>
      <c r="F5533" s="7">
        <v>5.5259999999999998</v>
      </c>
      <c r="G5533" s="7">
        <v>5.7910000000000004</v>
      </c>
      <c r="H5533" s="7">
        <v>5.625</v>
      </c>
      <c r="I5533" s="7">
        <v>5.1459999999999999</v>
      </c>
      <c r="J5533" s="7">
        <v>5.048</v>
      </c>
      <c r="K5533" s="7">
        <v>5.2039999999999997</v>
      </c>
      <c r="L5533" s="7">
        <v>5.1120000000000001</v>
      </c>
      <c r="M5533" s="7">
        <v>5.4820000000000002</v>
      </c>
      <c r="N5533" s="7">
        <v>6.0330000000000004</v>
      </c>
      <c r="O5533" s="7">
        <v>6.1609999999999996</v>
      </c>
      <c r="P5533" s="7">
        <v>5.7850000000000001</v>
      </c>
      <c r="Q5533" s="7">
        <v>5.319</v>
      </c>
      <c r="R5533" s="7">
        <v>5.6020000000000003</v>
      </c>
      <c r="S5533" s="7">
        <f t="shared" si="86"/>
        <v>5.5256666666666669</v>
      </c>
    </row>
    <row r="5534" spans="1:19">
      <c r="A5534" s="5" t="str">
        <f>B5534&amp;"-"&amp;COUNTIF($B$2:B5534,B5534)</f>
        <v>TOCANTINS-103</v>
      </c>
      <c r="B5534" s="5" t="s">
        <v>3564</v>
      </c>
      <c r="C5534" s="5" t="s">
        <v>3616</v>
      </c>
      <c r="D5534" s="6">
        <v>-475399</v>
      </c>
      <c r="E5534" s="6">
        <v>-107419</v>
      </c>
      <c r="F5534" s="7">
        <v>5.3970000000000002</v>
      </c>
      <c r="G5534" s="7">
        <v>5.3220000000000001</v>
      </c>
      <c r="H5534" s="7">
        <v>5.3170000000000002</v>
      </c>
      <c r="I5534" s="7">
        <v>5.016</v>
      </c>
      <c r="J5534" s="7">
        <v>5.1210000000000004</v>
      </c>
      <c r="K5534" s="7">
        <v>5.1459999999999999</v>
      </c>
      <c r="L5534" s="7">
        <v>5.1280000000000001</v>
      </c>
      <c r="M5534" s="7">
        <v>5.3810000000000002</v>
      </c>
      <c r="N5534" s="7">
        <v>6.06</v>
      </c>
      <c r="O5534" s="7">
        <v>6.0270000000000001</v>
      </c>
      <c r="P5534" s="7">
        <v>5.609</v>
      </c>
      <c r="Q5534" s="7">
        <v>5.2720000000000002</v>
      </c>
      <c r="R5534" s="7">
        <v>5.359</v>
      </c>
      <c r="S5534" s="7">
        <f t="shared" si="86"/>
        <v>5.3964999999999996</v>
      </c>
    </row>
    <row r="5535" spans="1:19">
      <c r="A5535" s="5" t="str">
        <f>B5535&amp;"-"&amp;COUNTIF($B$2:B5535,B5535)</f>
        <v>TOCANTINS-104</v>
      </c>
      <c r="B5535" s="5" t="s">
        <v>3564</v>
      </c>
      <c r="C5535" s="5" t="s">
        <v>3617</v>
      </c>
      <c r="D5535" s="6">
        <v>-470488</v>
      </c>
      <c r="E5535" s="6">
        <v>-116083</v>
      </c>
      <c r="F5535" s="7">
        <v>5.54</v>
      </c>
      <c r="G5535" s="7">
        <v>5.6040000000000001</v>
      </c>
      <c r="H5535" s="7">
        <v>5.4889999999999999</v>
      </c>
      <c r="I5535" s="7">
        <v>5.1639999999999997</v>
      </c>
      <c r="J5535" s="7">
        <v>5.24</v>
      </c>
      <c r="K5535" s="7">
        <v>5.2969999999999997</v>
      </c>
      <c r="L5535" s="7">
        <v>5.194</v>
      </c>
      <c r="M5535" s="7">
        <v>5.468</v>
      </c>
      <c r="N5535" s="7">
        <v>6.141</v>
      </c>
      <c r="O5535" s="7">
        <v>6.1580000000000004</v>
      </c>
      <c r="P5535" s="7">
        <v>5.7569999999999997</v>
      </c>
      <c r="Q5535" s="7">
        <v>5.4039999999999999</v>
      </c>
      <c r="R5535" s="7">
        <v>5.5620000000000003</v>
      </c>
      <c r="S5535" s="7">
        <f t="shared" si="86"/>
        <v>5.5398333333333332</v>
      </c>
    </row>
    <row r="5536" spans="1:19">
      <c r="A5536" s="5" t="str">
        <f>B5536&amp;"-"&amp;COUNTIF($B$2:B5536,B5536)</f>
        <v>TOCANTINS-105</v>
      </c>
      <c r="B5536" s="5" t="s">
        <v>3564</v>
      </c>
      <c r="C5536" s="5" t="s">
        <v>3618</v>
      </c>
      <c r="D5536" s="6">
        <v>-484084</v>
      </c>
      <c r="E5536" s="6">
        <v>-107031</v>
      </c>
      <c r="F5536" s="7">
        <v>5.2590000000000003</v>
      </c>
      <c r="G5536" s="7">
        <v>5.29</v>
      </c>
      <c r="H5536" s="7">
        <v>5.2560000000000002</v>
      </c>
      <c r="I5536" s="7">
        <v>4.93</v>
      </c>
      <c r="J5536" s="7">
        <v>5.1239999999999997</v>
      </c>
      <c r="K5536" s="7">
        <v>5.1120000000000001</v>
      </c>
      <c r="L5536" s="7">
        <v>4.97</v>
      </c>
      <c r="M5536" s="7">
        <v>5.1769999999999996</v>
      </c>
      <c r="N5536" s="7">
        <v>5.68</v>
      </c>
      <c r="O5536" s="7">
        <v>5.7910000000000004</v>
      </c>
      <c r="P5536" s="7">
        <v>5.468</v>
      </c>
      <c r="Q5536" s="7">
        <v>5.1319999999999997</v>
      </c>
      <c r="R5536" s="7">
        <v>5.1769999999999996</v>
      </c>
      <c r="S5536" s="7">
        <f t="shared" si="86"/>
        <v>5.2589166666666669</v>
      </c>
    </row>
    <row r="5537" spans="1:19">
      <c r="A5537" s="5" t="str">
        <f>B5537&amp;"-"&amp;COUNTIF($B$2:B5537,B5537)</f>
        <v>TOCANTINS-106</v>
      </c>
      <c r="B5537" s="5" t="s">
        <v>3564</v>
      </c>
      <c r="C5537" s="5" t="s">
        <v>3619</v>
      </c>
      <c r="D5537" s="6">
        <v>-478115</v>
      </c>
      <c r="E5537" s="6">
        <v>-53932</v>
      </c>
      <c r="F5537" s="7">
        <v>5.0640000000000001</v>
      </c>
      <c r="G5537" s="7">
        <v>4.6230000000000002</v>
      </c>
      <c r="H5537" s="7">
        <v>4.7960000000000003</v>
      </c>
      <c r="I5537" s="7">
        <v>4.9160000000000004</v>
      </c>
      <c r="J5537" s="7">
        <v>4.9489999999999998</v>
      </c>
      <c r="K5537" s="7">
        <v>4.8220000000000001</v>
      </c>
      <c r="L5537" s="7">
        <v>5.141</v>
      </c>
      <c r="M5537" s="7">
        <v>5.2770000000000001</v>
      </c>
      <c r="N5537" s="7">
        <v>5.72</v>
      </c>
      <c r="O5537" s="7">
        <v>5.5940000000000003</v>
      </c>
      <c r="P5537" s="7">
        <v>5.2350000000000003</v>
      </c>
      <c r="Q5537" s="7">
        <v>4.9359999999999999</v>
      </c>
      <c r="R5537" s="7">
        <v>4.7619999999999996</v>
      </c>
      <c r="S5537" s="7">
        <f t="shared" si="86"/>
        <v>5.0642500000000004</v>
      </c>
    </row>
    <row r="5538" spans="1:19">
      <c r="A5538" s="5" t="str">
        <f>B5538&amp;"-"&amp;COUNTIF($B$2:B5538,B5538)</f>
        <v>TOCANTINS-107</v>
      </c>
      <c r="B5538" s="5" t="s">
        <v>3564</v>
      </c>
      <c r="C5538" s="5" t="s">
        <v>752</v>
      </c>
      <c r="D5538" s="6">
        <v>-485071</v>
      </c>
      <c r="E5538" s="6">
        <v>-85414</v>
      </c>
      <c r="F5538" s="7">
        <v>5.0620000000000003</v>
      </c>
      <c r="G5538" s="7">
        <v>4.8120000000000003</v>
      </c>
      <c r="H5538" s="7">
        <v>4.9320000000000004</v>
      </c>
      <c r="I5538" s="7">
        <v>4.7359999999999998</v>
      </c>
      <c r="J5538" s="7">
        <v>4.7329999999999997</v>
      </c>
      <c r="K5538" s="7">
        <v>4.9749999999999996</v>
      </c>
      <c r="L5538" s="7">
        <v>5.173</v>
      </c>
      <c r="M5538" s="7">
        <v>5.26</v>
      </c>
      <c r="N5538" s="7">
        <v>5.8689999999999998</v>
      </c>
      <c r="O5538" s="7">
        <v>5.6529999999999996</v>
      </c>
      <c r="P5538" s="7">
        <v>5.0519999999999996</v>
      </c>
      <c r="Q5538" s="7">
        <v>4.7960000000000003</v>
      </c>
      <c r="R5538" s="7">
        <v>4.7590000000000003</v>
      </c>
      <c r="S5538" s="7">
        <f t="shared" si="86"/>
        <v>5.0625</v>
      </c>
    </row>
    <row r="5539" spans="1:19">
      <c r="A5539" s="5" t="str">
        <f>B5539&amp;"-"&amp;COUNTIF($B$2:B5539,B5539)</f>
        <v>TOCANTINS-108</v>
      </c>
      <c r="B5539" s="5" t="s">
        <v>3564</v>
      </c>
      <c r="C5539" s="5" t="s">
        <v>3620</v>
      </c>
      <c r="D5539" s="6">
        <v>-488961</v>
      </c>
      <c r="E5539" s="6">
        <v>-104245</v>
      </c>
      <c r="F5539" s="7">
        <v>5.202</v>
      </c>
      <c r="G5539" s="7">
        <v>5.0419999999999998</v>
      </c>
      <c r="H5539" s="7">
        <v>5.0510000000000002</v>
      </c>
      <c r="I5539" s="7">
        <v>4.7750000000000004</v>
      </c>
      <c r="J5539" s="7">
        <v>4.9779999999999998</v>
      </c>
      <c r="K5539" s="7">
        <v>4.9950000000000001</v>
      </c>
      <c r="L5539" s="7">
        <v>5.1120000000000001</v>
      </c>
      <c r="M5539" s="7">
        <v>5.2809999999999997</v>
      </c>
      <c r="N5539" s="7">
        <v>5.9569999999999999</v>
      </c>
      <c r="O5539" s="7">
        <v>5.734</v>
      </c>
      <c r="P5539" s="7">
        <v>5.3449999999999998</v>
      </c>
      <c r="Q5539" s="7">
        <v>5.1260000000000003</v>
      </c>
      <c r="R5539" s="7">
        <v>5.0279999999999996</v>
      </c>
      <c r="S5539" s="7">
        <f t="shared" si="86"/>
        <v>5.202</v>
      </c>
    </row>
    <row r="5540" spans="1:19">
      <c r="A5540" s="5" t="str">
        <f>B5540&amp;"-"&amp;COUNTIF($B$2:B5540,B5540)</f>
        <v>TOCANTINS-109</v>
      </c>
      <c r="B5540" s="5" t="s">
        <v>3564</v>
      </c>
      <c r="C5540" s="5" t="s">
        <v>5048</v>
      </c>
      <c r="D5540" s="6">
        <v>-472426</v>
      </c>
      <c r="E5540" s="6">
        <v>-87367</v>
      </c>
      <c r="F5540" s="7">
        <v>5.2569999999999997</v>
      </c>
      <c r="G5540" s="7">
        <v>5.0039999999999996</v>
      </c>
      <c r="H5540" s="7">
        <v>4.9779999999999998</v>
      </c>
      <c r="I5540" s="7">
        <v>4.8040000000000003</v>
      </c>
      <c r="J5540" s="7">
        <v>4.9169999999999998</v>
      </c>
      <c r="K5540" s="7">
        <v>5.2380000000000004</v>
      </c>
      <c r="L5540" s="7">
        <v>5.2409999999999997</v>
      </c>
      <c r="M5540" s="7">
        <v>5.3739999999999997</v>
      </c>
      <c r="N5540" s="7">
        <v>6.1180000000000003</v>
      </c>
      <c r="O5540" s="7">
        <v>6.0510000000000002</v>
      </c>
      <c r="P5540" s="7">
        <v>5.4020000000000001</v>
      </c>
      <c r="Q5540" s="7">
        <v>4.9969999999999999</v>
      </c>
      <c r="R5540" s="7">
        <v>4.9619999999999997</v>
      </c>
      <c r="S5540" s="7">
        <f t="shared" si="86"/>
        <v>5.2571666666666665</v>
      </c>
    </row>
    <row r="5541" spans="1:19">
      <c r="A5541" s="5" t="str">
        <f>B5541&amp;"-"&amp;COUNTIF($B$2:B5541,B5541)</f>
        <v>TOCANTINS-110</v>
      </c>
      <c r="B5541" s="5" t="s">
        <v>3564</v>
      </c>
      <c r="C5541" s="5" t="s">
        <v>1586</v>
      </c>
      <c r="D5541" s="6">
        <v>-481374</v>
      </c>
      <c r="E5541" s="6">
        <v>-64405</v>
      </c>
      <c r="F5541" s="7">
        <v>5.0010000000000003</v>
      </c>
      <c r="G5541" s="7">
        <v>4.6589999999999998</v>
      </c>
      <c r="H5541" s="7">
        <v>4.7889999999999997</v>
      </c>
      <c r="I5541" s="7">
        <v>4.7169999999999996</v>
      </c>
      <c r="J5541" s="7">
        <v>4.7320000000000002</v>
      </c>
      <c r="K5541" s="7">
        <v>4.88</v>
      </c>
      <c r="L5541" s="7">
        <v>5.2089999999999996</v>
      </c>
      <c r="M5541" s="7">
        <v>5.3179999999999996</v>
      </c>
      <c r="N5541" s="7">
        <v>5.8070000000000004</v>
      </c>
      <c r="O5541" s="7">
        <v>5.6310000000000002</v>
      </c>
      <c r="P5541" s="7">
        <v>5.0270000000000001</v>
      </c>
      <c r="Q5541" s="7">
        <v>4.6760000000000002</v>
      </c>
      <c r="R5541" s="7">
        <v>4.5670000000000002</v>
      </c>
      <c r="S5541" s="7">
        <f t="shared" si="86"/>
        <v>5.0010000000000003</v>
      </c>
    </row>
    <row r="5542" spans="1:19">
      <c r="A5542" s="5" t="str">
        <f>B5542&amp;"-"&amp;COUNTIF($B$2:B5542,B5542)</f>
        <v>TOCANTINS-111</v>
      </c>
      <c r="B5542" s="5" t="s">
        <v>3564</v>
      </c>
      <c r="C5542" s="5" t="s">
        <v>4806</v>
      </c>
      <c r="D5542" s="6">
        <v>-468843</v>
      </c>
      <c r="E5542" s="6">
        <v>-113969</v>
      </c>
      <c r="F5542" s="7">
        <v>5.3730000000000002</v>
      </c>
      <c r="G5542" s="7">
        <v>5.4509999999999996</v>
      </c>
      <c r="H5542" s="7">
        <v>5.26</v>
      </c>
      <c r="I5542" s="7">
        <v>4.9800000000000004</v>
      </c>
      <c r="J5542" s="7">
        <v>4.9809999999999999</v>
      </c>
      <c r="K5542" s="7">
        <v>5.0869999999999997</v>
      </c>
      <c r="L5542" s="7">
        <v>5.1109999999999998</v>
      </c>
      <c r="M5542" s="7">
        <v>5.3630000000000004</v>
      </c>
      <c r="N5542" s="7">
        <v>6.0330000000000004</v>
      </c>
      <c r="O5542" s="7">
        <v>6.1029999999999998</v>
      </c>
      <c r="P5542" s="7">
        <v>5.5640000000000001</v>
      </c>
      <c r="Q5542" s="7">
        <v>5.242</v>
      </c>
      <c r="R5542" s="7">
        <v>5.306</v>
      </c>
      <c r="S5542" s="7">
        <f t="shared" si="86"/>
        <v>5.3734166666666665</v>
      </c>
    </row>
    <row r="5543" spans="1:19">
      <c r="A5543" s="5" t="str">
        <f>B5543&amp;"-"&amp;COUNTIF($B$2:B5543,B5543)</f>
        <v>TOCANTINS-112</v>
      </c>
      <c r="B5543" s="5" t="s">
        <v>3564</v>
      </c>
      <c r="C5543" s="5" t="s">
        <v>3621</v>
      </c>
      <c r="D5543" s="6">
        <v>-485337</v>
      </c>
      <c r="E5543" s="6">
        <v>-93419</v>
      </c>
      <c r="F5543" s="7">
        <v>5.1559999999999997</v>
      </c>
      <c r="G5543" s="7">
        <v>4.968</v>
      </c>
      <c r="H5543" s="7">
        <v>5.0510000000000002</v>
      </c>
      <c r="I5543" s="7">
        <v>4.8380000000000001</v>
      </c>
      <c r="J5543" s="7">
        <v>4.8369999999999997</v>
      </c>
      <c r="K5543" s="7">
        <v>5</v>
      </c>
      <c r="L5543" s="7">
        <v>5.0720000000000001</v>
      </c>
      <c r="M5543" s="7">
        <v>5.2649999999999997</v>
      </c>
      <c r="N5543" s="7">
        <v>5.992</v>
      </c>
      <c r="O5543" s="7">
        <v>5.7389999999999999</v>
      </c>
      <c r="P5543" s="7">
        <v>5.1929999999999996</v>
      </c>
      <c r="Q5543" s="7">
        <v>5.0039999999999996</v>
      </c>
      <c r="R5543" s="7">
        <v>4.9130000000000003</v>
      </c>
      <c r="S5543" s="7">
        <f t="shared" si="86"/>
        <v>5.1559999999999988</v>
      </c>
    </row>
    <row r="5544" spans="1:19">
      <c r="A5544" s="5" t="str">
        <f>B5544&amp;"-"&amp;COUNTIF($B$2:B5544,B5544)</f>
        <v>TOCANTINS-113</v>
      </c>
      <c r="B5544" s="5" t="s">
        <v>3564</v>
      </c>
      <c r="C5544" s="5" t="s">
        <v>3622</v>
      </c>
      <c r="D5544" s="6">
        <v>-478942</v>
      </c>
      <c r="E5544" s="6">
        <v>-93485</v>
      </c>
      <c r="F5544" s="7">
        <v>5.3079999999999998</v>
      </c>
      <c r="G5544" s="7">
        <v>5.048</v>
      </c>
      <c r="H5544" s="7">
        <v>5.1100000000000003</v>
      </c>
      <c r="I5544" s="7">
        <v>4.9429999999999996</v>
      </c>
      <c r="J5544" s="7">
        <v>5.0350000000000001</v>
      </c>
      <c r="K5544" s="7">
        <v>5.173</v>
      </c>
      <c r="L5544" s="7">
        <v>5.2</v>
      </c>
      <c r="M5544" s="7">
        <v>5.3760000000000003</v>
      </c>
      <c r="N5544" s="7">
        <v>6.18</v>
      </c>
      <c r="O5544" s="7">
        <v>5.9610000000000003</v>
      </c>
      <c r="P5544" s="7">
        <v>5.4269999999999996</v>
      </c>
      <c r="Q5544" s="7">
        <v>5.1470000000000002</v>
      </c>
      <c r="R5544" s="7">
        <v>5.0910000000000002</v>
      </c>
      <c r="S5544" s="7">
        <f t="shared" si="86"/>
        <v>5.3075833333333335</v>
      </c>
    </row>
    <row r="5545" spans="1:19">
      <c r="A5545" s="5" t="str">
        <f>B5545&amp;"-"&amp;COUNTIF($B$2:B5545,B5545)</f>
        <v>TOCANTINS-114</v>
      </c>
      <c r="B5545" s="5" t="s">
        <v>3564</v>
      </c>
      <c r="C5545" s="5" t="s">
        <v>4263</v>
      </c>
      <c r="D5545" s="6">
        <v>-479238</v>
      </c>
      <c r="E5545" s="6">
        <v>-60295</v>
      </c>
      <c r="F5545" s="7">
        <v>5.0090000000000003</v>
      </c>
      <c r="G5545" s="7">
        <v>4.57</v>
      </c>
      <c r="H5545" s="7">
        <v>4.7320000000000002</v>
      </c>
      <c r="I5545" s="7">
        <v>4.7359999999999998</v>
      </c>
      <c r="J5545" s="7">
        <v>4.76</v>
      </c>
      <c r="K5545" s="7">
        <v>4.8440000000000003</v>
      </c>
      <c r="L5545" s="7">
        <v>5.1509999999999998</v>
      </c>
      <c r="M5545" s="7">
        <v>5.3289999999999997</v>
      </c>
      <c r="N5545" s="7">
        <v>5.9009999999999998</v>
      </c>
      <c r="O5545" s="7">
        <v>5.625</v>
      </c>
      <c r="P5545" s="7">
        <v>5.0549999999999997</v>
      </c>
      <c r="Q5545" s="7">
        <v>4.7480000000000002</v>
      </c>
      <c r="R5545" s="7">
        <v>4.6559999999999997</v>
      </c>
      <c r="S5545" s="7">
        <f t="shared" si="86"/>
        <v>5.008916666666666</v>
      </c>
    </row>
    <row r="5546" spans="1:19">
      <c r="A5546" s="5" t="str">
        <f>B5546&amp;"-"&amp;COUNTIF($B$2:B5546,B5546)</f>
        <v>TOCANTINS-115</v>
      </c>
      <c r="B5546" s="5" t="s">
        <v>3564</v>
      </c>
      <c r="C5546" s="5" t="s">
        <v>4534</v>
      </c>
      <c r="D5546" s="6">
        <v>-466622</v>
      </c>
      <c r="E5546" s="6">
        <v>-101619</v>
      </c>
      <c r="F5546" s="7">
        <v>5.4690000000000003</v>
      </c>
      <c r="G5546" s="7">
        <v>5.4530000000000003</v>
      </c>
      <c r="H5546" s="7">
        <v>5.2919999999999998</v>
      </c>
      <c r="I5546" s="7">
        <v>5.0060000000000002</v>
      </c>
      <c r="J5546" s="7">
        <v>5.1180000000000003</v>
      </c>
      <c r="K5546" s="7">
        <v>5.24</v>
      </c>
      <c r="L5546" s="7">
        <v>5.2</v>
      </c>
      <c r="M5546" s="7">
        <v>5.4720000000000004</v>
      </c>
      <c r="N5546" s="7">
        <v>6.0949999999999998</v>
      </c>
      <c r="O5546" s="7">
        <v>6.2140000000000004</v>
      </c>
      <c r="P5546" s="7">
        <v>5.7439999999999998</v>
      </c>
      <c r="Q5546" s="7">
        <v>5.375</v>
      </c>
      <c r="R5546" s="7">
        <v>5.4119999999999999</v>
      </c>
      <c r="S5546" s="7">
        <f t="shared" si="86"/>
        <v>5.4684166666666663</v>
      </c>
    </row>
    <row r="5547" spans="1:19">
      <c r="A5547" s="5" t="str">
        <f>B5547&amp;"-"&amp;COUNTIF($B$2:B5547,B5547)</f>
        <v>TOCANTINS-116</v>
      </c>
      <c r="B5547" s="5" t="s">
        <v>3564</v>
      </c>
      <c r="C5547" s="5" t="s">
        <v>4264</v>
      </c>
      <c r="D5547" s="6">
        <v>-475774</v>
      </c>
      <c r="E5547" s="6">
        <v>-55521</v>
      </c>
      <c r="F5547" s="7">
        <v>5.032</v>
      </c>
      <c r="G5547" s="7">
        <v>4.6239999999999997</v>
      </c>
      <c r="H5547" s="7">
        <v>4.7539999999999996</v>
      </c>
      <c r="I5547" s="7">
        <v>4.8369999999999997</v>
      </c>
      <c r="J5547" s="7">
        <v>4.8369999999999997</v>
      </c>
      <c r="K5547" s="7">
        <v>4.835</v>
      </c>
      <c r="L5547" s="7">
        <v>5.1269999999999998</v>
      </c>
      <c r="M5547" s="7">
        <v>5.2530000000000001</v>
      </c>
      <c r="N5547" s="7">
        <v>5.7130000000000001</v>
      </c>
      <c r="O5547" s="7">
        <v>5.58</v>
      </c>
      <c r="P5547" s="7">
        <v>5.1680000000000001</v>
      </c>
      <c r="Q5547" s="7">
        <v>4.91</v>
      </c>
      <c r="R5547" s="7">
        <v>4.7480000000000002</v>
      </c>
      <c r="S5547" s="7">
        <f t="shared" si="86"/>
        <v>5.032166666666666</v>
      </c>
    </row>
    <row r="5548" spans="1:19">
      <c r="A5548" s="5" t="str">
        <f>B5548&amp;"-"&amp;COUNTIF($B$2:B5548,B5548)</f>
        <v>TOCANTINS-117</v>
      </c>
      <c r="B5548" s="5" t="s">
        <v>3564</v>
      </c>
      <c r="C5548" s="5" t="s">
        <v>4265</v>
      </c>
      <c r="D5548" s="6">
        <v>-482358</v>
      </c>
      <c r="E5548" s="6">
        <v>-127495</v>
      </c>
      <c r="F5548" s="7">
        <v>5.4089999999999998</v>
      </c>
      <c r="G5548" s="7">
        <v>5.625</v>
      </c>
      <c r="H5548" s="7">
        <v>5.625</v>
      </c>
      <c r="I5548" s="7">
        <v>5.2880000000000003</v>
      </c>
      <c r="J5548" s="7">
        <v>5.2919999999999998</v>
      </c>
      <c r="K5548" s="7">
        <v>5.0819999999999999</v>
      </c>
      <c r="L5548" s="7">
        <v>4.8499999999999996</v>
      </c>
      <c r="M5548" s="7">
        <v>5.1440000000000001</v>
      </c>
      <c r="N5548" s="7">
        <v>5.7930000000000001</v>
      </c>
      <c r="O5548" s="7">
        <v>5.8259999999999996</v>
      </c>
      <c r="P5548" s="7">
        <v>5.6749999999999998</v>
      </c>
      <c r="Q5548" s="7">
        <v>5.2439999999999998</v>
      </c>
      <c r="R5548" s="7">
        <v>5.46</v>
      </c>
      <c r="S5548" s="7">
        <f t="shared" si="86"/>
        <v>5.4086666666666661</v>
      </c>
    </row>
    <row r="5549" spans="1:19">
      <c r="A5549" s="5" t="str">
        <f>B5549&amp;"-"&amp;COUNTIF($B$2:B5549,B5549)</f>
        <v>TOCANTINS-118</v>
      </c>
      <c r="B5549" s="5" t="s">
        <v>3564</v>
      </c>
      <c r="C5549" s="5" t="s">
        <v>4266</v>
      </c>
      <c r="D5549" s="6">
        <v>-482023</v>
      </c>
      <c r="E5549" s="6">
        <v>-52577</v>
      </c>
      <c r="F5549" s="7">
        <v>5</v>
      </c>
      <c r="G5549" s="7">
        <v>4.5640000000000001</v>
      </c>
      <c r="H5549" s="7">
        <v>4.7249999999999996</v>
      </c>
      <c r="I5549" s="7">
        <v>4.8230000000000004</v>
      </c>
      <c r="J5549" s="7">
        <v>4.8769999999999998</v>
      </c>
      <c r="K5549" s="7">
        <v>4.8159999999999998</v>
      </c>
      <c r="L5549" s="7">
        <v>5.1529999999999996</v>
      </c>
      <c r="M5549" s="7">
        <v>5.2480000000000002</v>
      </c>
      <c r="N5549" s="7">
        <v>5.7249999999999996</v>
      </c>
      <c r="O5549" s="7">
        <v>5.5179999999999998</v>
      </c>
      <c r="P5549" s="7">
        <v>5.0119999999999996</v>
      </c>
      <c r="Q5549" s="7">
        <v>4.8810000000000002</v>
      </c>
      <c r="R5549" s="7">
        <v>4.6550000000000002</v>
      </c>
      <c r="S5549" s="7">
        <f t="shared" si="86"/>
        <v>4.9997499999999997</v>
      </c>
    </row>
    <row r="5550" spans="1:19">
      <c r="A5550" s="5" t="str">
        <f>B5550&amp;"-"&amp;COUNTIF($B$2:B5550,B5550)</f>
        <v>TOCANTINS-119</v>
      </c>
      <c r="B5550" s="5" t="s">
        <v>3564</v>
      </c>
      <c r="C5550" s="5" t="s">
        <v>4535</v>
      </c>
      <c r="D5550" s="6">
        <v>-482357</v>
      </c>
      <c r="E5550" s="6">
        <v>-119747</v>
      </c>
      <c r="F5550" s="7">
        <v>5.3879999999999999</v>
      </c>
      <c r="G5550" s="7">
        <v>5.4470000000000001</v>
      </c>
      <c r="H5550" s="7">
        <v>5.4509999999999996</v>
      </c>
      <c r="I5550" s="7">
        <v>5.1100000000000003</v>
      </c>
      <c r="J5550" s="7">
        <v>5.1420000000000003</v>
      </c>
      <c r="K5550" s="7">
        <v>5.1219999999999999</v>
      </c>
      <c r="L5550" s="7">
        <v>4.97</v>
      </c>
      <c r="M5550" s="7">
        <v>5.2839999999999998</v>
      </c>
      <c r="N5550" s="7">
        <v>5.8570000000000002</v>
      </c>
      <c r="O5550" s="7">
        <v>5.9160000000000004</v>
      </c>
      <c r="P5550" s="7">
        <v>5.6020000000000003</v>
      </c>
      <c r="Q5550" s="7">
        <v>5.3570000000000002</v>
      </c>
      <c r="R5550" s="7">
        <v>5.3970000000000002</v>
      </c>
      <c r="S5550" s="7">
        <f t="shared" si="86"/>
        <v>5.3879166666666665</v>
      </c>
    </row>
    <row r="5551" spans="1:19">
      <c r="A5551" s="5" t="str">
        <f>B5551&amp;"-"&amp;COUNTIF($B$2:B5551,B5551)</f>
        <v>TOCANTINS-120</v>
      </c>
      <c r="B5551" s="5" t="s">
        <v>3564</v>
      </c>
      <c r="C5551" s="5" t="s">
        <v>3623</v>
      </c>
      <c r="D5551" s="6">
        <v>-478786</v>
      </c>
      <c r="E5551" s="6">
        <v>-53546</v>
      </c>
      <c r="F5551" s="7">
        <v>5.0640000000000001</v>
      </c>
      <c r="G5551" s="7">
        <v>4.6230000000000002</v>
      </c>
      <c r="H5551" s="7">
        <v>4.7960000000000003</v>
      </c>
      <c r="I5551" s="7">
        <v>4.9160000000000004</v>
      </c>
      <c r="J5551" s="7">
        <v>4.9489999999999998</v>
      </c>
      <c r="K5551" s="7">
        <v>4.8220000000000001</v>
      </c>
      <c r="L5551" s="7">
        <v>5.141</v>
      </c>
      <c r="M5551" s="7">
        <v>5.2770000000000001</v>
      </c>
      <c r="N5551" s="7">
        <v>5.72</v>
      </c>
      <c r="O5551" s="7">
        <v>5.5940000000000003</v>
      </c>
      <c r="P5551" s="7">
        <v>5.2350000000000003</v>
      </c>
      <c r="Q5551" s="7">
        <v>4.9359999999999999</v>
      </c>
      <c r="R5551" s="7">
        <v>4.7619999999999996</v>
      </c>
      <c r="S5551" s="7">
        <f t="shared" si="86"/>
        <v>5.0642500000000004</v>
      </c>
    </row>
    <row r="5552" spans="1:19">
      <c r="A5552" s="5" t="str">
        <f>B5552&amp;"-"&amp;COUNTIF($B$2:B5552,B5552)</f>
        <v>TOCANTINS-121</v>
      </c>
      <c r="B5552" s="5" t="s">
        <v>3564</v>
      </c>
      <c r="C5552" s="5" t="s">
        <v>5049</v>
      </c>
      <c r="D5552" s="6">
        <v>-49926</v>
      </c>
      <c r="E5552" s="6">
        <v>-125399</v>
      </c>
      <c r="F5552" s="7">
        <v>5.2830000000000004</v>
      </c>
      <c r="G5552" s="7">
        <v>5.3360000000000003</v>
      </c>
      <c r="H5552" s="7">
        <v>5.3760000000000003</v>
      </c>
      <c r="I5552" s="7">
        <v>5.0549999999999997</v>
      </c>
      <c r="J5552" s="7">
        <v>5.0789999999999997</v>
      </c>
      <c r="K5552" s="7">
        <v>5.0010000000000003</v>
      </c>
      <c r="L5552" s="7">
        <v>4.8789999999999996</v>
      </c>
      <c r="M5552" s="7">
        <v>5.2649999999999997</v>
      </c>
      <c r="N5552" s="7">
        <v>5.8689999999999998</v>
      </c>
      <c r="O5552" s="7">
        <v>5.6660000000000004</v>
      </c>
      <c r="P5552" s="7">
        <v>5.4139999999999997</v>
      </c>
      <c r="Q5552" s="7">
        <v>5.1630000000000003</v>
      </c>
      <c r="R5552" s="7">
        <v>5.2949999999999999</v>
      </c>
      <c r="S5552" s="7">
        <f t="shared" si="86"/>
        <v>5.2831666666666663</v>
      </c>
    </row>
    <row r="5553" spans="1:19">
      <c r="A5553" s="5" t="str">
        <f>B5553&amp;"-"&amp;COUNTIF($B$2:B5553,B5553)</f>
        <v>TOCANTINS-122</v>
      </c>
      <c r="B5553" s="5" t="s">
        <v>3564</v>
      </c>
      <c r="C5553" s="5" t="s">
        <v>4536</v>
      </c>
      <c r="D5553" s="6">
        <v>-486921</v>
      </c>
      <c r="E5553" s="6">
        <v>-71543</v>
      </c>
      <c r="F5553" s="7">
        <v>4.9909999999999997</v>
      </c>
      <c r="G5553" s="7">
        <v>4.6680000000000001</v>
      </c>
      <c r="H5553" s="7">
        <v>4.8159999999999998</v>
      </c>
      <c r="I5553" s="7">
        <v>4.6340000000000003</v>
      </c>
      <c r="J5553" s="7">
        <v>4.6920000000000002</v>
      </c>
      <c r="K5553" s="7">
        <v>4.9050000000000002</v>
      </c>
      <c r="L5553" s="7">
        <v>5.1369999999999996</v>
      </c>
      <c r="M5553" s="7">
        <v>5.24</v>
      </c>
      <c r="N5553" s="7">
        <v>5.8540000000000001</v>
      </c>
      <c r="O5553" s="7">
        <v>5.6150000000000002</v>
      </c>
      <c r="P5553" s="7">
        <v>4.9980000000000002</v>
      </c>
      <c r="Q5553" s="7">
        <v>4.7119999999999997</v>
      </c>
      <c r="R5553" s="7">
        <v>4.6180000000000003</v>
      </c>
      <c r="S5553" s="7">
        <f t="shared" si="86"/>
        <v>4.9907500000000002</v>
      </c>
    </row>
    <row r="5554" spans="1:19">
      <c r="A5554" s="5" t="str">
        <f>B5554&amp;"-"&amp;COUNTIF($B$2:B5554,B5554)</f>
        <v>TOCANTINS-123</v>
      </c>
      <c r="B5554" s="5" t="s">
        <v>3564</v>
      </c>
      <c r="C5554" s="5" t="s">
        <v>3624</v>
      </c>
      <c r="D5554" s="6">
        <v>-477481</v>
      </c>
      <c r="E5554" s="6">
        <v>-8776</v>
      </c>
      <c r="F5554" s="7">
        <v>5.234</v>
      </c>
      <c r="G5554" s="7">
        <v>4.9770000000000003</v>
      </c>
      <c r="H5554" s="7">
        <v>5.0430000000000001</v>
      </c>
      <c r="I5554" s="7">
        <v>4.859</v>
      </c>
      <c r="J5554" s="7">
        <v>4.9039999999999999</v>
      </c>
      <c r="K5554" s="7">
        <v>5.1189999999999998</v>
      </c>
      <c r="L5554" s="7">
        <v>5.2279999999999998</v>
      </c>
      <c r="M5554" s="7">
        <v>5.3079999999999998</v>
      </c>
      <c r="N5554" s="7">
        <v>6.0860000000000003</v>
      </c>
      <c r="O5554" s="7">
        <v>5.9740000000000002</v>
      </c>
      <c r="P5554" s="7">
        <v>5.3620000000000001</v>
      </c>
      <c r="Q5554" s="7">
        <v>4.9459999999999997</v>
      </c>
      <c r="R5554" s="7">
        <v>5.0010000000000003</v>
      </c>
      <c r="S5554" s="7">
        <f t="shared" si="86"/>
        <v>5.2339166666666666</v>
      </c>
    </row>
    <row r="5555" spans="1:19">
      <c r="A5555" s="5" t="str">
        <f>B5555&amp;"-"&amp;COUNTIF($B$2:B5555,B5555)</f>
        <v>TOCANTINS-124</v>
      </c>
      <c r="B5555" s="5" t="s">
        <v>3564</v>
      </c>
      <c r="C5555" s="5" t="s">
        <v>3625</v>
      </c>
      <c r="D5555" s="6">
        <v>-489084</v>
      </c>
      <c r="E5555" s="6">
        <v>-108641</v>
      </c>
      <c r="F5555" s="7">
        <v>5.2329999999999997</v>
      </c>
      <c r="G5555" s="7">
        <v>5.13</v>
      </c>
      <c r="H5555" s="7">
        <v>5.1539999999999999</v>
      </c>
      <c r="I5555" s="7">
        <v>4.8810000000000002</v>
      </c>
      <c r="J5555" s="7">
        <v>4.9509999999999996</v>
      </c>
      <c r="K5555" s="7">
        <v>5.0119999999999996</v>
      </c>
      <c r="L5555" s="7">
        <v>5.0830000000000002</v>
      </c>
      <c r="M5555" s="7">
        <v>5.3639999999999999</v>
      </c>
      <c r="N5555" s="7">
        <v>5.8869999999999996</v>
      </c>
      <c r="O5555" s="7">
        <v>5.6779999999999999</v>
      </c>
      <c r="P5555" s="7">
        <v>5.3360000000000003</v>
      </c>
      <c r="Q5555" s="7">
        <v>5.1980000000000004</v>
      </c>
      <c r="R5555" s="7">
        <v>5.1219999999999999</v>
      </c>
      <c r="S5555" s="7">
        <f t="shared" si="86"/>
        <v>5.2329999999999997</v>
      </c>
    </row>
    <row r="5556" spans="1:19">
      <c r="A5556" s="5" t="str">
        <f>B5556&amp;"-"&amp;COUNTIF($B$2:B5556,B5556)</f>
        <v>TOCANTINS-125</v>
      </c>
      <c r="B5556" s="5" t="s">
        <v>3564</v>
      </c>
      <c r="C5556" s="5" t="s">
        <v>3626</v>
      </c>
      <c r="D5556" s="6">
        <v>-481191</v>
      </c>
      <c r="E5556" s="6">
        <v>-114476</v>
      </c>
      <c r="F5556" s="7">
        <v>5.4130000000000003</v>
      </c>
      <c r="G5556" s="7">
        <v>5.4340000000000002</v>
      </c>
      <c r="H5556" s="7">
        <v>5.4359999999999999</v>
      </c>
      <c r="I5556" s="7">
        <v>5.0780000000000003</v>
      </c>
      <c r="J5556" s="7">
        <v>5.0890000000000004</v>
      </c>
      <c r="K5556" s="7">
        <v>5.1280000000000001</v>
      </c>
      <c r="L5556" s="7">
        <v>5.07</v>
      </c>
      <c r="M5556" s="7">
        <v>5.3949999999999996</v>
      </c>
      <c r="N5556" s="7">
        <v>6.0369999999999999</v>
      </c>
      <c r="O5556" s="7">
        <v>5.9290000000000003</v>
      </c>
      <c r="P5556" s="7">
        <v>5.6319999999999997</v>
      </c>
      <c r="Q5556" s="7">
        <v>5.3449999999999998</v>
      </c>
      <c r="R5556" s="7">
        <v>5.3879999999999999</v>
      </c>
      <c r="S5556" s="7">
        <f t="shared" si="86"/>
        <v>5.4134166666666665</v>
      </c>
    </row>
    <row r="5557" spans="1:19">
      <c r="A5557" s="5" t="str">
        <f>B5557&amp;"-"&amp;COUNTIF($B$2:B5557,B5557)</f>
        <v>TOCANTINS-126</v>
      </c>
      <c r="B5557" s="5" t="s">
        <v>3564</v>
      </c>
      <c r="C5557" s="5" t="s">
        <v>3627</v>
      </c>
      <c r="D5557" s="6">
        <v>-478102</v>
      </c>
      <c r="E5557" s="6">
        <v>-102821</v>
      </c>
      <c r="F5557" s="7">
        <v>5.343</v>
      </c>
      <c r="G5557" s="7">
        <v>5.32</v>
      </c>
      <c r="H5557" s="7">
        <v>5.1929999999999996</v>
      </c>
      <c r="I5557" s="7">
        <v>5.0369999999999999</v>
      </c>
      <c r="J5557" s="7">
        <v>5.0830000000000002</v>
      </c>
      <c r="K5557" s="7">
        <v>5.1719999999999997</v>
      </c>
      <c r="L5557" s="7">
        <v>5.0949999999999998</v>
      </c>
      <c r="M5557" s="7">
        <v>5.42</v>
      </c>
      <c r="N5557" s="7">
        <v>5.9960000000000004</v>
      </c>
      <c r="O5557" s="7">
        <v>5.8760000000000003</v>
      </c>
      <c r="P5557" s="7">
        <v>5.4290000000000003</v>
      </c>
      <c r="Q5557" s="7">
        <v>5.2149999999999999</v>
      </c>
      <c r="R5557" s="7">
        <v>5.2809999999999997</v>
      </c>
      <c r="S5557" s="7">
        <f t="shared" si="86"/>
        <v>5.3430833333333334</v>
      </c>
    </row>
    <row r="5558" spans="1:19">
      <c r="A5558" s="5" t="str">
        <f>B5558&amp;"-"&amp;COUNTIF($B$2:B5558,B5558)</f>
        <v>TOCANTINS-127</v>
      </c>
      <c r="B5558" s="5" t="s">
        <v>3564</v>
      </c>
      <c r="C5558" s="5" t="s">
        <v>3628</v>
      </c>
      <c r="D5558" s="6">
        <v>-476728</v>
      </c>
      <c r="E5558" s="6">
        <v>-64356</v>
      </c>
      <c r="F5558" s="7">
        <v>5.0759999999999996</v>
      </c>
      <c r="G5558" s="7">
        <v>4.6520000000000001</v>
      </c>
      <c r="H5558" s="7">
        <v>4.8570000000000002</v>
      </c>
      <c r="I5558" s="7">
        <v>4.7910000000000004</v>
      </c>
      <c r="J5558" s="7">
        <v>4.8559999999999999</v>
      </c>
      <c r="K5558" s="7">
        <v>4.9329999999999998</v>
      </c>
      <c r="L5558" s="7">
        <v>5.2430000000000003</v>
      </c>
      <c r="M5558" s="7">
        <v>5.4169999999999998</v>
      </c>
      <c r="N5558" s="7">
        <v>5.9390000000000001</v>
      </c>
      <c r="O5558" s="7">
        <v>5.7530000000000001</v>
      </c>
      <c r="P5558" s="7">
        <v>5.0860000000000003</v>
      </c>
      <c r="Q5558" s="7">
        <v>4.7320000000000002</v>
      </c>
      <c r="R5558" s="7">
        <v>4.6550000000000002</v>
      </c>
      <c r="S5558" s="7">
        <f t="shared" si="86"/>
        <v>5.0761666666666665</v>
      </c>
    </row>
    <row r="5559" spans="1:19">
      <c r="A5559" s="5" t="str">
        <f>B5559&amp;"-"&amp;COUNTIF($B$2:B5559,B5559)</f>
        <v>TOCANTINS-128</v>
      </c>
      <c r="B5559" s="5" t="s">
        <v>3564</v>
      </c>
      <c r="C5559" s="5" t="s">
        <v>3629</v>
      </c>
      <c r="D5559" s="6">
        <v>-476385</v>
      </c>
      <c r="E5559" s="6">
        <v>-56016</v>
      </c>
      <c r="F5559" s="7">
        <v>5.0190000000000001</v>
      </c>
      <c r="G5559" s="7">
        <v>4.593</v>
      </c>
      <c r="H5559" s="7">
        <v>4.734</v>
      </c>
      <c r="I5559" s="7">
        <v>4.8049999999999997</v>
      </c>
      <c r="J5559" s="7">
        <v>4.8239999999999998</v>
      </c>
      <c r="K5559" s="7">
        <v>4.83</v>
      </c>
      <c r="L5559" s="7">
        <v>5.125</v>
      </c>
      <c r="M5559" s="7">
        <v>5.27</v>
      </c>
      <c r="N5559" s="7">
        <v>5.7519999999999998</v>
      </c>
      <c r="O5559" s="7">
        <v>5.5540000000000003</v>
      </c>
      <c r="P5559" s="7">
        <v>5.1360000000000001</v>
      </c>
      <c r="Q5559" s="7">
        <v>4.8879999999999999</v>
      </c>
      <c r="R5559" s="7">
        <v>4.7110000000000003</v>
      </c>
      <c r="S5559" s="7">
        <f t="shared" si="86"/>
        <v>5.0185000000000004</v>
      </c>
    </row>
    <row r="5560" spans="1:19">
      <c r="A5560" s="5" t="str">
        <f>B5560&amp;"-"&amp;COUNTIF($B$2:B5560,B5560)</f>
        <v>TOCANTINS-129</v>
      </c>
      <c r="B5560" s="5" t="s">
        <v>3564</v>
      </c>
      <c r="C5560" s="5" t="s">
        <v>5275</v>
      </c>
      <c r="D5560" s="6">
        <v>-481698</v>
      </c>
      <c r="E5560" s="6">
        <v>-111475</v>
      </c>
      <c r="F5560" s="7">
        <v>5.3440000000000003</v>
      </c>
      <c r="G5560" s="7">
        <v>5.3570000000000002</v>
      </c>
      <c r="H5560" s="7">
        <v>5.351</v>
      </c>
      <c r="I5560" s="7">
        <v>4.9690000000000003</v>
      </c>
      <c r="J5560" s="7">
        <v>5.1239999999999997</v>
      </c>
      <c r="K5560" s="7">
        <v>5.1189999999999998</v>
      </c>
      <c r="L5560" s="7">
        <v>5.0519999999999996</v>
      </c>
      <c r="M5560" s="7">
        <v>5.2889999999999997</v>
      </c>
      <c r="N5560" s="7">
        <v>5.9660000000000002</v>
      </c>
      <c r="O5560" s="7">
        <v>5.8780000000000001</v>
      </c>
      <c r="P5560" s="7">
        <v>5.484</v>
      </c>
      <c r="Q5560" s="7">
        <v>5.2370000000000001</v>
      </c>
      <c r="R5560" s="7">
        <v>5.3019999999999996</v>
      </c>
      <c r="S5560" s="7">
        <f t="shared" si="86"/>
        <v>5.3440000000000003</v>
      </c>
    </row>
    <row r="5561" spans="1:19">
      <c r="A5561" s="5" t="str">
        <f>B5561&amp;"-"&amp;COUNTIF($B$2:B5561,B5561)</f>
        <v>TOCANTINS-130</v>
      </c>
      <c r="B5561" s="5" t="s">
        <v>3564</v>
      </c>
      <c r="C5561" s="5" t="s">
        <v>3630</v>
      </c>
      <c r="D5561" s="6">
        <v>-489132</v>
      </c>
      <c r="E5561" s="6">
        <v>-119872</v>
      </c>
      <c r="F5561" s="7">
        <v>5.3250000000000002</v>
      </c>
      <c r="G5561" s="7">
        <v>5.3940000000000001</v>
      </c>
      <c r="H5561" s="7">
        <v>5.5039999999999996</v>
      </c>
      <c r="I5561" s="7">
        <v>5.0999999999999996</v>
      </c>
      <c r="J5561" s="7">
        <v>5.1459999999999999</v>
      </c>
      <c r="K5561" s="7">
        <v>5.069</v>
      </c>
      <c r="L5561" s="7">
        <v>4.8449999999999998</v>
      </c>
      <c r="M5561" s="7">
        <v>5.141</v>
      </c>
      <c r="N5561" s="7">
        <v>5.6980000000000004</v>
      </c>
      <c r="O5561" s="7">
        <v>5.8209999999999997</v>
      </c>
      <c r="P5561" s="7">
        <v>5.5519999999999996</v>
      </c>
      <c r="Q5561" s="7">
        <v>5.2439999999999998</v>
      </c>
      <c r="R5561" s="7">
        <v>5.3869999999999996</v>
      </c>
      <c r="S5561" s="7">
        <f t="shared" si="86"/>
        <v>5.3250833333333327</v>
      </c>
    </row>
    <row r="5562" spans="1:19">
      <c r="A5562" s="5" t="str">
        <f>B5562&amp;"-"&amp;COUNTIF($B$2:B5562,B5562)</f>
        <v>TOCANTINS-131</v>
      </c>
      <c r="B5562" s="5" t="s">
        <v>3564</v>
      </c>
      <c r="C5562" s="5" t="s">
        <v>3631</v>
      </c>
      <c r="D5562" s="6">
        <v>-464346</v>
      </c>
      <c r="E5562" s="6">
        <v>-123981</v>
      </c>
      <c r="F5562" s="7">
        <v>5.5659999999999998</v>
      </c>
      <c r="G5562" s="7">
        <v>5.7469999999999999</v>
      </c>
      <c r="H5562" s="7">
        <v>5.5679999999999996</v>
      </c>
      <c r="I5562" s="7">
        <v>5.2770000000000001</v>
      </c>
      <c r="J5562" s="7">
        <v>5.2119999999999997</v>
      </c>
      <c r="K5562" s="7">
        <v>5.2329999999999997</v>
      </c>
      <c r="L5562" s="7">
        <v>5.1669999999999998</v>
      </c>
      <c r="M5562" s="7">
        <v>5.48</v>
      </c>
      <c r="N5562" s="7">
        <v>6.0890000000000004</v>
      </c>
      <c r="O5562" s="7">
        <v>6.1260000000000003</v>
      </c>
      <c r="P5562" s="7">
        <v>5.7930000000000001</v>
      </c>
      <c r="Q5562" s="7">
        <v>5.3440000000000003</v>
      </c>
      <c r="R5562" s="7">
        <v>5.7610000000000001</v>
      </c>
      <c r="S5562" s="7">
        <f t="shared" si="86"/>
        <v>5.5664166666666661</v>
      </c>
    </row>
    <row r="5563" spans="1:19">
      <c r="A5563" s="5" t="str">
        <f>B5563&amp;"-"&amp;COUNTIF($B$2:B5563,B5563)</f>
        <v>TOCANTINS-132</v>
      </c>
      <c r="B5563" s="5" t="s">
        <v>3564</v>
      </c>
      <c r="C5563" s="5" t="s">
        <v>3632</v>
      </c>
      <c r="D5563" s="6">
        <v>-469914</v>
      </c>
      <c r="E5563" s="6">
        <v>-121922</v>
      </c>
      <c r="F5563" s="7">
        <v>5.6289999999999996</v>
      </c>
      <c r="G5563" s="7">
        <v>5.81</v>
      </c>
      <c r="H5563" s="7">
        <v>5.7910000000000004</v>
      </c>
      <c r="I5563" s="7">
        <v>5.4189999999999996</v>
      </c>
      <c r="J5563" s="7">
        <v>5.399</v>
      </c>
      <c r="K5563" s="7">
        <v>5.2830000000000004</v>
      </c>
      <c r="L5563" s="7">
        <v>5.1559999999999997</v>
      </c>
      <c r="M5563" s="7">
        <v>5.3890000000000002</v>
      </c>
      <c r="N5563" s="7">
        <v>5.9450000000000003</v>
      </c>
      <c r="O5563" s="7">
        <v>6.1360000000000001</v>
      </c>
      <c r="P5563" s="7">
        <v>5.8730000000000002</v>
      </c>
      <c r="Q5563" s="7">
        <v>5.5549999999999997</v>
      </c>
      <c r="R5563" s="7">
        <v>5.79</v>
      </c>
      <c r="S5563" s="7">
        <f t="shared" si="86"/>
        <v>5.6288333333333336</v>
      </c>
    </row>
    <row r="5564" spans="1:19">
      <c r="A5564" s="5" t="str">
        <f>B5564&amp;"-"&amp;COUNTIF($B$2:B5564,B5564)</f>
        <v>TOCANTINS-133</v>
      </c>
      <c r="B5564" s="5" t="s">
        <v>3564</v>
      </c>
      <c r="C5564" s="5" t="s">
        <v>5427</v>
      </c>
      <c r="D5564" s="6">
        <v>-49093</v>
      </c>
      <c r="E5564" s="6">
        <v>-128045</v>
      </c>
      <c r="F5564" s="7">
        <v>5.3120000000000003</v>
      </c>
      <c r="G5564" s="7">
        <v>5.3449999999999998</v>
      </c>
      <c r="H5564" s="7">
        <v>5.4640000000000004</v>
      </c>
      <c r="I5564" s="7">
        <v>5.0990000000000002</v>
      </c>
      <c r="J5564" s="7">
        <v>5.1180000000000003</v>
      </c>
      <c r="K5564" s="7">
        <v>5.016</v>
      </c>
      <c r="L5564" s="7">
        <v>4.8959999999999999</v>
      </c>
      <c r="M5564" s="7">
        <v>5.1630000000000003</v>
      </c>
      <c r="N5564" s="7">
        <v>5.7839999999999998</v>
      </c>
      <c r="O5564" s="7">
        <v>5.7530000000000001</v>
      </c>
      <c r="P5564" s="7">
        <v>5.5940000000000003</v>
      </c>
      <c r="Q5564" s="7">
        <v>5.1820000000000004</v>
      </c>
      <c r="R5564" s="7">
        <v>5.3369999999999997</v>
      </c>
      <c r="S5564" s="7">
        <f t="shared" si="86"/>
        <v>5.3125833333333334</v>
      </c>
    </row>
    <row r="5565" spans="1:19">
      <c r="A5565" s="5" t="str">
        <f>B5565&amp;"-"&amp;COUNTIF($B$2:B5565,B5565)</f>
        <v>TOCANTINS-134</v>
      </c>
      <c r="B5565" s="5" t="s">
        <v>3564</v>
      </c>
      <c r="C5565" s="5" t="s">
        <v>3633</v>
      </c>
      <c r="D5565" s="6">
        <v>-483745</v>
      </c>
      <c r="E5565" s="6">
        <v>-95636</v>
      </c>
      <c r="F5565" s="7">
        <v>5.2409999999999997</v>
      </c>
      <c r="G5565" s="7">
        <v>5.0289999999999999</v>
      </c>
      <c r="H5565" s="7">
        <v>5.0629999999999997</v>
      </c>
      <c r="I5565" s="7">
        <v>4.8949999999999996</v>
      </c>
      <c r="J5565" s="7">
        <v>4.9539999999999997</v>
      </c>
      <c r="K5565" s="7">
        <v>5.0869999999999997</v>
      </c>
      <c r="L5565" s="7">
        <v>5.1070000000000002</v>
      </c>
      <c r="M5565" s="7">
        <v>5.3250000000000002</v>
      </c>
      <c r="N5565" s="7">
        <v>6.077</v>
      </c>
      <c r="O5565" s="7">
        <v>5.8239999999999998</v>
      </c>
      <c r="P5565" s="7">
        <v>5.359</v>
      </c>
      <c r="Q5565" s="7">
        <v>5.1070000000000002</v>
      </c>
      <c r="R5565" s="7">
        <v>5.0620000000000003</v>
      </c>
      <c r="S5565" s="7">
        <f t="shared" si="86"/>
        <v>5.2407499999999994</v>
      </c>
    </row>
    <row r="5566" spans="1:19">
      <c r="A5566" s="5" t="str">
        <f>B5566&amp;"-"&amp;COUNTIF($B$2:B5566,B5566)</f>
        <v>TOCANTINS-135</v>
      </c>
      <c r="B5566" s="5" t="s">
        <v>3564</v>
      </c>
      <c r="C5566" s="5" t="s">
        <v>5276</v>
      </c>
      <c r="D5566" s="6">
        <v>-474228</v>
      </c>
      <c r="E5566" s="6">
        <v>-63249</v>
      </c>
      <c r="F5566" s="7">
        <v>5.1449999999999996</v>
      </c>
      <c r="G5566" s="7">
        <v>4.7649999999999997</v>
      </c>
      <c r="H5566" s="7">
        <v>4.8869999999999996</v>
      </c>
      <c r="I5566" s="7">
        <v>4.8970000000000002</v>
      </c>
      <c r="J5566" s="7">
        <v>4.9020000000000001</v>
      </c>
      <c r="K5566" s="7">
        <v>4.9039999999999999</v>
      </c>
      <c r="L5566" s="7">
        <v>5.2140000000000004</v>
      </c>
      <c r="M5566" s="7">
        <v>5.4</v>
      </c>
      <c r="N5566" s="7">
        <v>5.915</v>
      </c>
      <c r="O5566" s="7">
        <v>5.8559999999999999</v>
      </c>
      <c r="P5566" s="7">
        <v>5.3090000000000002</v>
      </c>
      <c r="Q5566" s="7">
        <v>4.8949999999999996</v>
      </c>
      <c r="R5566" s="7">
        <v>4.7960000000000003</v>
      </c>
      <c r="S5566" s="7">
        <f t="shared" si="86"/>
        <v>5.1450000000000005</v>
      </c>
    </row>
    <row r="5567" spans="1:19">
      <c r="A5567" s="5" t="str">
        <f>B5567&amp;"-"&amp;COUNTIF($B$2:B5567,B5567)</f>
        <v>TOCANTINS-136</v>
      </c>
      <c r="B5567" s="5" t="s">
        <v>3564</v>
      </c>
      <c r="C5567" s="5" t="s">
        <v>3634</v>
      </c>
      <c r="D5567" s="6">
        <v>-481903</v>
      </c>
      <c r="E5567" s="6">
        <v>-89759</v>
      </c>
      <c r="F5567" s="7">
        <v>5.2350000000000003</v>
      </c>
      <c r="G5567" s="7">
        <v>5.0880000000000001</v>
      </c>
      <c r="H5567" s="7">
        <v>5.15</v>
      </c>
      <c r="I5567" s="7">
        <v>4.9539999999999997</v>
      </c>
      <c r="J5567" s="7">
        <v>4.8869999999999996</v>
      </c>
      <c r="K5567" s="7">
        <v>5.0999999999999996</v>
      </c>
      <c r="L5567" s="7">
        <v>5.1509999999999998</v>
      </c>
      <c r="M5567" s="7">
        <v>5.2690000000000001</v>
      </c>
      <c r="N5567" s="7">
        <v>5.9779999999999998</v>
      </c>
      <c r="O5567" s="7">
        <v>5.8</v>
      </c>
      <c r="P5567" s="7">
        <v>5.3159999999999998</v>
      </c>
      <c r="Q5567" s="7">
        <v>5.0990000000000002</v>
      </c>
      <c r="R5567" s="7">
        <v>5.0279999999999996</v>
      </c>
      <c r="S5567" s="7">
        <f t="shared" si="86"/>
        <v>5.2350000000000003</v>
      </c>
    </row>
    <row r="5568" spans="1:19">
      <c r="A5568" s="5" t="str">
        <f>B5568&amp;"-"&amp;COUNTIF($B$2:B5568,B5568)</f>
        <v>TOCANTINS-137</v>
      </c>
      <c r="B5568" s="5" t="s">
        <v>3564</v>
      </c>
      <c r="C5568" s="5" t="s">
        <v>3635</v>
      </c>
      <c r="D5568" s="6">
        <v>-481289</v>
      </c>
      <c r="E5568" s="6">
        <v>-84015</v>
      </c>
      <c r="F5568" s="7">
        <v>5.1909999999999998</v>
      </c>
      <c r="G5568" s="7">
        <v>4.9660000000000002</v>
      </c>
      <c r="H5568" s="7">
        <v>5.0439999999999996</v>
      </c>
      <c r="I5568" s="7">
        <v>4.915</v>
      </c>
      <c r="J5568" s="7">
        <v>4.923</v>
      </c>
      <c r="K5568" s="7">
        <v>5.1100000000000003</v>
      </c>
      <c r="L5568" s="7">
        <v>5.1859999999999999</v>
      </c>
      <c r="M5568" s="7">
        <v>5.18</v>
      </c>
      <c r="N5568" s="7">
        <v>6.0090000000000003</v>
      </c>
      <c r="O5568" s="7">
        <v>5.8280000000000003</v>
      </c>
      <c r="P5568" s="7">
        <v>5.3159999999999998</v>
      </c>
      <c r="Q5568" s="7">
        <v>4.9029999999999996</v>
      </c>
      <c r="R5568" s="7">
        <v>4.9089999999999998</v>
      </c>
      <c r="S5568" s="7">
        <f t="shared" si="86"/>
        <v>5.1907500000000004</v>
      </c>
    </row>
    <row r="5569" spans="1:19">
      <c r="A5569" s="5" t="str">
        <f>B5569&amp;"-"&amp;COUNTIF($B$2:B5569,B5569)</f>
        <v>TOCANTINS-138</v>
      </c>
      <c r="B5569" s="5" t="s">
        <v>3564</v>
      </c>
      <c r="C5569" s="5" t="s">
        <v>5050</v>
      </c>
      <c r="D5569" s="6">
        <v>-479605</v>
      </c>
      <c r="E5569" s="6">
        <v>-68532</v>
      </c>
      <c r="F5569" s="7">
        <v>4.99</v>
      </c>
      <c r="G5569" s="7">
        <v>4.6029999999999998</v>
      </c>
      <c r="H5569" s="7">
        <v>4.7060000000000004</v>
      </c>
      <c r="I5569" s="7">
        <v>4.6340000000000003</v>
      </c>
      <c r="J5569" s="7">
        <v>4.6929999999999996</v>
      </c>
      <c r="K5569" s="7">
        <v>4.8049999999999997</v>
      </c>
      <c r="L5569" s="7">
        <v>5.1619999999999999</v>
      </c>
      <c r="M5569" s="7">
        <v>5.3769999999999998</v>
      </c>
      <c r="N5569" s="7">
        <v>5.9139999999999997</v>
      </c>
      <c r="O5569" s="7">
        <v>5.7930000000000001</v>
      </c>
      <c r="P5569" s="7">
        <v>5.0389999999999997</v>
      </c>
      <c r="Q5569" s="7">
        <v>4.62</v>
      </c>
      <c r="R5569" s="7">
        <v>4.5279999999999996</v>
      </c>
      <c r="S5569" s="7">
        <f t="shared" si="86"/>
        <v>4.9895000000000005</v>
      </c>
    </row>
    <row r="5570" spans="1:19">
      <c r="A5570" s="5" t="str">
        <f>B5570&amp;"-"&amp;COUNTIF($B$2:B5570,B5570)</f>
        <v>TOCANTINS-139</v>
      </c>
      <c r="B5570" s="5" t="s">
        <v>3564</v>
      </c>
      <c r="C5570" s="5" t="s">
        <v>5805</v>
      </c>
      <c r="D5570" s="6">
        <v>-485324</v>
      </c>
      <c r="E5570" s="6">
        <v>-64145</v>
      </c>
      <c r="F5570" s="7">
        <v>5.0019999999999998</v>
      </c>
      <c r="G5570" s="7">
        <v>4.6710000000000003</v>
      </c>
      <c r="H5570" s="7">
        <v>4.8410000000000002</v>
      </c>
      <c r="I5570" s="7">
        <v>4.72</v>
      </c>
      <c r="J5570" s="7">
        <v>4.7789999999999999</v>
      </c>
      <c r="K5570" s="7">
        <v>4.8819999999999997</v>
      </c>
      <c r="L5570" s="7">
        <v>5.16</v>
      </c>
      <c r="M5570" s="7">
        <v>5.2439999999999998</v>
      </c>
      <c r="N5570" s="7">
        <v>5.7370000000000001</v>
      </c>
      <c r="O5570" s="7">
        <v>5.6189999999999998</v>
      </c>
      <c r="P5570" s="7">
        <v>5.0570000000000004</v>
      </c>
      <c r="Q5570" s="7">
        <v>4.7220000000000004</v>
      </c>
      <c r="R5570" s="7">
        <v>4.5869999999999997</v>
      </c>
      <c r="S5570" s="7">
        <f t="shared" si="86"/>
        <v>5.0015833333333335</v>
      </c>
    </row>
  </sheetData>
  <autoFilter ref="B1:R5570" xr:uid="{00000000-0009-0000-0000-000008000000}">
    <sortState xmlns:xlrd2="http://schemas.microsoft.com/office/spreadsheetml/2017/richdata2" ref="B204:R620">
      <sortCondition ref="C1:C5570"/>
    </sortState>
  </autoFilter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>
    <tabColor rgb="FFFF0000"/>
  </sheetPr>
  <dimension ref="C1:F882"/>
  <sheetViews>
    <sheetView topLeftCell="A505" workbookViewId="0">
      <selection activeCell="S6" sqref="S6"/>
    </sheetView>
  </sheetViews>
  <sheetFormatPr defaultColWidth="9.140625" defaultRowHeight="15"/>
  <cols>
    <col min="1" max="2" width="9.140625" style="5"/>
    <col min="3" max="3" width="22" style="5" bestFit="1" customWidth="1"/>
    <col min="4" max="5" width="9.140625" style="5"/>
    <col min="6" max="6" width="21.7109375" style="5" bestFit="1" customWidth="1"/>
    <col min="7" max="16384" width="9.140625" style="5"/>
  </cols>
  <sheetData>
    <row r="1" spans="3:6">
      <c r="C1" s="5" t="s">
        <v>54</v>
      </c>
    </row>
    <row r="2" spans="3:6">
      <c r="C2" s="5" t="str">
        <f>'DADOS INICIAIS'!D10</f>
        <v>SÃO PAULO</v>
      </c>
      <c r="E2" s="5">
        <v>1</v>
      </c>
      <c r="F2" s="5" t="str">
        <f>IFERROR(VLOOKUP($C$2&amp;"-"&amp;E2,IRRADIAÇÃO!A:C,3,0),1)</f>
        <v>Ã“leo</v>
      </c>
    </row>
    <row r="3" spans="3:6">
      <c r="C3" s="5" t="s">
        <v>74</v>
      </c>
      <c r="E3" s="5">
        <v>2</v>
      </c>
      <c r="F3" s="5" t="str">
        <f>IFERROR(VLOOKUP($C$2&amp;"-"&amp;E3,IRRADIAÇÃO!A:C,3,0),1)</f>
        <v>Águas da Prata</v>
      </c>
    </row>
    <row r="4" spans="3:6">
      <c r="C4" s="5" t="s">
        <v>97</v>
      </c>
      <c r="E4" s="5">
        <v>3</v>
      </c>
      <c r="F4" s="5" t="str">
        <f>IFERROR(VLOOKUP($C$2&amp;"-"&amp;E4,IRRADIAÇÃO!A:C,3,0),1)</f>
        <v>Águas de Lindóia</v>
      </c>
    </row>
    <row r="5" spans="3:6">
      <c r="C5" s="5" t="s">
        <v>202</v>
      </c>
      <c r="E5" s="5">
        <v>4</v>
      </c>
      <c r="F5" s="5" t="str">
        <f>IFERROR(VLOOKUP($C$2&amp;"-"&amp;E5,IRRADIAÇÃO!A:C,3,0),1)</f>
        <v>Águas de São Pedro</v>
      </c>
    </row>
    <row r="6" spans="3:6">
      <c r="C6" s="5" t="s">
        <v>230</v>
      </c>
      <c r="E6" s="5">
        <v>5</v>
      </c>
      <c r="F6" s="5" t="str">
        <f>IFERROR(VLOOKUP($C$2&amp;"-"&amp;E6,IRRADIAÇÃO!A:C,3,0),1)</f>
        <v>Águas de Santa Bárbara</v>
      </c>
    </row>
    <row r="7" spans="3:6">
      <c r="C7" s="5" t="s">
        <v>296</v>
      </c>
      <c r="E7" s="5">
        <v>6</v>
      </c>
      <c r="F7" s="5" t="str">
        <f>IFERROR(VLOOKUP($C$2&amp;"-"&amp;E7,IRRADIAÇÃO!A:C,3,0),1)</f>
        <v>Ãlvares Florence</v>
      </c>
    </row>
    <row r="8" spans="3:6">
      <c r="C8" s="5" t="s">
        <v>558</v>
      </c>
      <c r="E8" s="5">
        <v>7</v>
      </c>
      <c r="F8" s="5" t="str">
        <f>IFERROR(VLOOKUP($C$2&amp;"-"&amp;E8,IRRADIAÇÃO!A:C,3,0),1)</f>
        <v>Ãlvares Machado</v>
      </c>
    </row>
    <row r="9" spans="3:6">
      <c r="C9" s="5" t="s">
        <v>690</v>
      </c>
      <c r="E9" s="5">
        <v>8</v>
      </c>
      <c r="F9" s="5" t="str">
        <f>IFERROR(VLOOKUP($C$2&amp;"-"&amp;E9,IRRADIAÇÃO!A:C,3,0),1)</f>
        <v>Ãlvaro de Carvalho</v>
      </c>
    </row>
    <row r="10" spans="3:6">
      <c r="C10" s="5" t="s">
        <v>55</v>
      </c>
      <c r="E10" s="5">
        <v>9</v>
      </c>
      <c r="F10" s="5" t="str">
        <f>IFERROR(VLOOKUP($C$2&amp;"-"&amp;E10,IRRADIAÇÃO!A:C,3,0),1)</f>
        <v>Adamantina</v>
      </c>
    </row>
    <row r="11" spans="3:6">
      <c r="C11" s="5" t="s">
        <v>771</v>
      </c>
      <c r="E11" s="5">
        <v>10</v>
      </c>
      <c r="F11" s="5" t="str">
        <f>IFERROR(VLOOKUP($C$2&amp;"-"&amp;E11,IRRADIAÇÃO!A:C,3,0),1)</f>
        <v>Adolfo</v>
      </c>
    </row>
    <row r="12" spans="3:6">
      <c r="C12" s="5" t="s">
        <v>875</v>
      </c>
      <c r="E12" s="5">
        <v>11</v>
      </c>
      <c r="F12" s="5" t="str">
        <f>IFERROR(VLOOKUP($C$2&amp;"-"&amp;E12,IRRADIAÇÃO!A:C,3,0),1)</f>
        <v>AguaÃ­</v>
      </c>
    </row>
    <row r="13" spans="3:6">
      <c r="C13" s="5" t="s">
        <v>991</v>
      </c>
      <c r="E13" s="5">
        <v>12</v>
      </c>
      <c r="F13" s="5" t="str">
        <f>IFERROR(VLOOKUP($C$2&amp;"-"&amp;E13,IRRADIAÇÃO!A:C,3,0),1)</f>
        <v>Agudos</v>
      </c>
    </row>
    <row r="14" spans="3:6">
      <c r="C14" s="5" t="s">
        <v>1076</v>
      </c>
      <c r="E14" s="5">
        <v>13</v>
      </c>
      <c r="F14" s="5" t="str">
        <f>IFERROR(VLOOKUP($C$2&amp;"-"&amp;E14,IRRADIAÇÃO!A:C,3,0),1)</f>
        <v>Alambari</v>
      </c>
    </row>
    <row r="15" spans="3:6">
      <c r="C15" s="5" t="s">
        <v>1126</v>
      </c>
      <c r="E15" s="5">
        <v>14</v>
      </c>
      <c r="F15" s="5" t="str">
        <f>IFERROR(VLOOKUP($C$2&amp;"-"&amp;E15,IRRADIAÇÃO!A:C,3,0),1)</f>
        <v>Alfredo Marcondes</v>
      </c>
    </row>
    <row r="16" spans="3:6">
      <c r="C16" s="5" t="s">
        <v>1695</v>
      </c>
      <c r="E16" s="5">
        <v>15</v>
      </c>
      <c r="F16" s="5" t="str">
        <f>IFERROR(VLOOKUP($C$2&amp;"-"&amp;E16,IRRADIAÇÃO!A:C,3,0),1)</f>
        <v>Altair</v>
      </c>
    </row>
    <row r="17" spans="3:6">
      <c r="C17" s="5" t="s">
        <v>1789</v>
      </c>
      <c r="E17" s="5">
        <v>16</v>
      </c>
      <c r="F17" s="5" t="str">
        <f>IFERROR(VLOOKUP($C$2&amp;"-"&amp;E17,IRRADIAÇÃO!A:C,3,0),1)</f>
        <v>Altinópolis</v>
      </c>
    </row>
    <row r="18" spans="3:6">
      <c r="C18" s="5" t="s">
        <v>1921</v>
      </c>
      <c r="E18" s="5">
        <v>17</v>
      </c>
      <c r="F18" s="5" t="str">
        <f>IFERROR(VLOOKUP($C$2&amp;"-"&amp;E18,IRRADIAÇÃO!A:C,3,0),1)</f>
        <v>Alto Alegre</v>
      </c>
    </row>
    <row r="19" spans="3:6">
      <c r="C19" s="5" t="s">
        <v>2140</v>
      </c>
      <c r="E19" s="5">
        <v>18</v>
      </c>
      <c r="F19" s="5" t="str">
        <f>IFERROR(VLOOKUP($C$2&amp;"-"&amp;E19,IRRADIAÇÃO!A:C,3,0),1)</f>
        <v>AlumÃ­nio</v>
      </c>
    </row>
    <row r="20" spans="3:6">
      <c r="C20" s="5" t="s">
        <v>2256</v>
      </c>
      <c r="E20" s="5">
        <v>19</v>
      </c>
      <c r="F20" s="5" t="str">
        <f>IFERROR(VLOOKUP($C$2&amp;"-"&amp;E20,IRRADIAÇÃO!A:C,3,0),1)</f>
        <v>Alvinlândia</v>
      </c>
    </row>
    <row r="21" spans="3:6">
      <c r="C21" s="5" t="s">
        <v>2388</v>
      </c>
      <c r="E21" s="5">
        <v>20</v>
      </c>
      <c r="F21" s="5" t="str">
        <f>IFERROR(VLOOKUP($C$2&amp;"-"&amp;E21,IRRADIAÇÃO!A:C,3,0),1)</f>
        <v>Américo Brasiliense</v>
      </c>
    </row>
    <row r="22" spans="3:6">
      <c r="C22" s="5" t="s">
        <v>2449</v>
      </c>
      <c r="E22" s="5">
        <v>21</v>
      </c>
      <c r="F22" s="5" t="str">
        <f>IFERROR(VLOOKUP($C$2&amp;"-"&amp;E22,IRRADIAÇÃO!A:C,3,0),1)</f>
        <v>Américo de Campos</v>
      </c>
    </row>
    <row r="23" spans="3:6">
      <c r="C23" s="5" t="s">
        <v>2552</v>
      </c>
      <c r="E23" s="5">
        <v>22</v>
      </c>
      <c r="F23" s="5" t="str">
        <f>IFERROR(VLOOKUP($C$2&amp;"-"&amp;E23,IRRADIAÇÃO!A:C,3,0),1)</f>
        <v>Americana</v>
      </c>
    </row>
    <row r="24" spans="3:6">
      <c r="C24" s="5" t="s">
        <v>2893</v>
      </c>
      <c r="E24" s="5">
        <v>23</v>
      </c>
      <c r="F24" s="5" t="str">
        <f>IFERROR(VLOOKUP($C$2&amp;"-"&amp;E24,IRRADIAÇÃO!A:C,3,0),1)</f>
        <v>Amparo</v>
      </c>
    </row>
    <row r="25" spans="3:6">
      <c r="C25" s="5" t="s">
        <v>2929</v>
      </c>
      <c r="E25" s="5">
        <v>24</v>
      </c>
      <c r="F25" s="5" t="str">
        <f>IFERROR(VLOOKUP($C$2&amp;"-"&amp;E25,IRRADIAÇÃO!A:C,3,0),1)</f>
        <v>Analândia</v>
      </c>
    </row>
    <row r="26" spans="3:6">
      <c r="C26" s="5" t="s">
        <v>2939</v>
      </c>
      <c r="E26" s="5">
        <v>25</v>
      </c>
      <c r="F26" s="5" t="str">
        <f>IFERROR(VLOOKUP($C$2&amp;"-"&amp;E26,IRRADIAÇÃO!A:C,3,0),1)</f>
        <v>Andradina</v>
      </c>
    </row>
    <row r="27" spans="3:6">
      <c r="C27" s="5" t="s">
        <v>3122</v>
      </c>
      <c r="E27" s="5">
        <v>26</v>
      </c>
      <c r="F27" s="5" t="str">
        <f>IFERROR(VLOOKUP($C$2&amp;"-"&amp;E27,IRRADIAÇÃO!A:C,3,0),1)</f>
        <v>Angatuba</v>
      </c>
    </row>
    <row r="28" spans="3:6">
      <c r="C28" s="5" t="s">
        <v>3518</v>
      </c>
      <c r="E28" s="5">
        <v>27</v>
      </c>
      <c r="F28" s="5" t="str">
        <f>IFERROR(VLOOKUP($C$2&amp;"-"&amp;E28,IRRADIAÇÃO!A:C,3,0),1)</f>
        <v>Anhembi</v>
      </c>
    </row>
    <row r="29" spans="3:6">
      <c r="C29" s="5" t="s">
        <v>3564</v>
      </c>
      <c r="E29" s="5">
        <v>28</v>
      </c>
      <c r="F29" s="5" t="str">
        <f>IFERROR(VLOOKUP($C$2&amp;"-"&amp;E29,IRRADIAÇÃO!A:C,3,0),1)</f>
        <v>Anhumas</v>
      </c>
    </row>
    <row r="30" spans="3:6">
      <c r="E30" s="5">
        <v>29</v>
      </c>
      <c r="F30" s="5" t="str">
        <f>IFERROR(VLOOKUP($C$2&amp;"-"&amp;E30,IRRADIAÇÃO!A:C,3,0),1)</f>
        <v>Aparecida</v>
      </c>
    </row>
    <row r="31" spans="3:6">
      <c r="E31" s="5">
        <v>30</v>
      </c>
      <c r="F31" s="5" t="str">
        <f>IFERROR(VLOOKUP($C$2&amp;"-"&amp;E31,IRRADIAÇÃO!A:C,3,0),1)</f>
        <v>Aparecida d'Oeste</v>
      </c>
    </row>
    <row r="32" spans="3:6">
      <c r="E32" s="5">
        <v>31</v>
      </c>
      <c r="F32" s="5" t="str">
        <f>IFERROR(VLOOKUP($C$2&amp;"-"&amp;E32,IRRADIAÇÃO!A:C,3,0),1)</f>
        <v>ApiaÃ­</v>
      </c>
    </row>
    <row r="33" spans="5:6">
      <c r="E33" s="5">
        <v>32</v>
      </c>
      <c r="F33" s="5" t="str">
        <f>IFERROR(VLOOKUP($C$2&amp;"-"&amp;E33,IRRADIAÇÃO!A:C,3,0),1)</f>
        <v>Araçariguama</v>
      </c>
    </row>
    <row r="34" spans="5:6">
      <c r="E34" s="5">
        <v>33</v>
      </c>
      <c r="F34" s="5" t="str">
        <f>IFERROR(VLOOKUP($C$2&amp;"-"&amp;E34,IRRADIAÇÃO!A:C,3,0),1)</f>
        <v>Araçatuba</v>
      </c>
    </row>
    <row r="35" spans="5:6">
      <c r="E35" s="5">
        <v>34</v>
      </c>
      <c r="F35" s="5" t="str">
        <f>IFERROR(VLOOKUP($C$2&amp;"-"&amp;E35,IRRADIAÇÃO!A:C,3,0),1)</f>
        <v>Araçoiaba da Serra</v>
      </c>
    </row>
    <row r="36" spans="5:6">
      <c r="E36" s="5">
        <v>35</v>
      </c>
      <c r="F36" s="5" t="str">
        <f>IFERROR(VLOOKUP($C$2&amp;"-"&amp;E36,IRRADIAÇÃO!A:C,3,0),1)</f>
        <v>Aramina</v>
      </c>
    </row>
    <row r="37" spans="5:6">
      <c r="E37" s="5">
        <v>36</v>
      </c>
      <c r="F37" s="5" t="str">
        <f>IFERROR(VLOOKUP($C$2&amp;"-"&amp;E37,IRRADIAÇÃO!A:C,3,0),1)</f>
        <v>Arandu</v>
      </c>
    </row>
    <row r="38" spans="5:6">
      <c r="E38" s="5">
        <v>37</v>
      </c>
      <c r="F38" s="5" t="str">
        <f>IFERROR(VLOOKUP($C$2&amp;"-"&amp;E38,IRRADIAÇÃO!A:C,3,0),1)</f>
        <v>ArapeÃ­</v>
      </c>
    </row>
    <row r="39" spans="5:6">
      <c r="E39" s="5">
        <v>38</v>
      </c>
      <c r="F39" s="5" t="str">
        <f>IFERROR(VLOOKUP($C$2&amp;"-"&amp;E39,IRRADIAÇÃO!A:C,3,0),1)</f>
        <v>Araraquara</v>
      </c>
    </row>
    <row r="40" spans="5:6">
      <c r="E40" s="5">
        <v>39</v>
      </c>
      <c r="F40" s="5" t="str">
        <f>IFERROR(VLOOKUP($C$2&amp;"-"&amp;E40,IRRADIAÇÃO!A:C,3,0),1)</f>
        <v>Araras</v>
      </c>
    </row>
    <row r="41" spans="5:6">
      <c r="E41" s="5">
        <v>40</v>
      </c>
      <c r="F41" s="5" t="str">
        <f>IFERROR(VLOOKUP($C$2&amp;"-"&amp;E41,IRRADIAÇÃO!A:C,3,0),1)</f>
        <v>Arco-Ãris</v>
      </c>
    </row>
    <row r="42" spans="5:6">
      <c r="E42" s="5">
        <v>41</v>
      </c>
      <c r="F42" s="5" t="str">
        <f>IFERROR(VLOOKUP($C$2&amp;"-"&amp;E42,IRRADIAÇÃO!A:C,3,0),1)</f>
        <v>Arealva</v>
      </c>
    </row>
    <row r="43" spans="5:6">
      <c r="E43" s="5">
        <v>42</v>
      </c>
      <c r="F43" s="5" t="str">
        <f>IFERROR(VLOOKUP($C$2&amp;"-"&amp;E43,IRRADIAÇÃO!A:C,3,0),1)</f>
        <v>Areiópolis</v>
      </c>
    </row>
    <row r="44" spans="5:6">
      <c r="E44" s="5">
        <v>43</v>
      </c>
      <c r="F44" s="5" t="str">
        <f>IFERROR(VLOOKUP($C$2&amp;"-"&amp;E44,IRRADIAÇÃO!A:C,3,0),1)</f>
        <v>Areias</v>
      </c>
    </row>
    <row r="45" spans="5:6">
      <c r="E45" s="5">
        <v>44</v>
      </c>
      <c r="F45" s="5" t="str">
        <f>IFERROR(VLOOKUP($C$2&amp;"-"&amp;E45,IRRADIAÇÃO!A:C,3,0),1)</f>
        <v>Ariranha</v>
      </c>
    </row>
    <row r="46" spans="5:6">
      <c r="E46" s="5">
        <v>45</v>
      </c>
      <c r="F46" s="5" t="str">
        <f>IFERROR(VLOOKUP($C$2&amp;"-"&amp;E46,IRRADIAÇÃO!A:C,3,0),1)</f>
        <v>Artur Nogueira</v>
      </c>
    </row>
    <row r="47" spans="5:6">
      <c r="E47" s="5">
        <v>46</v>
      </c>
      <c r="F47" s="5" t="str">
        <f>IFERROR(VLOOKUP($C$2&amp;"-"&amp;E47,IRRADIAÇÃO!A:C,3,0),1)</f>
        <v>Arujá</v>
      </c>
    </row>
    <row r="48" spans="5:6">
      <c r="E48" s="5">
        <v>47</v>
      </c>
      <c r="F48" s="5" t="str">
        <f>IFERROR(VLOOKUP($C$2&amp;"-"&amp;E48,IRRADIAÇÃO!A:C,3,0),1)</f>
        <v>Aspásia</v>
      </c>
    </row>
    <row r="49" spans="5:6">
      <c r="E49" s="5">
        <v>48</v>
      </c>
      <c r="F49" s="5" t="str">
        <f>IFERROR(VLOOKUP($C$2&amp;"-"&amp;E49,IRRADIAÇÃO!A:C,3,0),1)</f>
        <v>Assis</v>
      </c>
    </row>
    <row r="50" spans="5:6">
      <c r="E50" s="5">
        <v>49</v>
      </c>
      <c r="F50" s="5" t="str">
        <f>IFERROR(VLOOKUP($C$2&amp;"-"&amp;E50,IRRADIAÇÃO!A:C,3,0),1)</f>
        <v>Atibaia</v>
      </c>
    </row>
    <row r="51" spans="5:6">
      <c r="E51" s="5">
        <v>50</v>
      </c>
      <c r="F51" s="5" t="str">
        <f>IFERROR(VLOOKUP($C$2&amp;"-"&amp;E51,IRRADIAÇÃO!A:C,3,0),1)</f>
        <v>Auriflama</v>
      </c>
    </row>
    <row r="52" spans="5:6">
      <c r="E52" s="5">
        <v>51</v>
      </c>
      <c r="F52" s="5" t="str">
        <f>IFERROR(VLOOKUP($C$2&amp;"-"&amp;E52,IRRADIAÇÃO!A:C,3,0),1)</f>
        <v>AvaÃ­</v>
      </c>
    </row>
    <row r="53" spans="5:6">
      <c r="E53" s="5">
        <v>52</v>
      </c>
      <c r="F53" s="5" t="str">
        <f>IFERROR(VLOOKUP($C$2&amp;"-"&amp;E53,IRRADIAÇÃO!A:C,3,0),1)</f>
        <v>Avanhandava</v>
      </c>
    </row>
    <row r="54" spans="5:6">
      <c r="E54" s="5">
        <v>53</v>
      </c>
      <c r="F54" s="5" t="str">
        <f>IFERROR(VLOOKUP($C$2&amp;"-"&amp;E54,IRRADIAÇÃO!A:C,3,0),1)</f>
        <v>Avaré</v>
      </c>
    </row>
    <row r="55" spans="5:6">
      <c r="E55" s="5">
        <v>54</v>
      </c>
      <c r="F55" s="5" t="str">
        <f>IFERROR(VLOOKUP($C$2&amp;"-"&amp;E55,IRRADIAÇÃO!A:C,3,0),1)</f>
        <v>Bálsamo</v>
      </c>
    </row>
    <row r="56" spans="5:6">
      <c r="E56" s="5">
        <v>55</v>
      </c>
      <c r="F56" s="5" t="str">
        <f>IFERROR(VLOOKUP($C$2&amp;"-"&amp;E56,IRRADIAÇÃO!A:C,3,0),1)</f>
        <v>Bady Bassitt</v>
      </c>
    </row>
    <row r="57" spans="5:6">
      <c r="E57" s="5">
        <v>56</v>
      </c>
      <c r="F57" s="5" t="str">
        <f>IFERROR(VLOOKUP($C$2&amp;"-"&amp;E57,IRRADIAÇÃO!A:C,3,0),1)</f>
        <v>Balbinos</v>
      </c>
    </row>
    <row r="58" spans="5:6">
      <c r="E58" s="5">
        <v>57</v>
      </c>
      <c r="F58" s="5" t="str">
        <f>IFERROR(VLOOKUP($C$2&amp;"-"&amp;E58,IRRADIAÇÃO!A:C,3,0),1)</f>
        <v>Bananal</v>
      </c>
    </row>
    <row r="59" spans="5:6">
      <c r="E59" s="5">
        <v>58</v>
      </c>
      <c r="F59" s="5" t="str">
        <f>IFERROR(VLOOKUP($C$2&amp;"-"&amp;E59,IRRADIAÇÃO!A:C,3,0),1)</f>
        <v>Barão de Antonina</v>
      </c>
    </row>
    <row r="60" spans="5:6">
      <c r="E60" s="5">
        <v>59</v>
      </c>
      <c r="F60" s="5" t="str">
        <f>IFERROR(VLOOKUP($C$2&amp;"-"&amp;E60,IRRADIAÇÃO!A:C,3,0),1)</f>
        <v>Barbosa</v>
      </c>
    </row>
    <row r="61" spans="5:6">
      <c r="E61" s="5">
        <v>60</v>
      </c>
      <c r="F61" s="5" t="str">
        <f>IFERROR(VLOOKUP($C$2&amp;"-"&amp;E61,IRRADIAÇÃO!A:C,3,0),1)</f>
        <v>Bariri</v>
      </c>
    </row>
    <row r="62" spans="5:6">
      <c r="E62" s="5">
        <v>61</v>
      </c>
      <c r="F62" s="5" t="str">
        <f>IFERROR(VLOOKUP($C$2&amp;"-"&amp;E62,IRRADIAÇÃO!A:C,3,0),1)</f>
        <v>Barra Bonita</v>
      </c>
    </row>
    <row r="63" spans="5:6">
      <c r="E63" s="5">
        <v>62</v>
      </c>
      <c r="F63" s="5" t="str">
        <f>IFERROR(VLOOKUP($C$2&amp;"-"&amp;E63,IRRADIAÇÃO!A:C,3,0),1)</f>
        <v>Barra do Chapéu</v>
      </c>
    </row>
    <row r="64" spans="5:6">
      <c r="E64" s="5">
        <v>63</v>
      </c>
      <c r="F64" s="5" t="str">
        <f>IFERROR(VLOOKUP($C$2&amp;"-"&amp;E64,IRRADIAÇÃO!A:C,3,0),1)</f>
        <v>Barra do Turvo</v>
      </c>
    </row>
    <row r="65" spans="5:6">
      <c r="E65" s="5">
        <v>64</v>
      </c>
      <c r="F65" s="5" t="str">
        <f>IFERROR(VLOOKUP($C$2&amp;"-"&amp;E65,IRRADIAÇÃO!A:C,3,0),1)</f>
        <v>Barretos</v>
      </c>
    </row>
    <row r="66" spans="5:6">
      <c r="E66" s="5">
        <v>65</v>
      </c>
      <c r="F66" s="5" t="str">
        <f>IFERROR(VLOOKUP($C$2&amp;"-"&amp;E66,IRRADIAÇÃO!A:C,3,0),1)</f>
        <v>Barrinha</v>
      </c>
    </row>
    <row r="67" spans="5:6">
      <c r="E67" s="5">
        <v>66</v>
      </c>
      <c r="F67" s="5" t="str">
        <f>IFERROR(VLOOKUP($C$2&amp;"-"&amp;E67,IRRADIAÇÃO!A:C,3,0),1)</f>
        <v>Barueri</v>
      </c>
    </row>
    <row r="68" spans="5:6">
      <c r="E68" s="5">
        <v>67</v>
      </c>
      <c r="F68" s="5" t="str">
        <f>IFERROR(VLOOKUP($C$2&amp;"-"&amp;E68,IRRADIAÇÃO!A:C,3,0),1)</f>
        <v>Bastos</v>
      </c>
    </row>
    <row r="69" spans="5:6">
      <c r="E69" s="5">
        <v>68</v>
      </c>
      <c r="F69" s="5" t="str">
        <f>IFERROR(VLOOKUP($C$2&amp;"-"&amp;E69,IRRADIAÇÃO!A:C,3,0),1)</f>
        <v>Batatais</v>
      </c>
    </row>
    <row r="70" spans="5:6">
      <c r="E70" s="5">
        <v>69</v>
      </c>
      <c r="F70" s="5" t="str">
        <f>IFERROR(VLOOKUP($C$2&amp;"-"&amp;E70,IRRADIAÇÃO!A:C,3,0),1)</f>
        <v>Bauru</v>
      </c>
    </row>
    <row r="71" spans="5:6">
      <c r="E71" s="5">
        <v>70</v>
      </c>
      <c r="F71" s="5" t="str">
        <f>IFERROR(VLOOKUP($C$2&amp;"-"&amp;E71,IRRADIAÇÃO!A:C,3,0),1)</f>
        <v>Bebedouro</v>
      </c>
    </row>
    <row r="72" spans="5:6">
      <c r="E72" s="5">
        <v>71</v>
      </c>
      <c r="F72" s="5" t="str">
        <f>IFERROR(VLOOKUP($C$2&amp;"-"&amp;E72,IRRADIAÇÃO!A:C,3,0),1)</f>
        <v>Bento de Abreu</v>
      </c>
    </row>
    <row r="73" spans="5:6">
      <c r="E73" s="5">
        <v>72</v>
      </c>
      <c r="F73" s="5" t="str">
        <f>IFERROR(VLOOKUP($C$2&amp;"-"&amp;E73,IRRADIAÇÃO!A:C,3,0),1)</f>
        <v>Bernardino de Campos</v>
      </c>
    </row>
    <row r="74" spans="5:6">
      <c r="E74" s="5">
        <v>73</v>
      </c>
      <c r="F74" s="5" t="str">
        <f>IFERROR(VLOOKUP($C$2&amp;"-"&amp;E74,IRRADIAÇÃO!A:C,3,0),1)</f>
        <v>Bertioga</v>
      </c>
    </row>
    <row r="75" spans="5:6">
      <c r="E75" s="5">
        <v>74</v>
      </c>
      <c r="F75" s="5" t="str">
        <f>IFERROR(VLOOKUP($C$2&amp;"-"&amp;E75,IRRADIAÇÃO!A:C,3,0),1)</f>
        <v>Bilac</v>
      </c>
    </row>
    <row r="76" spans="5:6">
      <c r="E76" s="5">
        <v>75</v>
      </c>
      <c r="F76" s="5" t="str">
        <f>IFERROR(VLOOKUP($C$2&amp;"-"&amp;E76,IRRADIAÇÃO!A:C,3,0),1)</f>
        <v>Birigui</v>
      </c>
    </row>
    <row r="77" spans="5:6">
      <c r="E77" s="5">
        <v>76</v>
      </c>
      <c r="F77" s="5" t="str">
        <f>IFERROR(VLOOKUP($C$2&amp;"-"&amp;E77,IRRADIAÇÃO!A:C,3,0),1)</f>
        <v>Biritiba-Mirim</v>
      </c>
    </row>
    <row r="78" spans="5:6">
      <c r="E78" s="5">
        <v>77</v>
      </c>
      <c r="F78" s="5" t="str">
        <f>IFERROR(VLOOKUP($C$2&amp;"-"&amp;E78,IRRADIAÇÃO!A:C,3,0),1)</f>
        <v>Boa Esperança do Sul</v>
      </c>
    </row>
    <row r="79" spans="5:6">
      <c r="E79" s="5">
        <v>78</v>
      </c>
      <c r="F79" s="5" t="str">
        <f>IFERROR(VLOOKUP($C$2&amp;"-"&amp;E79,IRRADIAÇÃO!A:C,3,0),1)</f>
        <v>Bocaina</v>
      </c>
    </row>
    <row r="80" spans="5:6">
      <c r="E80" s="5">
        <v>79</v>
      </c>
      <c r="F80" s="5" t="str">
        <f>IFERROR(VLOOKUP($C$2&amp;"-"&amp;E80,IRRADIAÇÃO!A:C,3,0),1)</f>
        <v>Bofete</v>
      </c>
    </row>
    <row r="81" spans="5:6">
      <c r="E81" s="5">
        <v>80</v>
      </c>
      <c r="F81" s="5" t="str">
        <f>IFERROR(VLOOKUP($C$2&amp;"-"&amp;E81,IRRADIAÇÃO!A:C,3,0),1)</f>
        <v>Boituva</v>
      </c>
    </row>
    <row r="82" spans="5:6">
      <c r="E82" s="5">
        <v>81</v>
      </c>
      <c r="F82" s="5" t="str">
        <f>IFERROR(VLOOKUP($C$2&amp;"-"&amp;E82,IRRADIAÇÃO!A:C,3,0),1)</f>
        <v>Bom Jesus dos Perdões</v>
      </c>
    </row>
    <row r="83" spans="5:6">
      <c r="E83" s="5">
        <v>82</v>
      </c>
      <c r="F83" s="5" t="str">
        <f>IFERROR(VLOOKUP($C$2&amp;"-"&amp;E83,IRRADIAÇÃO!A:C,3,0),1)</f>
        <v>Bom Sucesso de Itararé</v>
      </c>
    </row>
    <row r="84" spans="5:6">
      <c r="E84" s="5">
        <v>83</v>
      </c>
      <c r="F84" s="5" t="str">
        <f>IFERROR(VLOOKUP($C$2&amp;"-"&amp;E84,IRRADIAÇÃO!A:C,3,0),1)</f>
        <v>Borá</v>
      </c>
    </row>
    <row r="85" spans="5:6">
      <c r="E85" s="5">
        <v>84</v>
      </c>
      <c r="F85" s="5" t="str">
        <f>IFERROR(VLOOKUP($C$2&amp;"-"&amp;E85,IRRADIAÇÃO!A:C,3,0),1)</f>
        <v>Boracéia</v>
      </c>
    </row>
    <row r="86" spans="5:6">
      <c r="E86" s="5">
        <v>85</v>
      </c>
      <c r="F86" s="5" t="str">
        <f>IFERROR(VLOOKUP($C$2&amp;"-"&amp;E86,IRRADIAÇÃO!A:C,3,0),1)</f>
        <v>Borborema</v>
      </c>
    </row>
    <row r="87" spans="5:6">
      <c r="E87" s="5">
        <v>86</v>
      </c>
      <c r="F87" s="5" t="str">
        <f>IFERROR(VLOOKUP($C$2&amp;"-"&amp;E87,IRRADIAÇÃO!A:C,3,0),1)</f>
        <v>Borebi</v>
      </c>
    </row>
    <row r="88" spans="5:6">
      <c r="E88" s="5">
        <v>87</v>
      </c>
      <c r="F88" s="5" t="str">
        <f>IFERROR(VLOOKUP($C$2&amp;"-"&amp;E88,IRRADIAÇÃO!A:C,3,0),1)</f>
        <v>Botucatu</v>
      </c>
    </row>
    <row r="89" spans="5:6">
      <c r="E89" s="5">
        <v>88</v>
      </c>
      <c r="F89" s="5" t="str">
        <f>IFERROR(VLOOKUP($C$2&amp;"-"&amp;E89,IRRADIAÇÃO!A:C,3,0),1)</f>
        <v>Braúna</v>
      </c>
    </row>
    <row r="90" spans="5:6">
      <c r="E90" s="5">
        <v>89</v>
      </c>
      <c r="F90" s="5" t="str">
        <f>IFERROR(VLOOKUP($C$2&amp;"-"&amp;E90,IRRADIAÇÃO!A:C,3,0),1)</f>
        <v>Bragança Paulista</v>
      </c>
    </row>
    <row r="91" spans="5:6">
      <c r="E91" s="5">
        <v>90</v>
      </c>
      <c r="F91" s="5" t="str">
        <f>IFERROR(VLOOKUP($C$2&amp;"-"&amp;E91,IRRADIAÇÃO!A:C,3,0),1)</f>
        <v>Brejo Alegre</v>
      </c>
    </row>
    <row r="92" spans="5:6">
      <c r="E92" s="5">
        <v>91</v>
      </c>
      <c r="F92" s="5" t="str">
        <f>IFERROR(VLOOKUP($C$2&amp;"-"&amp;E92,IRRADIAÇÃO!A:C,3,0),1)</f>
        <v>Brodowski</v>
      </c>
    </row>
    <row r="93" spans="5:6">
      <c r="E93" s="5">
        <v>92</v>
      </c>
      <c r="F93" s="5" t="str">
        <f>IFERROR(VLOOKUP($C$2&amp;"-"&amp;E93,IRRADIAÇÃO!A:C,3,0),1)</f>
        <v>Brotas</v>
      </c>
    </row>
    <row r="94" spans="5:6">
      <c r="E94" s="5">
        <v>93</v>
      </c>
      <c r="F94" s="5" t="str">
        <f>IFERROR(VLOOKUP($C$2&amp;"-"&amp;E94,IRRADIAÇÃO!A:C,3,0),1)</f>
        <v>Buri</v>
      </c>
    </row>
    <row r="95" spans="5:6">
      <c r="E95" s="5">
        <v>94</v>
      </c>
      <c r="F95" s="5" t="str">
        <f>IFERROR(VLOOKUP($C$2&amp;"-"&amp;E95,IRRADIAÇÃO!A:C,3,0),1)</f>
        <v>Buritama</v>
      </c>
    </row>
    <row r="96" spans="5:6">
      <c r="E96" s="5">
        <v>95</v>
      </c>
      <c r="F96" s="5" t="str">
        <f>IFERROR(VLOOKUP($C$2&amp;"-"&amp;E96,IRRADIAÇÃO!A:C,3,0),1)</f>
        <v>Buritizal</v>
      </c>
    </row>
    <row r="97" spans="5:6">
      <c r="E97" s="5">
        <v>96</v>
      </c>
      <c r="F97" s="5" t="str">
        <f>IFERROR(VLOOKUP($C$2&amp;"-"&amp;E97,IRRADIAÇÃO!A:C,3,0),1)</f>
        <v>Cássia dos Coqueiros</v>
      </c>
    </row>
    <row r="98" spans="5:6">
      <c r="E98" s="5">
        <v>97</v>
      </c>
      <c r="F98" s="5" t="str">
        <f>IFERROR(VLOOKUP($C$2&amp;"-"&amp;E98,IRRADIAÇÃO!A:C,3,0),1)</f>
        <v>Cândido Mota</v>
      </c>
    </row>
    <row r="99" spans="5:6">
      <c r="E99" s="5">
        <v>98</v>
      </c>
      <c r="F99" s="5" t="str">
        <f>IFERROR(VLOOKUP($C$2&amp;"-"&amp;E99,IRRADIAÇÃO!A:C,3,0),1)</f>
        <v>Cândido Rodrigues</v>
      </c>
    </row>
    <row r="100" spans="5:6">
      <c r="E100" s="5">
        <v>99</v>
      </c>
      <c r="F100" s="5" t="str">
        <f>IFERROR(VLOOKUP($C$2&amp;"-"&amp;E100,IRRADIAÇÃO!A:C,3,0),1)</f>
        <v>Caçapava</v>
      </c>
    </row>
    <row r="101" spans="5:6">
      <c r="E101" s="5">
        <v>100</v>
      </c>
      <c r="F101" s="5" t="str">
        <f>IFERROR(VLOOKUP($C$2&amp;"-"&amp;E101,IRRADIAÇÃO!A:C,3,0),1)</f>
        <v>Cabrália Paulista</v>
      </c>
    </row>
    <row r="102" spans="5:6">
      <c r="E102" s="5">
        <v>101</v>
      </c>
      <c r="F102" s="5" t="str">
        <f>IFERROR(VLOOKUP($C$2&amp;"-"&amp;E102,IRRADIAÇÃO!A:C,3,0),1)</f>
        <v>Cabreúva</v>
      </c>
    </row>
    <row r="103" spans="5:6">
      <c r="E103" s="5">
        <v>102</v>
      </c>
      <c r="F103" s="5" t="str">
        <f>IFERROR(VLOOKUP($C$2&amp;"-"&amp;E103,IRRADIAÇÃO!A:C,3,0),1)</f>
        <v>Cachoeira Paulista</v>
      </c>
    </row>
    <row r="104" spans="5:6">
      <c r="E104" s="5">
        <v>103</v>
      </c>
      <c r="F104" s="5" t="str">
        <f>IFERROR(VLOOKUP($C$2&amp;"-"&amp;E104,IRRADIAÇÃO!A:C,3,0),1)</f>
        <v>Caconde</v>
      </c>
    </row>
    <row r="105" spans="5:6">
      <c r="E105" s="5">
        <v>104</v>
      </c>
      <c r="F105" s="5" t="str">
        <f>IFERROR(VLOOKUP($C$2&amp;"-"&amp;E105,IRRADIAÇÃO!A:C,3,0),1)</f>
        <v>Cafelândia</v>
      </c>
    </row>
    <row r="106" spans="5:6">
      <c r="E106" s="5">
        <v>105</v>
      </c>
      <c r="F106" s="5" t="str">
        <f>IFERROR(VLOOKUP($C$2&amp;"-"&amp;E106,IRRADIAÇÃO!A:C,3,0),1)</f>
        <v>Caiabu</v>
      </c>
    </row>
    <row r="107" spans="5:6">
      <c r="E107" s="5">
        <v>106</v>
      </c>
      <c r="F107" s="5" t="str">
        <f>IFERROR(VLOOKUP($C$2&amp;"-"&amp;E107,IRRADIAÇÃO!A:C,3,0),1)</f>
        <v>Caieiras</v>
      </c>
    </row>
    <row r="108" spans="5:6">
      <c r="E108" s="5">
        <v>107</v>
      </c>
      <c r="F108" s="5" t="str">
        <f>IFERROR(VLOOKUP($C$2&amp;"-"&amp;E108,IRRADIAÇÃO!A:C,3,0),1)</f>
        <v>Caiuá</v>
      </c>
    </row>
    <row r="109" spans="5:6">
      <c r="E109" s="5">
        <v>108</v>
      </c>
      <c r="F109" s="5" t="str">
        <f>IFERROR(VLOOKUP($C$2&amp;"-"&amp;E109,IRRADIAÇÃO!A:C,3,0),1)</f>
        <v>Cajamar</v>
      </c>
    </row>
    <row r="110" spans="5:6">
      <c r="E110" s="5">
        <v>109</v>
      </c>
      <c r="F110" s="5" t="str">
        <f>IFERROR(VLOOKUP($C$2&amp;"-"&amp;E110,IRRADIAÇÃO!A:C,3,0),1)</f>
        <v>Cajati</v>
      </c>
    </row>
    <row r="111" spans="5:6">
      <c r="E111" s="5">
        <v>110</v>
      </c>
      <c r="F111" s="5" t="str">
        <f>IFERROR(VLOOKUP($C$2&amp;"-"&amp;E111,IRRADIAÇÃO!A:C,3,0),1)</f>
        <v>Cajobi</v>
      </c>
    </row>
    <row r="112" spans="5:6">
      <c r="E112" s="5">
        <v>111</v>
      </c>
      <c r="F112" s="5" t="str">
        <f>IFERROR(VLOOKUP($C$2&amp;"-"&amp;E112,IRRADIAÇÃO!A:C,3,0),1)</f>
        <v>Cajuru</v>
      </c>
    </row>
    <row r="113" spans="5:6">
      <c r="E113" s="5">
        <v>112</v>
      </c>
      <c r="F113" s="5" t="str">
        <f>IFERROR(VLOOKUP($C$2&amp;"-"&amp;E113,IRRADIAÇÃO!A:C,3,0),1)</f>
        <v>Campina do Monte Alegre</v>
      </c>
    </row>
    <row r="114" spans="5:6">
      <c r="E114" s="5">
        <v>113</v>
      </c>
      <c r="F114" s="5" t="str">
        <f>IFERROR(VLOOKUP($C$2&amp;"-"&amp;E114,IRRADIAÇÃO!A:C,3,0),1)</f>
        <v>Campinas</v>
      </c>
    </row>
    <row r="115" spans="5:6">
      <c r="E115" s="5">
        <v>114</v>
      </c>
      <c r="F115" s="5" t="str">
        <f>IFERROR(VLOOKUP($C$2&amp;"-"&amp;E115,IRRADIAÇÃO!A:C,3,0),1)</f>
        <v>Campo Limpo Paulista</v>
      </c>
    </row>
    <row r="116" spans="5:6">
      <c r="E116" s="5">
        <v>115</v>
      </c>
      <c r="F116" s="5" t="str">
        <f>IFERROR(VLOOKUP($C$2&amp;"-"&amp;E116,IRRADIAÇÃO!A:C,3,0),1)</f>
        <v>Campos do Jordão</v>
      </c>
    </row>
    <row r="117" spans="5:6">
      <c r="E117" s="5">
        <v>116</v>
      </c>
      <c r="F117" s="5" t="str">
        <f>IFERROR(VLOOKUP($C$2&amp;"-"&amp;E117,IRRADIAÇÃO!A:C,3,0),1)</f>
        <v>Campos Novos Paulista</v>
      </c>
    </row>
    <row r="118" spans="5:6">
      <c r="E118" s="5">
        <v>117</v>
      </c>
      <c r="F118" s="5" t="str">
        <f>IFERROR(VLOOKUP($C$2&amp;"-"&amp;E118,IRRADIAÇÃO!A:C,3,0),1)</f>
        <v>Cananéia</v>
      </c>
    </row>
    <row r="119" spans="5:6">
      <c r="E119" s="5">
        <v>118</v>
      </c>
      <c r="F119" s="5" t="str">
        <f>IFERROR(VLOOKUP($C$2&amp;"-"&amp;E119,IRRADIAÇÃO!A:C,3,0),1)</f>
        <v>Canas</v>
      </c>
    </row>
    <row r="120" spans="5:6">
      <c r="E120" s="5">
        <v>119</v>
      </c>
      <c r="F120" s="5" t="str">
        <f>IFERROR(VLOOKUP($C$2&amp;"-"&amp;E120,IRRADIAÇÃO!A:C,3,0),1)</f>
        <v>Canitar</v>
      </c>
    </row>
    <row r="121" spans="5:6">
      <c r="E121" s="5">
        <v>120</v>
      </c>
      <c r="F121" s="5" t="str">
        <f>IFERROR(VLOOKUP($C$2&amp;"-"&amp;E121,IRRADIAÇÃO!A:C,3,0),1)</f>
        <v>Capão Bonito</v>
      </c>
    </row>
    <row r="122" spans="5:6">
      <c r="E122" s="5">
        <v>121</v>
      </c>
      <c r="F122" s="5" t="str">
        <f>IFERROR(VLOOKUP($C$2&amp;"-"&amp;E122,IRRADIAÇÃO!A:C,3,0),1)</f>
        <v>Capela do Alto</v>
      </c>
    </row>
    <row r="123" spans="5:6">
      <c r="E123" s="5">
        <v>122</v>
      </c>
      <c r="F123" s="5" t="str">
        <f>IFERROR(VLOOKUP($C$2&amp;"-"&amp;E123,IRRADIAÇÃO!A:C,3,0),1)</f>
        <v>Capivari</v>
      </c>
    </row>
    <row r="124" spans="5:6">
      <c r="E124" s="5">
        <v>123</v>
      </c>
      <c r="F124" s="5" t="str">
        <f>IFERROR(VLOOKUP($C$2&amp;"-"&amp;E124,IRRADIAÇÃO!A:C,3,0),1)</f>
        <v>Caraguatatuba</v>
      </c>
    </row>
    <row r="125" spans="5:6">
      <c r="E125" s="5">
        <v>124</v>
      </c>
      <c r="F125" s="5" t="str">
        <f>IFERROR(VLOOKUP($C$2&amp;"-"&amp;E125,IRRADIAÇÃO!A:C,3,0),1)</f>
        <v>CarapicuÃ­ba</v>
      </c>
    </row>
    <row r="126" spans="5:6">
      <c r="E126" s="5">
        <v>125</v>
      </c>
      <c r="F126" s="5" t="str">
        <f>IFERROR(VLOOKUP($C$2&amp;"-"&amp;E126,IRRADIAÇÃO!A:C,3,0),1)</f>
        <v>Cardoso</v>
      </c>
    </row>
    <row r="127" spans="5:6">
      <c r="E127" s="5">
        <v>126</v>
      </c>
      <c r="F127" s="5" t="str">
        <f>IFERROR(VLOOKUP($C$2&amp;"-"&amp;E127,IRRADIAÇÃO!A:C,3,0),1)</f>
        <v>Casa Branca</v>
      </c>
    </row>
    <row r="128" spans="5:6">
      <c r="E128" s="5">
        <v>127</v>
      </c>
      <c r="F128" s="5" t="str">
        <f>IFERROR(VLOOKUP($C$2&amp;"-"&amp;E128,IRRADIAÇÃO!A:C,3,0),1)</f>
        <v>Castilho</v>
      </c>
    </row>
    <row r="129" spans="5:6">
      <c r="E129" s="5">
        <v>128</v>
      </c>
      <c r="F129" s="5" t="str">
        <f>IFERROR(VLOOKUP($C$2&amp;"-"&amp;E129,IRRADIAÇÃO!A:C,3,0),1)</f>
        <v>Catanduva</v>
      </c>
    </row>
    <row r="130" spans="5:6">
      <c r="E130" s="5">
        <v>129</v>
      </c>
      <c r="F130" s="5" t="str">
        <f>IFERROR(VLOOKUP($C$2&amp;"-"&amp;E130,IRRADIAÇÃO!A:C,3,0),1)</f>
        <v>Catiguá</v>
      </c>
    </row>
    <row r="131" spans="5:6">
      <c r="E131" s="5">
        <v>130</v>
      </c>
      <c r="F131" s="5" t="str">
        <f>IFERROR(VLOOKUP($C$2&amp;"-"&amp;E131,IRRADIAÇÃO!A:C,3,0),1)</f>
        <v>Cedral</v>
      </c>
    </row>
    <row r="132" spans="5:6">
      <c r="E132" s="5">
        <v>131</v>
      </c>
      <c r="F132" s="5" t="str">
        <f>IFERROR(VLOOKUP($C$2&amp;"-"&amp;E132,IRRADIAÇÃO!A:C,3,0),1)</f>
        <v>Cerqueira César</v>
      </c>
    </row>
    <row r="133" spans="5:6">
      <c r="E133" s="5">
        <v>132</v>
      </c>
      <c r="F133" s="5" t="str">
        <f>IFERROR(VLOOKUP($C$2&amp;"-"&amp;E133,IRRADIAÇÃO!A:C,3,0),1)</f>
        <v>Cerquilho</v>
      </c>
    </row>
    <row r="134" spans="5:6">
      <c r="E134" s="5">
        <v>133</v>
      </c>
      <c r="F134" s="5" t="str">
        <f>IFERROR(VLOOKUP($C$2&amp;"-"&amp;E134,IRRADIAÇÃO!A:C,3,0),1)</f>
        <v>Cesário Lange</v>
      </c>
    </row>
    <row r="135" spans="5:6">
      <c r="E135" s="5">
        <v>134</v>
      </c>
      <c r="F135" s="5" t="str">
        <f>IFERROR(VLOOKUP($C$2&amp;"-"&amp;E135,IRRADIAÇÃO!A:C,3,0),1)</f>
        <v>Charqueada</v>
      </c>
    </row>
    <row r="136" spans="5:6">
      <c r="E136" s="5">
        <v>135</v>
      </c>
      <c r="F136" s="5" t="str">
        <f>IFERROR(VLOOKUP($C$2&amp;"-"&amp;E136,IRRADIAÇÃO!A:C,3,0),1)</f>
        <v>Chavantes</v>
      </c>
    </row>
    <row r="137" spans="5:6">
      <c r="E137" s="5">
        <v>136</v>
      </c>
      <c r="F137" s="5" t="str">
        <f>IFERROR(VLOOKUP($C$2&amp;"-"&amp;E137,IRRADIAÇÃO!A:C,3,0),1)</f>
        <v>Clementina</v>
      </c>
    </row>
    <row r="138" spans="5:6">
      <c r="E138" s="5">
        <v>137</v>
      </c>
      <c r="F138" s="5" t="str">
        <f>IFERROR(VLOOKUP($C$2&amp;"-"&amp;E138,IRRADIAÇÃO!A:C,3,0),1)</f>
        <v>Colômbia</v>
      </c>
    </row>
    <row r="139" spans="5:6">
      <c r="E139" s="5">
        <v>138</v>
      </c>
      <c r="F139" s="5" t="str">
        <f>IFERROR(VLOOKUP($C$2&amp;"-"&amp;E139,IRRADIAÇÃO!A:C,3,0),1)</f>
        <v>Colina</v>
      </c>
    </row>
    <row r="140" spans="5:6">
      <c r="E140" s="5">
        <v>139</v>
      </c>
      <c r="F140" s="5" t="str">
        <f>IFERROR(VLOOKUP($C$2&amp;"-"&amp;E140,IRRADIAÇÃO!A:C,3,0),1)</f>
        <v>Conchal</v>
      </c>
    </row>
    <row r="141" spans="5:6">
      <c r="E141" s="5">
        <v>140</v>
      </c>
      <c r="F141" s="5" t="str">
        <f>IFERROR(VLOOKUP($C$2&amp;"-"&amp;E141,IRRADIAÇÃO!A:C,3,0),1)</f>
        <v>Conchas</v>
      </c>
    </row>
    <row r="142" spans="5:6">
      <c r="E142" s="5">
        <v>141</v>
      </c>
      <c r="F142" s="5" t="str">
        <f>IFERROR(VLOOKUP($C$2&amp;"-"&amp;E142,IRRADIAÇÃO!A:C,3,0),1)</f>
        <v>Cordeirópolis</v>
      </c>
    </row>
    <row r="143" spans="5:6">
      <c r="E143" s="5">
        <v>142</v>
      </c>
      <c r="F143" s="5" t="str">
        <f>IFERROR(VLOOKUP($C$2&amp;"-"&amp;E143,IRRADIAÇÃO!A:C,3,0),1)</f>
        <v>Coroados</v>
      </c>
    </row>
    <row r="144" spans="5:6">
      <c r="E144" s="5">
        <v>143</v>
      </c>
      <c r="F144" s="5" t="str">
        <f>IFERROR(VLOOKUP($C$2&amp;"-"&amp;E144,IRRADIAÇÃO!A:C,3,0),1)</f>
        <v>Coronel Macedo</v>
      </c>
    </row>
    <row r="145" spans="5:6">
      <c r="E145" s="5">
        <v>144</v>
      </c>
      <c r="F145" s="5" t="str">
        <f>IFERROR(VLOOKUP($C$2&amp;"-"&amp;E145,IRRADIAÇÃO!A:C,3,0),1)</f>
        <v>CorumbataÃ­</v>
      </c>
    </row>
    <row r="146" spans="5:6">
      <c r="E146" s="5">
        <v>145</v>
      </c>
      <c r="F146" s="5" t="str">
        <f>IFERROR(VLOOKUP($C$2&amp;"-"&amp;E146,IRRADIAÇÃO!A:C,3,0),1)</f>
        <v>Cosmópolis</v>
      </c>
    </row>
    <row r="147" spans="5:6">
      <c r="E147" s="5">
        <v>146</v>
      </c>
      <c r="F147" s="5" t="str">
        <f>IFERROR(VLOOKUP($C$2&amp;"-"&amp;E147,IRRADIAÇÃO!A:C,3,0),1)</f>
        <v>Cosmorama</v>
      </c>
    </row>
    <row r="148" spans="5:6">
      <c r="E148" s="5">
        <v>147</v>
      </c>
      <c r="F148" s="5" t="str">
        <f>IFERROR(VLOOKUP($C$2&amp;"-"&amp;E148,IRRADIAÇÃO!A:C,3,0),1)</f>
        <v>Cotia</v>
      </c>
    </row>
    <row r="149" spans="5:6">
      <c r="E149" s="5">
        <v>148</v>
      </c>
      <c r="F149" s="5" t="str">
        <f>IFERROR(VLOOKUP($C$2&amp;"-"&amp;E149,IRRADIAÇÃO!A:C,3,0),1)</f>
        <v>Cravinhos</v>
      </c>
    </row>
    <row r="150" spans="5:6">
      <c r="E150" s="5">
        <v>149</v>
      </c>
      <c r="F150" s="5" t="str">
        <f>IFERROR(VLOOKUP($C$2&amp;"-"&amp;E150,IRRADIAÇÃO!A:C,3,0),1)</f>
        <v>Cristais Paulista</v>
      </c>
    </row>
    <row r="151" spans="5:6">
      <c r="E151" s="5">
        <v>150</v>
      </c>
      <c r="F151" s="5" t="str">
        <f>IFERROR(VLOOKUP($C$2&amp;"-"&amp;E151,IRRADIAÇÃO!A:C,3,0),1)</f>
        <v>Cruzália</v>
      </c>
    </row>
    <row r="152" spans="5:6">
      <c r="E152" s="5">
        <v>151</v>
      </c>
      <c r="F152" s="5" t="str">
        <f>IFERROR(VLOOKUP($C$2&amp;"-"&amp;E152,IRRADIAÇÃO!A:C,3,0),1)</f>
        <v>Cruzeiro</v>
      </c>
    </row>
    <row r="153" spans="5:6">
      <c r="E153" s="5">
        <v>152</v>
      </c>
      <c r="F153" s="5" t="str">
        <f>IFERROR(VLOOKUP($C$2&amp;"-"&amp;E153,IRRADIAÇÃO!A:C,3,0),1)</f>
        <v>Cubatão</v>
      </c>
    </row>
    <row r="154" spans="5:6">
      <c r="E154" s="5">
        <v>153</v>
      </c>
      <c r="F154" s="5" t="str">
        <f>IFERROR(VLOOKUP($C$2&amp;"-"&amp;E154,IRRADIAÇÃO!A:C,3,0),1)</f>
        <v>Cunha</v>
      </c>
    </row>
    <row r="155" spans="5:6">
      <c r="E155" s="5">
        <v>154</v>
      </c>
      <c r="F155" s="5" t="str">
        <f>IFERROR(VLOOKUP($C$2&amp;"-"&amp;E155,IRRADIAÇÃO!A:C,3,0),1)</f>
        <v>Descalvado</v>
      </c>
    </row>
    <row r="156" spans="5:6">
      <c r="E156" s="5">
        <v>155</v>
      </c>
      <c r="F156" s="5" t="str">
        <f>IFERROR(VLOOKUP($C$2&amp;"-"&amp;E156,IRRADIAÇÃO!A:C,3,0),1)</f>
        <v>Diadema</v>
      </c>
    </row>
    <row r="157" spans="5:6">
      <c r="E157" s="5">
        <v>156</v>
      </c>
      <c r="F157" s="5" t="str">
        <f>IFERROR(VLOOKUP($C$2&amp;"-"&amp;E157,IRRADIAÇÃO!A:C,3,0),1)</f>
        <v>Dirce Reis</v>
      </c>
    </row>
    <row r="158" spans="5:6">
      <c r="E158" s="5">
        <v>157</v>
      </c>
      <c r="F158" s="5" t="str">
        <f>IFERROR(VLOOKUP($C$2&amp;"-"&amp;E158,IRRADIAÇÃO!A:C,3,0),1)</f>
        <v>Divinolândia</v>
      </c>
    </row>
    <row r="159" spans="5:6">
      <c r="E159" s="5">
        <v>158</v>
      </c>
      <c r="F159" s="5" t="str">
        <f>IFERROR(VLOOKUP($C$2&amp;"-"&amp;E159,IRRADIAÇÃO!A:C,3,0),1)</f>
        <v>Dobrada</v>
      </c>
    </row>
    <row r="160" spans="5:6">
      <c r="E160" s="5">
        <v>159</v>
      </c>
      <c r="F160" s="5" t="str">
        <f>IFERROR(VLOOKUP($C$2&amp;"-"&amp;E160,IRRADIAÇÃO!A:C,3,0),1)</f>
        <v>Dois Córregos</v>
      </c>
    </row>
    <row r="161" spans="5:6">
      <c r="E161" s="5">
        <v>160</v>
      </c>
      <c r="F161" s="5" t="str">
        <f>IFERROR(VLOOKUP($C$2&amp;"-"&amp;E161,IRRADIAÇÃO!A:C,3,0),1)</f>
        <v>Dolcinópolis</v>
      </c>
    </row>
    <row r="162" spans="5:6">
      <c r="E162" s="5">
        <v>161</v>
      </c>
      <c r="F162" s="5" t="str">
        <f>IFERROR(VLOOKUP($C$2&amp;"-"&amp;E162,IRRADIAÇÃO!A:C,3,0),1)</f>
        <v>Dourado</v>
      </c>
    </row>
    <row r="163" spans="5:6">
      <c r="E163" s="5">
        <v>162</v>
      </c>
      <c r="F163" s="5" t="str">
        <f>IFERROR(VLOOKUP($C$2&amp;"-"&amp;E163,IRRADIAÇÃO!A:C,3,0),1)</f>
        <v>Dracena</v>
      </c>
    </row>
    <row r="164" spans="5:6">
      <c r="E164" s="5">
        <v>163</v>
      </c>
      <c r="F164" s="5" t="str">
        <f>IFERROR(VLOOKUP($C$2&amp;"-"&amp;E164,IRRADIAÇÃO!A:C,3,0),1)</f>
        <v>Duartina</v>
      </c>
    </row>
    <row r="165" spans="5:6">
      <c r="E165" s="5">
        <v>164</v>
      </c>
      <c r="F165" s="5" t="str">
        <f>IFERROR(VLOOKUP($C$2&amp;"-"&amp;E165,IRRADIAÇÃO!A:C,3,0),1)</f>
        <v>Dumont</v>
      </c>
    </row>
    <row r="166" spans="5:6">
      <c r="E166" s="5">
        <v>165</v>
      </c>
      <c r="F166" s="5" t="str">
        <f>IFERROR(VLOOKUP($C$2&amp;"-"&amp;E166,IRRADIAÇÃO!A:C,3,0),1)</f>
        <v>Echaporã</v>
      </c>
    </row>
    <row r="167" spans="5:6">
      <c r="E167" s="5">
        <v>166</v>
      </c>
      <c r="F167" s="5" t="str">
        <f>IFERROR(VLOOKUP($C$2&amp;"-"&amp;E167,IRRADIAÇÃO!A:C,3,0),1)</f>
        <v>Eldorado</v>
      </c>
    </row>
    <row r="168" spans="5:6">
      <c r="E168" s="5">
        <v>167</v>
      </c>
      <c r="F168" s="5" t="str">
        <f>IFERROR(VLOOKUP($C$2&amp;"-"&amp;E168,IRRADIAÇÃO!A:C,3,0),1)</f>
        <v>Elias Fausto</v>
      </c>
    </row>
    <row r="169" spans="5:6">
      <c r="E169" s="5">
        <v>168</v>
      </c>
      <c r="F169" s="5" t="str">
        <f>IFERROR(VLOOKUP($C$2&amp;"-"&amp;E169,IRRADIAÇÃO!A:C,3,0),1)</f>
        <v>Elisiário</v>
      </c>
    </row>
    <row r="170" spans="5:6">
      <c r="E170" s="5">
        <v>169</v>
      </c>
      <c r="F170" s="5" t="str">
        <f>IFERROR(VLOOKUP($C$2&amp;"-"&amp;E170,IRRADIAÇÃO!A:C,3,0),1)</f>
        <v>Embaúba</v>
      </c>
    </row>
    <row r="171" spans="5:6">
      <c r="E171" s="5">
        <v>170</v>
      </c>
      <c r="F171" s="5" t="str">
        <f>IFERROR(VLOOKUP($C$2&amp;"-"&amp;E171,IRRADIAÇÃO!A:C,3,0),1)</f>
        <v>Embu das Artes</v>
      </c>
    </row>
    <row r="172" spans="5:6">
      <c r="E172" s="5">
        <v>171</v>
      </c>
      <c r="F172" s="5" t="str">
        <f>IFERROR(VLOOKUP($C$2&amp;"-"&amp;E172,IRRADIAÇÃO!A:C,3,0),1)</f>
        <v>Embu-Guaçu</v>
      </c>
    </row>
    <row r="173" spans="5:6">
      <c r="E173" s="5">
        <v>172</v>
      </c>
      <c r="F173" s="5" t="str">
        <f>IFERROR(VLOOKUP($C$2&amp;"-"&amp;E173,IRRADIAÇÃO!A:C,3,0),1)</f>
        <v>Emilianópolis</v>
      </c>
    </row>
    <row r="174" spans="5:6">
      <c r="E174" s="5">
        <v>173</v>
      </c>
      <c r="F174" s="5" t="str">
        <f>IFERROR(VLOOKUP($C$2&amp;"-"&amp;E174,IRRADIAÇÃO!A:C,3,0),1)</f>
        <v>Engenheiro Coelho</v>
      </c>
    </row>
    <row r="175" spans="5:6">
      <c r="E175" s="5">
        <v>174</v>
      </c>
      <c r="F175" s="5" t="str">
        <f>IFERROR(VLOOKUP($C$2&amp;"-"&amp;E175,IRRADIAÇÃO!A:C,3,0),1)</f>
        <v>EspÃ­rito Santo do Pinhal</v>
      </c>
    </row>
    <row r="176" spans="5:6">
      <c r="E176" s="5">
        <v>175</v>
      </c>
      <c r="F176" s="5" t="str">
        <f>IFERROR(VLOOKUP($C$2&amp;"-"&amp;E176,IRRADIAÇÃO!A:C,3,0),1)</f>
        <v>EspÃ­rito Santo do Turvo</v>
      </c>
    </row>
    <row r="177" spans="5:6">
      <c r="E177" s="5">
        <v>176</v>
      </c>
      <c r="F177" s="5" t="str">
        <f>IFERROR(VLOOKUP($C$2&amp;"-"&amp;E177,IRRADIAÇÃO!A:C,3,0),1)</f>
        <v>Estiva Gerbi</v>
      </c>
    </row>
    <row r="178" spans="5:6">
      <c r="E178" s="5">
        <v>177</v>
      </c>
      <c r="F178" s="5" t="str">
        <f>IFERROR(VLOOKUP($C$2&amp;"-"&amp;E178,IRRADIAÇÃO!A:C,3,0),1)</f>
        <v>Estrela do Norte</v>
      </c>
    </row>
    <row r="179" spans="5:6">
      <c r="E179" s="5">
        <v>178</v>
      </c>
      <c r="F179" s="5" t="str">
        <f>IFERROR(VLOOKUP($C$2&amp;"-"&amp;E179,IRRADIAÇÃO!A:C,3,0),1)</f>
        <v>Estrela d'Oeste</v>
      </c>
    </row>
    <row r="180" spans="5:6">
      <c r="E180" s="5">
        <v>179</v>
      </c>
      <c r="F180" s="5" t="str">
        <f>IFERROR(VLOOKUP($C$2&amp;"-"&amp;E180,IRRADIAÇÃO!A:C,3,0),1)</f>
        <v>Euclides da Cunha Paulista</v>
      </c>
    </row>
    <row r="181" spans="5:6">
      <c r="E181" s="5">
        <v>180</v>
      </c>
      <c r="F181" s="5" t="str">
        <f>IFERROR(VLOOKUP($C$2&amp;"-"&amp;E181,IRRADIAÇÃO!A:C,3,0),1)</f>
        <v>Fartura</v>
      </c>
    </row>
    <row r="182" spans="5:6">
      <c r="E182" s="5">
        <v>181</v>
      </c>
      <c r="F182" s="5" t="str">
        <f>IFERROR(VLOOKUP($C$2&amp;"-"&amp;E182,IRRADIAÇÃO!A:C,3,0),1)</f>
        <v>Fernão</v>
      </c>
    </row>
    <row r="183" spans="5:6">
      <c r="E183" s="5">
        <v>182</v>
      </c>
      <c r="F183" s="5" t="str">
        <f>IFERROR(VLOOKUP($C$2&amp;"-"&amp;E183,IRRADIAÇÃO!A:C,3,0),1)</f>
        <v>Fernandópolis</v>
      </c>
    </row>
    <row r="184" spans="5:6">
      <c r="E184" s="5">
        <v>183</v>
      </c>
      <c r="F184" s="5" t="str">
        <f>IFERROR(VLOOKUP($C$2&amp;"-"&amp;E184,IRRADIAÇÃO!A:C,3,0),1)</f>
        <v>Fernando Prestes</v>
      </c>
    </row>
    <row r="185" spans="5:6">
      <c r="E185" s="5">
        <v>184</v>
      </c>
      <c r="F185" s="5" t="str">
        <f>IFERROR(VLOOKUP($C$2&amp;"-"&amp;E185,IRRADIAÇÃO!A:C,3,0),1)</f>
        <v>Ferraz de Vasconcelos</v>
      </c>
    </row>
    <row r="186" spans="5:6">
      <c r="E186" s="5">
        <v>185</v>
      </c>
      <c r="F186" s="5" t="str">
        <f>IFERROR(VLOOKUP($C$2&amp;"-"&amp;E186,IRRADIAÇÃO!A:C,3,0),1)</f>
        <v>Flórida Paulista</v>
      </c>
    </row>
    <row r="187" spans="5:6">
      <c r="E187" s="5">
        <v>186</v>
      </c>
      <c r="F187" s="5" t="str">
        <f>IFERROR(VLOOKUP($C$2&amp;"-"&amp;E187,IRRADIAÇÃO!A:C,3,0),1)</f>
        <v>Flora Rica</v>
      </c>
    </row>
    <row r="188" spans="5:6">
      <c r="E188" s="5">
        <v>187</v>
      </c>
      <c r="F188" s="5" t="str">
        <f>IFERROR(VLOOKUP($C$2&amp;"-"&amp;E188,IRRADIAÇÃO!A:C,3,0),1)</f>
        <v>FlorÃ­nia</v>
      </c>
    </row>
    <row r="189" spans="5:6">
      <c r="E189" s="5">
        <v>188</v>
      </c>
      <c r="F189" s="5" t="str">
        <f>IFERROR(VLOOKUP($C$2&amp;"-"&amp;E189,IRRADIAÇÃO!A:C,3,0),1)</f>
        <v>Floreal</v>
      </c>
    </row>
    <row r="190" spans="5:6">
      <c r="E190" s="5">
        <v>189</v>
      </c>
      <c r="F190" s="5" t="str">
        <f>IFERROR(VLOOKUP($C$2&amp;"-"&amp;E190,IRRADIAÇÃO!A:C,3,0),1)</f>
        <v>Franca</v>
      </c>
    </row>
    <row r="191" spans="5:6">
      <c r="E191" s="5">
        <v>190</v>
      </c>
      <c r="F191" s="5" t="str">
        <f>IFERROR(VLOOKUP($C$2&amp;"-"&amp;E191,IRRADIAÇÃO!A:C,3,0),1)</f>
        <v>Francisco Morato</v>
      </c>
    </row>
    <row r="192" spans="5:6">
      <c r="E192" s="5">
        <v>191</v>
      </c>
      <c r="F192" s="5" t="str">
        <f>IFERROR(VLOOKUP($C$2&amp;"-"&amp;E192,IRRADIAÇÃO!A:C,3,0),1)</f>
        <v>Franco da Rocha</v>
      </c>
    </row>
    <row r="193" spans="5:6">
      <c r="E193" s="5">
        <v>192</v>
      </c>
      <c r="F193" s="5" t="str">
        <f>IFERROR(VLOOKUP($C$2&amp;"-"&amp;E193,IRRADIAÇÃO!A:C,3,0),1)</f>
        <v>Gália</v>
      </c>
    </row>
    <row r="194" spans="5:6">
      <c r="E194" s="5">
        <v>193</v>
      </c>
      <c r="F194" s="5" t="str">
        <f>IFERROR(VLOOKUP($C$2&amp;"-"&amp;E194,IRRADIAÇÃO!A:C,3,0),1)</f>
        <v>Gabriel Monteiro</v>
      </c>
    </row>
    <row r="195" spans="5:6">
      <c r="E195" s="5">
        <v>194</v>
      </c>
      <c r="F195" s="5" t="str">
        <f>IFERROR(VLOOKUP($C$2&amp;"-"&amp;E195,IRRADIAÇÃO!A:C,3,0),1)</f>
        <v>Garça</v>
      </c>
    </row>
    <row r="196" spans="5:6">
      <c r="E196" s="5">
        <v>195</v>
      </c>
      <c r="F196" s="5" t="str">
        <f>IFERROR(VLOOKUP($C$2&amp;"-"&amp;E196,IRRADIAÇÃO!A:C,3,0),1)</f>
        <v>Gastão Vidigal</v>
      </c>
    </row>
    <row r="197" spans="5:6">
      <c r="E197" s="5">
        <v>196</v>
      </c>
      <c r="F197" s="5" t="str">
        <f>IFERROR(VLOOKUP($C$2&amp;"-"&amp;E197,IRRADIAÇÃO!A:C,3,0),1)</f>
        <v>Gavião Peixoto</v>
      </c>
    </row>
    <row r="198" spans="5:6">
      <c r="E198" s="5">
        <v>197</v>
      </c>
      <c r="F198" s="5" t="str">
        <f>IFERROR(VLOOKUP($C$2&amp;"-"&amp;E198,IRRADIAÇÃO!A:C,3,0),1)</f>
        <v>General Salgado</v>
      </c>
    </row>
    <row r="199" spans="5:6">
      <c r="E199" s="5">
        <v>198</v>
      </c>
      <c r="F199" s="5" t="str">
        <f>IFERROR(VLOOKUP($C$2&amp;"-"&amp;E199,IRRADIAÇÃO!A:C,3,0),1)</f>
        <v>Getulina</v>
      </c>
    </row>
    <row r="200" spans="5:6">
      <c r="E200" s="5">
        <v>199</v>
      </c>
      <c r="F200" s="5" t="str">
        <f>IFERROR(VLOOKUP($C$2&amp;"-"&amp;E200,IRRADIAÇÃO!A:C,3,0),1)</f>
        <v>Glicério</v>
      </c>
    </row>
    <row r="201" spans="5:6">
      <c r="E201" s="5">
        <v>200</v>
      </c>
      <c r="F201" s="5" t="str">
        <f>IFERROR(VLOOKUP($C$2&amp;"-"&amp;E201,IRRADIAÇÃO!A:C,3,0),1)</f>
        <v>GuaÃ­ra</v>
      </c>
    </row>
    <row r="202" spans="5:6">
      <c r="E202" s="5">
        <v>201</v>
      </c>
      <c r="F202" s="5" t="str">
        <f>IFERROR(VLOOKUP($C$2&amp;"-"&amp;E202,IRRADIAÇÃO!A:C,3,0),1)</f>
        <v>Guaiçara</v>
      </c>
    </row>
    <row r="203" spans="5:6">
      <c r="E203" s="5">
        <v>202</v>
      </c>
      <c r="F203" s="5" t="str">
        <f>IFERROR(VLOOKUP($C$2&amp;"-"&amp;E203,IRRADIAÇÃO!A:C,3,0),1)</f>
        <v>Guaimbê</v>
      </c>
    </row>
    <row r="204" spans="5:6">
      <c r="E204" s="5">
        <v>203</v>
      </c>
      <c r="F204" s="5" t="str">
        <f>IFERROR(VLOOKUP($C$2&amp;"-"&amp;E204,IRRADIAÇÃO!A:C,3,0),1)</f>
        <v>Guapiaçu</v>
      </c>
    </row>
    <row r="205" spans="5:6">
      <c r="E205" s="5">
        <v>204</v>
      </c>
      <c r="F205" s="5" t="str">
        <f>IFERROR(VLOOKUP($C$2&amp;"-"&amp;E205,IRRADIAÇÃO!A:C,3,0),1)</f>
        <v>Guapiara</v>
      </c>
    </row>
    <row r="206" spans="5:6">
      <c r="E206" s="5">
        <v>205</v>
      </c>
      <c r="F206" s="5" t="str">
        <f>IFERROR(VLOOKUP($C$2&amp;"-"&amp;E206,IRRADIAÇÃO!A:C,3,0),1)</f>
        <v>Guará</v>
      </c>
    </row>
    <row r="207" spans="5:6">
      <c r="E207" s="5">
        <v>206</v>
      </c>
      <c r="F207" s="5" t="str">
        <f>IFERROR(VLOOKUP($C$2&amp;"-"&amp;E207,IRRADIAÇÃO!A:C,3,0),1)</f>
        <v>GuaraçaÃ­</v>
      </c>
    </row>
    <row r="208" spans="5:6">
      <c r="E208" s="5">
        <v>207</v>
      </c>
      <c r="F208" s="5" t="str">
        <f>IFERROR(VLOOKUP($C$2&amp;"-"&amp;E208,IRRADIAÇÃO!A:C,3,0),1)</f>
        <v>Guaraci</v>
      </c>
    </row>
    <row r="209" spans="5:6">
      <c r="E209" s="5">
        <v>208</v>
      </c>
      <c r="F209" s="5" t="str">
        <f>IFERROR(VLOOKUP($C$2&amp;"-"&amp;E209,IRRADIAÇÃO!A:C,3,0),1)</f>
        <v>Guarani d'Oeste</v>
      </c>
    </row>
    <row r="210" spans="5:6">
      <c r="E210" s="5">
        <v>209</v>
      </c>
      <c r="F210" s="5" t="str">
        <f>IFERROR(VLOOKUP($C$2&amp;"-"&amp;E210,IRRADIAÇÃO!A:C,3,0),1)</f>
        <v>Guarantã</v>
      </c>
    </row>
    <row r="211" spans="5:6">
      <c r="E211" s="5">
        <v>210</v>
      </c>
      <c r="F211" s="5" t="str">
        <f>IFERROR(VLOOKUP($C$2&amp;"-"&amp;E211,IRRADIAÇÃO!A:C,3,0),1)</f>
        <v>Guararapes</v>
      </c>
    </row>
    <row r="212" spans="5:6">
      <c r="E212" s="5">
        <v>211</v>
      </c>
      <c r="F212" s="5" t="str">
        <f>IFERROR(VLOOKUP($C$2&amp;"-"&amp;E212,IRRADIAÇÃO!A:C,3,0),1)</f>
        <v>Guararema</v>
      </c>
    </row>
    <row r="213" spans="5:6">
      <c r="E213" s="5">
        <v>212</v>
      </c>
      <c r="F213" s="5" t="str">
        <f>IFERROR(VLOOKUP($C$2&amp;"-"&amp;E213,IRRADIAÇÃO!A:C,3,0),1)</f>
        <v>Guaratinguetá</v>
      </c>
    </row>
    <row r="214" spans="5:6">
      <c r="E214" s="5">
        <v>213</v>
      </c>
      <c r="F214" s="5" t="str">
        <f>IFERROR(VLOOKUP($C$2&amp;"-"&amp;E214,IRRADIAÇÃO!A:C,3,0),1)</f>
        <v>GuareÃ­</v>
      </c>
    </row>
    <row r="215" spans="5:6">
      <c r="E215" s="5">
        <v>214</v>
      </c>
      <c r="F215" s="5" t="str">
        <f>IFERROR(VLOOKUP($C$2&amp;"-"&amp;E215,IRRADIAÇÃO!A:C,3,0),1)</f>
        <v>Guariba</v>
      </c>
    </row>
    <row r="216" spans="5:6">
      <c r="E216" s="5">
        <v>215</v>
      </c>
      <c r="F216" s="5" t="str">
        <f>IFERROR(VLOOKUP($C$2&amp;"-"&amp;E216,IRRADIAÇÃO!A:C,3,0),1)</f>
        <v>Guarujá</v>
      </c>
    </row>
    <row r="217" spans="5:6">
      <c r="E217" s="5">
        <v>216</v>
      </c>
      <c r="F217" s="5" t="str">
        <f>IFERROR(VLOOKUP($C$2&amp;"-"&amp;E217,IRRADIAÇÃO!A:C,3,0),1)</f>
        <v>Guarulhos</v>
      </c>
    </row>
    <row r="218" spans="5:6">
      <c r="E218" s="5">
        <v>217</v>
      </c>
      <c r="F218" s="5" t="str">
        <f>IFERROR(VLOOKUP($C$2&amp;"-"&amp;E218,IRRADIAÇÃO!A:C,3,0),1)</f>
        <v>Guatapará</v>
      </c>
    </row>
    <row r="219" spans="5:6">
      <c r="E219" s="5">
        <v>218</v>
      </c>
      <c r="F219" s="5" t="str">
        <f>IFERROR(VLOOKUP($C$2&amp;"-"&amp;E219,IRRADIAÇÃO!A:C,3,0),1)</f>
        <v>Guzolândia</v>
      </c>
    </row>
    <row r="220" spans="5:6">
      <c r="E220" s="5">
        <v>219</v>
      </c>
      <c r="F220" s="5" t="str">
        <f>IFERROR(VLOOKUP($C$2&amp;"-"&amp;E220,IRRADIAÇÃO!A:C,3,0),1)</f>
        <v>Herculândia</v>
      </c>
    </row>
    <row r="221" spans="5:6">
      <c r="E221" s="5">
        <v>220</v>
      </c>
      <c r="F221" s="5" t="str">
        <f>IFERROR(VLOOKUP($C$2&amp;"-"&amp;E221,IRRADIAÇÃO!A:C,3,0),1)</f>
        <v>Holambra</v>
      </c>
    </row>
    <row r="222" spans="5:6">
      <c r="E222" s="5">
        <v>221</v>
      </c>
      <c r="F222" s="5" t="str">
        <f>IFERROR(VLOOKUP($C$2&amp;"-"&amp;E222,IRRADIAÇÃO!A:C,3,0),1)</f>
        <v>Hortolândia</v>
      </c>
    </row>
    <row r="223" spans="5:6">
      <c r="E223" s="5">
        <v>222</v>
      </c>
      <c r="F223" s="5" t="str">
        <f>IFERROR(VLOOKUP($C$2&amp;"-"&amp;E223,IRRADIAÇÃO!A:C,3,0),1)</f>
        <v>Iacanga</v>
      </c>
    </row>
    <row r="224" spans="5:6">
      <c r="E224" s="5">
        <v>223</v>
      </c>
      <c r="F224" s="5" t="str">
        <f>IFERROR(VLOOKUP($C$2&amp;"-"&amp;E224,IRRADIAÇÃO!A:C,3,0),1)</f>
        <v>Iacri</v>
      </c>
    </row>
    <row r="225" spans="5:6">
      <c r="E225" s="5">
        <v>224</v>
      </c>
      <c r="F225" s="5" t="str">
        <f>IFERROR(VLOOKUP($C$2&amp;"-"&amp;E225,IRRADIAÇÃO!A:C,3,0),1)</f>
        <v>Iaras</v>
      </c>
    </row>
    <row r="226" spans="5:6">
      <c r="E226" s="5">
        <v>225</v>
      </c>
      <c r="F226" s="5" t="str">
        <f>IFERROR(VLOOKUP($C$2&amp;"-"&amp;E226,IRRADIAÇÃO!A:C,3,0),1)</f>
        <v>Ibaté</v>
      </c>
    </row>
    <row r="227" spans="5:6">
      <c r="E227" s="5">
        <v>226</v>
      </c>
      <c r="F227" s="5" t="str">
        <f>IFERROR(VLOOKUP($C$2&amp;"-"&amp;E227,IRRADIAÇÃO!A:C,3,0),1)</f>
        <v>Ibiúna</v>
      </c>
    </row>
    <row r="228" spans="5:6">
      <c r="E228" s="5">
        <v>227</v>
      </c>
      <c r="F228" s="5" t="str">
        <f>IFERROR(VLOOKUP($C$2&amp;"-"&amp;E228,IRRADIAÇÃO!A:C,3,0),1)</f>
        <v>Ibirá</v>
      </c>
    </row>
    <row r="229" spans="5:6">
      <c r="E229" s="5">
        <v>228</v>
      </c>
      <c r="F229" s="5" t="str">
        <f>IFERROR(VLOOKUP($C$2&amp;"-"&amp;E229,IRRADIAÇÃO!A:C,3,0),1)</f>
        <v>Ibirarema</v>
      </c>
    </row>
    <row r="230" spans="5:6">
      <c r="E230" s="5">
        <v>229</v>
      </c>
      <c r="F230" s="5" t="str">
        <f>IFERROR(VLOOKUP($C$2&amp;"-"&amp;E230,IRRADIAÇÃO!A:C,3,0),1)</f>
        <v>Ibitinga</v>
      </c>
    </row>
    <row r="231" spans="5:6">
      <c r="E231" s="5">
        <v>230</v>
      </c>
      <c r="F231" s="5" t="str">
        <f>IFERROR(VLOOKUP($C$2&amp;"-"&amp;E231,IRRADIAÇÃO!A:C,3,0),1)</f>
        <v>Icém</v>
      </c>
    </row>
    <row r="232" spans="5:6">
      <c r="E232" s="5">
        <v>231</v>
      </c>
      <c r="F232" s="5" t="str">
        <f>IFERROR(VLOOKUP($C$2&amp;"-"&amp;E232,IRRADIAÇÃO!A:C,3,0),1)</f>
        <v>Iepê</v>
      </c>
    </row>
    <row r="233" spans="5:6">
      <c r="E233" s="5">
        <v>232</v>
      </c>
      <c r="F233" s="5" t="str">
        <f>IFERROR(VLOOKUP($C$2&amp;"-"&amp;E233,IRRADIAÇÃO!A:C,3,0),1)</f>
        <v>Igaraçu do Tietê</v>
      </c>
    </row>
    <row r="234" spans="5:6">
      <c r="E234" s="5">
        <v>233</v>
      </c>
      <c r="F234" s="5" t="str">
        <f>IFERROR(VLOOKUP($C$2&amp;"-"&amp;E234,IRRADIAÇÃO!A:C,3,0),1)</f>
        <v>Igarapava</v>
      </c>
    </row>
    <row r="235" spans="5:6">
      <c r="E235" s="5">
        <v>234</v>
      </c>
      <c r="F235" s="5" t="str">
        <f>IFERROR(VLOOKUP($C$2&amp;"-"&amp;E235,IRRADIAÇÃO!A:C,3,0),1)</f>
        <v>Igaratá</v>
      </c>
    </row>
    <row r="236" spans="5:6">
      <c r="E236" s="5">
        <v>235</v>
      </c>
      <c r="F236" s="5" t="str">
        <f>IFERROR(VLOOKUP($C$2&amp;"-"&amp;E236,IRRADIAÇÃO!A:C,3,0),1)</f>
        <v>Iguape</v>
      </c>
    </row>
    <row r="237" spans="5:6">
      <c r="E237" s="5">
        <v>236</v>
      </c>
      <c r="F237" s="5" t="str">
        <f>IFERROR(VLOOKUP($C$2&amp;"-"&amp;E237,IRRADIAÇÃO!A:C,3,0),1)</f>
        <v>Ilha Comprida</v>
      </c>
    </row>
    <row r="238" spans="5:6">
      <c r="E238" s="5">
        <v>237</v>
      </c>
      <c r="F238" s="5" t="str">
        <f>IFERROR(VLOOKUP($C$2&amp;"-"&amp;E238,IRRADIAÇÃO!A:C,3,0),1)</f>
        <v>Ilha Solteira</v>
      </c>
    </row>
    <row r="239" spans="5:6">
      <c r="E239" s="5">
        <v>238</v>
      </c>
      <c r="F239" s="5" t="str">
        <f>IFERROR(VLOOKUP($C$2&amp;"-"&amp;E239,IRRADIAÇÃO!A:C,3,0),1)</f>
        <v>Ilhabela</v>
      </c>
    </row>
    <row r="240" spans="5:6">
      <c r="E240" s="5">
        <v>239</v>
      </c>
      <c r="F240" s="5" t="str">
        <f>IFERROR(VLOOKUP($C$2&amp;"-"&amp;E240,IRRADIAÇÃO!A:C,3,0),1)</f>
        <v>Inúbia Paulista</v>
      </c>
    </row>
    <row r="241" spans="5:6">
      <c r="E241" s="5">
        <v>240</v>
      </c>
      <c r="F241" s="5" t="str">
        <f>IFERROR(VLOOKUP($C$2&amp;"-"&amp;E241,IRRADIAÇÃO!A:C,3,0),1)</f>
        <v>Indaiatuba</v>
      </c>
    </row>
    <row r="242" spans="5:6">
      <c r="E242" s="5">
        <v>241</v>
      </c>
      <c r="F242" s="5" t="str">
        <f>IFERROR(VLOOKUP($C$2&amp;"-"&amp;E242,IRRADIAÇÃO!A:C,3,0),1)</f>
        <v>Indiana</v>
      </c>
    </row>
    <row r="243" spans="5:6">
      <c r="E243" s="5">
        <v>242</v>
      </c>
      <c r="F243" s="5" t="str">
        <f>IFERROR(VLOOKUP($C$2&amp;"-"&amp;E243,IRRADIAÇÃO!A:C,3,0),1)</f>
        <v>Indiaporã</v>
      </c>
    </row>
    <row r="244" spans="5:6">
      <c r="E244" s="5">
        <v>243</v>
      </c>
      <c r="F244" s="5" t="str">
        <f>IFERROR(VLOOKUP($C$2&amp;"-"&amp;E244,IRRADIAÇÃO!A:C,3,0),1)</f>
        <v>Ipaussu</v>
      </c>
    </row>
    <row r="245" spans="5:6">
      <c r="E245" s="5">
        <v>244</v>
      </c>
      <c r="F245" s="5" t="str">
        <f>IFERROR(VLOOKUP($C$2&amp;"-"&amp;E245,IRRADIAÇÃO!A:C,3,0),1)</f>
        <v>Ipeúna</v>
      </c>
    </row>
    <row r="246" spans="5:6">
      <c r="E246" s="5">
        <v>245</v>
      </c>
      <c r="F246" s="5" t="str">
        <f>IFERROR(VLOOKUP($C$2&amp;"-"&amp;E246,IRRADIAÇÃO!A:C,3,0),1)</f>
        <v>Iperó</v>
      </c>
    </row>
    <row r="247" spans="5:6">
      <c r="E247" s="5">
        <v>246</v>
      </c>
      <c r="F247" s="5" t="str">
        <f>IFERROR(VLOOKUP($C$2&amp;"-"&amp;E247,IRRADIAÇÃO!A:C,3,0),1)</f>
        <v>Ipiguá</v>
      </c>
    </row>
    <row r="248" spans="5:6">
      <c r="E248" s="5">
        <v>247</v>
      </c>
      <c r="F248" s="5" t="str">
        <f>IFERROR(VLOOKUP($C$2&amp;"-"&amp;E248,IRRADIAÇÃO!A:C,3,0),1)</f>
        <v>Iporanga</v>
      </c>
    </row>
    <row r="249" spans="5:6">
      <c r="E249" s="5">
        <v>248</v>
      </c>
      <c r="F249" s="5" t="str">
        <f>IFERROR(VLOOKUP($C$2&amp;"-"&amp;E249,IRRADIAÇÃO!A:C,3,0),1)</f>
        <v>Ipuã</v>
      </c>
    </row>
    <row r="250" spans="5:6">
      <c r="E250" s="5">
        <v>249</v>
      </c>
      <c r="F250" s="5" t="str">
        <f>IFERROR(VLOOKUP($C$2&amp;"-"&amp;E250,IRRADIAÇÃO!A:C,3,0),1)</f>
        <v>Iracemápolis</v>
      </c>
    </row>
    <row r="251" spans="5:6">
      <c r="E251" s="5">
        <v>250</v>
      </c>
      <c r="F251" s="5" t="str">
        <f>IFERROR(VLOOKUP($C$2&amp;"-"&amp;E251,IRRADIAÇÃO!A:C,3,0),1)</f>
        <v>Irapuã</v>
      </c>
    </row>
    <row r="252" spans="5:6">
      <c r="E252" s="5">
        <v>251</v>
      </c>
      <c r="F252" s="5" t="str">
        <f>IFERROR(VLOOKUP($C$2&amp;"-"&amp;E252,IRRADIAÇÃO!A:C,3,0),1)</f>
        <v>Irapuru</v>
      </c>
    </row>
    <row r="253" spans="5:6">
      <c r="E253" s="5">
        <v>252</v>
      </c>
      <c r="F253" s="5" t="str">
        <f>IFERROR(VLOOKUP($C$2&amp;"-"&amp;E253,IRRADIAÇÃO!A:C,3,0),1)</f>
        <v>Itápolis</v>
      </c>
    </row>
    <row r="254" spans="5:6">
      <c r="E254" s="5">
        <v>253</v>
      </c>
      <c r="F254" s="5" t="str">
        <f>IFERROR(VLOOKUP($C$2&amp;"-"&amp;E254,IRRADIAÇÃO!A:C,3,0),1)</f>
        <v>ItaÃ­</v>
      </c>
    </row>
    <row r="255" spans="5:6">
      <c r="E255" s="5">
        <v>254</v>
      </c>
      <c r="F255" s="5" t="str">
        <f>IFERROR(VLOOKUP($C$2&amp;"-"&amp;E255,IRRADIAÇÃO!A:C,3,0),1)</f>
        <v>Itaóca</v>
      </c>
    </row>
    <row r="256" spans="5:6">
      <c r="E256" s="5">
        <v>255</v>
      </c>
      <c r="F256" s="5" t="str">
        <f>IFERROR(VLOOKUP($C$2&amp;"-"&amp;E256,IRRADIAÇÃO!A:C,3,0),1)</f>
        <v>Itaberá</v>
      </c>
    </row>
    <row r="257" spans="5:6">
      <c r="E257" s="5">
        <v>256</v>
      </c>
      <c r="F257" s="5" t="str">
        <f>IFERROR(VLOOKUP($C$2&amp;"-"&amp;E257,IRRADIAÇÃO!A:C,3,0),1)</f>
        <v>Itajobi</v>
      </c>
    </row>
    <row r="258" spans="5:6">
      <c r="E258" s="5">
        <v>257</v>
      </c>
      <c r="F258" s="5" t="str">
        <f>IFERROR(VLOOKUP($C$2&amp;"-"&amp;E258,IRRADIAÇÃO!A:C,3,0),1)</f>
        <v>Itaju</v>
      </c>
    </row>
    <row r="259" spans="5:6">
      <c r="E259" s="5">
        <v>258</v>
      </c>
      <c r="F259" s="5" t="str">
        <f>IFERROR(VLOOKUP($C$2&amp;"-"&amp;E259,IRRADIAÇÃO!A:C,3,0),1)</f>
        <v>Itanhaém</v>
      </c>
    </row>
    <row r="260" spans="5:6">
      <c r="E260" s="5">
        <v>259</v>
      </c>
      <c r="F260" s="5" t="str">
        <f>IFERROR(VLOOKUP($C$2&amp;"-"&amp;E260,IRRADIAÇÃO!A:C,3,0),1)</f>
        <v>Itapecerica da Serra</v>
      </c>
    </row>
    <row r="261" spans="5:6">
      <c r="E261" s="5">
        <v>260</v>
      </c>
      <c r="F261" s="5" t="str">
        <f>IFERROR(VLOOKUP($C$2&amp;"-"&amp;E261,IRRADIAÇÃO!A:C,3,0),1)</f>
        <v>Itapetininga</v>
      </c>
    </row>
    <row r="262" spans="5:6">
      <c r="E262" s="5">
        <v>261</v>
      </c>
      <c r="F262" s="5" t="str">
        <f>IFERROR(VLOOKUP($C$2&amp;"-"&amp;E262,IRRADIAÇÃO!A:C,3,0),1)</f>
        <v>Itapeva</v>
      </c>
    </row>
    <row r="263" spans="5:6">
      <c r="E263" s="5">
        <v>262</v>
      </c>
      <c r="F263" s="5" t="str">
        <f>IFERROR(VLOOKUP($C$2&amp;"-"&amp;E263,IRRADIAÇÃO!A:C,3,0),1)</f>
        <v>Itapevi</v>
      </c>
    </row>
    <row r="264" spans="5:6">
      <c r="E264" s="5">
        <v>263</v>
      </c>
      <c r="F264" s="5" t="str">
        <f>IFERROR(VLOOKUP($C$2&amp;"-"&amp;E264,IRRADIAÇÃO!A:C,3,0),1)</f>
        <v>Itapira</v>
      </c>
    </row>
    <row r="265" spans="5:6">
      <c r="E265" s="5">
        <v>264</v>
      </c>
      <c r="F265" s="5" t="str">
        <f>IFERROR(VLOOKUP($C$2&amp;"-"&amp;E265,IRRADIAÇÃO!A:C,3,0),1)</f>
        <v>Itapirapuã Paulista</v>
      </c>
    </row>
    <row r="266" spans="5:6">
      <c r="E266" s="5">
        <v>265</v>
      </c>
      <c r="F266" s="5" t="str">
        <f>IFERROR(VLOOKUP($C$2&amp;"-"&amp;E266,IRRADIAÇÃO!A:C,3,0),1)</f>
        <v>Itaporanga</v>
      </c>
    </row>
    <row r="267" spans="5:6">
      <c r="E267" s="5">
        <v>266</v>
      </c>
      <c r="F267" s="5" t="str">
        <f>IFERROR(VLOOKUP($C$2&amp;"-"&amp;E267,IRRADIAÇÃO!A:C,3,0),1)</f>
        <v>ItapuÃ­</v>
      </c>
    </row>
    <row r="268" spans="5:6">
      <c r="E268" s="5">
        <v>267</v>
      </c>
      <c r="F268" s="5" t="str">
        <f>IFERROR(VLOOKUP($C$2&amp;"-"&amp;E268,IRRADIAÇÃO!A:C,3,0),1)</f>
        <v>Itapura</v>
      </c>
    </row>
    <row r="269" spans="5:6">
      <c r="E269" s="5">
        <v>268</v>
      </c>
      <c r="F269" s="5" t="str">
        <f>IFERROR(VLOOKUP($C$2&amp;"-"&amp;E269,IRRADIAÇÃO!A:C,3,0),1)</f>
        <v>Itaquaquecetuba</v>
      </c>
    </row>
    <row r="270" spans="5:6">
      <c r="E270" s="5">
        <v>269</v>
      </c>
      <c r="F270" s="5" t="str">
        <f>IFERROR(VLOOKUP($C$2&amp;"-"&amp;E270,IRRADIAÇÃO!A:C,3,0),1)</f>
        <v>Itararé</v>
      </c>
    </row>
    <row r="271" spans="5:6">
      <c r="E271" s="5">
        <v>270</v>
      </c>
      <c r="F271" s="5" t="str">
        <f>IFERROR(VLOOKUP($C$2&amp;"-"&amp;E271,IRRADIAÇÃO!A:C,3,0),1)</f>
        <v>Itariri</v>
      </c>
    </row>
    <row r="272" spans="5:6">
      <c r="E272" s="5">
        <v>271</v>
      </c>
      <c r="F272" s="5" t="str">
        <f>IFERROR(VLOOKUP($C$2&amp;"-"&amp;E272,IRRADIAÇÃO!A:C,3,0),1)</f>
        <v>Itatiba</v>
      </c>
    </row>
    <row r="273" spans="5:6">
      <c r="E273" s="5">
        <v>272</v>
      </c>
      <c r="F273" s="5" t="str">
        <f>IFERROR(VLOOKUP($C$2&amp;"-"&amp;E273,IRRADIAÇÃO!A:C,3,0),1)</f>
        <v>Itatinga</v>
      </c>
    </row>
    <row r="274" spans="5:6">
      <c r="E274" s="5">
        <v>273</v>
      </c>
      <c r="F274" s="5" t="str">
        <f>IFERROR(VLOOKUP($C$2&amp;"-"&amp;E274,IRRADIAÇÃO!A:C,3,0),1)</f>
        <v>Itirapina</v>
      </c>
    </row>
    <row r="275" spans="5:6">
      <c r="E275" s="5">
        <v>274</v>
      </c>
      <c r="F275" s="5" t="str">
        <f>IFERROR(VLOOKUP($C$2&amp;"-"&amp;E275,IRRADIAÇÃO!A:C,3,0),1)</f>
        <v>Itirapuã</v>
      </c>
    </row>
    <row r="276" spans="5:6">
      <c r="E276" s="5">
        <v>275</v>
      </c>
      <c r="F276" s="5" t="str">
        <f>IFERROR(VLOOKUP($C$2&amp;"-"&amp;E276,IRRADIAÇÃO!A:C,3,0),1)</f>
        <v>Itobi</v>
      </c>
    </row>
    <row r="277" spans="5:6">
      <c r="E277" s="5">
        <v>276</v>
      </c>
      <c r="F277" s="5" t="str">
        <f>IFERROR(VLOOKUP($C$2&amp;"-"&amp;E277,IRRADIAÇÃO!A:C,3,0),1)</f>
        <v>Itu</v>
      </c>
    </row>
    <row r="278" spans="5:6">
      <c r="E278" s="5">
        <v>277</v>
      </c>
      <c r="F278" s="5" t="str">
        <f>IFERROR(VLOOKUP($C$2&amp;"-"&amp;E278,IRRADIAÇÃO!A:C,3,0),1)</f>
        <v>Itupeva</v>
      </c>
    </row>
    <row r="279" spans="5:6">
      <c r="E279" s="5">
        <v>278</v>
      </c>
      <c r="F279" s="5" t="str">
        <f>IFERROR(VLOOKUP($C$2&amp;"-"&amp;E279,IRRADIAÇÃO!A:C,3,0),1)</f>
        <v>Ituverava</v>
      </c>
    </row>
    <row r="280" spans="5:6">
      <c r="E280" s="5">
        <v>279</v>
      </c>
      <c r="F280" s="5" t="str">
        <f>IFERROR(VLOOKUP($C$2&amp;"-"&amp;E280,IRRADIAÇÃO!A:C,3,0),1)</f>
        <v>Jaú</v>
      </c>
    </row>
    <row r="281" spans="5:6">
      <c r="E281" s="5">
        <v>280</v>
      </c>
      <c r="F281" s="5" t="str">
        <f>IFERROR(VLOOKUP($C$2&amp;"-"&amp;E281,IRRADIAÇÃO!A:C,3,0),1)</f>
        <v>Jaborandi</v>
      </c>
    </row>
    <row r="282" spans="5:6">
      <c r="E282" s="5">
        <v>281</v>
      </c>
      <c r="F282" s="5" t="str">
        <f>IFERROR(VLOOKUP($C$2&amp;"-"&amp;E282,IRRADIAÇÃO!A:C,3,0),1)</f>
        <v>Jaboticabal</v>
      </c>
    </row>
    <row r="283" spans="5:6">
      <c r="E283" s="5">
        <v>282</v>
      </c>
      <c r="F283" s="5" t="str">
        <f>IFERROR(VLOOKUP($C$2&amp;"-"&amp;E283,IRRADIAÇÃO!A:C,3,0),1)</f>
        <v>JacareÃ­</v>
      </c>
    </row>
    <row r="284" spans="5:6">
      <c r="E284" s="5">
        <v>283</v>
      </c>
      <c r="F284" s="5" t="str">
        <f>IFERROR(VLOOKUP($C$2&amp;"-"&amp;E284,IRRADIAÇÃO!A:C,3,0),1)</f>
        <v>Jaci</v>
      </c>
    </row>
    <row r="285" spans="5:6">
      <c r="E285" s="5">
        <v>284</v>
      </c>
      <c r="F285" s="5" t="str">
        <f>IFERROR(VLOOKUP($C$2&amp;"-"&amp;E285,IRRADIAÇÃO!A:C,3,0),1)</f>
        <v>Jacupiranga</v>
      </c>
    </row>
    <row r="286" spans="5:6">
      <c r="E286" s="5">
        <v>285</v>
      </c>
      <c r="F286" s="5" t="str">
        <f>IFERROR(VLOOKUP($C$2&amp;"-"&amp;E286,IRRADIAÇÃO!A:C,3,0),1)</f>
        <v>Jaguariúna</v>
      </c>
    </row>
    <row r="287" spans="5:6">
      <c r="E287" s="5">
        <v>286</v>
      </c>
      <c r="F287" s="5" t="str">
        <f>IFERROR(VLOOKUP($C$2&amp;"-"&amp;E287,IRRADIAÇÃO!A:C,3,0),1)</f>
        <v>Jales</v>
      </c>
    </row>
    <row r="288" spans="5:6">
      <c r="E288" s="5">
        <v>287</v>
      </c>
      <c r="F288" s="5" t="str">
        <f>IFERROR(VLOOKUP($C$2&amp;"-"&amp;E288,IRRADIAÇÃO!A:C,3,0),1)</f>
        <v>Jambeiro</v>
      </c>
    </row>
    <row r="289" spans="5:6">
      <c r="E289" s="5">
        <v>288</v>
      </c>
      <c r="F289" s="5" t="str">
        <f>IFERROR(VLOOKUP($C$2&amp;"-"&amp;E289,IRRADIAÇÃO!A:C,3,0),1)</f>
        <v>Jandira</v>
      </c>
    </row>
    <row r="290" spans="5:6">
      <c r="E290" s="5">
        <v>289</v>
      </c>
      <c r="F290" s="5" t="str">
        <f>IFERROR(VLOOKUP($C$2&amp;"-"&amp;E290,IRRADIAÇÃO!A:C,3,0),1)</f>
        <v>Júlio Mesquita</v>
      </c>
    </row>
    <row r="291" spans="5:6">
      <c r="E291" s="5">
        <v>290</v>
      </c>
      <c r="F291" s="5" t="str">
        <f>IFERROR(VLOOKUP($C$2&amp;"-"&amp;E291,IRRADIAÇÃO!A:C,3,0),1)</f>
        <v>Jardinópolis</v>
      </c>
    </row>
    <row r="292" spans="5:6">
      <c r="E292" s="5">
        <v>291</v>
      </c>
      <c r="F292" s="5" t="str">
        <f>IFERROR(VLOOKUP($C$2&amp;"-"&amp;E292,IRRADIAÇÃO!A:C,3,0),1)</f>
        <v>Jarinu</v>
      </c>
    </row>
    <row r="293" spans="5:6">
      <c r="E293" s="5">
        <v>292</v>
      </c>
      <c r="F293" s="5" t="str">
        <f>IFERROR(VLOOKUP($C$2&amp;"-"&amp;E293,IRRADIAÇÃO!A:C,3,0),1)</f>
        <v>Jeriquara</v>
      </c>
    </row>
    <row r="294" spans="5:6">
      <c r="E294" s="5">
        <v>293</v>
      </c>
      <c r="F294" s="5" t="str">
        <f>IFERROR(VLOOKUP($C$2&amp;"-"&amp;E294,IRRADIAÇÃO!A:C,3,0),1)</f>
        <v>João Ramalho</v>
      </c>
    </row>
    <row r="295" spans="5:6">
      <c r="E295" s="5">
        <v>294</v>
      </c>
      <c r="F295" s="5" t="str">
        <f>IFERROR(VLOOKUP($C$2&amp;"-"&amp;E295,IRRADIAÇÃO!A:C,3,0),1)</f>
        <v>Joanópolis</v>
      </c>
    </row>
    <row r="296" spans="5:6">
      <c r="E296" s="5">
        <v>295</v>
      </c>
      <c r="F296" s="5" t="str">
        <f>IFERROR(VLOOKUP($C$2&amp;"-"&amp;E296,IRRADIAÇÃO!A:C,3,0),1)</f>
        <v>José Bonifácio</v>
      </c>
    </row>
    <row r="297" spans="5:6">
      <c r="E297" s="5">
        <v>296</v>
      </c>
      <c r="F297" s="5" t="str">
        <f>IFERROR(VLOOKUP($C$2&amp;"-"&amp;E297,IRRADIAÇÃO!A:C,3,0),1)</f>
        <v>Jumirim</v>
      </c>
    </row>
    <row r="298" spans="5:6">
      <c r="E298" s="5">
        <v>297</v>
      </c>
      <c r="F298" s="5" t="str">
        <f>IFERROR(VLOOKUP($C$2&amp;"-"&amp;E298,IRRADIAÇÃO!A:C,3,0),1)</f>
        <v>JundiaÃ­</v>
      </c>
    </row>
    <row r="299" spans="5:6">
      <c r="E299" s="5">
        <v>298</v>
      </c>
      <c r="F299" s="5" t="str">
        <f>IFERROR(VLOOKUP($C$2&amp;"-"&amp;E299,IRRADIAÇÃO!A:C,3,0),1)</f>
        <v>Junqueirópolis</v>
      </c>
    </row>
    <row r="300" spans="5:6">
      <c r="E300" s="5">
        <v>299</v>
      </c>
      <c r="F300" s="5" t="str">
        <f>IFERROR(VLOOKUP($C$2&amp;"-"&amp;E300,IRRADIAÇÃO!A:C,3,0),1)</f>
        <v>Juquiá</v>
      </c>
    </row>
    <row r="301" spans="5:6">
      <c r="E301" s="5">
        <v>300</v>
      </c>
      <c r="F301" s="5" t="str">
        <f>IFERROR(VLOOKUP($C$2&amp;"-"&amp;E301,IRRADIAÇÃO!A:C,3,0),1)</f>
        <v>Juquitiba</v>
      </c>
    </row>
    <row r="302" spans="5:6">
      <c r="E302" s="5">
        <v>301</v>
      </c>
      <c r="F302" s="5" t="str">
        <f>IFERROR(VLOOKUP($C$2&amp;"-"&amp;E302,IRRADIAÇÃO!A:C,3,0),1)</f>
        <v>Lagoinha</v>
      </c>
    </row>
    <row r="303" spans="5:6">
      <c r="E303" s="5">
        <v>302</v>
      </c>
      <c r="F303" s="5" t="str">
        <f>IFERROR(VLOOKUP($C$2&amp;"-"&amp;E303,IRRADIAÇÃO!A:C,3,0),1)</f>
        <v>Laranjal Paulista</v>
      </c>
    </row>
    <row r="304" spans="5:6">
      <c r="E304" s="5">
        <v>303</v>
      </c>
      <c r="F304" s="5" t="str">
        <f>IFERROR(VLOOKUP($C$2&amp;"-"&amp;E304,IRRADIAÇÃO!A:C,3,0),1)</f>
        <v>LavÃ­nia</v>
      </c>
    </row>
    <row r="305" spans="5:6">
      <c r="E305" s="5">
        <v>304</v>
      </c>
      <c r="F305" s="5" t="str">
        <f>IFERROR(VLOOKUP($C$2&amp;"-"&amp;E305,IRRADIAÇÃO!A:C,3,0),1)</f>
        <v>Lavrinhas</v>
      </c>
    </row>
    <row r="306" spans="5:6">
      <c r="E306" s="5">
        <v>305</v>
      </c>
      <c r="F306" s="5" t="str">
        <f>IFERROR(VLOOKUP($C$2&amp;"-"&amp;E306,IRRADIAÇÃO!A:C,3,0),1)</f>
        <v>Leme</v>
      </c>
    </row>
    <row r="307" spans="5:6">
      <c r="E307" s="5">
        <v>306</v>
      </c>
      <c r="F307" s="5" t="str">
        <f>IFERROR(VLOOKUP($C$2&amp;"-"&amp;E307,IRRADIAÇÃO!A:C,3,0),1)</f>
        <v>Lençóis Paulista</v>
      </c>
    </row>
    <row r="308" spans="5:6">
      <c r="E308" s="5">
        <v>307</v>
      </c>
      <c r="F308" s="5" t="str">
        <f>IFERROR(VLOOKUP($C$2&amp;"-"&amp;E308,IRRADIAÇÃO!A:C,3,0),1)</f>
        <v>Limeira</v>
      </c>
    </row>
    <row r="309" spans="5:6">
      <c r="E309" s="5">
        <v>308</v>
      </c>
      <c r="F309" s="5" t="str">
        <f>IFERROR(VLOOKUP($C$2&amp;"-"&amp;E309,IRRADIAÇÃO!A:C,3,0),1)</f>
        <v>Lindóia</v>
      </c>
    </row>
    <row r="310" spans="5:6">
      <c r="E310" s="5">
        <v>309</v>
      </c>
      <c r="F310" s="5" t="str">
        <f>IFERROR(VLOOKUP($C$2&amp;"-"&amp;E310,IRRADIAÇÃO!A:C,3,0),1)</f>
        <v>Lins</v>
      </c>
    </row>
    <row r="311" spans="5:6">
      <c r="E311" s="5">
        <v>310</v>
      </c>
      <c r="F311" s="5" t="str">
        <f>IFERROR(VLOOKUP($C$2&amp;"-"&amp;E311,IRRADIAÇÃO!A:C,3,0),1)</f>
        <v>Lorena</v>
      </c>
    </row>
    <row r="312" spans="5:6">
      <c r="E312" s="5">
        <v>311</v>
      </c>
      <c r="F312" s="5" t="str">
        <f>IFERROR(VLOOKUP($C$2&amp;"-"&amp;E312,IRRADIAÇÃO!A:C,3,0),1)</f>
        <v>Lourdes</v>
      </c>
    </row>
    <row r="313" spans="5:6">
      <c r="E313" s="5">
        <v>312</v>
      </c>
      <c r="F313" s="5" t="str">
        <f>IFERROR(VLOOKUP($C$2&amp;"-"&amp;E313,IRRADIAÇÃO!A:C,3,0),1)</f>
        <v>Louveira</v>
      </c>
    </row>
    <row r="314" spans="5:6">
      <c r="E314" s="5">
        <v>313</v>
      </c>
      <c r="F314" s="5" t="str">
        <f>IFERROR(VLOOKUP($C$2&amp;"-"&amp;E314,IRRADIAÇÃO!A:C,3,0),1)</f>
        <v>LuÃ­s Antônio</v>
      </c>
    </row>
    <row r="315" spans="5:6">
      <c r="E315" s="5">
        <v>314</v>
      </c>
      <c r="F315" s="5" t="str">
        <f>IFERROR(VLOOKUP($C$2&amp;"-"&amp;E315,IRRADIAÇÃO!A:C,3,0),1)</f>
        <v>Lucélia</v>
      </c>
    </row>
    <row r="316" spans="5:6">
      <c r="E316" s="5">
        <v>315</v>
      </c>
      <c r="F316" s="5" t="str">
        <f>IFERROR(VLOOKUP($C$2&amp;"-"&amp;E316,IRRADIAÇÃO!A:C,3,0),1)</f>
        <v>Lucianópolis</v>
      </c>
    </row>
    <row r="317" spans="5:6">
      <c r="E317" s="5">
        <v>316</v>
      </c>
      <c r="F317" s="5" t="str">
        <f>IFERROR(VLOOKUP($C$2&amp;"-"&amp;E317,IRRADIAÇÃO!A:C,3,0),1)</f>
        <v>Luiziânia</v>
      </c>
    </row>
    <row r="318" spans="5:6">
      <c r="E318" s="5">
        <v>317</v>
      </c>
      <c r="F318" s="5" t="str">
        <f>IFERROR(VLOOKUP($C$2&amp;"-"&amp;E318,IRRADIAÇÃO!A:C,3,0),1)</f>
        <v>Lupércio</v>
      </c>
    </row>
    <row r="319" spans="5:6">
      <c r="E319" s="5">
        <v>318</v>
      </c>
      <c r="F319" s="5" t="str">
        <f>IFERROR(VLOOKUP($C$2&amp;"-"&amp;E319,IRRADIAÇÃO!A:C,3,0),1)</f>
        <v>Lutécia</v>
      </c>
    </row>
    <row r="320" spans="5:6">
      <c r="E320" s="5">
        <v>319</v>
      </c>
      <c r="F320" s="5" t="str">
        <f>IFERROR(VLOOKUP($C$2&amp;"-"&amp;E320,IRRADIAÇÃO!A:C,3,0),1)</f>
        <v>Macatuba</v>
      </c>
    </row>
    <row r="321" spans="5:6">
      <c r="E321" s="5">
        <v>320</v>
      </c>
      <c r="F321" s="5" t="str">
        <f>IFERROR(VLOOKUP($C$2&amp;"-"&amp;E321,IRRADIAÇÃO!A:C,3,0),1)</f>
        <v>Macaubal</v>
      </c>
    </row>
    <row r="322" spans="5:6">
      <c r="E322" s="5">
        <v>321</v>
      </c>
      <c r="F322" s="5" t="str">
        <f>IFERROR(VLOOKUP($C$2&amp;"-"&amp;E322,IRRADIAÇÃO!A:C,3,0),1)</f>
        <v>Macedônia</v>
      </c>
    </row>
    <row r="323" spans="5:6">
      <c r="E323" s="5">
        <v>322</v>
      </c>
      <c r="F323" s="5" t="str">
        <f>IFERROR(VLOOKUP($C$2&amp;"-"&amp;E323,IRRADIAÇÃO!A:C,3,0),1)</f>
        <v>Magda</v>
      </c>
    </row>
    <row r="324" spans="5:6">
      <c r="E324" s="5">
        <v>323</v>
      </c>
      <c r="F324" s="5" t="str">
        <f>IFERROR(VLOOKUP($C$2&amp;"-"&amp;E324,IRRADIAÇÃO!A:C,3,0),1)</f>
        <v>Mairinque</v>
      </c>
    </row>
    <row r="325" spans="5:6">
      <c r="E325" s="5">
        <v>324</v>
      </c>
      <c r="F325" s="5" t="str">
        <f>IFERROR(VLOOKUP($C$2&amp;"-"&amp;E325,IRRADIAÇÃO!A:C,3,0),1)</f>
        <v>Mairiporã</v>
      </c>
    </row>
    <row r="326" spans="5:6">
      <c r="E326" s="5">
        <v>325</v>
      </c>
      <c r="F326" s="5" t="str">
        <f>IFERROR(VLOOKUP($C$2&amp;"-"&amp;E326,IRRADIAÇÃO!A:C,3,0),1)</f>
        <v>Manduri</v>
      </c>
    </row>
    <row r="327" spans="5:6">
      <c r="E327" s="5">
        <v>326</v>
      </c>
      <c r="F327" s="5" t="str">
        <f>IFERROR(VLOOKUP($C$2&amp;"-"&amp;E327,IRRADIAÇÃO!A:C,3,0),1)</f>
        <v>Marabá Paulista</v>
      </c>
    </row>
    <row r="328" spans="5:6">
      <c r="E328" s="5">
        <v>327</v>
      </c>
      <c r="F328" s="5" t="str">
        <f>IFERROR(VLOOKUP($C$2&amp;"-"&amp;E328,IRRADIAÇÃO!A:C,3,0),1)</f>
        <v>MaracaÃ­</v>
      </c>
    </row>
    <row r="329" spans="5:6">
      <c r="E329" s="5">
        <v>328</v>
      </c>
      <c r="F329" s="5" t="str">
        <f>IFERROR(VLOOKUP($C$2&amp;"-"&amp;E329,IRRADIAÇÃO!A:C,3,0),1)</f>
        <v>MarÃ­lia</v>
      </c>
    </row>
    <row r="330" spans="5:6">
      <c r="E330" s="5">
        <v>329</v>
      </c>
      <c r="F330" s="5" t="str">
        <f>IFERROR(VLOOKUP($C$2&amp;"-"&amp;E330,IRRADIAÇÃO!A:C,3,0),1)</f>
        <v>Marapoama</v>
      </c>
    </row>
    <row r="331" spans="5:6">
      <c r="E331" s="5">
        <v>330</v>
      </c>
      <c r="F331" s="5" t="str">
        <f>IFERROR(VLOOKUP($C$2&amp;"-"&amp;E331,IRRADIAÇÃO!A:C,3,0),1)</f>
        <v>Mariápolis</v>
      </c>
    </row>
    <row r="332" spans="5:6">
      <c r="E332" s="5">
        <v>331</v>
      </c>
      <c r="F332" s="5" t="str">
        <f>IFERROR(VLOOKUP($C$2&amp;"-"&amp;E332,IRRADIAÇÃO!A:C,3,0),1)</f>
        <v>Marinópolis</v>
      </c>
    </row>
    <row r="333" spans="5:6">
      <c r="E333" s="5">
        <v>332</v>
      </c>
      <c r="F333" s="5" t="str">
        <f>IFERROR(VLOOKUP($C$2&amp;"-"&amp;E333,IRRADIAÇÃO!A:C,3,0),1)</f>
        <v>Martinópolis</v>
      </c>
    </row>
    <row r="334" spans="5:6">
      <c r="E334" s="5">
        <v>333</v>
      </c>
      <c r="F334" s="5" t="str">
        <f>IFERROR(VLOOKUP($C$2&amp;"-"&amp;E334,IRRADIAÇÃO!A:C,3,0),1)</f>
        <v>Matão</v>
      </c>
    </row>
    <row r="335" spans="5:6">
      <c r="E335" s="5">
        <v>334</v>
      </c>
      <c r="F335" s="5" t="str">
        <f>IFERROR(VLOOKUP($C$2&amp;"-"&amp;E335,IRRADIAÇÃO!A:C,3,0),1)</f>
        <v>Mauá</v>
      </c>
    </row>
    <row r="336" spans="5:6">
      <c r="E336" s="5">
        <v>335</v>
      </c>
      <c r="F336" s="5" t="str">
        <f>IFERROR(VLOOKUP($C$2&amp;"-"&amp;E336,IRRADIAÇÃO!A:C,3,0),1)</f>
        <v>Mendonça</v>
      </c>
    </row>
    <row r="337" spans="5:6">
      <c r="E337" s="5">
        <v>336</v>
      </c>
      <c r="F337" s="5" t="str">
        <f>IFERROR(VLOOKUP($C$2&amp;"-"&amp;E337,IRRADIAÇÃO!A:C,3,0),1)</f>
        <v>Meridiano</v>
      </c>
    </row>
    <row r="338" spans="5:6">
      <c r="E338" s="5">
        <v>337</v>
      </c>
      <c r="F338" s="5" t="str">
        <f>IFERROR(VLOOKUP($C$2&amp;"-"&amp;E338,IRRADIAÇÃO!A:C,3,0),1)</f>
        <v>Mesópolis</v>
      </c>
    </row>
    <row r="339" spans="5:6">
      <c r="E339" s="5">
        <v>338</v>
      </c>
      <c r="F339" s="5" t="str">
        <f>IFERROR(VLOOKUP($C$2&amp;"-"&amp;E339,IRRADIAÇÃO!A:C,3,0),1)</f>
        <v>Miguelópolis</v>
      </c>
    </row>
    <row r="340" spans="5:6">
      <c r="E340" s="5">
        <v>339</v>
      </c>
      <c r="F340" s="5" t="str">
        <f>IFERROR(VLOOKUP($C$2&amp;"-"&amp;E340,IRRADIAÇÃO!A:C,3,0),1)</f>
        <v>Mineiros do Tietê</v>
      </c>
    </row>
    <row r="341" spans="5:6">
      <c r="E341" s="5">
        <v>340</v>
      </c>
      <c r="F341" s="5" t="str">
        <f>IFERROR(VLOOKUP($C$2&amp;"-"&amp;E341,IRRADIAÇÃO!A:C,3,0),1)</f>
        <v>Mira Estrela</v>
      </c>
    </row>
    <row r="342" spans="5:6">
      <c r="E342" s="5">
        <v>341</v>
      </c>
      <c r="F342" s="5" t="str">
        <f>IFERROR(VLOOKUP($C$2&amp;"-"&amp;E342,IRRADIAÇÃO!A:C,3,0),1)</f>
        <v>Miracatu</v>
      </c>
    </row>
    <row r="343" spans="5:6">
      <c r="E343" s="5">
        <v>342</v>
      </c>
      <c r="F343" s="5" t="str">
        <f>IFERROR(VLOOKUP($C$2&amp;"-"&amp;E343,IRRADIAÇÃO!A:C,3,0),1)</f>
        <v>Mirandópolis</v>
      </c>
    </row>
    <row r="344" spans="5:6">
      <c r="E344" s="5">
        <v>343</v>
      </c>
      <c r="F344" s="5" t="str">
        <f>IFERROR(VLOOKUP($C$2&amp;"-"&amp;E344,IRRADIAÇÃO!A:C,3,0),1)</f>
        <v>Mirante do Paranapanema</v>
      </c>
    </row>
    <row r="345" spans="5:6">
      <c r="E345" s="5">
        <v>344</v>
      </c>
      <c r="F345" s="5" t="str">
        <f>IFERROR(VLOOKUP($C$2&amp;"-"&amp;E345,IRRADIAÇÃO!A:C,3,0),1)</f>
        <v>Mirassol</v>
      </c>
    </row>
    <row r="346" spans="5:6">
      <c r="E346" s="5">
        <v>345</v>
      </c>
      <c r="F346" s="5" t="str">
        <f>IFERROR(VLOOKUP($C$2&amp;"-"&amp;E346,IRRADIAÇÃO!A:C,3,0),1)</f>
        <v>Mirassolândia</v>
      </c>
    </row>
    <row r="347" spans="5:6">
      <c r="E347" s="5">
        <v>346</v>
      </c>
      <c r="F347" s="5" t="str">
        <f>IFERROR(VLOOKUP($C$2&amp;"-"&amp;E347,IRRADIAÇÃO!A:C,3,0),1)</f>
        <v>Mococa</v>
      </c>
    </row>
    <row r="348" spans="5:6">
      <c r="E348" s="5">
        <v>347</v>
      </c>
      <c r="F348" s="5" t="str">
        <f>IFERROR(VLOOKUP($C$2&amp;"-"&amp;E348,IRRADIAÇÃO!A:C,3,0),1)</f>
        <v>Mogi das Cruzes</v>
      </c>
    </row>
    <row r="349" spans="5:6">
      <c r="E349" s="5">
        <v>348</v>
      </c>
      <c r="F349" s="5" t="str">
        <f>IFERROR(VLOOKUP($C$2&amp;"-"&amp;E349,IRRADIAÇÃO!A:C,3,0),1)</f>
        <v>Mogi Guaçu</v>
      </c>
    </row>
    <row r="350" spans="5:6">
      <c r="E350" s="5">
        <v>349</v>
      </c>
      <c r="F350" s="5" t="str">
        <f>IFERROR(VLOOKUP($C$2&amp;"-"&amp;E350,IRRADIAÇÃO!A:C,3,0),1)</f>
        <v>Mogi Mirim</v>
      </c>
    </row>
    <row r="351" spans="5:6">
      <c r="E351" s="5">
        <v>350</v>
      </c>
      <c r="F351" s="5" t="str">
        <f>IFERROR(VLOOKUP($C$2&amp;"-"&amp;E351,IRRADIAÇÃO!A:C,3,0),1)</f>
        <v>Mombuca</v>
      </c>
    </row>
    <row r="352" spans="5:6">
      <c r="E352" s="5">
        <v>351</v>
      </c>
      <c r="F352" s="5" t="str">
        <f>IFERROR(VLOOKUP($C$2&amp;"-"&amp;E352,IRRADIAÇÃO!A:C,3,0),1)</f>
        <v>Monções</v>
      </c>
    </row>
    <row r="353" spans="5:6">
      <c r="E353" s="5">
        <v>352</v>
      </c>
      <c r="F353" s="5" t="str">
        <f>IFERROR(VLOOKUP($C$2&amp;"-"&amp;E353,IRRADIAÇÃO!A:C,3,0),1)</f>
        <v>Mongaguá</v>
      </c>
    </row>
    <row r="354" spans="5:6">
      <c r="E354" s="5">
        <v>353</v>
      </c>
      <c r="F354" s="5" t="str">
        <f>IFERROR(VLOOKUP($C$2&amp;"-"&amp;E354,IRRADIAÇÃO!A:C,3,0),1)</f>
        <v>Monte Alegre do Sul</v>
      </c>
    </row>
    <row r="355" spans="5:6">
      <c r="E355" s="5">
        <v>354</v>
      </c>
      <c r="F355" s="5" t="str">
        <f>IFERROR(VLOOKUP($C$2&amp;"-"&amp;E355,IRRADIAÇÃO!A:C,3,0),1)</f>
        <v>Monte Alto</v>
      </c>
    </row>
    <row r="356" spans="5:6">
      <c r="E356" s="5">
        <v>355</v>
      </c>
      <c r="F356" s="5" t="str">
        <f>IFERROR(VLOOKUP($C$2&amp;"-"&amp;E356,IRRADIAÇÃO!A:C,3,0),1)</f>
        <v>Monte AprazÃ­vel</v>
      </c>
    </row>
    <row r="357" spans="5:6">
      <c r="E357" s="5">
        <v>356</v>
      </c>
      <c r="F357" s="5" t="str">
        <f>IFERROR(VLOOKUP($C$2&amp;"-"&amp;E357,IRRADIAÇÃO!A:C,3,0),1)</f>
        <v>Monte Azul Paulista</v>
      </c>
    </row>
    <row r="358" spans="5:6">
      <c r="E358" s="5">
        <v>357</v>
      </c>
      <c r="F358" s="5" t="str">
        <f>IFERROR(VLOOKUP($C$2&amp;"-"&amp;E358,IRRADIAÇÃO!A:C,3,0),1)</f>
        <v>Monte Castelo</v>
      </c>
    </row>
    <row r="359" spans="5:6">
      <c r="E359" s="5">
        <v>358</v>
      </c>
      <c r="F359" s="5" t="str">
        <f>IFERROR(VLOOKUP($C$2&amp;"-"&amp;E359,IRRADIAÇÃO!A:C,3,0),1)</f>
        <v>Monte Mor</v>
      </c>
    </row>
    <row r="360" spans="5:6">
      <c r="E360" s="5">
        <v>359</v>
      </c>
      <c r="F360" s="5" t="str">
        <f>IFERROR(VLOOKUP($C$2&amp;"-"&amp;E360,IRRADIAÇÃO!A:C,3,0),1)</f>
        <v>Monteiro Lobato</v>
      </c>
    </row>
    <row r="361" spans="5:6">
      <c r="E361" s="5">
        <v>360</v>
      </c>
      <c r="F361" s="5" t="str">
        <f>IFERROR(VLOOKUP($C$2&amp;"-"&amp;E361,IRRADIAÇÃO!A:C,3,0),1)</f>
        <v>Morro Agudo</v>
      </c>
    </row>
    <row r="362" spans="5:6">
      <c r="E362" s="5">
        <v>361</v>
      </c>
      <c r="F362" s="5" t="str">
        <f>IFERROR(VLOOKUP($C$2&amp;"-"&amp;E362,IRRADIAÇÃO!A:C,3,0),1)</f>
        <v>Morungaba</v>
      </c>
    </row>
    <row r="363" spans="5:6">
      <c r="E363" s="5">
        <v>362</v>
      </c>
      <c r="F363" s="5" t="str">
        <f>IFERROR(VLOOKUP($C$2&amp;"-"&amp;E363,IRRADIAÇÃO!A:C,3,0),1)</f>
        <v>Motuca</v>
      </c>
    </row>
    <row r="364" spans="5:6">
      <c r="E364" s="5">
        <v>363</v>
      </c>
      <c r="F364" s="5" t="str">
        <f>IFERROR(VLOOKUP($C$2&amp;"-"&amp;E364,IRRADIAÇÃO!A:C,3,0),1)</f>
        <v>Murutinga do Sul</v>
      </c>
    </row>
    <row r="365" spans="5:6">
      <c r="E365" s="5">
        <v>364</v>
      </c>
      <c r="F365" s="5" t="str">
        <f>IFERROR(VLOOKUP($C$2&amp;"-"&amp;E365,IRRADIAÇÃO!A:C,3,0),1)</f>
        <v>Nantes</v>
      </c>
    </row>
    <row r="366" spans="5:6">
      <c r="E366" s="5">
        <v>365</v>
      </c>
      <c r="F366" s="5" t="str">
        <f>IFERROR(VLOOKUP($C$2&amp;"-"&amp;E366,IRRADIAÇÃO!A:C,3,0),1)</f>
        <v>Narandiba</v>
      </c>
    </row>
    <row r="367" spans="5:6">
      <c r="E367" s="5">
        <v>366</v>
      </c>
      <c r="F367" s="5" t="str">
        <f>IFERROR(VLOOKUP($C$2&amp;"-"&amp;E367,IRRADIAÇÃO!A:C,3,0),1)</f>
        <v>Natividade da Serra</v>
      </c>
    </row>
    <row r="368" spans="5:6">
      <c r="E368" s="5">
        <v>367</v>
      </c>
      <c r="F368" s="5" t="str">
        <f>IFERROR(VLOOKUP($C$2&amp;"-"&amp;E368,IRRADIAÇÃO!A:C,3,0),1)</f>
        <v>Nazaré Paulista</v>
      </c>
    </row>
    <row r="369" spans="5:6">
      <c r="E369" s="5">
        <v>368</v>
      </c>
      <c r="F369" s="5" t="str">
        <f>IFERROR(VLOOKUP($C$2&amp;"-"&amp;E369,IRRADIAÇÃO!A:C,3,0),1)</f>
        <v>Neves Paulista</v>
      </c>
    </row>
    <row r="370" spans="5:6">
      <c r="E370" s="5">
        <v>369</v>
      </c>
      <c r="F370" s="5" t="str">
        <f>IFERROR(VLOOKUP($C$2&amp;"-"&amp;E370,IRRADIAÇÃO!A:C,3,0),1)</f>
        <v>Nhandeara</v>
      </c>
    </row>
    <row r="371" spans="5:6">
      <c r="E371" s="5">
        <v>370</v>
      </c>
      <c r="F371" s="5" t="str">
        <f>IFERROR(VLOOKUP($C$2&amp;"-"&amp;E371,IRRADIAÇÃO!A:C,3,0),1)</f>
        <v>Nipoã</v>
      </c>
    </row>
    <row r="372" spans="5:6">
      <c r="E372" s="5">
        <v>371</v>
      </c>
      <c r="F372" s="5" t="str">
        <f>IFERROR(VLOOKUP($C$2&amp;"-"&amp;E372,IRRADIAÇÃO!A:C,3,0),1)</f>
        <v>Nova Aliança</v>
      </c>
    </row>
    <row r="373" spans="5:6">
      <c r="E373" s="5">
        <v>372</v>
      </c>
      <c r="F373" s="5" t="str">
        <f>IFERROR(VLOOKUP($C$2&amp;"-"&amp;E373,IRRADIAÇÃO!A:C,3,0),1)</f>
        <v>Nova Campina</v>
      </c>
    </row>
    <row r="374" spans="5:6">
      <c r="E374" s="5">
        <v>373</v>
      </c>
      <c r="F374" s="5" t="str">
        <f>IFERROR(VLOOKUP($C$2&amp;"-"&amp;E374,IRRADIAÇÃO!A:C,3,0),1)</f>
        <v>Nova Canaã Paulista</v>
      </c>
    </row>
    <row r="375" spans="5:6">
      <c r="E375" s="5">
        <v>374</v>
      </c>
      <c r="F375" s="5" t="str">
        <f>IFERROR(VLOOKUP($C$2&amp;"-"&amp;E375,IRRADIAÇÃO!A:C,3,0),1)</f>
        <v>Nova Castilho</v>
      </c>
    </row>
    <row r="376" spans="5:6">
      <c r="E376" s="5">
        <v>375</v>
      </c>
      <c r="F376" s="5" t="str">
        <f>IFERROR(VLOOKUP($C$2&amp;"-"&amp;E376,IRRADIAÇÃO!A:C,3,0),1)</f>
        <v>Nova Europa</v>
      </c>
    </row>
    <row r="377" spans="5:6">
      <c r="E377" s="5">
        <v>376</v>
      </c>
      <c r="F377" s="5" t="str">
        <f>IFERROR(VLOOKUP($C$2&amp;"-"&amp;E377,IRRADIAÇÃO!A:C,3,0),1)</f>
        <v>Nova Granada</v>
      </c>
    </row>
    <row r="378" spans="5:6">
      <c r="E378" s="5">
        <v>377</v>
      </c>
      <c r="F378" s="5" t="str">
        <f>IFERROR(VLOOKUP($C$2&amp;"-"&amp;E378,IRRADIAÇÃO!A:C,3,0),1)</f>
        <v>Nova Guataporanga</v>
      </c>
    </row>
    <row r="379" spans="5:6">
      <c r="E379" s="5">
        <v>378</v>
      </c>
      <c r="F379" s="5" t="str">
        <f>IFERROR(VLOOKUP($C$2&amp;"-"&amp;E379,IRRADIAÇÃO!A:C,3,0),1)</f>
        <v>Nova Independência</v>
      </c>
    </row>
    <row r="380" spans="5:6">
      <c r="E380" s="5">
        <v>379</v>
      </c>
      <c r="F380" s="5" t="str">
        <f>IFERROR(VLOOKUP($C$2&amp;"-"&amp;E380,IRRADIAÇÃO!A:C,3,0),1)</f>
        <v>Nova Luzitânia</v>
      </c>
    </row>
    <row r="381" spans="5:6">
      <c r="E381" s="5">
        <v>380</v>
      </c>
      <c r="F381" s="5" t="str">
        <f>IFERROR(VLOOKUP($C$2&amp;"-"&amp;E381,IRRADIAÇÃO!A:C,3,0),1)</f>
        <v>Nova Odessa</v>
      </c>
    </row>
    <row r="382" spans="5:6">
      <c r="E382" s="5">
        <v>381</v>
      </c>
      <c r="F382" s="5" t="str">
        <f>IFERROR(VLOOKUP($C$2&amp;"-"&amp;E382,IRRADIAÇÃO!A:C,3,0),1)</f>
        <v>Novais</v>
      </c>
    </row>
    <row r="383" spans="5:6">
      <c r="E383" s="5">
        <v>382</v>
      </c>
      <c r="F383" s="5" t="str">
        <f>IFERROR(VLOOKUP($C$2&amp;"-"&amp;E383,IRRADIAÇÃO!A:C,3,0),1)</f>
        <v>Novo Horizonte</v>
      </c>
    </row>
    <row r="384" spans="5:6">
      <c r="E384" s="5">
        <v>383</v>
      </c>
      <c r="F384" s="5" t="str">
        <f>IFERROR(VLOOKUP($C$2&amp;"-"&amp;E384,IRRADIAÇÃO!A:C,3,0),1)</f>
        <v>Nuporanga</v>
      </c>
    </row>
    <row r="385" spans="5:6">
      <c r="E385" s="5">
        <v>384</v>
      </c>
      <c r="F385" s="5" t="str">
        <f>IFERROR(VLOOKUP($C$2&amp;"-"&amp;E385,IRRADIAÇÃO!A:C,3,0),1)</f>
        <v>Ocauçu</v>
      </c>
    </row>
    <row r="386" spans="5:6">
      <c r="E386" s="5">
        <v>385</v>
      </c>
      <c r="F386" s="5" t="str">
        <f>IFERROR(VLOOKUP($C$2&amp;"-"&amp;E386,IRRADIAÇÃO!A:C,3,0),1)</f>
        <v>OlÃ­mpia</v>
      </c>
    </row>
    <row r="387" spans="5:6">
      <c r="E387" s="5">
        <v>386</v>
      </c>
      <c r="F387" s="5" t="str">
        <f>IFERROR(VLOOKUP($C$2&amp;"-"&amp;E387,IRRADIAÇÃO!A:C,3,0),1)</f>
        <v>Onda Verde</v>
      </c>
    </row>
    <row r="388" spans="5:6">
      <c r="E388" s="5">
        <v>387</v>
      </c>
      <c r="F388" s="5" t="str">
        <f>IFERROR(VLOOKUP($C$2&amp;"-"&amp;E388,IRRADIAÇÃO!A:C,3,0),1)</f>
        <v>Oriente</v>
      </c>
    </row>
    <row r="389" spans="5:6">
      <c r="E389" s="5">
        <v>388</v>
      </c>
      <c r="F389" s="5" t="str">
        <f>IFERROR(VLOOKUP($C$2&amp;"-"&amp;E389,IRRADIAÇÃO!A:C,3,0),1)</f>
        <v>Orindiúva</v>
      </c>
    </row>
    <row r="390" spans="5:6">
      <c r="E390" s="5">
        <v>389</v>
      </c>
      <c r="F390" s="5" t="str">
        <f>IFERROR(VLOOKUP($C$2&amp;"-"&amp;E390,IRRADIAÇÃO!A:C,3,0),1)</f>
        <v>Orlândia</v>
      </c>
    </row>
    <row r="391" spans="5:6">
      <c r="E391" s="5">
        <v>390</v>
      </c>
      <c r="F391" s="5" t="str">
        <f>IFERROR(VLOOKUP($C$2&amp;"-"&amp;E391,IRRADIAÇÃO!A:C,3,0),1)</f>
        <v>Osasco</v>
      </c>
    </row>
    <row r="392" spans="5:6">
      <c r="E392" s="5">
        <v>391</v>
      </c>
      <c r="F392" s="5" t="str">
        <f>IFERROR(VLOOKUP($C$2&amp;"-"&amp;E392,IRRADIAÇÃO!A:C,3,0),1)</f>
        <v>Oscar Bressane</v>
      </c>
    </row>
    <row r="393" spans="5:6">
      <c r="E393" s="5">
        <v>392</v>
      </c>
      <c r="F393" s="5" t="str">
        <f>IFERROR(VLOOKUP($C$2&amp;"-"&amp;E393,IRRADIAÇÃO!A:C,3,0),1)</f>
        <v>Osvaldo Cruz</v>
      </c>
    </row>
    <row r="394" spans="5:6">
      <c r="E394" s="5">
        <v>393</v>
      </c>
      <c r="F394" s="5" t="str">
        <f>IFERROR(VLOOKUP($C$2&amp;"-"&amp;E394,IRRADIAÇÃO!A:C,3,0),1)</f>
        <v>Ourinhos</v>
      </c>
    </row>
    <row r="395" spans="5:6">
      <c r="E395" s="5">
        <v>394</v>
      </c>
      <c r="F395" s="5" t="str">
        <f>IFERROR(VLOOKUP($C$2&amp;"-"&amp;E395,IRRADIAÇÃO!A:C,3,0),1)</f>
        <v>Ouro Verde</v>
      </c>
    </row>
    <row r="396" spans="5:6">
      <c r="E396" s="5">
        <v>395</v>
      </c>
      <c r="F396" s="5" t="str">
        <f>IFERROR(VLOOKUP($C$2&amp;"-"&amp;E396,IRRADIAÇÃO!A:C,3,0),1)</f>
        <v>Ouroeste</v>
      </c>
    </row>
    <row r="397" spans="5:6">
      <c r="E397" s="5">
        <v>396</v>
      </c>
      <c r="F397" s="5" t="str">
        <f>IFERROR(VLOOKUP($C$2&amp;"-"&amp;E397,IRRADIAÇÃO!A:C,3,0),1)</f>
        <v>Pacaembu</v>
      </c>
    </row>
    <row r="398" spans="5:6">
      <c r="E398" s="5">
        <v>397</v>
      </c>
      <c r="F398" s="5" t="str">
        <f>IFERROR(VLOOKUP($C$2&amp;"-"&amp;E398,IRRADIAÇÃO!A:C,3,0),1)</f>
        <v>Palestina</v>
      </c>
    </row>
    <row r="399" spans="5:6">
      <c r="E399" s="5">
        <v>398</v>
      </c>
      <c r="F399" s="5" t="str">
        <f>IFERROR(VLOOKUP($C$2&amp;"-"&amp;E399,IRRADIAÇÃO!A:C,3,0),1)</f>
        <v>Palmares Paulista</v>
      </c>
    </row>
    <row r="400" spans="5:6">
      <c r="E400" s="5">
        <v>399</v>
      </c>
      <c r="F400" s="5" t="str">
        <f>IFERROR(VLOOKUP($C$2&amp;"-"&amp;E400,IRRADIAÇÃO!A:C,3,0),1)</f>
        <v>Palmeira d'Oeste</v>
      </c>
    </row>
    <row r="401" spans="5:6">
      <c r="E401" s="5">
        <v>400</v>
      </c>
      <c r="F401" s="5" t="str">
        <f>IFERROR(VLOOKUP($C$2&amp;"-"&amp;E401,IRRADIAÇÃO!A:C,3,0),1)</f>
        <v>Palmital</v>
      </c>
    </row>
    <row r="402" spans="5:6">
      <c r="E402" s="5">
        <v>401</v>
      </c>
      <c r="F402" s="5" t="str">
        <f>IFERROR(VLOOKUP($C$2&amp;"-"&amp;E402,IRRADIAÇÃO!A:C,3,0),1)</f>
        <v>Panorama</v>
      </c>
    </row>
    <row r="403" spans="5:6">
      <c r="E403" s="5">
        <v>402</v>
      </c>
      <c r="F403" s="5" t="str">
        <f>IFERROR(VLOOKUP($C$2&amp;"-"&amp;E403,IRRADIAÇÃO!A:C,3,0),1)</f>
        <v>ParaÃ­so</v>
      </c>
    </row>
    <row r="404" spans="5:6">
      <c r="E404" s="5">
        <v>403</v>
      </c>
      <c r="F404" s="5" t="str">
        <f>IFERROR(VLOOKUP($C$2&amp;"-"&amp;E404,IRRADIAÇÃO!A:C,3,0),1)</f>
        <v>Paraguaçu Paulista</v>
      </c>
    </row>
    <row r="405" spans="5:6">
      <c r="E405" s="5">
        <v>404</v>
      </c>
      <c r="F405" s="5" t="str">
        <f>IFERROR(VLOOKUP($C$2&amp;"-"&amp;E405,IRRADIAÇÃO!A:C,3,0),1)</f>
        <v>Paraibuna</v>
      </c>
    </row>
    <row r="406" spans="5:6">
      <c r="E406" s="5">
        <v>405</v>
      </c>
      <c r="F406" s="5" t="str">
        <f>IFERROR(VLOOKUP($C$2&amp;"-"&amp;E406,IRRADIAÇÃO!A:C,3,0),1)</f>
        <v>Paranapanema</v>
      </c>
    </row>
    <row r="407" spans="5:6">
      <c r="E407" s="5">
        <v>406</v>
      </c>
      <c r="F407" s="5" t="str">
        <f>IFERROR(VLOOKUP($C$2&amp;"-"&amp;E407,IRRADIAÇÃO!A:C,3,0),1)</f>
        <v>Paranapuã</v>
      </c>
    </row>
    <row r="408" spans="5:6">
      <c r="E408" s="5">
        <v>407</v>
      </c>
      <c r="F408" s="5" t="str">
        <f>IFERROR(VLOOKUP($C$2&amp;"-"&amp;E408,IRRADIAÇÃO!A:C,3,0),1)</f>
        <v>Parapuã</v>
      </c>
    </row>
    <row r="409" spans="5:6">
      <c r="E409" s="5">
        <v>408</v>
      </c>
      <c r="F409" s="5" t="str">
        <f>IFERROR(VLOOKUP($C$2&amp;"-"&amp;E409,IRRADIAÇÃO!A:C,3,0),1)</f>
        <v>Pardinho</v>
      </c>
    </row>
    <row r="410" spans="5:6">
      <c r="E410" s="5">
        <v>409</v>
      </c>
      <c r="F410" s="5" t="str">
        <f>IFERROR(VLOOKUP($C$2&amp;"-"&amp;E410,IRRADIAÇÃO!A:C,3,0),1)</f>
        <v>Pariquera-Açu</v>
      </c>
    </row>
    <row r="411" spans="5:6">
      <c r="E411" s="5">
        <v>410</v>
      </c>
      <c r="F411" s="5" t="str">
        <f>IFERROR(VLOOKUP($C$2&amp;"-"&amp;E411,IRRADIAÇÃO!A:C,3,0),1)</f>
        <v>Parisi</v>
      </c>
    </row>
    <row r="412" spans="5:6">
      <c r="E412" s="5">
        <v>411</v>
      </c>
      <c r="F412" s="5" t="str">
        <f>IFERROR(VLOOKUP($C$2&amp;"-"&amp;E412,IRRADIAÇÃO!A:C,3,0),1)</f>
        <v>PatrocÃ­nio Paulista</v>
      </c>
    </row>
    <row r="413" spans="5:6">
      <c r="E413" s="5">
        <v>412</v>
      </c>
      <c r="F413" s="5" t="str">
        <f>IFERROR(VLOOKUP($C$2&amp;"-"&amp;E413,IRRADIAÇÃO!A:C,3,0),1)</f>
        <v>PaulÃ­nia</v>
      </c>
    </row>
    <row r="414" spans="5:6">
      <c r="E414" s="5">
        <v>413</v>
      </c>
      <c r="F414" s="5" t="str">
        <f>IFERROR(VLOOKUP($C$2&amp;"-"&amp;E414,IRRADIAÇÃO!A:C,3,0),1)</f>
        <v>Paulicéia</v>
      </c>
    </row>
    <row r="415" spans="5:6">
      <c r="E415" s="5">
        <v>414</v>
      </c>
      <c r="F415" s="5" t="str">
        <f>IFERROR(VLOOKUP($C$2&amp;"-"&amp;E415,IRRADIAÇÃO!A:C,3,0),1)</f>
        <v>Paulistânia</v>
      </c>
    </row>
    <row r="416" spans="5:6">
      <c r="E416" s="5">
        <v>415</v>
      </c>
      <c r="F416" s="5" t="str">
        <f>IFERROR(VLOOKUP($C$2&amp;"-"&amp;E416,IRRADIAÇÃO!A:C,3,0),1)</f>
        <v>Paulo de Faria</v>
      </c>
    </row>
    <row r="417" spans="5:6">
      <c r="E417" s="5">
        <v>416</v>
      </c>
      <c r="F417" s="5" t="str">
        <f>IFERROR(VLOOKUP($C$2&amp;"-"&amp;E417,IRRADIAÇÃO!A:C,3,0),1)</f>
        <v>Pederneiras</v>
      </c>
    </row>
    <row r="418" spans="5:6">
      <c r="E418" s="5">
        <v>417</v>
      </c>
      <c r="F418" s="5" t="str">
        <f>IFERROR(VLOOKUP($C$2&amp;"-"&amp;E418,IRRADIAÇÃO!A:C,3,0),1)</f>
        <v>Pedra Bela</v>
      </c>
    </row>
    <row r="419" spans="5:6">
      <c r="E419" s="5">
        <v>418</v>
      </c>
      <c r="F419" s="5" t="str">
        <f>IFERROR(VLOOKUP($C$2&amp;"-"&amp;E419,IRRADIAÇÃO!A:C,3,0),1)</f>
        <v>Pedranópolis</v>
      </c>
    </row>
    <row r="420" spans="5:6">
      <c r="E420" s="5">
        <v>419</v>
      </c>
      <c r="F420" s="5" t="str">
        <f>IFERROR(VLOOKUP($C$2&amp;"-"&amp;E420,IRRADIAÇÃO!A:C,3,0),1)</f>
        <v>Pedregulho</v>
      </c>
    </row>
    <row r="421" spans="5:6">
      <c r="E421" s="5">
        <v>420</v>
      </c>
      <c r="F421" s="5" t="str">
        <f>IFERROR(VLOOKUP($C$2&amp;"-"&amp;E421,IRRADIAÇÃO!A:C,3,0),1)</f>
        <v>Pedreira</v>
      </c>
    </row>
    <row r="422" spans="5:6">
      <c r="E422" s="5">
        <v>421</v>
      </c>
      <c r="F422" s="5" t="str">
        <f>IFERROR(VLOOKUP($C$2&amp;"-"&amp;E422,IRRADIAÇÃO!A:C,3,0),1)</f>
        <v>Pedrinhas Paulista</v>
      </c>
    </row>
    <row r="423" spans="5:6">
      <c r="E423" s="5">
        <v>422</v>
      </c>
      <c r="F423" s="5" t="str">
        <f>IFERROR(VLOOKUP($C$2&amp;"-"&amp;E423,IRRADIAÇÃO!A:C,3,0),1)</f>
        <v>Pedro de Toledo</v>
      </c>
    </row>
    <row r="424" spans="5:6">
      <c r="E424" s="5">
        <v>423</v>
      </c>
      <c r="F424" s="5" t="str">
        <f>IFERROR(VLOOKUP($C$2&amp;"-"&amp;E424,IRRADIAÇÃO!A:C,3,0),1)</f>
        <v>Penápolis</v>
      </c>
    </row>
    <row r="425" spans="5:6">
      <c r="E425" s="5">
        <v>424</v>
      </c>
      <c r="F425" s="5" t="str">
        <f>IFERROR(VLOOKUP($C$2&amp;"-"&amp;E425,IRRADIAÇÃO!A:C,3,0),1)</f>
        <v>Pereira Barreto</v>
      </c>
    </row>
    <row r="426" spans="5:6">
      <c r="E426" s="5">
        <v>425</v>
      </c>
      <c r="F426" s="5" t="str">
        <f>IFERROR(VLOOKUP($C$2&amp;"-"&amp;E426,IRRADIAÇÃO!A:C,3,0),1)</f>
        <v>Pereiras</v>
      </c>
    </row>
    <row r="427" spans="5:6">
      <c r="E427" s="5">
        <v>426</v>
      </c>
      <c r="F427" s="5" t="str">
        <f>IFERROR(VLOOKUP($C$2&amp;"-"&amp;E427,IRRADIAÇÃO!A:C,3,0),1)</f>
        <v>PeruÃ­be</v>
      </c>
    </row>
    <row r="428" spans="5:6">
      <c r="E428" s="5">
        <v>427</v>
      </c>
      <c r="F428" s="5" t="str">
        <f>IFERROR(VLOOKUP($C$2&amp;"-"&amp;E428,IRRADIAÇÃO!A:C,3,0),1)</f>
        <v>Piacatu</v>
      </c>
    </row>
    <row r="429" spans="5:6">
      <c r="E429" s="5">
        <v>428</v>
      </c>
      <c r="F429" s="5" t="str">
        <f>IFERROR(VLOOKUP($C$2&amp;"-"&amp;E429,IRRADIAÇÃO!A:C,3,0),1)</f>
        <v>Piedade</v>
      </c>
    </row>
    <row r="430" spans="5:6">
      <c r="E430" s="5">
        <v>429</v>
      </c>
      <c r="F430" s="5" t="str">
        <f>IFERROR(VLOOKUP($C$2&amp;"-"&amp;E430,IRRADIAÇÃO!A:C,3,0),1)</f>
        <v>Pilar do Sul</v>
      </c>
    </row>
    <row r="431" spans="5:6">
      <c r="E431" s="5">
        <v>430</v>
      </c>
      <c r="F431" s="5" t="str">
        <f>IFERROR(VLOOKUP($C$2&amp;"-"&amp;E431,IRRADIAÇÃO!A:C,3,0),1)</f>
        <v>Pindamonhangaba</v>
      </c>
    </row>
    <row r="432" spans="5:6">
      <c r="E432" s="5">
        <v>431</v>
      </c>
      <c r="F432" s="5" t="str">
        <f>IFERROR(VLOOKUP($C$2&amp;"-"&amp;E432,IRRADIAÇÃO!A:C,3,0),1)</f>
        <v>Pindorama</v>
      </c>
    </row>
    <row r="433" spans="5:6">
      <c r="E433" s="5">
        <v>432</v>
      </c>
      <c r="F433" s="5" t="str">
        <f>IFERROR(VLOOKUP($C$2&amp;"-"&amp;E433,IRRADIAÇÃO!A:C,3,0),1)</f>
        <v>Pinhalzinho</v>
      </c>
    </row>
    <row r="434" spans="5:6">
      <c r="E434" s="5">
        <v>433</v>
      </c>
      <c r="F434" s="5" t="str">
        <f>IFERROR(VLOOKUP($C$2&amp;"-"&amp;E434,IRRADIAÇÃO!A:C,3,0),1)</f>
        <v>Piquerobi</v>
      </c>
    </row>
    <row r="435" spans="5:6">
      <c r="E435" s="5">
        <v>434</v>
      </c>
      <c r="F435" s="5" t="str">
        <f>IFERROR(VLOOKUP($C$2&amp;"-"&amp;E435,IRRADIAÇÃO!A:C,3,0),1)</f>
        <v>Piquete</v>
      </c>
    </row>
    <row r="436" spans="5:6">
      <c r="E436" s="5">
        <v>435</v>
      </c>
      <c r="F436" s="5" t="str">
        <f>IFERROR(VLOOKUP($C$2&amp;"-"&amp;E436,IRRADIAÇÃO!A:C,3,0),1)</f>
        <v>Piracaia</v>
      </c>
    </row>
    <row r="437" spans="5:6">
      <c r="E437" s="5">
        <v>436</v>
      </c>
      <c r="F437" s="5" t="str">
        <f>IFERROR(VLOOKUP($C$2&amp;"-"&amp;E437,IRRADIAÇÃO!A:C,3,0),1)</f>
        <v>Piracicaba</v>
      </c>
    </row>
    <row r="438" spans="5:6">
      <c r="E438" s="5">
        <v>437</v>
      </c>
      <c r="F438" s="5" t="str">
        <f>IFERROR(VLOOKUP($C$2&amp;"-"&amp;E438,IRRADIAÇÃO!A:C,3,0),1)</f>
        <v>Piraju</v>
      </c>
    </row>
    <row r="439" spans="5:6">
      <c r="E439" s="5">
        <v>438</v>
      </c>
      <c r="F439" s="5" t="str">
        <f>IFERROR(VLOOKUP($C$2&amp;"-"&amp;E439,IRRADIAÇÃO!A:C,3,0),1)</f>
        <v>PirajuÃ­</v>
      </c>
    </row>
    <row r="440" spans="5:6">
      <c r="E440" s="5">
        <v>439</v>
      </c>
      <c r="F440" s="5" t="str">
        <f>IFERROR(VLOOKUP($C$2&amp;"-"&amp;E440,IRRADIAÇÃO!A:C,3,0),1)</f>
        <v>Pirangi</v>
      </c>
    </row>
    <row r="441" spans="5:6">
      <c r="E441" s="5">
        <v>440</v>
      </c>
      <c r="F441" s="5" t="str">
        <f>IFERROR(VLOOKUP($C$2&amp;"-"&amp;E441,IRRADIAÇÃO!A:C,3,0),1)</f>
        <v>Pirapora do Bom Jesus</v>
      </c>
    </row>
    <row r="442" spans="5:6">
      <c r="E442" s="5">
        <v>441</v>
      </c>
      <c r="F442" s="5" t="str">
        <f>IFERROR(VLOOKUP($C$2&amp;"-"&amp;E442,IRRADIAÇÃO!A:C,3,0),1)</f>
        <v>Pirapozinho</v>
      </c>
    </row>
    <row r="443" spans="5:6">
      <c r="E443" s="5">
        <v>442</v>
      </c>
      <c r="F443" s="5" t="str">
        <f>IFERROR(VLOOKUP($C$2&amp;"-"&amp;E443,IRRADIAÇÃO!A:C,3,0),1)</f>
        <v>Pirassununga</v>
      </c>
    </row>
    <row r="444" spans="5:6">
      <c r="E444" s="5">
        <v>443</v>
      </c>
      <c r="F444" s="5" t="str">
        <f>IFERROR(VLOOKUP($C$2&amp;"-"&amp;E444,IRRADIAÇÃO!A:C,3,0),1)</f>
        <v>Piratininga</v>
      </c>
    </row>
    <row r="445" spans="5:6">
      <c r="E445" s="5">
        <v>444</v>
      </c>
      <c r="F445" s="5" t="str">
        <f>IFERROR(VLOOKUP($C$2&amp;"-"&amp;E445,IRRADIAÇÃO!A:C,3,0),1)</f>
        <v>Pitangueiras</v>
      </c>
    </row>
    <row r="446" spans="5:6">
      <c r="E446" s="5">
        <v>445</v>
      </c>
      <c r="F446" s="5" t="str">
        <f>IFERROR(VLOOKUP($C$2&amp;"-"&amp;E446,IRRADIAÇÃO!A:C,3,0),1)</f>
        <v>Planalto</v>
      </c>
    </row>
    <row r="447" spans="5:6">
      <c r="E447" s="5">
        <v>446</v>
      </c>
      <c r="F447" s="5" t="str">
        <f>IFERROR(VLOOKUP($C$2&amp;"-"&amp;E447,IRRADIAÇÃO!A:C,3,0),1)</f>
        <v>Platina</v>
      </c>
    </row>
    <row r="448" spans="5:6">
      <c r="E448" s="5">
        <v>447</v>
      </c>
      <c r="F448" s="5" t="str">
        <f>IFERROR(VLOOKUP($C$2&amp;"-"&amp;E448,IRRADIAÇÃO!A:C,3,0),1)</f>
        <v>Poá</v>
      </c>
    </row>
    <row r="449" spans="5:6">
      <c r="E449" s="5">
        <v>448</v>
      </c>
      <c r="F449" s="5" t="str">
        <f>IFERROR(VLOOKUP($C$2&amp;"-"&amp;E449,IRRADIAÇÃO!A:C,3,0),1)</f>
        <v>Poloni</v>
      </c>
    </row>
    <row r="450" spans="5:6">
      <c r="E450" s="5">
        <v>449</v>
      </c>
      <c r="F450" s="5" t="str">
        <f>IFERROR(VLOOKUP($C$2&amp;"-"&amp;E450,IRRADIAÇÃO!A:C,3,0),1)</f>
        <v>Pompéia</v>
      </c>
    </row>
    <row r="451" spans="5:6">
      <c r="E451" s="5">
        <v>450</v>
      </c>
      <c r="F451" s="5" t="str">
        <f>IFERROR(VLOOKUP($C$2&amp;"-"&amp;E451,IRRADIAÇÃO!A:C,3,0),1)</f>
        <v>PongaÃ­</v>
      </c>
    </row>
    <row r="452" spans="5:6">
      <c r="E452" s="5">
        <v>451</v>
      </c>
      <c r="F452" s="5" t="str">
        <f>IFERROR(VLOOKUP($C$2&amp;"-"&amp;E452,IRRADIAÇÃO!A:C,3,0),1)</f>
        <v>Pontal</v>
      </c>
    </row>
    <row r="453" spans="5:6">
      <c r="E453" s="5">
        <v>452</v>
      </c>
      <c r="F453" s="5" t="str">
        <f>IFERROR(VLOOKUP($C$2&amp;"-"&amp;E453,IRRADIAÇÃO!A:C,3,0),1)</f>
        <v>Pontalinda</v>
      </c>
    </row>
    <row r="454" spans="5:6">
      <c r="E454" s="5">
        <v>453</v>
      </c>
      <c r="F454" s="5" t="str">
        <f>IFERROR(VLOOKUP($C$2&amp;"-"&amp;E454,IRRADIAÇÃO!A:C,3,0),1)</f>
        <v>Pontes Gestal</v>
      </c>
    </row>
    <row r="455" spans="5:6">
      <c r="E455" s="5">
        <v>454</v>
      </c>
      <c r="F455" s="5" t="str">
        <f>IFERROR(VLOOKUP($C$2&amp;"-"&amp;E455,IRRADIAÇÃO!A:C,3,0),1)</f>
        <v>Populina</v>
      </c>
    </row>
    <row r="456" spans="5:6">
      <c r="E456" s="5">
        <v>455</v>
      </c>
      <c r="F456" s="5" t="str">
        <f>IFERROR(VLOOKUP($C$2&amp;"-"&amp;E456,IRRADIAÇÃO!A:C,3,0),1)</f>
        <v>Porangaba</v>
      </c>
    </row>
    <row r="457" spans="5:6">
      <c r="E457" s="5">
        <v>456</v>
      </c>
      <c r="F457" s="5" t="str">
        <f>IFERROR(VLOOKUP($C$2&amp;"-"&amp;E457,IRRADIAÇÃO!A:C,3,0),1)</f>
        <v>Porto Feliz</v>
      </c>
    </row>
    <row r="458" spans="5:6">
      <c r="E458" s="5">
        <v>457</v>
      </c>
      <c r="F458" s="5" t="str">
        <f>IFERROR(VLOOKUP($C$2&amp;"-"&amp;E458,IRRADIAÇÃO!A:C,3,0),1)</f>
        <v>Porto Ferreira</v>
      </c>
    </row>
    <row r="459" spans="5:6">
      <c r="E459" s="5">
        <v>458</v>
      </c>
      <c r="F459" s="5" t="str">
        <f>IFERROR(VLOOKUP($C$2&amp;"-"&amp;E459,IRRADIAÇÃO!A:C,3,0),1)</f>
        <v>Potim</v>
      </c>
    </row>
    <row r="460" spans="5:6">
      <c r="E460" s="5">
        <v>459</v>
      </c>
      <c r="F460" s="5" t="str">
        <f>IFERROR(VLOOKUP($C$2&amp;"-"&amp;E460,IRRADIAÇÃO!A:C,3,0),1)</f>
        <v>Potirendaba</v>
      </c>
    </row>
    <row r="461" spans="5:6">
      <c r="E461" s="5">
        <v>460</v>
      </c>
      <c r="F461" s="5" t="str">
        <f>IFERROR(VLOOKUP($C$2&amp;"-"&amp;E461,IRRADIAÇÃO!A:C,3,0),1)</f>
        <v>Pracinha</v>
      </c>
    </row>
    <row r="462" spans="5:6">
      <c r="E462" s="5">
        <v>461</v>
      </c>
      <c r="F462" s="5" t="str">
        <f>IFERROR(VLOOKUP($C$2&amp;"-"&amp;E462,IRRADIAÇÃO!A:C,3,0),1)</f>
        <v>Pradópolis</v>
      </c>
    </row>
    <row r="463" spans="5:6">
      <c r="E463" s="5">
        <v>462</v>
      </c>
      <c r="F463" s="5" t="str">
        <f>IFERROR(VLOOKUP($C$2&amp;"-"&amp;E463,IRRADIAÇÃO!A:C,3,0),1)</f>
        <v>Praia Grande</v>
      </c>
    </row>
    <row r="464" spans="5:6">
      <c r="E464" s="5">
        <v>463</v>
      </c>
      <c r="F464" s="5" t="str">
        <f>IFERROR(VLOOKUP($C$2&amp;"-"&amp;E464,IRRADIAÇÃO!A:C,3,0),1)</f>
        <v>Pratânia</v>
      </c>
    </row>
    <row r="465" spans="5:6">
      <c r="E465" s="5">
        <v>464</v>
      </c>
      <c r="F465" s="5" t="str">
        <f>IFERROR(VLOOKUP($C$2&amp;"-"&amp;E465,IRRADIAÇÃO!A:C,3,0),1)</f>
        <v>Presidente Alves</v>
      </c>
    </row>
    <row r="466" spans="5:6">
      <c r="E466" s="5">
        <v>465</v>
      </c>
      <c r="F466" s="5" t="str">
        <f>IFERROR(VLOOKUP($C$2&amp;"-"&amp;E466,IRRADIAÇÃO!A:C,3,0),1)</f>
        <v>Presidente Bernardes</v>
      </c>
    </row>
    <row r="467" spans="5:6">
      <c r="E467" s="5">
        <v>466</v>
      </c>
      <c r="F467" s="5" t="str">
        <f>IFERROR(VLOOKUP($C$2&amp;"-"&amp;E467,IRRADIAÇÃO!A:C,3,0),1)</f>
        <v>Presidente Epitácio</v>
      </c>
    </row>
    <row r="468" spans="5:6">
      <c r="E468" s="5">
        <v>467</v>
      </c>
      <c r="F468" s="5" t="str">
        <f>IFERROR(VLOOKUP($C$2&amp;"-"&amp;E468,IRRADIAÇÃO!A:C,3,0),1)</f>
        <v>Presidente Prudente</v>
      </c>
    </row>
    <row r="469" spans="5:6">
      <c r="E469" s="5">
        <v>468</v>
      </c>
      <c r="F469" s="5" t="str">
        <f>IFERROR(VLOOKUP($C$2&amp;"-"&amp;E469,IRRADIAÇÃO!A:C,3,0),1)</f>
        <v>Presidente Venceslau</v>
      </c>
    </row>
    <row r="470" spans="5:6">
      <c r="E470" s="5">
        <v>469</v>
      </c>
      <c r="F470" s="5" t="str">
        <f>IFERROR(VLOOKUP($C$2&amp;"-"&amp;E470,IRRADIAÇÃO!A:C,3,0),1)</f>
        <v>Promissão</v>
      </c>
    </row>
    <row r="471" spans="5:6">
      <c r="E471" s="5">
        <v>470</v>
      </c>
      <c r="F471" s="5" t="str">
        <f>IFERROR(VLOOKUP($C$2&amp;"-"&amp;E471,IRRADIAÇÃO!A:C,3,0),1)</f>
        <v>Quadra</v>
      </c>
    </row>
    <row r="472" spans="5:6">
      <c r="E472" s="5">
        <v>471</v>
      </c>
      <c r="F472" s="5" t="str">
        <f>IFERROR(VLOOKUP($C$2&amp;"-"&amp;E472,IRRADIAÇÃO!A:C,3,0),1)</f>
        <v>Quatá</v>
      </c>
    </row>
    <row r="473" spans="5:6">
      <c r="E473" s="5">
        <v>472</v>
      </c>
      <c r="F473" s="5" t="str">
        <f>IFERROR(VLOOKUP($C$2&amp;"-"&amp;E473,IRRADIAÇÃO!A:C,3,0),1)</f>
        <v>Queiroz</v>
      </c>
    </row>
    <row r="474" spans="5:6">
      <c r="E474" s="5">
        <v>473</v>
      </c>
      <c r="F474" s="5" t="str">
        <f>IFERROR(VLOOKUP($C$2&amp;"-"&amp;E474,IRRADIAÇÃO!A:C,3,0),1)</f>
        <v>Queluz</v>
      </c>
    </row>
    <row r="475" spans="5:6">
      <c r="E475" s="5">
        <v>474</v>
      </c>
      <c r="F475" s="5" t="str">
        <f>IFERROR(VLOOKUP($C$2&amp;"-"&amp;E475,IRRADIAÇÃO!A:C,3,0),1)</f>
        <v>Quintana</v>
      </c>
    </row>
    <row r="476" spans="5:6">
      <c r="E476" s="5">
        <v>475</v>
      </c>
      <c r="F476" s="5" t="str">
        <f>IFERROR(VLOOKUP($C$2&amp;"-"&amp;E476,IRRADIAÇÃO!A:C,3,0),1)</f>
        <v>Rafard</v>
      </c>
    </row>
    <row r="477" spans="5:6">
      <c r="E477" s="5">
        <v>476</v>
      </c>
      <c r="F477" s="5" t="str">
        <f>IFERROR(VLOOKUP($C$2&amp;"-"&amp;E477,IRRADIAÇÃO!A:C,3,0),1)</f>
        <v>Rancharia</v>
      </c>
    </row>
    <row r="478" spans="5:6">
      <c r="E478" s="5">
        <v>477</v>
      </c>
      <c r="F478" s="5" t="str">
        <f>IFERROR(VLOOKUP($C$2&amp;"-"&amp;E478,IRRADIAÇÃO!A:C,3,0),1)</f>
        <v>Redenção da Serra</v>
      </c>
    </row>
    <row r="479" spans="5:6">
      <c r="E479" s="5">
        <v>478</v>
      </c>
      <c r="F479" s="5" t="str">
        <f>IFERROR(VLOOKUP($C$2&amp;"-"&amp;E479,IRRADIAÇÃO!A:C,3,0),1)</f>
        <v>Regente Feijó</v>
      </c>
    </row>
    <row r="480" spans="5:6">
      <c r="E480" s="5">
        <v>479</v>
      </c>
      <c r="F480" s="5" t="str">
        <f>IFERROR(VLOOKUP($C$2&amp;"-"&amp;E480,IRRADIAÇÃO!A:C,3,0),1)</f>
        <v>Reginópolis</v>
      </c>
    </row>
    <row r="481" spans="5:6">
      <c r="E481" s="5">
        <v>480</v>
      </c>
      <c r="F481" s="5" t="str">
        <f>IFERROR(VLOOKUP($C$2&amp;"-"&amp;E481,IRRADIAÇÃO!A:C,3,0),1)</f>
        <v>Registro</v>
      </c>
    </row>
    <row r="482" spans="5:6">
      <c r="E482" s="5">
        <v>481</v>
      </c>
      <c r="F482" s="5" t="str">
        <f>IFERROR(VLOOKUP($C$2&amp;"-"&amp;E482,IRRADIAÇÃO!A:C,3,0),1)</f>
        <v>Restinga</v>
      </c>
    </row>
    <row r="483" spans="5:6">
      <c r="E483" s="5">
        <v>482</v>
      </c>
      <c r="F483" s="5" t="str">
        <f>IFERROR(VLOOKUP($C$2&amp;"-"&amp;E483,IRRADIAÇÃO!A:C,3,0),1)</f>
        <v>Ribeira</v>
      </c>
    </row>
    <row r="484" spans="5:6">
      <c r="E484" s="5">
        <v>483</v>
      </c>
      <c r="F484" s="5" t="str">
        <f>IFERROR(VLOOKUP($C$2&amp;"-"&amp;E484,IRRADIAÇÃO!A:C,3,0),1)</f>
        <v>Ribeirão Bonito</v>
      </c>
    </row>
    <row r="485" spans="5:6">
      <c r="E485" s="5">
        <v>484</v>
      </c>
      <c r="F485" s="5" t="str">
        <f>IFERROR(VLOOKUP($C$2&amp;"-"&amp;E485,IRRADIAÇÃO!A:C,3,0),1)</f>
        <v>Ribeirão Branco</v>
      </c>
    </row>
    <row r="486" spans="5:6">
      <c r="E486" s="5">
        <v>485</v>
      </c>
      <c r="F486" s="5" t="str">
        <f>IFERROR(VLOOKUP($C$2&amp;"-"&amp;E486,IRRADIAÇÃO!A:C,3,0),1)</f>
        <v>Ribeirão Corrente</v>
      </c>
    </row>
    <row r="487" spans="5:6">
      <c r="E487" s="5">
        <v>486</v>
      </c>
      <c r="F487" s="5" t="str">
        <f>IFERROR(VLOOKUP($C$2&amp;"-"&amp;E487,IRRADIAÇÃO!A:C,3,0),1)</f>
        <v>Ribeirão do Sul</v>
      </c>
    </row>
    <row r="488" spans="5:6">
      <c r="E488" s="5">
        <v>487</v>
      </c>
      <c r="F488" s="5" t="str">
        <f>IFERROR(VLOOKUP($C$2&amp;"-"&amp;E488,IRRADIAÇÃO!A:C,3,0),1)</f>
        <v>Ribeirão dos Ãndios</v>
      </c>
    </row>
    <row r="489" spans="5:6">
      <c r="E489" s="5">
        <v>488</v>
      </c>
      <c r="F489" s="5" t="str">
        <f>IFERROR(VLOOKUP($C$2&amp;"-"&amp;E489,IRRADIAÇÃO!A:C,3,0),1)</f>
        <v>Ribeirão Grande</v>
      </c>
    </row>
    <row r="490" spans="5:6">
      <c r="E490" s="5">
        <v>489</v>
      </c>
      <c r="F490" s="5" t="str">
        <f>IFERROR(VLOOKUP($C$2&amp;"-"&amp;E490,IRRADIAÇÃO!A:C,3,0),1)</f>
        <v>Ribeirão Pires</v>
      </c>
    </row>
    <row r="491" spans="5:6">
      <c r="E491" s="5">
        <v>490</v>
      </c>
      <c r="F491" s="5" t="str">
        <f>IFERROR(VLOOKUP($C$2&amp;"-"&amp;E491,IRRADIAÇÃO!A:C,3,0),1)</f>
        <v>Ribeirão Preto</v>
      </c>
    </row>
    <row r="492" spans="5:6">
      <c r="E492" s="5">
        <v>491</v>
      </c>
      <c r="F492" s="5" t="str">
        <f>IFERROR(VLOOKUP($C$2&amp;"-"&amp;E492,IRRADIAÇÃO!A:C,3,0),1)</f>
        <v>Rifaina</v>
      </c>
    </row>
    <row r="493" spans="5:6">
      <c r="E493" s="5">
        <v>492</v>
      </c>
      <c r="F493" s="5" t="str">
        <f>IFERROR(VLOOKUP($C$2&amp;"-"&amp;E493,IRRADIAÇÃO!A:C,3,0),1)</f>
        <v>Rinópolis</v>
      </c>
    </row>
    <row r="494" spans="5:6">
      <c r="E494" s="5">
        <v>493</v>
      </c>
      <c r="F494" s="5" t="str">
        <f>IFERROR(VLOOKUP($C$2&amp;"-"&amp;E494,IRRADIAÇÃO!A:C,3,0),1)</f>
        <v>Rincão</v>
      </c>
    </row>
    <row r="495" spans="5:6">
      <c r="E495" s="5">
        <v>494</v>
      </c>
      <c r="F495" s="5" t="str">
        <f>IFERROR(VLOOKUP($C$2&amp;"-"&amp;E495,IRRADIAÇÃO!A:C,3,0),1)</f>
        <v>Rio Claro</v>
      </c>
    </row>
    <row r="496" spans="5:6">
      <c r="E496" s="5">
        <v>495</v>
      </c>
      <c r="F496" s="5" t="str">
        <f>IFERROR(VLOOKUP($C$2&amp;"-"&amp;E496,IRRADIAÇÃO!A:C,3,0),1)</f>
        <v>Rio das Pedras</v>
      </c>
    </row>
    <row r="497" spans="5:6">
      <c r="E497" s="5">
        <v>496</v>
      </c>
      <c r="F497" s="5" t="str">
        <f>IFERROR(VLOOKUP($C$2&amp;"-"&amp;E497,IRRADIAÇÃO!A:C,3,0),1)</f>
        <v>Rio Grande da Serra</v>
      </c>
    </row>
    <row r="498" spans="5:6">
      <c r="E498" s="5">
        <v>497</v>
      </c>
      <c r="F498" s="5" t="str">
        <f>IFERROR(VLOOKUP($C$2&amp;"-"&amp;E498,IRRADIAÇÃO!A:C,3,0),1)</f>
        <v>Riolândia</v>
      </c>
    </row>
    <row r="499" spans="5:6">
      <c r="E499" s="5">
        <v>498</v>
      </c>
      <c r="F499" s="5" t="str">
        <f>IFERROR(VLOOKUP($C$2&amp;"-"&amp;E499,IRRADIAÇÃO!A:C,3,0),1)</f>
        <v>Riversul</v>
      </c>
    </row>
    <row r="500" spans="5:6">
      <c r="E500" s="5">
        <v>499</v>
      </c>
      <c r="F500" s="5" t="str">
        <f>IFERROR(VLOOKUP($C$2&amp;"-"&amp;E500,IRRADIAÇÃO!A:C,3,0),1)</f>
        <v>Rosana</v>
      </c>
    </row>
    <row r="501" spans="5:6">
      <c r="E501" s="5">
        <v>500</v>
      </c>
      <c r="F501" s="5" t="str">
        <f>IFERROR(VLOOKUP($C$2&amp;"-"&amp;E501,IRRADIAÇÃO!A:C,3,0),1)</f>
        <v>Roseira</v>
      </c>
    </row>
    <row r="502" spans="5:6">
      <c r="E502" s="5">
        <v>501</v>
      </c>
      <c r="F502" s="5" t="str">
        <f>IFERROR(VLOOKUP($C$2&amp;"-"&amp;E502,IRRADIAÇÃO!A:C,3,0),1)</f>
        <v>Rubiácea</v>
      </c>
    </row>
    <row r="503" spans="5:6">
      <c r="E503" s="5">
        <v>502</v>
      </c>
      <c r="F503" s="5" t="str">
        <f>IFERROR(VLOOKUP($C$2&amp;"-"&amp;E503,IRRADIAÇÃO!A:C,3,0),1)</f>
        <v>Rubinéia</v>
      </c>
    </row>
    <row r="504" spans="5:6">
      <c r="E504" s="5">
        <v>503</v>
      </c>
      <c r="F504" s="5" t="str">
        <f>IFERROR(VLOOKUP($C$2&amp;"-"&amp;E504,IRRADIAÇÃO!A:C,3,0),1)</f>
        <v>São Bento do SapucaÃ­</v>
      </c>
    </row>
    <row r="505" spans="5:6">
      <c r="E505" s="5">
        <v>504</v>
      </c>
      <c r="F505" s="5" t="str">
        <f>IFERROR(VLOOKUP($C$2&amp;"-"&amp;E505,IRRADIAÇÃO!A:C,3,0),1)</f>
        <v>São Bernardo do Campo</v>
      </c>
    </row>
    <row r="506" spans="5:6">
      <c r="E506" s="5">
        <v>505</v>
      </c>
      <c r="F506" s="5" t="str">
        <f>IFERROR(VLOOKUP($C$2&amp;"-"&amp;E506,IRRADIAÇÃO!A:C,3,0),1)</f>
        <v>São Caetano do Sul</v>
      </c>
    </row>
    <row r="507" spans="5:6">
      <c r="E507" s="5">
        <v>506</v>
      </c>
      <c r="F507" s="5" t="str">
        <f>IFERROR(VLOOKUP($C$2&amp;"-"&amp;E507,IRRADIAÇÃO!A:C,3,0),1)</f>
        <v>São Carlos</v>
      </c>
    </row>
    <row r="508" spans="5:6">
      <c r="E508" s="5">
        <v>507</v>
      </c>
      <c r="F508" s="5" t="str">
        <f>IFERROR(VLOOKUP($C$2&amp;"-"&amp;E508,IRRADIAÇÃO!A:C,3,0),1)</f>
        <v>São Francisco</v>
      </c>
    </row>
    <row r="509" spans="5:6">
      <c r="E509" s="5">
        <v>508</v>
      </c>
      <c r="F509" s="5" t="str">
        <f>IFERROR(VLOOKUP($C$2&amp;"-"&amp;E509,IRRADIAÇÃO!A:C,3,0),1)</f>
        <v>São João da Boa Vista</v>
      </c>
    </row>
    <row r="510" spans="5:6">
      <c r="E510" s="5">
        <v>509</v>
      </c>
      <c r="F510" s="5" t="str">
        <f>IFERROR(VLOOKUP($C$2&amp;"-"&amp;E510,IRRADIAÇÃO!A:C,3,0),1)</f>
        <v>São João das Duas Pontes</v>
      </c>
    </row>
    <row r="511" spans="5:6">
      <c r="E511" s="5">
        <v>510</v>
      </c>
      <c r="F511" s="5" t="str">
        <f>IFERROR(VLOOKUP($C$2&amp;"-"&amp;E511,IRRADIAÇÃO!A:C,3,0),1)</f>
        <v>São João de Iracema</v>
      </c>
    </row>
    <row r="512" spans="5:6">
      <c r="E512" s="5">
        <v>511</v>
      </c>
      <c r="F512" s="5" t="str">
        <f>IFERROR(VLOOKUP($C$2&amp;"-"&amp;E512,IRRADIAÇÃO!A:C,3,0),1)</f>
        <v>São João do Pau d'Alho</v>
      </c>
    </row>
    <row r="513" spans="5:6">
      <c r="E513" s="5">
        <v>512</v>
      </c>
      <c r="F513" s="5" t="str">
        <f>IFERROR(VLOOKUP($C$2&amp;"-"&amp;E513,IRRADIAÇÃO!A:C,3,0),1)</f>
        <v>São Joaquim da Barra</v>
      </c>
    </row>
    <row r="514" spans="5:6">
      <c r="E514" s="5">
        <v>513</v>
      </c>
      <c r="F514" s="5" t="str">
        <f>IFERROR(VLOOKUP($C$2&amp;"-"&amp;E514,IRRADIAÇÃO!A:C,3,0),1)</f>
        <v>São José da Bela Vista</v>
      </c>
    </row>
    <row r="515" spans="5:6">
      <c r="E515" s="5">
        <v>514</v>
      </c>
      <c r="F515" s="5" t="str">
        <f>IFERROR(VLOOKUP($C$2&amp;"-"&amp;E515,IRRADIAÇÃO!A:C,3,0),1)</f>
        <v>São José do Barreiro</v>
      </c>
    </row>
    <row r="516" spans="5:6">
      <c r="E516" s="5">
        <v>515</v>
      </c>
      <c r="F516" s="5" t="str">
        <f>IFERROR(VLOOKUP($C$2&amp;"-"&amp;E516,IRRADIAÇÃO!A:C,3,0),1)</f>
        <v>São José do Rio Pardo</v>
      </c>
    </row>
    <row r="517" spans="5:6">
      <c r="E517" s="5">
        <v>516</v>
      </c>
      <c r="F517" s="5" t="str">
        <f>IFERROR(VLOOKUP($C$2&amp;"-"&amp;E517,IRRADIAÇÃO!A:C,3,0),1)</f>
        <v>São José do Rio Preto</v>
      </c>
    </row>
    <row r="518" spans="5:6">
      <c r="E518" s="5">
        <v>517</v>
      </c>
      <c r="F518" s="5" t="str">
        <f>IFERROR(VLOOKUP($C$2&amp;"-"&amp;E518,IRRADIAÇÃO!A:C,3,0),1)</f>
        <v>São José dos Campos</v>
      </c>
    </row>
    <row r="519" spans="5:6">
      <c r="E519" s="5">
        <v>518</v>
      </c>
      <c r="F519" s="5" t="str">
        <f>IFERROR(VLOOKUP($C$2&amp;"-"&amp;E519,IRRADIAÇÃO!A:C,3,0),1)</f>
        <v>São Lourenço da Serra</v>
      </c>
    </row>
    <row r="520" spans="5:6">
      <c r="E520" s="5">
        <v>519</v>
      </c>
      <c r="F520" s="5" t="str">
        <f>IFERROR(VLOOKUP($C$2&amp;"-"&amp;E520,IRRADIAÇÃO!A:C,3,0),1)</f>
        <v>São LuÃ­z do Paraitinga</v>
      </c>
    </row>
    <row r="521" spans="5:6">
      <c r="E521" s="5">
        <v>520</v>
      </c>
      <c r="F521" s="5" t="str">
        <f>IFERROR(VLOOKUP($C$2&amp;"-"&amp;E521,IRRADIAÇÃO!A:C,3,0),1)</f>
        <v>São Manuel</v>
      </c>
    </row>
    <row r="522" spans="5:6">
      <c r="E522" s="5">
        <v>521</v>
      </c>
      <c r="F522" s="5" t="str">
        <f>IFERROR(VLOOKUP($C$2&amp;"-"&amp;E522,IRRADIAÇÃO!A:C,3,0),1)</f>
        <v>São Miguel Arcanjo</v>
      </c>
    </row>
    <row r="523" spans="5:6">
      <c r="E523" s="5">
        <v>522</v>
      </c>
      <c r="F523" s="5" t="str">
        <f>IFERROR(VLOOKUP($C$2&amp;"-"&amp;E523,IRRADIAÇÃO!A:C,3,0),1)</f>
        <v>São Paulo</v>
      </c>
    </row>
    <row r="524" spans="5:6">
      <c r="E524" s="5">
        <v>523</v>
      </c>
      <c r="F524" s="5" t="str">
        <f>IFERROR(VLOOKUP($C$2&amp;"-"&amp;E524,IRRADIAÇÃO!A:C,3,0),1)</f>
        <v>São Pedro</v>
      </c>
    </row>
    <row r="525" spans="5:6">
      <c r="E525" s="5">
        <v>524</v>
      </c>
      <c r="F525" s="5" t="str">
        <f>IFERROR(VLOOKUP($C$2&amp;"-"&amp;E525,IRRADIAÇÃO!A:C,3,0),1)</f>
        <v>São Pedro do Turvo</v>
      </c>
    </row>
    <row r="526" spans="5:6">
      <c r="E526" s="5">
        <v>525</v>
      </c>
      <c r="F526" s="5" t="str">
        <f>IFERROR(VLOOKUP($C$2&amp;"-"&amp;E526,IRRADIAÇÃO!A:C,3,0),1)</f>
        <v>São Roque</v>
      </c>
    </row>
    <row r="527" spans="5:6">
      <c r="E527" s="5">
        <v>526</v>
      </c>
      <c r="F527" s="5" t="str">
        <f>IFERROR(VLOOKUP($C$2&amp;"-"&amp;E527,IRRADIAÇÃO!A:C,3,0),1)</f>
        <v>São Sebastião</v>
      </c>
    </row>
    <row r="528" spans="5:6">
      <c r="E528" s="5">
        <v>527</v>
      </c>
      <c r="F528" s="5" t="str">
        <f>IFERROR(VLOOKUP($C$2&amp;"-"&amp;E528,IRRADIAÇÃO!A:C,3,0),1)</f>
        <v>São Sebastião da Grama</v>
      </c>
    </row>
    <row r="529" spans="5:6">
      <c r="E529" s="5">
        <v>528</v>
      </c>
      <c r="F529" s="5" t="str">
        <f>IFERROR(VLOOKUP($C$2&amp;"-"&amp;E529,IRRADIAÇÃO!A:C,3,0),1)</f>
        <v>São Simão</v>
      </c>
    </row>
    <row r="530" spans="5:6">
      <c r="E530" s="5">
        <v>529</v>
      </c>
      <c r="F530" s="5" t="str">
        <f>IFERROR(VLOOKUP($C$2&amp;"-"&amp;E530,IRRADIAÇÃO!A:C,3,0),1)</f>
        <v>São Vicente</v>
      </c>
    </row>
    <row r="531" spans="5:6">
      <c r="E531" s="5">
        <v>530</v>
      </c>
      <c r="F531" s="5" t="str">
        <f>IFERROR(VLOOKUP($C$2&amp;"-"&amp;E531,IRRADIAÇÃO!A:C,3,0),1)</f>
        <v>Sabino</v>
      </c>
    </row>
    <row r="532" spans="5:6">
      <c r="E532" s="5">
        <v>531</v>
      </c>
      <c r="F532" s="5" t="str">
        <f>IFERROR(VLOOKUP($C$2&amp;"-"&amp;E532,IRRADIAÇÃO!A:C,3,0),1)</f>
        <v>Sagres</v>
      </c>
    </row>
    <row r="533" spans="5:6">
      <c r="E533" s="5">
        <v>532</v>
      </c>
      <c r="F533" s="5" t="str">
        <f>IFERROR(VLOOKUP($C$2&amp;"-"&amp;E533,IRRADIAÇÃO!A:C,3,0),1)</f>
        <v>Sales</v>
      </c>
    </row>
    <row r="534" spans="5:6">
      <c r="E534" s="5">
        <v>533</v>
      </c>
      <c r="F534" s="5" t="str">
        <f>IFERROR(VLOOKUP($C$2&amp;"-"&amp;E534,IRRADIAÇÃO!A:C,3,0),1)</f>
        <v>Sales Oliveira</v>
      </c>
    </row>
    <row r="535" spans="5:6">
      <c r="E535" s="5">
        <v>534</v>
      </c>
      <c r="F535" s="5" t="str">
        <f>IFERROR(VLOOKUP($C$2&amp;"-"&amp;E535,IRRADIAÇÃO!A:C,3,0),1)</f>
        <v>Salesópolis</v>
      </c>
    </row>
    <row r="536" spans="5:6">
      <c r="E536" s="5">
        <v>535</v>
      </c>
      <c r="F536" s="5" t="str">
        <f>IFERROR(VLOOKUP($C$2&amp;"-"&amp;E536,IRRADIAÇÃO!A:C,3,0),1)</f>
        <v>Salmourão</v>
      </c>
    </row>
    <row r="537" spans="5:6">
      <c r="E537" s="5">
        <v>536</v>
      </c>
      <c r="F537" s="5" t="str">
        <f>IFERROR(VLOOKUP($C$2&amp;"-"&amp;E537,IRRADIAÇÃO!A:C,3,0),1)</f>
        <v>Saltinho</v>
      </c>
    </row>
    <row r="538" spans="5:6">
      <c r="E538" s="5">
        <v>537</v>
      </c>
      <c r="F538" s="5" t="str">
        <f>IFERROR(VLOOKUP($C$2&amp;"-"&amp;E538,IRRADIAÇÃO!A:C,3,0),1)</f>
        <v>Salto</v>
      </c>
    </row>
    <row r="539" spans="5:6">
      <c r="E539" s="5">
        <v>538</v>
      </c>
      <c r="F539" s="5" t="str">
        <f>IFERROR(VLOOKUP($C$2&amp;"-"&amp;E539,IRRADIAÇÃO!A:C,3,0),1)</f>
        <v>Salto de Pirapora</v>
      </c>
    </row>
    <row r="540" spans="5:6">
      <c r="E540" s="5">
        <v>539</v>
      </c>
      <c r="F540" s="5" t="str">
        <f>IFERROR(VLOOKUP($C$2&amp;"-"&amp;E540,IRRADIAÇÃO!A:C,3,0),1)</f>
        <v>Salto Grande</v>
      </c>
    </row>
    <row r="541" spans="5:6">
      <c r="E541" s="5">
        <v>540</v>
      </c>
      <c r="F541" s="5" t="str">
        <f>IFERROR(VLOOKUP($C$2&amp;"-"&amp;E541,IRRADIAÇÃO!A:C,3,0),1)</f>
        <v>Sandovalina</v>
      </c>
    </row>
    <row r="542" spans="5:6">
      <c r="E542" s="5">
        <v>541</v>
      </c>
      <c r="F542" s="5" t="str">
        <f>IFERROR(VLOOKUP($C$2&amp;"-"&amp;E542,IRRADIAÇÃO!A:C,3,0),1)</f>
        <v>Santa Adélia</v>
      </c>
    </row>
    <row r="543" spans="5:6">
      <c r="E543" s="5">
        <v>542</v>
      </c>
      <c r="F543" s="5" t="str">
        <f>IFERROR(VLOOKUP($C$2&amp;"-"&amp;E543,IRRADIAÇÃO!A:C,3,0),1)</f>
        <v>Santa Albertina</v>
      </c>
    </row>
    <row r="544" spans="5:6">
      <c r="E544" s="5">
        <v>543</v>
      </c>
      <c r="F544" s="5" t="str">
        <f>IFERROR(VLOOKUP($C$2&amp;"-"&amp;E544,IRRADIAÇÃO!A:C,3,0),1)</f>
        <v>Santa Bárbara d'Oeste</v>
      </c>
    </row>
    <row r="545" spans="5:6">
      <c r="E545" s="5">
        <v>544</v>
      </c>
      <c r="F545" s="5" t="str">
        <f>IFERROR(VLOOKUP($C$2&amp;"-"&amp;E545,IRRADIAÇÃO!A:C,3,0),1)</f>
        <v>Santa Branca</v>
      </c>
    </row>
    <row r="546" spans="5:6">
      <c r="E546" s="5">
        <v>545</v>
      </c>
      <c r="F546" s="5" t="str">
        <f>IFERROR(VLOOKUP($C$2&amp;"-"&amp;E546,IRRADIAÇÃO!A:C,3,0),1)</f>
        <v>Santa Clara d'Oeste</v>
      </c>
    </row>
    <row r="547" spans="5:6">
      <c r="E547" s="5">
        <v>546</v>
      </c>
      <c r="F547" s="5" t="str">
        <f>IFERROR(VLOOKUP($C$2&amp;"-"&amp;E547,IRRADIAÇÃO!A:C,3,0),1)</f>
        <v>Santa Cruz da Conceição</v>
      </c>
    </row>
    <row r="548" spans="5:6">
      <c r="E548" s="5">
        <v>547</v>
      </c>
      <c r="F548" s="5" t="str">
        <f>IFERROR(VLOOKUP($C$2&amp;"-"&amp;E548,IRRADIAÇÃO!A:C,3,0),1)</f>
        <v>Santa Cruz da Esperança</v>
      </c>
    </row>
    <row r="549" spans="5:6">
      <c r="E549" s="5">
        <v>548</v>
      </c>
      <c r="F549" s="5" t="str">
        <f>IFERROR(VLOOKUP($C$2&amp;"-"&amp;E549,IRRADIAÇÃO!A:C,3,0),1)</f>
        <v>Santa Cruz das Palmeiras</v>
      </c>
    </row>
    <row r="550" spans="5:6">
      <c r="E550" s="5">
        <v>549</v>
      </c>
      <c r="F550" s="5" t="str">
        <f>IFERROR(VLOOKUP($C$2&amp;"-"&amp;E550,IRRADIAÇÃO!A:C,3,0),1)</f>
        <v>Santa Cruz do Rio Pardo</v>
      </c>
    </row>
    <row r="551" spans="5:6">
      <c r="E551" s="5">
        <v>550</v>
      </c>
      <c r="F551" s="5" t="str">
        <f>IFERROR(VLOOKUP($C$2&amp;"-"&amp;E551,IRRADIAÇÃO!A:C,3,0),1)</f>
        <v>Santa Ernestina</v>
      </c>
    </row>
    <row r="552" spans="5:6">
      <c r="E552" s="5">
        <v>551</v>
      </c>
      <c r="F552" s="5" t="str">
        <f>IFERROR(VLOOKUP($C$2&amp;"-"&amp;E552,IRRADIAÇÃO!A:C,3,0),1)</f>
        <v>Santa Fé do Sul</v>
      </c>
    </row>
    <row r="553" spans="5:6">
      <c r="E553" s="5">
        <v>552</v>
      </c>
      <c r="F553" s="5" t="str">
        <f>IFERROR(VLOOKUP($C$2&amp;"-"&amp;E553,IRRADIAÇÃO!A:C,3,0),1)</f>
        <v>Santa Gertrudes</v>
      </c>
    </row>
    <row r="554" spans="5:6">
      <c r="E554" s="5">
        <v>553</v>
      </c>
      <c r="F554" s="5" t="str">
        <f>IFERROR(VLOOKUP($C$2&amp;"-"&amp;E554,IRRADIAÇÃO!A:C,3,0),1)</f>
        <v>Santa Isabel</v>
      </c>
    </row>
    <row r="555" spans="5:6">
      <c r="E555" s="5">
        <v>554</v>
      </c>
      <c r="F555" s="5" t="str">
        <f>IFERROR(VLOOKUP($C$2&amp;"-"&amp;E555,IRRADIAÇÃO!A:C,3,0),1)</f>
        <v>Santa Lúcia</v>
      </c>
    </row>
    <row r="556" spans="5:6">
      <c r="E556" s="5">
        <v>555</v>
      </c>
      <c r="F556" s="5" t="str">
        <f>IFERROR(VLOOKUP($C$2&amp;"-"&amp;E556,IRRADIAÇÃO!A:C,3,0),1)</f>
        <v>Santa Maria da Serra</v>
      </c>
    </row>
    <row r="557" spans="5:6">
      <c r="E557" s="5">
        <v>556</v>
      </c>
      <c r="F557" s="5" t="str">
        <f>IFERROR(VLOOKUP($C$2&amp;"-"&amp;E557,IRRADIAÇÃO!A:C,3,0),1)</f>
        <v>Santa Mercedes</v>
      </c>
    </row>
    <row r="558" spans="5:6">
      <c r="E558" s="5">
        <v>557</v>
      </c>
      <c r="F558" s="5" t="str">
        <f>IFERROR(VLOOKUP($C$2&amp;"-"&amp;E558,IRRADIAÇÃO!A:C,3,0),1)</f>
        <v>Santa Rita do Passa Quatro</v>
      </c>
    </row>
    <row r="559" spans="5:6">
      <c r="E559" s="5">
        <v>558</v>
      </c>
      <c r="F559" s="5" t="str">
        <f>IFERROR(VLOOKUP($C$2&amp;"-"&amp;E559,IRRADIAÇÃO!A:C,3,0),1)</f>
        <v>Santa Rita d'Oeste</v>
      </c>
    </row>
    <row r="560" spans="5:6">
      <c r="E560" s="5">
        <v>559</v>
      </c>
      <c r="F560" s="5" t="str">
        <f>IFERROR(VLOOKUP($C$2&amp;"-"&amp;E560,IRRADIAÇÃO!A:C,3,0),1)</f>
        <v>Santa Rosa de Viterbo</v>
      </c>
    </row>
    <row r="561" spans="5:6">
      <c r="E561" s="5">
        <v>560</v>
      </c>
      <c r="F561" s="5" t="str">
        <f>IFERROR(VLOOKUP($C$2&amp;"-"&amp;E561,IRRADIAÇÃO!A:C,3,0),1)</f>
        <v>Santa Salete</v>
      </c>
    </row>
    <row r="562" spans="5:6">
      <c r="E562" s="5">
        <v>561</v>
      </c>
      <c r="F562" s="5" t="str">
        <f>IFERROR(VLOOKUP($C$2&amp;"-"&amp;E562,IRRADIAÇÃO!A:C,3,0),1)</f>
        <v>Santópolis do AguapeÃ­</v>
      </c>
    </row>
    <row r="563" spans="5:6">
      <c r="E563" s="5">
        <v>562</v>
      </c>
      <c r="F563" s="5" t="str">
        <f>IFERROR(VLOOKUP($C$2&amp;"-"&amp;E563,IRRADIAÇÃO!A:C,3,0),1)</f>
        <v>Santana da Ponte Pensa</v>
      </c>
    </row>
    <row r="564" spans="5:6">
      <c r="E564" s="5">
        <v>563</v>
      </c>
      <c r="F564" s="5" t="str">
        <f>IFERROR(VLOOKUP($C$2&amp;"-"&amp;E564,IRRADIAÇÃO!A:C,3,0),1)</f>
        <v>Santana de ParnaÃ­ba</v>
      </c>
    </row>
    <row r="565" spans="5:6">
      <c r="E565" s="5">
        <v>564</v>
      </c>
      <c r="F565" s="5" t="str">
        <f>IFERROR(VLOOKUP($C$2&amp;"-"&amp;E565,IRRADIAÇÃO!A:C,3,0),1)</f>
        <v>Santo Anastácio</v>
      </c>
    </row>
    <row r="566" spans="5:6">
      <c r="E566" s="5">
        <v>565</v>
      </c>
      <c r="F566" s="5" t="str">
        <f>IFERROR(VLOOKUP($C$2&amp;"-"&amp;E566,IRRADIAÇÃO!A:C,3,0),1)</f>
        <v>Santo André</v>
      </c>
    </row>
    <row r="567" spans="5:6">
      <c r="E567" s="5">
        <v>566</v>
      </c>
      <c r="F567" s="5" t="str">
        <f>IFERROR(VLOOKUP($C$2&amp;"-"&amp;E567,IRRADIAÇÃO!A:C,3,0),1)</f>
        <v>Santo Antônio da Alegria</v>
      </c>
    </row>
    <row r="568" spans="5:6">
      <c r="E568" s="5">
        <v>567</v>
      </c>
      <c r="F568" s="5" t="str">
        <f>IFERROR(VLOOKUP($C$2&amp;"-"&amp;E568,IRRADIAÇÃO!A:C,3,0),1)</f>
        <v>Santo Antônio de Posse</v>
      </c>
    </row>
    <row r="569" spans="5:6">
      <c r="E569" s="5">
        <v>568</v>
      </c>
      <c r="F569" s="5" t="str">
        <f>IFERROR(VLOOKUP($C$2&amp;"-"&amp;E569,IRRADIAÇÃO!A:C,3,0),1)</f>
        <v>Santo Antônio do Aracanguá</v>
      </c>
    </row>
    <row r="570" spans="5:6">
      <c r="E570" s="5">
        <v>569</v>
      </c>
      <c r="F570" s="5" t="str">
        <f>IFERROR(VLOOKUP($C$2&amp;"-"&amp;E570,IRRADIAÇÃO!A:C,3,0),1)</f>
        <v>Santo Antônio do Jardim</v>
      </c>
    </row>
    <row r="571" spans="5:6">
      <c r="E571" s="5">
        <v>570</v>
      </c>
      <c r="F571" s="5" t="str">
        <f>IFERROR(VLOOKUP($C$2&amp;"-"&amp;E571,IRRADIAÇÃO!A:C,3,0),1)</f>
        <v>Santo Antônio do Pinhal</v>
      </c>
    </row>
    <row r="572" spans="5:6">
      <c r="E572" s="5">
        <v>571</v>
      </c>
      <c r="F572" s="5" t="str">
        <f>IFERROR(VLOOKUP($C$2&amp;"-"&amp;E572,IRRADIAÇÃO!A:C,3,0),1)</f>
        <v>Santo Expedito</v>
      </c>
    </row>
    <row r="573" spans="5:6">
      <c r="E573" s="5">
        <v>572</v>
      </c>
      <c r="F573" s="5" t="str">
        <f>IFERROR(VLOOKUP($C$2&amp;"-"&amp;E573,IRRADIAÇÃO!A:C,3,0),1)</f>
        <v>Santos</v>
      </c>
    </row>
    <row r="574" spans="5:6">
      <c r="E574" s="5">
        <v>573</v>
      </c>
      <c r="F574" s="5" t="str">
        <f>IFERROR(VLOOKUP($C$2&amp;"-"&amp;E574,IRRADIAÇÃO!A:C,3,0),1)</f>
        <v>SarapuÃ­</v>
      </c>
    </row>
    <row r="575" spans="5:6">
      <c r="E575" s="5">
        <v>574</v>
      </c>
      <c r="F575" s="5" t="str">
        <f>IFERROR(VLOOKUP($C$2&amp;"-"&amp;E575,IRRADIAÇÃO!A:C,3,0),1)</f>
        <v>Sarutaiá</v>
      </c>
    </row>
    <row r="576" spans="5:6">
      <c r="E576" s="5">
        <v>575</v>
      </c>
      <c r="F576" s="5" t="str">
        <f>IFERROR(VLOOKUP($C$2&amp;"-"&amp;E576,IRRADIAÇÃO!A:C,3,0),1)</f>
        <v>Sebastianópolis do Sul</v>
      </c>
    </row>
    <row r="577" spans="5:6">
      <c r="E577" s="5">
        <v>576</v>
      </c>
      <c r="F577" s="5" t="str">
        <f>IFERROR(VLOOKUP($C$2&amp;"-"&amp;E577,IRRADIAÇÃO!A:C,3,0),1)</f>
        <v>Serra Azul</v>
      </c>
    </row>
    <row r="578" spans="5:6">
      <c r="E578" s="5">
        <v>577</v>
      </c>
      <c r="F578" s="5" t="str">
        <f>IFERROR(VLOOKUP($C$2&amp;"-"&amp;E578,IRRADIAÇÃO!A:C,3,0),1)</f>
        <v>Serra Negra</v>
      </c>
    </row>
    <row r="579" spans="5:6">
      <c r="E579" s="5">
        <v>578</v>
      </c>
      <c r="F579" s="5" t="str">
        <f>IFERROR(VLOOKUP($C$2&amp;"-"&amp;E579,IRRADIAÇÃO!A:C,3,0),1)</f>
        <v>Serrana</v>
      </c>
    </row>
    <row r="580" spans="5:6">
      <c r="E580" s="5">
        <v>579</v>
      </c>
      <c r="F580" s="5" t="str">
        <f>IFERROR(VLOOKUP($C$2&amp;"-"&amp;E580,IRRADIAÇÃO!A:C,3,0),1)</f>
        <v>Sertãozinho</v>
      </c>
    </row>
    <row r="581" spans="5:6">
      <c r="E581" s="5">
        <v>580</v>
      </c>
      <c r="F581" s="5" t="str">
        <f>IFERROR(VLOOKUP($C$2&amp;"-"&amp;E581,IRRADIAÇÃO!A:C,3,0),1)</f>
        <v>Sete Barras</v>
      </c>
    </row>
    <row r="582" spans="5:6">
      <c r="E582" s="5">
        <v>581</v>
      </c>
      <c r="F582" s="5" t="str">
        <f>IFERROR(VLOOKUP($C$2&amp;"-"&amp;E582,IRRADIAÇÃO!A:C,3,0),1)</f>
        <v>SeverÃ­nia</v>
      </c>
    </row>
    <row r="583" spans="5:6">
      <c r="E583" s="5">
        <v>582</v>
      </c>
      <c r="F583" s="5" t="str">
        <f>IFERROR(VLOOKUP($C$2&amp;"-"&amp;E583,IRRADIAÇÃO!A:C,3,0),1)</f>
        <v>Silveiras</v>
      </c>
    </row>
    <row r="584" spans="5:6">
      <c r="E584" s="5">
        <v>583</v>
      </c>
      <c r="F584" s="5" t="str">
        <f>IFERROR(VLOOKUP($C$2&amp;"-"&amp;E584,IRRADIAÇÃO!A:C,3,0),1)</f>
        <v>Socorro</v>
      </c>
    </row>
    <row r="585" spans="5:6">
      <c r="E585" s="5">
        <v>584</v>
      </c>
      <c r="F585" s="5" t="str">
        <f>IFERROR(VLOOKUP($C$2&amp;"-"&amp;E585,IRRADIAÇÃO!A:C,3,0),1)</f>
        <v>Sorocaba</v>
      </c>
    </row>
    <row r="586" spans="5:6">
      <c r="E586" s="5">
        <v>585</v>
      </c>
      <c r="F586" s="5" t="str">
        <f>IFERROR(VLOOKUP($C$2&amp;"-"&amp;E586,IRRADIAÇÃO!A:C,3,0),1)</f>
        <v>Sud Mennucci</v>
      </c>
    </row>
    <row r="587" spans="5:6">
      <c r="E587" s="5">
        <v>586</v>
      </c>
      <c r="F587" s="5" t="str">
        <f>IFERROR(VLOOKUP($C$2&amp;"-"&amp;E587,IRRADIAÇÃO!A:C,3,0),1)</f>
        <v>Sumaré</v>
      </c>
    </row>
    <row r="588" spans="5:6">
      <c r="E588" s="5">
        <v>587</v>
      </c>
      <c r="F588" s="5" t="str">
        <f>IFERROR(VLOOKUP($C$2&amp;"-"&amp;E588,IRRADIAÇÃO!A:C,3,0),1)</f>
        <v>Suzanápolis</v>
      </c>
    </row>
    <row r="589" spans="5:6">
      <c r="E589" s="5">
        <v>588</v>
      </c>
      <c r="F589" s="5" t="str">
        <f>IFERROR(VLOOKUP($C$2&amp;"-"&amp;E589,IRRADIAÇÃO!A:C,3,0),1)</f>
        <v>Suzano</v>
      </c>
    </row>
    <row r="590" spans="5:6">
      <c r="E590" s="5">
        <v>589</v>
      </c>
      <c r="F590" s="5" t="str">
        <f>IFERROR(VLOOKUP($C$2&amp;"-"&amp;E590,IRRADIAÇÃO!A:C,3,0),1)</f>
        <v>Tabapuã</v>
      </c>
    </row>
    <row r="591" spans="5:6">
      <c r="E591" s="5">
        <v>590</v>
      </c>
      <c r="F591" s="5" t="str">
        <f>IFERROR(VLOOKUP($C$2&amp;"-"&amp;E591,IRRADIAÇÃO!A:C,3,0),1)</f>
        <v>Tabatinga</v>
      </c>
    </row>
    <row r="592" spans="5:6">
      <c r="E592" s="5">
        <v>591</v>
      </c>
      <c r="F592" s="5" t="str">
        <f>IFERROR(VLOOKUP($C$2&amp;"-"&amp;E592,IRRADIAÇÃO!A:C,3,0),1)</f>
        <v>Taboão da Serra</v>
      </c>
    </row>
    <row r="593" spans="5:6">
      <c r="E593" s="5">
        <v>592</v>
      </c>
      <c r="F593" s="5" t="str">
        <f>IFERROR(VLOOKUP($C$2&amp;"-"&amp;E593,IRRADIAÇÃO!A:C,3,0),1)</f>
        <v>Taciba</v>
      </c>
    </row>
    <row r="594" spans="5:6">
      <c r="E594" s="5">
        <v>593</v>
      </c>
      <c r="F594" s="5" t="str">
        <f>IFERROR(VLOOKUP($C$2&amp;"-"&amp;E594,IRRADIAÇÃO!A:C,3,0),1)</f>
        <v>TaguaÃ­</v>
      </c>
    </row>
    <row r="595" spans="5:6">
      <c r="E595" s="5">
        <v>594</v>
      </c>
      <c r="F595" s="5" t="str">
        <f>IFERROR(VLOOKUP($C$2&amp;"-"&amp;E595,IRRADIAÇÃO!A:C,3,0),1)</f>
        <v>Taiaçu</v>
      </c>
    </row>
    <row r="596" spans="5:6">
      <c r="E596" s="5">
        <v>595</v>
      </c>
      <c r="F596" s="5" t="str">
        <f>IFERROR(VLOOKUP($C$2&amp;"-"&amp;E596,IRRADIAÇÃO!A:C,3,0),1)</f>
        <v>Taiúva</v>
      </c>
    </row>
    <row r="597" spans="5:6">
      <c r="E597" s="5">
        <v>596</v>
      </c>
      <c r="F597" s="5" t="str">
        <f>IFERROR(VLOOKUP($C$2&amp;"-"&amp;E597,IRRADIAÇÃO!A:C,3,0),1)</f>
        <v>Tambaú</v>
      </c>
    </row>
    <row r="598" spans="5:6">
      <c r="E598" s="5">
        <v>597</v>
      </c>
      <c r="F598" s="5" t="str">
        <f>IFERROR(VLOOKUP($C$2&amp;"-"&amp;E598,IRRADIAÇÃO!A:C,3,0),1)</f>
        <v>Tanabi</v>
      </c>
    </row>
    <row r="599" spans="5:6">
      <c r="E599" s="5">
        <v>598</v>
      </c>
      <c r="F599" s="5" t="str">
        <f>IFERROR(VLOOKUP($C$2&amp;"-"&amp;E599,IRRADIAÇÃO!A:C,3,0),1)</f>
        <v>TapiraÃ­</v>
      </c>
    </row>
    <row r="600" spans="5:6">
      <c r="E600" s="5">
        <v>599</v>
      </c>
      <c r="F600" s="5" t="str">
        <f>IFERROR(VLOOKUP($C$2&amp;"-"&amp;E600,IRRADIAÇÃO!A:C,3,0),1)</f>
        <v>Tapiratiba</v>
      </c>
    </row>
    <row r="601" spans="5:6">
      <c r="E601" s="5">
        <v>600</v>
      </c>
      <c r="F601" s="5" t="str">
        <f>IFERROR(VLOOKUP($C$2&amp;"-"&amp;E601,IRRADIAÇÃO!A:C,3,0),1)</f>
        <v>Taquaral</v>
      </c>
    </row>
    <row r="602" spans="5:6">
      <c r="E602" s="5">
        <v>601</v>
      </c>
      <c r="F602" s="5" t="str">
        <f>IFERROR(VLOOKUP($C$2&amp;"-"&amp;E602,IRRADIAÇÃO!A:C,3,0),1)</f>
        <v>Taquaritinga</v>
      </c>
    </row>
    <row r="603" spans="5:6">
      <c r="E603" s="5">
        <v>602</v>
      </c>
      <c r="F603" s="5" t="str">
        <f>IFERROR(VLOOKUP($C$2&amp;"-"&amp;E603,IRRADIAÇÃO!A:C,3,0),1)</f>
        <v>Taquarituba</v>
      </c>
    </row>
    <row r="604" spans="5:6">
      <c r="E604" s="5">
        <v>603</v>
      </c>
      <c r="F604" s="5" t="str">
        <f>IFERROR(VLOOKUP($C$2&amp;"-"&amp;E604,IRRADIAÇÃO!A:C,3,0),1)</f>
        <v>TaquarivaÃ­</v>
      </c>
    </row>
    <row r="605" spans="5:6">
      <c r="E605" s="5">
        <v>604</v>
      </c>
      <c r="F605" s="5" t="str">
        <f>IFERROR(VLOOKUP($C$2&amp;"-"&amp;E605,IRRADIAÇÃO!A:C,3,0),1)</f>
        <v>Tarabai</v>
      </c>
    </row>
    <row r="606" spans="5:6">
      <c r="E606" s="5">
        <v>605</v>
      </c>
      <c r="F606" s="5" t="str">
        <f>IFERROR(VLOOKUP($C$2&amp;"-"&amp;E606,IRRADIAÇÃO!A:C,3,0),1)</f>
        <v>Tarumã</v>
      </c>
    </row>
    <row r="607" spans="5:6">
      <c r="E607" s="5">
        <v>606</v>
      </c>
      <c r="F607" s="5" t="str">
        <f>IFERROR(VLOOKUP($C$2&amp;"-"&amp;E607,IRRADIAÇÃO!A:C,3,0),1)</f>
        <v>TatuÃ­</v>
      </c>
    </row>
    <row r="608" spans="5:6">
      <c r="E608" s="5">
        <v>607</v>
      </c>
      <c r="F608" s="5" t="str">
        <f>IFERROR(VLOOKUP($C$2&amp;"-"&amp;E608,IRRADIAÇÃO!A:C,3,0),1)</f>
        <v>Taubaté</v>
      </c>
    </row>
    <row r="609" spans="5:6">
      <c r="E609" s="5">
        <v>608</v>
      </c>
      <c r="F609" s="5" t="str">
        <f>IFERROR(VLOOKUP($C$2&amp;"-"&amp;E609,IRRADIAÇÃO!A:C,3,0),1)</f>
        <v>Tejupá</v>
      </c>
    </row>
    <row r="610" spans="5:6">
      <c r="E610" s="5">
        <v>609</v>
      </c>
      <c r="F610" s="5" t="str">
        <f>IFERROR(VLOOKUP($C$2&amp;"-"&amp;E610,IRRADIAÇÃO!A:C,3,0),1)</f>
        <v>Teodoro Sampaio</v>
      </c>
    </row>
    <row r="611" spans="5:6">
      <c r="E611" s="5">
        <v>610</v>
      </c>
      <c r="F611" s="5" t="str">
        <f>IFERROR(VLOOKUP($C$2&amp;"-"&amp;E611,IRRADIAÇÃO!A:C,3,0),1)</f>
        <v>Terra Roxa</v>
      </c>
    </row>
    <row r="612" spans="5:6">
      <c r="E612" s="5">
        <v>611</v>
      </c>
      <c r="F612" s="5" t="str">
        <f>IFERROR(VLOOKUP($C$2&amp;"-"&amp;E612,IRRADIAÇÃO!A:C,3,0),1)</f>
        <v>Tietê</v>
      </c>
    </row>
    <row r="613" spans="5:6">
      <c r="E613" s="5">
        <v>612</v>
      </c>
      <c r="F613" s="5" t="str">
        <f>IFERROR(VLOOKUP($C$2&amp;"-"&amp;E613,IRRADIAÇÃO!A:C,3,0),1)</f>
        <v>Timburi</v>
      </c>
    </row>
    <row r="614" spans="5:6">
      <c r="E614" s="5">
        <v>613</v>
      </c>
      <c r="F614" s="5" t="str">
        <f>IFERROR(VLOOKUP($C$2&amp;"-"&amp;E614,IRRADIAÇÃO!A:C,3,0),1)</f>
        <v>Torre de Pedra</v>
      </c>
    </row>
    <row r="615" spans="5:6">
      <c r="E615" s="5">
        <v>614</v>
      </c>
      <c r="F615" s="5" t="str">
        <f>IFERROR(VLOOKUP($C$2&amp;"-"&amp;E615,IRRADIAÇÃO!A:C,3,0),1)</f>
        <v>Torrinha</v>
      </c>
    </row>
    <row r="616" spans="5:6">
      <c r="E616" s="5">
        <v>615</v>
      </c>
      <c r="F616" s="5" t="str">
        <f>IFERROR(VLOOKUP($C$2&amp;"-"&amp;E616,IRRADIAÇÃO!A:C,3,0),1)</f>
        <v>Três Fronteiras</v>
      </c>
    </row>
    <row r="617" spans="5:6">
      <c r="E617" s="5">
        <v>616</v>
      </c>
      <c r="F617" s="5" t="str">
        <f>IFERROR(VLOOKUP($C$2&amp;"-"&amp;E617,IRRADIAÇÃO!A:C,3,0),1)</f>
        <v>Trabiju</v>
      </c>
    </row>
    <row r="618" spans="5:6">
      <c r="E618" s="5">
        <v>617</v>
      </c>
      <c r="F618" s="5" t="str">
        <f>IFERROR(VLOOKUP($C$2&amp;"-"&amp;E618,IRRADIAÇÃO!A:C,3,0),1)</f>
        <v>Tremembé</v>
      </c>
    </row>
    <row r="619" spans="5:6">
      <c r="E619" s="5">
        <v>618</v>
      </c>
      <c r="F619" s="5" t="str">
        <f>IFERROR(VLOOKUP($C$2&amp;"-"&amp;E619,IRRADIAÇÃO!A:C,3,0),1)</f>
        <v>Tuiuti</v>
      </c>
    </row>
    <row r="620" spans="5:6">
      <c r="E620" s="5">
        <v>619</v>
      </c>
      <c r="F620" s="5" t="str">
        <f>IFERROR(VLOOKUP($C$2&amp;"-"&amp;E620,IRRADIAÇÃO!A:C,3,0),1)</f>
        <v>Tupã</v>
      </c>
    </row>
    <row r="621" spans="5:6">
      <c r="E621" s="5">
        <v>620</v>
      </c>
      <c r="F621" s="5" t="str">
        <f>IFERROR(VLOOKUP($C$2&amp;"-"&amp;E621,IRRADIAÇÃO!A:C,3,0),1)</f>
        <v>Tupi Paulista</v>
      </c>
    </row>
    <row r="622" spans="5:6">
      <c r="E622" s="5">
        <v>621</v>
      </c>
      <c r="F622" s="5" t="str">
        <f>IFERROR(VLOOKUP($C$2&amp;"-"&amp;E622,IRRADIAÇÃO!A:C,3,0),1)</f>
        <v>Turiúba</v>
      </c>
    </row>
    <row r="623" spans="5:6">
      <c r="E623" s="5">
        <v>622</v>
      </c>
      <c r="F623" s="5" t="str">
        <f>IFERROR(VLOOKUP($C$2&amp;"-"&amp;E623,IRRADIAÇÃO!A:C,3,0),1)</f>
        <v>Turmalina</v>
      </c>
    </row>
    <row r="624" spans="5:6">
      <c r="E624" s="5">
        <v>623</v>
      </c>
      <c r="F624" s="5" t="str">
        <f>IFERROR(VLOOKUP($C$2&amp;"-"&amp;E624,IRRADIAÇÃO!A:C,3,0),1)</f>
        <v>Ubarana</v>
      </c>
    </row>
    <row r="625" spans="5:6">
      <c r="E625" s="5">
        <v>624</v>
      </c>
      <c r="F625" s="5" t="str">
        <f>IFERROR(VLOOKUP($C$2&amp;"-"&amp;E625,IRRADIAÇÃO!A:C,3,0),1)</f>
        <v>Ubatuba</v>
      </c>
    </row>
    <row r="626" spans="5:6">
      <c r="E626" s="5">
        <v>625</v>
      </c>
      <c r="F626" s="5" t="str">
        <f>IFERROR(VLOOKUP($C$2&amp;"-"&amp;E626,IRRADIAÇÃO!A:C,3,0),1)</f>
        <v>Ubirajara</v>
      </c>
    </row>
    <row r="627" spans="5:6">
      <c r="E627" s="5">
        <v>626</v>
      </c>
      <c r="F627" s="5" t="str">
        <f>IFERROR(VLOOKUP($C$2&amp;"-"&amp;E627,IRRADIAÇÃO!A:C,3,0),1)</f>
        <v>Uchoa</v>
      </c>
    </row>
    <row r="628" spans="5:6">
      <c r="E628" s="5">
        <v>627</v>
      </c>
      <c r="F628" s="5" t="str">
        <f>IFERROR(VLOOKUP($C$2&amp;"-"&amp;E628,IRRADIAÇÃO!A:C,3,0),1)</f>
        <v>União Paulista</v>
      </c>
    </row>
    <row r="629" spans="5:6">
      <c r="E629" s="5">
        <v>628</v>
      </c>
      <c r="F629" s="5" t="str">
        <f>IFERROR(VLOOKUP($C$2&amp;"-"&amp;E629,IRRADIAÇÃO!A:C,3,0),1)</f>
        <v>Urânia</v>
      </c>
    </row>
    <row r="630" spans="5:6">
      <c r="E630" s="5">
        <v>629</v>
      </c>
      <c r="F630" s="5" t="str">
        <f>IFERROR(VLOOKUP($C$2&amp;"-"&amp;E630,IRRADIAÇÃO!A:C,3,0),1)</f>
        <v>Uru</v>
      </c>
    </row>
    <row r="631" spans="5:6">
      <c r="E631" s="5">
        <v>630</v>
      </c>
      <c r="F631" s="5" t="str">
        <f>IFERROR(VLOOKUP($C$2&amp;"-"&amp;E631,IRRADIAÇÃO!A:C,3,0),1)</f>
        <v>Urupês</v>
      </c>
    </row>
    <row r="632" spans="5:6">
      <c r="E632" s="5">
        <v>631</v>
      </c>
      <c r="F632" s="5" t="str">
        <f>IFERROR(VLOOKUP($C$2&amp;"-"&amp;E632,IRRADIAÇÃO!A:C,3,0),1)</f>
        <v>Várzea Paulista</v>
      </c>
    </row>
    <row r="633" spans="5:6">
      <c r="E633" s="5">
        <v>632</v>
      </c>
      <c r="F633" s="5" t="str">
        <f>IFERROR(VLOOKUP($C$2&amp;"-"&amp;E633,IRRADIAÇÃO!A:C,3,0),1)</f>
        <v>Valentim Gentil</v>
      </c>
    </row>
    <row r="634" spans="5:6">
      <c r="E634" s="5">
        <v>633</v>
      </c>
      <c r="F634" s="5" t="str">
        <f>IFERROR(VLOOKUP($C$2&amp;"-"&amp;E634,IRRADIAÇÃO!A:C,3,0),1)</f>
        <v>Valinhos</v>
      </c>
    </row>
    <row r="635" spans="5:6">
      <c r="E635" s="5">
        <v>634</v>
      </c>
      <c r="F635" s="5" t="str">
        <f>IFERROR(VLOOKUP($C$2&amp;"-"&amp;E635,IRRADIAÇÃO!A:C,3,0),1)</f>
        <v>ValparaÃ­so</v>
      </c>
    </row>
    <row r="636" spans="5:6">
      <c r="E636" s="5">
        <v>635</v>
      </c>
      <c r="F636" s="5" t="str">
        <f>IFERROR(VLOOKUP($C$2&amp;"-"&amp;E636,IRRADIAÇÃO!A:C,3,0),1)</f>
        <v>Vargem</v>
      </c>
    </row>
    <row r="637" spans="5:6">
      <c r="E637" s="5">
        <v>636</v>
      </c>
      <c r="F637" s="5" t="str">
        <f>IFERROR(VLOOKUP($C$2&amp;"-"&amp;E637,IRRADIAÇÃO!A:C,3,0),1)</f>
        <v>Vargem Grande do Sul</v>
      </c>
    </row>
    <row r="638" spans="5:6">
      <c r="E638" s="5">
        <v>637</v>
      </c>
      <c r="F638" s="5" t="str">
        <f>IFERROR(VLOOKUP($C$2&amp;"-"&amp;E638,IRRADIAÇÃO!A:C,3,0),1)</f>
        <v>Vargem Grande Paulista</v>
      </c>
    </row>
    <row r="639" spans="5:6">
      <c r="E639" s="5">
        <v>638</v>
      </c>
      <c r="F639" s="5" t="str">
        <f>IFERROR(VLOOKUP($C$2&amp;"-"&amp;E639,IRRADIAÇÃO!A:C,3,0),1)</f>
        <v>Vera Cruz</v>
      </c>
    </row>
    <row r="640" spans="5:6">
      <c r="E640" s="5">
        <v>639</v>
      </c>
      <c r="F640" s="5" t="str">
        <f>IFERROR(VLOOKUP($C$2&amp;"-"&amp;E640,IRRADIAÇÃO!A:C,3,0),1)</f>
        <v>Vinhedo</v>
      </c>
    </row>
    <row r="641" spans="5:6">
      <c r="E641" s="5">
        <v>640</v>
      </c>
      <c r="F641" s="5" t="str">
        <f>IFERROR(VLOOKUP($C$2&amp;"-"&amp;E641,IRRADIAÇÃO!A:C,3,0),1)</f>
        <v>Viradouro</v>
      </c>
    </row>
    <row r="642" spans="5:6">
      <c r="E642" s="5">
        <v>641</v>
      </c>
      <c r="F642" s="5" t="str">
        <f>IFERROR(VLOOKUP($C$2&amp;"-"&amp;E642,IRRADIAÇÃO!A:C,3,0),1)</f>
        <v>Vista Alegre do Alto</v>
      </c>
    </row>
    <row r="643" spans="5:6">
      <c r="E643" s="5">
        <v>642</v>
      </c>
      <c r="F643" s="5" t="str">
        <f>IFERROR(VLOOKUP($C$2&amp;"-"&amp;E643,IRRADIAÇÃO!A:C,3,0),1)</f>
        <v>Vitória Brasil</v>
      </c>
    </row>
    <row r="644" spans="5:6">
      <c r="E644" s="5">
        <v>643</v>
      </c>
      <c r="F644" s="5" t="str">
        <f>IFERROR(VLOOKUP($C$2&amp;"-"&amp;E644,IRRADIAÇÃO!A:C,3,0),1)</f>
        <v>Votorantim</v>
      </c>
    </row>
    <row r="645" spans="5:6">
      <c r="E645" s="5">
        <v>644</v>
      </c>
      <c r="F645" s="5" t="str">
        <f>IFERROR(VLOOKUP($C$2&amp;"-"&amp;E645,IRRADIAÇÃO!A:C,3,0),1)</f>
        <v>Votuporanga</v>
      </c>
    </row>
    <row r="646" spans="5:6">
      <c r="E646" s="5">
        <v>645</v>
      </c>
      <c r="F646" s="5" t="str">
        <f>IFERROR(VLOOKUP($C$2&amp;"-"&amp;E646,IRRADIAÇÃO!A:C,3,0),1)</f>
        <v>Zacarias</v>
      </c>
    </row>
    <row r="647" spans="5:6">
      <c r="E647" s="5">
        <v>646</v>
      </c>
      <c r="F647" s="5">
        <f>IFERROR(VLOOKUP($C$2&amp;"-"&amp;E647,IRRADIAÇÃO!A:C,3,0),1)</f>
        <v>1</v>
      </c>
    </row>
    <row r="648" spans="5:6">
      <c r="E648" s="5">
        <v>647</v>
      </c>
      <c r="F648" s="5">
        <f>IFERROR(VLOOKUP($C$2&amp;"-"&amp;E648,IRRADIAÇÃO!A:C,3,0),1)</f>
        <v>1</v>
      </c>
    </row>
    <row r="649" spans="5:6">
      <c r="E649" s="5">
        <v>648</v>
      </c>
      <c r="F649" s="5">
        <f>IFERROR(VLOOKUP($C$2&amp;"-"&amp;E649,IRRADIAÇÃO!A:C,3,0),1)</f>
        <v>1</v>
      </c>
    </row>
    <row r="650" spans="5:6">
      <c r="E650" s="5">
        <v>649</v>
      </c>
      <c r="F650" s="5">
        <f>IFERROR(VLOOKUP($C$2&amp;"-"&amp;E650,IRRADIAÇÃO!A:C,3,0),1)</f>
        <v>1</v>
      </c>
    </row>
    <row r="651" spans="5:6">
      <c r="E651" s="5">
        <v>650</v>
      </c>
      <c r="F651" s="5">
        <f>IFERROR(VLOOKUP($C$2&amp;"-"&amp;E651,IRRADIAÇÃO!A:C,3,0),1)</f>
        <v>1</v>
      </c>
    </row>
    <row r="652" spans="5:6">
      <c r="E652" s="5">
        <v>651</v>
      </c>
      <c r="F652" s="5">
        <f>IFERROR(VLOOKUP($C$2&amp;"-"&amp;E652,IRRADIAÇÃO!A:C,3,0),1)</f>
        <v>1</v>
      </c>
    </row>
    <row r="653" spans="5:6">
      <c r="E653" s="5">
        <v>652</v>
      </c>
      <c r="F653" s="5">
        <f>IFERROR(VLOOKUP($C$2&amp;"-"&amp;E653,IRRADIAÇÃO!A:C,3,0),1)</f>
        <v>1</v>
      </c>
    </row>
    <row r="654" spans="5:6">
      <c r="E654" s="5">
        <v>653</v>
      </c>
      <c r="F654" s="5">
        <f>IFERROR(VLOOKUP($C$2&amp;"-"&amp;E654,IRRADIAÇÃO!A:C,3,0),1)</f>
        <v>1</v>
      </c>
    </row>
    <row r="655" spans="5:6">
      <c r="E655" s="5">
        <v>654</v>
      </c>
      <c r="F655" s="5">
        <f>IFERROR(VLOOKUP($C$2&amp;"-"&amp;E655,IRRADIAÇÃO!A:C,3,0),1)</f>
        <v>1</v>
      </c>
    </row>
    <row r="656" spans="5:6">
      <c r="E656" s="5">
        <v>655</v>
      </c>
      <c r="F656" s="5">
        <f>IFERROR(VLOOKUP($C$2&amp;"-"&amp;E656,IRRADIAÇÃO!A:C,3,0),1)</f>
        <v>1</v>
      </c>
    </row>
    <row r="657" spans="5:6">
      <c r="E657" s="5">
        <v>656</v>
      </c>
      <c r="F657" s="5">
        <f>IFERROR(VLOOKUP($C$2&amp;"-"&amp;E657,IRRADIAÇÃO!A:C,3,0),1)</f>
        <v>1</v>
      </c>
    </row>
    <row r="658" spans="5:6">
      <c r="E658" s="5">
        <v>657</v>
      </c>
      <c r="F658" s="5">
        <f>IFERROR(VLOOKUP($C$2&amp;"-"&amp;E658,IRRADIAÇÃO!A:C,3,0),1)</f>
        <v>1</v>
      </c>
    </row>
    <row r="659" spans="5:6">
      <c r="E659" s="5">
        <v>658</v>
      </c>
      <c r="F659" s="5">
        <f>IFERROR(VLOOKUP($C$2&amp;"-"&amp;E659,IRRADIAÇÃO!A:C,3,0),1)</f>
        <v>1</v>
      </c>
    </row>
    <row r="660" spans="5:6">
      <c r="E660" s="5">
        <v>659</v>
      </c>
      <c r="F660" s="5">
        <f>IFERROR(VLOOKUP($C$2&amp;"-"&amp;E660,IRRADIAÇÃO!A:C,3,0),1)</f>
        <v>1</v>
      </c>
    </row>
    <row r="661" spans="5:6">
      <c r="E661" s="5">
        <v>660</v>
      </c>
      <c r="F661" s="5">
        <f>IFERROR(VLOOKUP($C$2&amp;"-"&amp;E661,IRRADIAÇÃO!A:C,3,0),1)</f>
        <v>1</v>
      </c>
    </row>
    <row r="662" spans="5:6">
      <c r="E662" s="5">
        <v>661</v>
      </c>
      <c r="F662" s="5">
        <f>IFERROR(VLOOKUP($C$2&amp;"-"&amp;E662,IRRADIAÇÃO!A:C,3,0),1)</f>
        <v>1</v>
      </c>
    </row>
    <row r="663" spans="5:6">
      <c r="E663" s="5">
        <v>662</v>
      </c>
      <c r="F663" s="5">
        <f>IFERROR(VLOOKUP($C$2&amp;"-"&amp;E663,IRRADIAÇÃO!A:C,3,0),1)</f>
        <v>1</v>
      </c>
    </row>
    <row r="664" spans="5:6">
      <c r="E664" s="5">
        <v>663</v>
      </c>
      <c r="F664" s="5">
        <f>IFERROR(VLOOKUP($C$2&amp;"-"&amp;E664,IRRADIAÇÃO!A:C,3,0),1)</f>
        <v>1</v>
      </c>
    </row>
    <row r="665" spans="5:6">
      <c r="E665" s="5">
        <v>664</v>
      </c>
      <c r="F665" s="5">
        <f>IFERROR(VLOOKUP($C$2&amp;"-"&amp;E665,IRRADIAÇÃO!A:C,3,0),1)</f>
        <v>1</v>
      </c>
    </row>
    <row r="666" spans="5:6">
      <c r="E666" s="5">
        <v>665</v>
      </c>
      <c r="F666" s="5">
        <f>IFERROR(VLOOKUP($C$2&amp;"-"&amp;E666,IRRADIAÇÃO!A:C,3,0),1)</f>
        <v>1</v>
      </c>
    </row>
    <row r="667" spans="5:6">
      <c r="E667" s="5">
        <v>666</v>
      </c>
      <c r="F667" s="5">
        <f>IFERROR(VLOOKUP($C$2&amp;"-"&amp;E667,IRRADIAÇÃO!A:C,3,0),1)</f>
        <v>1</v>
      </c>
    </row>
    <row r="668" spans="5:6">
      <c r="E668" s="5">
        <v>667</v>
      </c>
      <c r="F668" s="5">
        <f>IFERROR(VLOOKUP($C$2&amp;"-"&amp;E668,IRRADIAÇÃO!A:C,3,0),1)</f>
        <v>1</v>
      </c>
    </row>
    <row r="669" spans="5:6">
      <c r="E669" s="5">
        <v>668</v>
      </c>
      <c r="F669" s="5">
        <f>IFERROR(VLOOKUP($C$2&amp;"-"&amp;E669,IRRADIAÇÃO!A:C,3,0),1)</f>
        <v>1</v>
      </c>
    </row>
    <row r="670" spans="5:6">
      <c r="E670" s="5">
        <v>669</v>
      </c>
      <c r="F670" s="5">
        <f>IFERROR(VLOOKUP($C$2&amp;"-"&amp;E670,IRRADIAÇÃO!A:C,3,0),1)</f>
        <v>1</v>
      </c>
    </row>
    <row r="671" spans="5:6">
      <c r="E671" s="5">
        <v>670</v>
      </c>
      <c r="F671" s="5">
        <f>IFERROR(VLOOKUP($C$2&amp;"-"&amp;E671,IRRADIAÇÃO!A:C,3,0),1)</f>
        <v>1</v>
      </c>
    </row>
    <row r="672" spans="5:6">
      <c r="E672" s="5">
        <v>671</v>
      </c>
      <c r="F672" s="5">
        <f>IFERROR(VLOOKUP($C$2&amp;"-"&amp;E672,IRRADIAÇÃO!A:C,3,0),1)</f>
        <v>1</v>
      </c>
    </row>
    <row r="673" spans="5:6">
      <c r="E673" s="5">
        <v>672</v>
      </c>
      <c r="F673" s="5">
        <f>IFERROR(VLOOKUP($C$2&amp;"-"&amp;E673,IRRADIAÇÃO!A:C,3,0),1)</f>
        <v>1</v>
      </c>
    </row>
    <row r="674" spans="5:6">
      <c r="E674" s="5">
        <v>673</v>
      </c>
      <c r="F674" s="5">
        <f>IFERROR(VLOOKUP($C$2&amp;"-"&amp;E674,IRRADIAÇÃO!A:C,3,0),1)</f>
        <v>1</v>
      </c>
    </row>
    <row r="675" spans="5:6">
      <c r="E675" s="5">
        <v>674</v>
      </c>
      <c r="F675" s="5">
        <f>IFERROR(VLOOKUP($C$2&amp;"-"&amp;E675,IRRADIAÇÃO!A:C,3,0),1)</f>
        <v>1</v>
      </c>
    </row>
    <row r="676" spans="5:6">
      <c r="E676" s="5">
        <v>675</v>
      </c>
      <c r="F676" s="5">
        <f>IFERROR(VLOOKUP($C$2&amp;"-"&amp;E676,IRRADIAÇÃO!A:C,3,0),1)</f>
        <v>1</v>
      </c>
    </row>
    <row r="677" spans="5:6">
      <c r="E677" s="5">
        <v>676</v>
      </c>
      <c r="F677" s="5">
        <f>IFERROR(VLOOKUP($C$2&amp;"-"&amp;E677,IRRADIAÇÃO!A:C,3,0),1)</f>
        <v>1</v>
      </c>
    </row>
    <row r="678" spans="5:6">
      <c r="E678" s="5">
        <v>677</v>
      </c>
      <c r="F678" s="5">
        <f>IFERROR(VLOOKUP($C$2&amp;"-"&amp;E678,IRRADIAÇÃO!A:C,3,0),1)</f>
        <v>1</v>
      </c>
    </row>
    <row r="679" spans="5:6">
      <c r="E679" s="5">
        <v>678</v>
      </c>
      <c r="F679" s="5">
        <f>IFERROR(VLOOKUP($C$2&amp;"-"&amp;E679,IRRADIAÇÃO!A:C,3,0),1)</f>
        <v>1</v>
      </c>
    </row>
    <row r="680" spans="5:6">
      <c r="E680" s="5">
        <v>679</v>
      </c>
      <c r="F680" s="5">
        <f>IFERROR(VLOOKUP($C$2&amp;"-"&amp;E680,IRRADIAÇÃO!A:C,3,0),1)</f>
        <v>1</v>
      </c>
    </row>
    <row r="681" spans="5:6">
      <c r="E681" s="5">
        <v>680</v>
      </c>
      <c r="F681" s="5">
        <f>IFERROR(VLOOKUP($C$2&amp;"-"&amp;E681,IRRADIAÇÃO!A:C,3,0),1)</f>
        <v>1</v>
      </c>
    </row>
    <row r="682" spans="5:6">
      <c r="E682" s="5">
        <v>681</v>
      </c>
      <c r="F682" s="5">
        <f>IFERROR(VLOOKUP($C$2&amp;"-"&amp;E682,IRRADIAÇÃO!A:C,3,0),1)</f>
        <v>1</v>
      </c>
    </row>
    <row r="683" spans="5:6">
      <c r="E683" s="5">
        <v>682</v>
      </c>
      <c r="F683" s="5">
        <f>IFERROR(VLOOKUP($C$2&amp;"-"&amp;E683,IRRADIAÇÃO!A:C,3,0),1)</f>
        <v>1</v>
      </c>
    </row>
    <row r="684" spans="5:6">
      <c r="E684" s="5">
        <v>683</v>
      </c>
      <c r="F684" s="5">
        <f>IFERROR(VLOOKUP($C$2&amp;"-"&amp;E684,IRRADIAÇÃO!A:C,3,0),1)</f>
        <v>1</v>
      </c>
    </row>
    <row r="685" spans="5:6">
      <c r="E685" s="5">
        <v>684</v>
      </c>
      <c r="F685" s="5">
        <f>IFERROR(VLOOKUP($C$2&amp;"-"&amp;E685,IRRADIAÇÃO!A:C,3,0),1)</f>
        <v>1</v>
      </c>
    </row>
    <row r="686" spans="5:6">
      <c r="E686" s="5">
        <v>685</v>
      </c>
      <c r="F686" s="5">
        <f>IFERROR(VLOOKUP($C$2&amp;"-"&amp;E686,IRRADIAÇÃO!A:C,3,0),1)</f>
        <v>1</v>
      </c>
    </row>
    <row r="687" spans="5:6">
      <c r="E687" s="5">
        <v>686</v>
      </c>
      <c r="F687" s="5">
        <f>IFERROR(VLOOKUP($C$2&amp;"-"&amp;E687,IRRADIAÇÃO!A:C,3,0),1)</f>
        <v>1</v>
      </c>
    </row>
    <row r="688" spans="5:6">
      <c r="E688" s="5">
        <v>687</v>
      </c>
      <c r="F688" s="5">
        <f>IFERROR(VLOOKUP($C$2&amp;"-"&amp;E688,IRRADIAÇÃO!A:C,3,0),1)</f>
        <v>1</v>
      </c>
    </row>
    <row r="689" spans="5:6">
      <c r="E689" s="5">
        <v>688</v>
      </c>
      <c r="F689" s="5">
        <f>IFERROR(VLOOKUP($C$2&amp;"-"&amp;E689,IRRADIAÇÃO!A:C,3,0),1)</f>
        <v>1</v>
      </c>
    </row>
    <row r="690" spans="5:6">
      <c r="E690" s="5">
        <v>689</v>
      </c>
      <c r="F690" s="5">
        <f>IFERROR(VLOOKUP($C$2&amp;"-"&amp;E690,IRRADIAÇÃO!A:C,3,0),1)</f>
        <v>1</v>
      </c>
    </row>
    <row r="691" spans="5:6">
      <c r="E691" s="5">
        <v>690</v>
      </c>
      <c r="F691" s="5">
        <f>IFERROR(VLOOKUP($C$2&amp;"-"&amp;E691,IRRADIAÇÃO!A:C,3,0),1)</f>
        <v>1</v>
      </c>
    </row>
    <row r="692" spans="5:6">
      <c r="E692" s="5">
        <v>691</v>
      </c>
      <c r="F692" s="5">
        <f>IFERROR(VLOOKUP($C$2&amp;"-"&amp;E692,IRRADIAÇÃO!A:C,3,0),1)</f>
        <v>1</v>
      </c>
    </row>
    <row r="693" spans="5:6">
      <c r="E693" s="5">
        <v>692</v>
      </c>
      <c r="F693" s="5">
        <f>IFERROR(VLOOKUP($C$2&amp;"-"&amp;E693,IRRADIAÇÃO!A:C,3,0),1)</f>
        <v>1</v>
      </c>
    </row>
    <row r="694" spans="5:6">
      <c r="E694" s="5">
        <v>693</v>
      </c>
      <c r="F694" s="5">
        <f>IFERROR(VLOOKUP($C$2&amp;"-"&amp;E694,IRRADIAÇÃO!A:C,3,0),1)</f>
        <v>1</v>
      </c>
    </row>
    <row r="695" spans="5:6">
      <c r="E695" s="5">
        <v>694</v>
      </c>
      <c r="F695" s="5">
        <f>IFERROR(VLOOKUP($C$2&amp;"-"&amp;E695,IRRADIAÇÃO!A:C,3,0),1)</f>
        <v>1</v>
      </c>
    </row>
    <row r="696" spans="5:6">
      <c r="E696" s="5">
        <v>695</v>
      </c>
      <c r="F696" s="5">
        <f>IFERROR(VLOOKUP($C$2&amp;"-"&amp;E696,IRRADIAÇÃO!A:C,3,0),1)</f>
        <v>1</v>
      </c>
    </row>
    <row r="697" spans="5:6">
      <c r="E697" s="5">
        <v>696</v>
      </c>
      <c r="F697" s="5">
        <f>IFERROR(VLOOKUP($C$2&amp;"-"&amp;E697,IRRADIAÇÃO!A:C,3,0),1)</f>
        <v>1</v>
      </c>
    </row>
    <row r="698" spans="5:6">
      <c r="E698" s="5">
        <v>697</v>
      </c>
      <c r="F698" s="5">
        <f>IFERROR(VLOOKUP($C$2&amp;"-"&amp;E698,IRRADIAÇÃO!A:C,3,0),1)</f>
        <v>1</v>
      </c>
    </row>
    <row r="699" spans="5:6">
      <c r="E699" s="5">
        <v>698</v>
      </c>
      <c r="F699" s="5">
        <f>IFERROR(VLOOKUP($C$2&amp;"-"&amp;E699,IRRADIAÇÃO!A:C,3,0),1)</f>
        <v>1</v>
      </c>
    </row>
    <row r="700" spans="5:6">
      <c r="E700" s="5">
        <v>699</v>
      </c>
      <c r="F700" s="5">
        <f>IFERROR(VLOOKUP($C$2&amp;"-"&amp;E700,IRRADIAÇÃO!A:C,3,0),1)</f>
        <v>1</v>
      </c>
    </row>
    <row r="701" spans="5:6">
      <c r="E701" s="5">
        <v>700</v>
      </c>
      <c r="F701" s="5">
        <f>IFERROR(VLOOKUP($C$2&amp;"-"&amp;E701,IRRADIAÇÃO!A:C,3,0),1)</f>
        <v>1</v>
      </c>
    </row>
    <row r="702" spans="5:6">
      <c r="E702" s="5">
        <v>701</v>
      </c>
      <c r="F702" s="5">
        <f>IFERROR(VLOOKUP($C$2&amp;"-"&amp;E702,IRRADIAÇÃO!A:C,3,0),1)</f>
        <v>1</v>
      </c>
    </row>
    <row r="703" spans="5:6">
      <c r="E703" s="5">
        <v>702</v>
      </c>
      <c r="F703" s="5">
        <f>IFERROR(VLOOKUP($C$2&amp;"-"&amp;E703,IRRADIAÇÃO!A:C,3,0),1)</f>
        <v>1</v>
      </c>
    </row>
    <row r="704" spans="5:6">
      <c r="E704" s="5">
        <v>703</v>
      </c>
      <c r="F704" s="5">
        <f>IFERROR(VLOOKUP($C$2&amp;"-"&amp;E704,IRRADIAÇÃO!A:C,3,0),1)</f>
        <v>1</v>
      </c>
    </row>
    <row r="705" spans="5:6">
      <c r="E705" s="5">
        <v>704</v>
      </c>
      <c r="F705" s="5">
        <f>IFERROR(VLOOKUP($C$2&amp;"-"&amp;E705,IRRADIAÇÃO!A:C,3,0),1)</f>
        <v>1</v>
      </c>
    </row>
    <row r="706" spans="5:6">
      <c r="E706" s="5">
        <v>705</v>
      </c>
      <c r="F706" s="5">
        <f>IFERROR(VLOOKUP($C$2&amp;"-"&amp;E706,IRRADIAÇÃO!A:C,3,0),1)</f>
        <v>1</v>
      </c>
    </row>
    <row r="707" spans="5:6">
      <c r="E707" s="5">
        <v>706</v>
      </c>
      <c r="F707" s="5">
        <f>IFERROR(VLOOKUP($C$2&amp;"-"&amp;E707,IRRADIAÇÃO!A:C,3,0),1)</f>
        <v>1</v>
      </c>
    </row>
    <row r="708" spans="5:6">
      <c r="E708" s="5">
        <v>707</v>
      </c>
      <c r="F708" s="5">
        <f>IFERROR(VLOOKUP($C$2&amp;"-"&amp;E708,IRRADIAÇÃO!A:C,3,0),1)</f>
        <v>1</v>
      </c>
    </row>
    <row r="709" spans="5:6">
      <c r="E709" s="5">
        <v>708</v>
      </c>
      <c r="F709" s="5">
        <f>IFERROR(VLOOKUP($C$2&amp;"-"&amp;E709,IRRADIAÇÃO!A:C,3,0),1)</f>
        <v>1</v>
      </c>
    </row>
    <row r="710" spans="5:6">
      <c r="E710" s="5">
        <v>709</v>
      </c>
      <c r="F710" s="5">
        <f>IFERROR(VLOOKUP($C$2&amp;"-"&amp;E710,IRRADIAÇÃO!A:C,3,0),1)</f>
        <v>1</v>
      </c>
    </row>
    <row r="711" spans="5:6">
      <c r="E711" s="5">
        <v>710</v>
      </c>
      <c r="F711" s="5">
        <f>IFERROR(VLOOKUP($C$2&amp;"-"&amp;E711,IRRADIAÇÃO!A:C,3,0),1)</f>
        <v>1</v>
      </c>
    </row>
    <row r="712" spans="5:6">
      <c r="E712" s="5">
        <v>711</v>
      </c>
      <c r="F712" s="5">
        <f>IFERROR(VLOOKUP($C$2&amp;"-"&amp;E712,IRRADIAÇÃO!A:C,3,0),1)</f>
        <v>1</v>
      </c>
    </row>
    <row r="713" spans="5:6">
      <c r="E713" s="5">
        <v>712</v>
      </c>
      <c r="F713" s="5">
        <f>IFERROR(VLOOKUP($C$2&amp;"-"&amp;E713,IRRADIAÇÃO!A:C,3,0),1)</f>
        <v>1</v>
      </c>
    </row>
    <row r="714" spans="5:6">
      <c r="E714" s="5">
        <v>713</v>
      </c>
      <c r="F714" s="5">
        <f>IFERROR(VLOOKUP($C$2&amp;"-"&amp;E714,IRRADIAÇÃO!A:C,3,0),1)</f>
        <v>1</v>
      </c>
    </row>
    <row r="715" spans="5:6">
      <c r="E715" s="5">
        <v>714</v>
      </c>
      <c r="F715" s="5">
        <f>IFERROR(VLOOKUP($C$2&amp;"-"&amp;E715,IRRADIAÇÃO!A:C,3,0),1)</f>
        <v>1</v>
      </c>
    </row>
    <row r="716" spans="5:6">
      <c r="E716" s="5">
        <v>715</v>
      </c>
      <c r="F716" s="5">
        <f>IFERROR(VLOOKUP($C$2&amp;"-"&amp;E716,IRRADIAÇÃO!A:C,3,0),1)</f>
        <v>1</v>
      </c>
    </row>
    <row r="717" spans="5:6">
      <c r="E717" s="5">
        <v>716</v>
      </c>
      <c r="F717" s="5">
        <f>IFERROR(VLOOKUP($C$2&amp;"-"&amp;E717,IRRADIAÇÃO!A:C,3,0),1)</f>
        <v>1</v>
      </c>
    </row>
    <row r="718" spans="5:6">
      <c r="E718" s="5">
        <v>717</v>
      </c>
      <c r="F718" s="5">
        <f>IFERROR(VLOOKUP($C$2&amp;"-"&amp;E718,IRRADIAÇÃO!A:C,3,0),1)</f>
        <v>1</v>
      </c>
    </row>
    <row r="719" spans="5:6">
      <c r="E719" s="5">
        <v>718</v>
      </c>
      <c r="F719" s="5">
        <f>IFERROR(VLOOKUP($C$2&amp;"-"&amp;E719,IRRADIAÇÃO!A:C,3,0),1)</f>
        <v>1</v>
      </c>
    </row>
    <row r="720" spans="5:6">
      <c r="E720" s="5">
        <v>719</v>
      </c>
      <c r="F720" s="5">
        <f>IFERROR(VLOOKUP($C$2&amp;"-"&amp;E720,IRRADIAÇÃO!A:C,3,0),1)</f>
        <v>1</v>
      </c>
    </row>
    <row r="721" spans="5:6">
      <c r="E721" s="5">
        <v>720</v>
      </c>
      <c r="F721" s="5">
        <f>IFERROR(VLOOKUP($C$2&amp;"-"&amp;E721,IRRADIAÇÃO!A:C,3,0),1)</f>
        <v>1</v>
      </c>
    </row>
    <row r="722" spans="5:6">
      <c r="E722" s="5">
        <v>721</v>
      </c>
      <c r="F722" s="5">
        <f>IFERROR(VLOOKUP($C$2&amp;"-"&amp;E722,IRRADIAÇÃO!A:C,3,0),1)</f>
        <v>1</v>
      </c>
    </row>
    <row r="723" spans="5:6">
      <c r="E723" s="5">
        <v>722</v>
      </c>
      <c r="F723" s="5">
        <f>IFERROR(VLOOKUP($C$2&amp;"-"&amp;E723,IRRADIAÇÃO!A:C,3,0),1)</f>
        <v>1</v>
      </c>
    </row>
    <row r="724" spans="5:6">
      <c r="E724" s="5">
        <v>723</v>
      </c>
      <c r="F724" s="5">
        <f>IFERROR(VLOOKUP($C$2&amp;"-"&amp;E724,IRRADIAÇÃO!A:C,3,0),1)</f>
        <v>1</v>
      </c>
    </row>
    <row r="725" spans="5:6">
      <c r="E725" s="5">
        <v>724</v>
      </c>
      <c r="F725" s="5">
        <f>IFERROR(VLOOKUP($C$2&amp;"-"&amp;E725,IRRADIAÇÃO!A:C,3,0),1)</f>
        <v>1</v>
      </c>
    </row>
    <row r="726" spans="5:6">
      <c r="E726" s="5">
        <v>725</v>
      </c>
      <c r="F726" s="5">
        <f>IFERROR(VLOOKUP($C$2&amp;"-"&amp;E726,IRRADIAÇÃO!A:C,3,0),1)</f>
        <v>1</v>
      </c>
    </row>
    <row r="727" spans="5:6">
      <c r="E727" s="5">
        <v>726</v>
      </c>
      <c r="F727" s="5">
        <f>IFERROR(VLOOKUP($C$2&amp;"-"&amp;E727,IRRADIAÇÃO!A:C,3,0),1)</f>
        <v>1</v>
      </c>
    </row>
    <row r="728" spans="5:6">
      <c r="E728" s="5">
        <v>727</v>
      </c>
      <c r="F728" s="5">
        <f>IFERROR(VLOOKUP($C$2&amp;"-"&amp;E728,IRRADIAÇÃO!A:C,3,0),1)</f>
        <v>1</v>
      </c>
    </row>
    <row r="729" spans="5:6">
      <c r="E729" s="5">
        <v>728</v>
      </c>
      <c r="F729" s="5">
        <f>IFERROR(VLOOKUP($C$2&amp;"-"&amp;E729,IRRADIAÇÃO!A:C,3,0),1)</f>
        <v>1</v>
      </c>
    </row>
    <row r="730" spans="5:6">
      <c r="E730" s="5">
        <v>729</v>
      </c>
      <c r="F730" s="5">
        <f>IFERROR(VLOOKUP($C$2&amp;"-"&amp;E730,IRRADIAÇÃO!A:C,3,0),1)</f>
        <v>1</v>
      </c>
    </row>
    <row r="731" spans="5:6">
      <c r="E731" s="5">
        <v>730</v>
      </c>
      <c r="F731" s="5">
        <f>IFERROR(VLOOKUP($C$2&amp;"-"&amp;E731,IRRADIAÇÃO!A:C,3,0),1)</f>
        <v>1</v>
      </c>
    </row>
    <row r="732" spans="5:6">
      <c r="E732" s="5">
        <v>731</v>
      </c>
      <c r="F732" s="5">
        <f>IFERROR(VLOOKUP($C$2&amp;"-"&amp;E732,IRRADIAÇÃO!A:C,3,0),1)</f>
        <v>1</v>
      </c>
    </row>
    <row r="733" spans="5:6">
      <c r="E733" s="5">
        <v>732</v>
      </c>
      <c r="F733" s="5">
        <f>IFERROR(VLOOKUP($C$2&amp;"-"&amp;E733,IRRADIAÇÃO!A:C,3,0),1)</f>
        <v>1</v>
      </c>
    </row>
    <row r="734" spans="5:6">
      <c r="E734" s="5">
        <v>733</v>
      </c>
      <c r="F734" s="5">
        <f>IFERROR(VLOOKUP($C$2&amp;"-"&amp;E734,IRRADIAÇÃO!A:C,3,0),1)</f>
        <v>1</v>
      </c>
    </row>
    <row r="735" spans="5:6">
      <c r="E735" s="5">
        <v>734</v>
      </c>
      <c r="F735" s="5">
        <f>IFERROR(VLOOKUP($C$2&amp;"-"&amp;E735,IRRADIAÇÃO!A:C,3,0),1)</f>
        <v>1</v>
      </c>
    </row>
    <row r="736" spans="5:6">
      <c r="E736" s="5">
        <v>735</v>
      </c>
      <c r="F736" s="5">
        <f>IFERROR(VLOOKUP($C$2&amp;"-"&amp;E736,IRRADIAÇÃO!A:C,3,0),1)</f>
        <v>1</v>
      </c>
    </row>
    <row r="737" spans="5:6">
      <c r="E737" s="5">
        <v>736</v>
      </c>
      <c r="F737" s="5">
        <f>IFERROR(VLOOKUP($C$2&amp;"-"&amp;E737,IRRADIAÇÃO!A:C,3,0),1)</f>
        <v>1</v>
      </c>
    </row>
    <row r="738" spans="5:6">
      <c r="E738" s="5">
        <v>737</v>
      </c>
      <c r="F738" s="5">
        <f>IFERROR(VLOOKUP($C$2&amp;"-"&amp;E738,IRRADIAÇÃO!A:C,3,0),1)</f>
        <v>1</v>
      </c>
    </row>
    <row r="739" spans="5:6">
      <c r="E739" s="5">
        <v>738</v>
      </c>
      <c r="F739" s="5">
        <f>IFERROR(VLOOKUP($C$2&amp;"-"&amp;E739,IRRADIAÇÃO!A:C,3,0),1)</f>
        <v>1</v>
      </c>
    </row>
    <row r="740" spans="5:6">
      <c r="E740" s="5">
        <v>739</v>
      </c>
      <c r="F740" s="5">
        <f>IFERROR(VLOOKUP($C$2&amp;"-"&amp;E740,IRRADIAÇÃO!A:C,3,0),1)</f>
        <v>1</v>
      </c>
    </row>
    <row r="741" spans="5:6">
      <c r="E741" s="5">
        <v>740</v>
      </c>
      <c r="F741" s="5">
        <f>IFERROR(VLOOKUP($C$2&amp;"-"&amp;E741,IRRADIAÇÃO!A:C,3,0),1)</f>
        <v>1</v>
      </c>
    </row>
    <row r="742" spans="5:6">
      <c r="E742" s="5">
        <v>741</v>
      </c>
      <c r="F742" s="5">
        <f>IFERROR(VLOOKUP($C$2&amp;"-"&amp;E742,IRRADIAÇÃO!A:C,3,0),1)</f>
        <v>1</v>
      </c>
    </row>
    <row r="743" spans="5:6">
      <c r="E743" s="5">
        <v>742</v>
      </c>
      <c r="F743" s="5">
        <f>IFERROR(VLOOKUP($C$2&amp;"-"&amp;E743,IRRADIAÇÃO!A:C,3,0),1)</f>
        <v>1</v>
      </c>
    </row>
    <row r="744" spans="5:6">
      <c r="E744" s="5">
        <v>743</v>
      </c>
      <c r="F744" s="5">
        <f>IFERROR(VLOOKUP($C$2&amp;"-"&amp;E744,IRRADIAÇÃO!A:C,3,0),1)</f>
        <v>1</v>
      </c>
    </row>
    <row r="745" spans="5:6">
      <c r="E745" s="5">
        <v>744</v>
      </c>
      <c r="F745" s="5">
        <f>IFERROR(VLOOKUP($C$2&amp;"-"&amp;E745,IRRADIAÇÃO!A:C,3,0),1)</f>
        <v>1</v>
      </c>
    </row>
    <row r="746" spans="5:6">
      <c r="E746" s="5">
        <v>745</v>
      </c>
      <c r="F746" s="5">
        <f>IFERROR(VLOOKUP($C$2&amp;"-"&amp;E746,IRRADIAÇÃO!A:C,3,0),1)</f>
        <v>1</v>
      </c>
    </row>
    <row r="747" spans="5:6">
      <c r="E747" s="5">
        <v>746</v>
      </c>
      <c r="F747" s="5">
        <f>IFERROR(VLOOKUP($C$2&amp;"-"&amp;E747,IRRADIAÇÃO!A:C,3,0),1)</f>
        <v>1</v>
      </c>
    </row>
    <row r="748" spans="5:6">
      <c r="E748" s="5">
        <v>747</v>
      </c>
      <c r="F748" s="5">
        <f>IFERROR(VLOOKUP($C$2&amp;"-"&amp;E748,IRRADIAÇÃO!A:C,3,0),1)</f>
        <v>1</v>
      </c>
    </row>
    <row r="749" spans="5:6">
      <c r="E749" s="5">
        <v>748</v>
      </c>
      <c r="F749" s="5">
        <f>IFERROR(VLOOKUP($C$2&amp;"-"&amp;E749,IRRADIAÇÃO!A:C,3,0),1)</f>
        <v>1</v>
      </c>
    </row>
    <row r="750" spans="5:6">
      <c r="E750" s="5">
        <v>749</v>
      </c>
      <c r="F750" s="5">
        <f>IFERROR(VLOOKUP($C$2&amp;"-"&amp;E750,IRRADIAÇÃO!A:C,3,0),1)</f>
        <v>1</v>
      </c>
    </row>
    <row r="751" spans="5:6">
      <c r="E751" s="5">
        <v>750</v>
      </c>
      <c r="F751" s="5">
        <f>IFERROR(VLOOKUP($C$2&amp;"-"&amp;E751,IRRADIAÇÃO!A:C,3,0),1)</f>
        <v>1</v>
      </c>
    </row>
    <row r="752" spans="5:6">
      <c r="E752" s="5">
        <v>751</v>
      </c>
      <c r="F752" s="5">
        <f>IFERROR(VLOOKUP($C$2&amp;"-"&amp;E752,IRRADIAÇÃO!A:C,3,0),1)</f>
        <v>1</v>
      </c>
    </row>
    <row r="753" spans="5:6">
      <c r="E753" s="5">
        <v>752</v>
      </c>
      <c r="F753" s="5">
        <f>IFERROR(VLOOKUP($C$2&amp;"-"&amp;E753,IRRADIAÇÃO!A:C,3,0),1)</f>
        <v>1</v>
      </c>
    </row>
    <row r="754" spans="5:6">
      <c r="E754" s="5">
        <v>753</v>
      </c>
      <c r="F754" s="5">
        <f>IFERROR(VLOOKUP($C$2&amp;"-"&amp;E754,IRRADIAÇÃO!A:C,3,0),1)</f>
        <v>1</v>
      </c>
    </row>
    <row r="755" spans="5:6">
      <c r="E755" s="5">
        <v>754</v>
      </c>
      <c r="F755" s="5">
        <f>IFERROR(VLOOKUP($C$2&amp;"-"&amp;E755,IRRADIAÇÃO!A:C,3,0),1)</f>
        <v>1</v>
      </c>
    </row>
    <row r="756" spans="5:6">
      <c r="E756" s="5">
        <v>755</v>
      </c>
      <c r="F756" s="5">
        <f>IFERROR(VLOOKUP($C$2&amp;"-"&amp;E756,IRRADIAÇÃO!A:C,3,0),1)</f>
        <v>1</v>
      </c>
    </row>
    <row r="757" spans="5:6">
      <c r="E757" s="5">
        <v>756</v>
      </c>
      <c r="F757" s="5">
        <f>IFERROR(VLOOKUP($C$2&amp;"-"&amp;E757,IRRADIAÇÃO!A:C,3,0),1)</f>
        <v>1</v>
      </c>
    </row>
    <row r="758" spans="5:6">
      <c r="E758" s="5">
        <v>757</v>
      </c>
      <c r="F758" s="5">
        <f>IFERROR(VLOOKUP($C$2&amp;"-"&amp;E758,IRRADIAÇÃO!A:C,3,0),1)</f>
        <v>1</v>
      </c>
    </row>
    <row r="759" spans="5:6">
      <c r="E759" s="5">
        <v>758</v>
      </c>
      <c r="F759" s="5">
        <f>IFERROR(VLOOKUP($C$2&amp;"-"&amp;E759,IRRADIAÇÃO!A:C,3,0),1)</f>
        <v>1</v>
      </c>
    </row>
    <row r="760" spans="5:6">
      <c r="E760" s="5">
        <v>759</v>
      </c>
      <c r="F760" s="5">
        <f>IFERROR(VLOOKUP($C$2&amp;"-"&amp;E760,IRRADIAÇÃO!A:C,3,0),1)</f>
        <v>1</v>
      </c>
    </row>
    <row r="761" spans="5:6">
      <c r="E761" s="5">
        <v>760</v>
      </c>
      <c r="F761" s="5">
        <f>IFERROR(VLOOKUP($C$2&amp;"-"&amp;E761,IRRADIAÇÃO!A:C,3,0),1)</f>
        <v>1</v>
      </c>
    </row>
    <row r="762" spans="5:6">
      <c r="E762" s="5">
        <v>761</v>
      </c>
      <c r="F762" s="5">
        <f>IFERROR(VLOOKUP($C$2&amp;"-"&amp;E762,IRRADIAÇÃO!A:C,3,0),1)</f>
        <v>1</v>
      </c>
    </row>
    <row r="763" spans="5:6">
      <c r="E763" s="5">
        <v>762</v>
      </c>
      <c r="F763" s="5">
        <f>IFERROR(VLOOKUP($C$2&amp;"-"&amp;E763,IRRADIAÇÃO!A:C,3,0),1)</f>
        <v>1</v>
      </c>
    </row>
    <row r="764" spans="5:6">
      <c r="E764" s="5">
        <v>763</v>
      </c>
      <c r="F764" s="5">
        <f>IFERROR(VLOOKUP($C$2&amp;"-"&amp;E764,IRRADIAÇÃO!A:C,3,0),1)</f>
        <v>1</v>
      </c>
    </row>
    <row r="765" spans="5:6">
      <c r="E765" s="5">
        <v>764</v>
      </c>
      <c r="F765" s="5">
        <f>IFERROR(VLOOKUP($C$2&amp;"-"&amp;E765,IRRADIAÇÃO!A:C,3,0),1)</f>
        <v>1</v>
      </c>
    </row>
    <row r="766" spans="5:6">
      <c r="E766" s="5">
        <v>765</v>
      </c>
      <c r="F766" s="5">
        <f>IFERROR(VLOOKUP($C$2&amp;"-"&amp;E766,IRRADIAÇÃO!A:C,3,0),1)</f>
        <v>1</v>
      </c>
    </row>
    <row r="767" spans="5:6">
      <c r="E767" s="5">
        <v>766</v>
      </c>
      <c r="F767" s="5">
        <f>IFERROR(VLOOKUP($C$2&amp;"-"&amp;E767,IRRADIAÇÃO!A:C,3,0),1)</f>
        <v>1</v>
      </c>
    </row>
    <row r="768" spans="5:6">
      <c r="E768" s="5">
        <v>767</v>
      </c>
      <c r="F768" s="5">
        <f>IFERROR(VLOOKUP($C$2&amp;"-"&amp;E768,IRRADIAÇÃO!A:C,3,0),1)</f>
        <v>1</v>
      </c>
    </row>
    <row r="769" spans="5:6">
      <c r="E769" s="5">
        <v>768</v>
      </c>
      <c r="F769" s="5">
        <f>IFERROR(VLOOKUP($C$2&amp;"-"&amp;E769,IRRADIAÇÃO!A:C,3,0),1)</f>
        <v>1</v>
      </c>
    </row>
    <row r="770" spans="5:6">
      <c r="E770" s="5">
        <v>769</v>
      </c>
      <c r="F770" s="5">
        <f>IFERROR(VLOOKUP($C$2&amp;"-"&amp;E770,IRRADIAÇÃO!A:C,3,0),1)</f>
        <v>1</v>
      </c>
    </row>
    <row r="771" spans="5:6">
      <c r="E771" s="5">
        <v>770</v>
      </c>
      <c r="F771" s="5">
        <f>IFERROR(VLOOKUP($C$2&amp;"-"&amp;E771,IRRADIAÇÃO!A:C,3,0),1)</f>
        <v>1</v>
      </c>
    </row>
    <row r="772" spans="5:6">
      <c r="E772" s="5">
        <v>771</v>
      </c>
      <c r="F772" s="5">
        <f>IFERROR(VLOOKUP($C$2&amp;"-"&amp;E772,IRRADIAÇÃO!A:C,3,0),1)</f>
        <v>1</v>
      </c>
    </row>
    <row r="773" spans="5:6">
      <c r="E773" s="5">
        <v>772</v>
      </c>
      <c r="F773" s="5">
        <f>IFERROR(VLOOKUP($C$2&amp;"-"&amp;E773,IRRADIAÇÃO!A:C,3,0),1)</f>
        <v>1</v>
      </c>
    </row>
    <row r="774" spans="5:6">
      <c r="E774" s="5">
        <v>773</v>
      </c>
      <c r="F774" s="5">
        <f>IFERROR(VLOOKUP($C$2&amp;"-"&amp;E774,IRRADIAÇÃO!A:C,3,0),1)</f>
        <v>1</v>
      </c>
    </row>
    <row r="775" spans="5:6">
      <c r="E775" s="5">
        <v>774</v>
      </c>
      <c r="F775" s="5">
        <f>IFERROR(VLOOKUP($C$2&amp;"-"&amp;E775,IRRADIAÇÃO!A:C,3,0),1)</f>
        <v>1</v>
      </c>
    </row>
    <row r="776" spans="5:6">
      <c r="E776" s="5">
        <v>775</v>
      </c>
      <c r="F776" s="5">
        <f>IFERROR(VLOOKUP($C$2&amp;"-"&amp;E776,IRRADIAÇÃO!A:C,3,0),1)</f>
        <v>1</v>
      </c>
    </row>
    <row r="777" spans="5:6">
      <c r="E777" s="5">
        <v>776</v>
      </c>
      <c r="F777" s="5">
        <f>IFERROR(VLOOKUP($C$2&amp;"-"&amp;E777,IRRADIAÇÃO!A:C,3,0),1)</f>
        <v>1</v>
      </c>
    </row>
    <row r="778" spans="5:6">
      <c r="E778" s="5">
        <v>777</v>
      </c>
      <c r="F778" s="5">
        <f>IFERROR(VLOOKUP($C$2&amp;"-"&amp;E778,IRRADIAÇÃO!A:C,3,0),1)</f>
        <v>1</v>
      </c>
    </row>
    <row r="779" spans="5:6">
      <c r="E779" s="5">
        <v>778</v>
      </c>
      <c r="F779" s="5">
        <f>IFERROR(VLOOKUP($C$2&amp;"-"&amp;E779,IRRADIAÇÃO!A:C,3,0),1)</f>
        <v>1</v>
      </c>
    </row>
    <row r="780" spans="5:6">
      <c r="E780" s="5">
        <v>779</v>
      </c>
      <c r="F780" s="5">
        <f>IFERROR(VLOOKUP($C$2&amp;"-"&amp;E780,IRRADIAÇÃO!A:C,3,0),1)</f>
        <v>1</v>
      </c>
    </row>
    <row r="781" spans="5:6">
      <c r="E781" s="5">
        <v>780</v>
      </c>
      <c r="F781" s="5">
        <f>IFERROR(VLOOKUP($C$2&amp;"-"&amp;E781,IRRADIAÇÃO!A:C,3,0),1)</f>
        <v>1</v>
      </c>
    </row>
    <row r="782" spans="5:6">
      <c r="E782" s="5">
        <v>781</v>
      </c>
      <c r="F782" s="5">
        <f>IFERROR(VLOOKUP($C$2&amp;"-"&amp;E782,IRRADIAÇÃO!A:C,3,0),1)</f>
        <v>1</v>
      </c>
    </row>
    <row r="783" spans="5:6">
      <c r="E783" s="5">
        <v>782</v>
      </c>
      <c r="F783" s="5">
        <f>IFERROR(VLOOKUP($C$2&amp;"-"&amp;E783,IRRADIAÇÃO!A:C,3,0),1)</f>
        <v>1</v>
      </c>
    </row>
    <row r="784" spans="5:6">
      <c r="E784" s="5">
        <v>783</v>
      </c>
      <c r="F784" s="5">
        <f>IFERROR(VLOOKUP($C$2&amp;"-"&amp;E784,IRRADIAÇÃO!A:C,3,0),1)</f>
        <v>1</v>
      </c>
    </row>
    <row r="785" spans="5:6">
      <c r="E785" s="5">
        <v>784</v>
      </c>
      <c r="F785" s="5">
        <f>IFERROR(VLOOKUP($C$2&amp;"-"&amp;E785,IRRADIAÇÃO!A:C,3,0),1)</f>
        <v>1</v>
      </c>
    </row>
    <row r="786" spans="5:6">
      <c r="E786" s="5">
        <v>785</v>
      </c>
      <c r="F786" s="5">
        <f>IFERROR(VLOOKUP($C$2&amp;"-"&amp;E786,IRRADIAÇÃO!A:C,3,0),1)</f>
        <v>1</v>
      </c>
    </row>
    <row r="787" spans="5:6">
      <c r="E787" s="5">
        <v>786</v>
      </c>
      <c r="F787" s="5">
        <f>IFERROR(VLOOKUP($C$2&amp;"-"&amp;E787,IRRADIAÇÃO!A:C,3,0),1)</f>
        <v>1</v>
      </c>
    </row>
    <row r="788" spans="5:6">
      <c r="E788" s="5">
        <v>787</v>
      </c>
      <c r="F788" s="5">
        <f>IFERROR(VLOOKUP($C$2&amp;"-"&amp;E788,IRRADIAÇÃO!A:C,3,0),1)</f>
        <v>1</v>
      </c>
    </row>
    <row r="789" spans="5:6">
      <c r="E789" s="5">
        <v>788</v>
      </c>
      <c r="F789" s="5">
        <f>IFERROR(VLOOKUP($C$2&amp;"-"&amp;E789,IRRADIAÇÃO!A:C,3,0),1)</f>
        <v>1</v>
      </c>
    </row>
    <row r="790" spans="5:6">
      <c r="E790" s="5">
        <v>789</v>
      </c>
      <c r="F790" s="5">
        <f>IFERROR(VLOOKUP($C$2&amp;"-"&amp;E790,IRRADIAÇÃO!A:C,3,0),1)</f>
        <v>1</v>
      </c>
    </row>
    <row r="791" spans="5:6">
      <c r="E791" s="5">
        <v>790</v>
      </c>
      <c r="F791" s="5">
        <f>IFERROR(VLOOKUP($C$2&amp;"-"&amp;E791,IRRADIAÇÃO!A:C,3,0),1)</f>
        <v>1</v>
      </c>
    </row>
    <row r="792" spans="5:6">
      <c r="E792" s="5">
        <v>791</v>
      </c>
      <c r="F792" s="5">
        <f>IFERROR(VLOOKUP($C$2&amp;"-"&amp;E792,IRRADIAÇÃO!A:C,3,0),1)</f>
        <v>1</v>
      </c>
    </row>
    <row r="793" spans="5:6">
      <c r="E793" s="5">
        <v>792</v>
      </c>
      <c r="F793" s="5">
        <f>IFERROR(VLOOKUP($C$2&amp;"-"&amp;E793,IRRADIAÇÃO!A:C,3,0),1)</f>
        <v>1</v>
      </c>
    </row>
    <row r="794" spans="5:6">
      <c r="E794" s="5">
        <v>793</v>
      </c>
      <c r="F794" s="5">
        <f>IFERROR(VLOOKUP($C$2&amp;"-"&amp;E794,IRRADIAÇÃO!A:C,3,0),1)</f>
        <v>1</v>
      </c>
    </row>
    <row r="795" spans="5:6">
      <c r="E795" s="5">
        <v>794</v>
      </c>
      <c r="F795" s="5">
        <f>IFERROR(VLOOKUP($C$2&amp;"-"&amp;E795,IRRADIAÇÃO!A:C,3,0),1)</f>
        <v>1</v>
      </c>
    </row>
    <row r="796" spans="5:6">
      <c r="E796" s="5">
        <v>795</v>
      </c>
      <c r="F796" s="5">
        <f>IFERROR(VLOOKUP($C$2&amp;"-"&amp;E796,IRRADIAÇÃO!A:C,3,0),1)</f>
        <v>1</v>
      </c>
    </row>
    <row r="797" spans="5:6">
      <c r="E797" s="5">
        <v>796</v>
      </c>
      <c r="F797" s="5">
        <f>IFERROR(VLOOKUP($C$2&amp;"-"&amp;E797,IRRADIAÇÃO!A:C,3,0),1)</f>
        <v>1</v>
      </c>
    </row>
    <row r="798" spans="5:6">
      <c r="E798" s="5">
        <v>797</v>
      </c>
      <c r="F798" s="5">
        <f>IFERROR(VLOOKUP($C$2&amp;"-"&amp;E798,IRRADIAÇÃO!A:C,3,0),1)</f>
        <v>1</v>
      </c>
    </row>
    <row r="799" spans="5:6">
      <c r="E799" s="5">
        <v>798</v>
      </c>
      <c r="F799" s="5">
        <f>IFERROR(VLOOKUP($C$2&amp;"-"&amp;E799,IRRADIAÇÃO!A:C,3,0),1)</f>
        <v>1</v>
      </c>
    </row>
    <row r="800" spans="5:6">
      <c r="E800" s="5">
        <v>799</v>
      </c>
      <c r="F800" s="5">
        <f>IFERROR(VLOOKUP($C$2&amp;"-"&amp;E800,IRRADIAÇÃO!A:C,3,0),1)</f>
        <v>1</v>
      </c>
    </row>
    <row r="801" spans="5:6">
      <c r="E801" s="5">
        <v>800</v>
      </c>
      <c r="F801" s="5">
        <f>IFERROR(VLOOKUP($C$2&amp;"-"&amp;E801,IRRADIAÇÃO!A:C,3,0),1)</f>
        <v>1</v>
      </c>
    </row>
    <row r="802" spans="5:6">
      <c r="E802" s="5">
        <v>801</v>
      </c>
      <c r="F802" s="5">
        <f>IFERROR(VLOOKUP($C$2&amp;"-"&amp;E802,IRRADIAÇÃO!A:C,3,0),1)</f>
        <v>1</v>
      </c>
    </row>
    <row r="803" spans="5:6">
      <c r="E803" s="5">
        <v>802</v>
      </c>
      <c r="F803" s="5">
        <f>IFERROR(VLOOKUP($C$2&amp;"-"&amp;E803,IRRADIAÇÃO!A:C,3,0),1)</f>
        <v>1</v>
      </c>
    </row>
    <row r="804" spans="5:6">
      <c r="E804" s="5">
        <v>803</v>
      </c>
      <c r="F804" s="5">
        <f>IFERROR(VLOOKUP($C$2&amp;"-"&amp;E804,IRRADIAÇÃO!A:C,3,0),1)</f>
        <v>1</v>
      </c>
    </row>
    <row r="805" spans="5:6">
      <c r="E805" s="5">
        <v>804</v>
      </c>
      <c r="F805" s="5">
        <f>IFERROR(VLOOKUP($C$2&amp;"-"&amp;E805,IRRADIAÇÃO!A:C,3,0),1)</f>
        <v>1</v>
      </c>
    </row>
    <row r="806" spans="5:6">
      <c r="E806" s="5">
        <v>805</v>
      </c>
      <c r="F806" s="5">
        <f>IFERROR(VLOOKUP($C$2&amp;"-"&amp;E806,IRRADIAÇÃO!A:C,3,0),1)</f>
        <v>1</v>
      </c>
    </row>
    <row r="807" spans="5:6">
      <c r="E807" s="5">
        <v>806</v>
      </c>
      <c r="F807" s="5">
        <f>IFERROR(VLOOKUP($C$2&amp;"-"&amp;E807,IRRADIAÇÃO!A:C,3,0),1)</f>
        <v>1</v>
      </c>
    </row>
    <row r="808" spans="5:6">
      <c r="E808" s="5">
        <v>807</v>
      </c>
      <c r="F808" s="5">
        <f>IFERROR(VLOOKUP($C$2&amp;"-"&amp;E808,IRRADIAÇÃO!A:C,3,0),1)</f>
        <v>1</v>
      </c>
    </row>
    <row r="809" spans="5:6">
      <c r="E809" s="5">
        <v>808</v>
      </c>
      <c r="F809" s="5">
        <f>IFERROR(VLOOKUP($C$2&amp;"-"&amp;E809,IRRADIAÇÃO!A:C,3,0),1)</f>
        <v>1</v>
      </c>
    </row>
    <row r="810" spans="5:6">
      <c r="E810" s="5">
        <v>809</v>
      </c>
      <c r="F810" s="5">
        <f>IFERROR(VLOOKUP($C$2&amp;"-"&amp;E810,IRRADIAÇÃO!A:C,3,0),1)</f>
        <v>1</v>
      </c>
    </row>
    <row r="811" spans="5:6">
      <c r="E811" s="5">
        <v>810</v>
      </c>
      <c r="F811" s="5">
        <f>IFERROR(VLOOKUP($C$2&amp;"-"&amp;E811,IRRADIAÇÃO!A:C,3,0),1)</f>
        <v>1</v>
      </c>
    </row>
    <row r="812" spans="5:6">
      <c r="E812" s="5">
        <v>811</v>
      </c>
      <c r="F812" s="5">
        <f>IFERROR(VLOOKUP($C$2&amp;"-"&amp;E812,IRRADIAÇÃO!A:C,3,0),1)</f>
        <v>1</v>
      </c>
    </row>
    <row r="813" spans="5:6">
      <c r="E813" s="5">
        <v>812</v>
      </c>
      <c r="F813" s="5">
        <f>IFERROR(VLOOKUP($C$2&amp;"-"&amp;E813,IRRADIAÇÃO!A:C,3,0),1)</f>
        <v>1</v>
      </c>
    </row>
    <row r="814" spans="5:6">
      <c r="E814" s="5">
        <v>813</v>
      </c>
      <c r="F814" s="5">
        <f>IFERROR(VLOOKUP($C$2&amp;"-"&amp;E814,IRRADIAÇÃO!A:C,3,0),1)</f>
        <v>1</v>
      </c>
    </row>
    <row r="815" spans="5:6">
      <c r="E815" s="5">
        <v>814</v>
      </c>
      <c r="F815" s="5">
        <f>IFERROR(VLOOKUP($C$2&amp;"-"&amp;E815,IRRADIAÇÃO!A:C,3,0),1)</f>
        <v>1</v>
      </c>
    </row>
    <row r="816" spans="5:6">
      <c r="E816" s="5">
        <v>815</v>
      </c>
      <c r="F816" s="5">
        <f>IFERROR(VLOOKUP($C$2&amp;"-"&amp;E816,IRRADIAÇÃO!A:C,3,0),1)</f>
        <v>1</v>
      </c>
    </row>
    <row r="817" spans="5:6">
      <c r="E817" s="5">
        <v>816</v>
      </c>
      <c r="F817" s="5">
        <f>IFERROR(VLOOKUP($C$2&amp;"-"&amp;E817,IRRADIAÇÃO!A:C,3,0),1)</f>
        <v>1</v>
      </c>
    </row>
    <row r="818" spans="5:6">
      <c r="E818" s="5">
        <v>817</v>
      </c>
      <c r="F818" s="5">
        <f>IFERROR(VLOOKUP($C$2&amp;"-"&amp;E818,IRRADIAÇÃO!A:C,3,0),1)</f>
        <v>1</v>
      </c>
    </row>
    <row r="819" spans="5:6">
      <c r="E819" s="5">
        <v>818</v>
      </c>
      <c r="F819" s="5">
        <f>IFERROR(VLOOKUP($C$2&amp;"-"&amp;E819,IRRADIAÇÃO!A:C,3,0),1)</f>
        <v>1</v>
      </c>
    </row>
    <row r="820" spans="5:6">
      <c r="E820" s="5">
        <v>819</v>
      </c>
      <c r="F820" s="5">
        <f>IFERROR(VLOOKUP($C$2&amp;"-"&amp;E820,IRRADIAÇÃO!A:C,3,0),1)</f>
        <v>1</v>
      </c>
    </row>
    <row r="821" spans="5:6">
      <c r="E821" s="5">
        <v>820</v>
      </c>
      <c r="F821" s="5">
        <f>IFERROR(VLOOKUP($C$2&amp;"-"&amp;E821,IRRADIAÇÃO!A:C,3,0),1)</f>
        <v>1</v>
      </c>
    </row>
    <row r="822" spans="5:6">
      <c r="E822" s="5">
        <v>821</v>
      </c>
      <c r="F822" s="5">
        <f>IFERROR(VLOOKUP($C$2&amp;"-"&amp;E822,IRRADIAÇÃO!A:C,3,0),1)</f>
        <v>1</v>
      </c>
    </row>
    <row r="823" spans="5:6">
      <c r="E823" s="5">
        <v>822</v>
      </c>
      <c r="F823" s="5">
        <f>IFERROR(VLOOKUP($C$2&amp;"-"&amp;E823,IRRADIAÇÃO!A:C,3,0),1)</f>
        <v>1</v>
      </c>
    </row>
    <row r="824" spans="5:6">
      <c r="E824" s="5">
        <v>823</v>
      </c>
      <c r="F824" s="5">
        <f>IFERROR(VLOOKUP($C$2&amp;"-"&amp;E824,IRRADIAÇÃO!A:C,3,0),1)</f>
        <v>1</v>
      </c>
    </row>
    <row r="825" spans="5:6">
      <c r="E825" s="5">
        <v>824</v>
      </c>
      <c r="F825" s="5">
        <f>IFERROR(VLOOKUP($C$2&amp;"-"&amp;E825,IRRADIAÇÃO!A:C,3,0),1)</f>
        <v>1</v>
      </c>
    </row>
    <row r="826" spans="5:6">
      <c r="E826" s="5">
        <v>825</v>
      </c>
      <c r="F826" s="5">
        <f>IFERROR(VLOOKUP($C$2&amp;"-"&amp;E826,IRRADIAÇÃO!A:C,3,0),1)</f>
        <v>1</v>
      </c>
    </row>
    <row r="827" spans="5:6">
      <c r="E827" s="5">
        <v>826</v>
      </c>
      <c r="F827" s="5">
        <f>IFERROR(VLOOKUP($C$2&amp;"-"&amp;E827,IRRADIAÇÃO!A:C,3,0),1)</f>
        <v>1</v>
      </c>
    </row>
    <row r="828" spans="5:6">
      <c r="E828" s="5">
        <v>827</v>
      </c>
      <c r="F828" s="5">
        <f>IFERROR(VLOOKUP($C$2&amp;"-"&amp;E828,IRRADIAÇÃO!A:C,3,0),1)</f>
        <v>1</v>
      </c>
    </row>
    <row r="829" spans="5:6">
      <c r="E829" s="5">
        <v>828</v>
      </c>
      <c r="F829" s="5">
        <f>IFERROR(VLOOKUP($C$2&amp;"-"&amp;E829,IRRADIAÇÃO!A:C,3,0),1)</f>
        <v>1</v>
      </c>
    </row>
    <row r="830" spans="5:6">
      <c r="E830" s="5">
        <v>829</v>
      </c>
      <c r="F830" s="5">
        <f>IFERROR(VLOOKUP($C$2&amp;"-"&amp;E830,IRRADIAÇÃO!A:C,3,0),1)</f>
        <v>1</v>
      </c>
    </row>
    <row r="831" spans="5:6">
      <c r="E831" s="5">
        <v>830</v>
      </c>
      <c r="F831" s="5">
        <f>IFERROR(VLOOKUP($C$2&amp;"-"&amp;E831,IRRADIAÇÃO!A:C,3,0),1)</f>
        <v>1</v>
      </c>
    </row>
    <row r="832" spans="5:6">
      <c r="E832" s="5">
        <v>831</v>
      </c>
      <c r="F832" s="5">
        <f>IFERROR(VLOOKUP($C$2&amp;"-"&amp;E832,IRRADIAÇÃO!A:C,3,0),1)</f>
        <v>1</v>
      </c>
    </row>
    <row r="833" spans="5:6">
      <c r="E833" s="5">
        <v>832</v>
      </c>
      <c r="F833" s="5">
        <f>IFERROR(VLOOKUP($C$2&amp;"-"&amp;E833,IRRADIAÇÃO!A:C,3,0),1)</f>
        <v>1</v>
      </c>
    </row>
    <row r="834" spans="5:6">
      <c r="E834" s="5">
        <v>833</v>
      </c>
      <c r="F834" s="5">
        <f>IFERROR(VLOOKUP($C$2&amp;"-"&amp;E834,IRRADIAÇÃO!A:C,3,0),1)</f>
        <v>1</v>
      </c>
    </row>
    <row r="835" spans="5:6">
      <c r="E835" s="5">
        <v>834</v>
      </c>
      <c r="F835" s="5">
        <f>IFERROR(VLOOKUP($C$2&amp;"-"&amp;E835,IRRADIAÇÃO!A:C,3,0),1)</f>
        <v>1</v>
      </c>
    </row>
    <row r="836" spans="5:6">
      <c r="E836" s="5">
        <v>835</v>
      </c>
      <c r="F836" s="5">
        <f>IFERROR(VLOOKUP($C$2&amp;"-"&amp;E836,IRRADIAÇÃO!A:C,3,0),1)</f>
        <v>1</v>
      </c>
    </row>
    <row r="837" spans="5:6">
      <c r="E837" s="5">
        <v>836</v>
      </c>
      <c r="F837" s="5">
        <f>IFERROR(VLOOKUP($C$2&amp;"-"&amp;E837,IRRADIAÇÃO!A:C,3,0),1)</f>
        <v>1</v>
      </c>
    </row>
    <row r="838" spans="5:6">
      <c r="E838" s="5">
        <v>837</v>
      </c>
      <c r="F838" s="5">
        <f>IFERROR(VLOOKUP($C$2&amp;"-"&amp;E838,IRRADIAÇÃO!A:C,3,0),1)</f>
        <v>1</v>
      </c>
    </row>
    <row r="839" spans="5:6">
      <c r="E839" s="5">
        <v>838</v>
      </c>
      <c r="F839" s="5">
        <f>IFERROR(VLOOKUP($C$2&amp;"-"&amp;E839,IRRADIAÇÃO!A:C,3,0),1)</f>
        <v>1</v>
      </c>
    </row>
    <row r="840" spans="5:6">
      <c r="E840" s="5">
        <v>839</v>
      </c>
      <c r="F840" s="5">
        <f>IFERROR(VLOOKUP($C$2&amp;"-"&amp;E840,IRRADIAÇÃO!A:C,3,0),1)</f>
        <v>1</v>
      </c>
    </row>
    <row r="841" spans="5:6">
      <c r="E841" s="5">
        <v>840</v>
      </c>
      <c r="F841" s="5">
        <f>IFERROR(VLOOKUP($C$2&amp;"-"&amp;E841,IRRADIAÇÃO!A:C,3,0),1)</f>
        <v>1</v>
      </c>
    </row>
    <row r="842" spans="5:6">
      <c r="E842" s="5">
        <v>841</v>
      </c>
      <c r="F842" s="5">
        <f>IFERROR(VLOOKUP($C$2&amp;"-"&amp;E842,IRRADIAÇÃO!A:C,3,0),1)</f>
        <v>1</v>
      </c>
    </row>
    <row r="843" spans="5:6">
      <c r="E843" s="5">
        <v>842</v>
      </c>
      <c r="F843" s="5">
        <f>IFERROR(VLOOKUP($C$2&amp;"-"&amp;E843,IRRADIAÇÃO!A:C,3,0),1)</f>
        <v>1</v>
      </c>
    </row>
    <row r="844" spans="5:6">
      <c r="E844" s="5">
        <v>843</v>
      </c>
      <c r="F844" s="5">
        <f>IFERROR(VLOOKUP($C$2&amp;"-"&amp;E844,IRRADIAÇÃO!A:C,3,0),1)</f>
        <v>1</v>
      </c>
    </row>
    <row r="845" spans="5:6">
      <c r="E845" s="5">
        <v>844</v>
      </c>
      <c r="F845" s="5">
        <f>IFERROR(VLOOKUP($C$2&amp;"-"&amp;E845,IRRADIAÇÃO!A:C,3,0),1)</f>
        <v>1</v>
      </c>
    </row>
    <row r="846" spans="5:6">
      <c r="E846" s="5">
        <v>845</v>
      </c>
      <c r="F846" s="5">
        <f>IFERROR(VLOOKUP($C$2&amp;"-"&amp;E846,IRRADIAÇÃO!A:C,3,0),1)</f>
        <v>1</v>
      </c>
    </row>
    <row r="847" spans="5:6">
      <c r="E847" s="5">
        <v>846</v>
      </c>
      <c r="F847" s="5">
        <f>IFERROR(VLOOKUP($C$2&amp;"-"&amp;E847,IRRADIAÇÃO!A:C,3,0),1)</f>
        <v>1</v>
      </c>
    </row>
    <row r="848" spans="5:6">
      <c r="E848" s="5">
        <v>847</v>
      </c>
      <c r="F848" s="5">
        <f>IFERROR(VLOOKUP($C$2&amp;"-"&amp;E848,IRRADIAÇÃO!A:C,3,0),1)</f>
        <v>1</v>
      </c>
    </row>
    <row r="849" spans="5:6">
      <c r="E849" s="5">
        <v>848</v>
      </c>
      <c r="F849" s="5">
        <f>IFERROR(VLOOKUP($C$2&amp;"-"&amp;E849,IRRADIAÇÃO!A:C,3,0),1)</f>
        <v>1</v>
      </c>
    </row>
    <row r="850" spans="5:6">
      <c r="E850" s="5">
        <v>849</v>
      </c>
      <c r="F850" s="5">
        <f>IFERROR(VLOOKUP($C$2&amp;"-"&amp;E850,IRRADIAÇÃO!A:C,3,0),1)</f>
        <v>1</v>
      </c>
    </row>
    <row r="851" spans="5:6">
      <c r="E851" s="5">
        <v>850</v>
      </c>
      <c r="F851" s="5">
        <f>IFERROR(VLOOKUP($C$2&amp;"-"&amp;E851,IRRADIAÇÃO!A:C,3,0),1)</f>
        <v>1</v>
      </c>
    </row>
    <row r="852" spans="5:6">
      <c r="E852" s="5">
        <v>851</v>
      </c>
      <c r="F852" s="5">
        <f>IFERROR(VLOOKUP($C$2&amp;"-"&amp;E852,IRRADIAÇÃO!A:C,3,0),1)</f>
        <v>1</v>
      </c>
    </row>
    <row r="853" spans="5:6">
      <c r="E853" s="5">
        <v>852</v>
      </c>
      <c r="F853" s="5">
        <f>IFERROR(VLOOKUP($C$2&amp;"-"&amp;E853,IRRADIAÇÃO!A:C,3,0),1)</f>
        <v>1</v>
      </c>
    </row>
    <row r="854" spans="5:6">
      <c r="E854" s="5">
        <v>853</v>
      </c>
      <c r="F854" s="5">
        <f>IFERROR(VLOOKUP($C$2&amp;"-"&amp;E854,IRRADIAÇÃO!A:C,3,0),1)</f>
        <v>1</v>
      </c>
    </row>
    <row r="855" spans="5:6">
      <c r="E855" s="5">
        <v>854</v>
      </c>
      <c r="F855" s="5">
        <f>IFERROR(VLOOKUP($C$2&amp;"-"&amp;E855,IRRADIAÇÃO!A:C,3,0),1)</f>
        <v>1</v>
      </c>
    </row>
    <row r="856" spans="5:6">
      <c r="E856" s="5">
        <v>855</v>
      </c>
      <c r="F856" s="5">
        <f>IFERROR(VLOOKUP($C$2&amp;"-"&amp;E856,IRRADIAÇÃO!A:C,3,0),1)</f>
        <v>1</v>
      </c>
    </row>
    <row r="857" spans="5:6">
      <c r="E857" s="5">
        <v>856</v>
      </c>
      <c r="F857" s="5">
        <f>IFERROR(VLOOKUP($C$2&amp;"-"&amp;E857,IRRADIAÇÃO!A:C,3,0),1)</f>
        <v>1</v>
      </c>
    </row>
    <row r="858" spans="5:6">
      <c r="E858" s="5">
        <v>857</v>
      </c>
      <c r="F858" s="5">
        <f>IFERROR(VLOOKUP($C$2&amp;"-"&amp;E858,IRRADIAÇÃO!A:C,3,0),1)</f>
        <v>1</v>
      </c>
    </row>
    <row r="859" spans="5:6">
      <c r="E859" s="5">
        <v>858</v>
      </c>
      <c r="F859" s="5">
        <f>IFERROR(VLOOKUP($C$2&amp;"-"&amp;E859,IRRADIAÇÃO!A:C,3,0),1)</f>
        <v>1</v>
      </c>
    </row>
    <row r="860" spans="5:6">
      <c r="E860" s="5">
        <v>859</v>
      </c>
      <c r="F860" s="5">
        <f>IFERROR(VLOOKUP($C$2&amp;"-"&amp;E860,IRRADIAÇÃO!A:C,3,0),1)</f>
        <v>1</v>
      </c>
    </row>
    <row r="861" spans="5:6">
      <c r="E861" s="5">
        <v>860</v>
      </c>
      <c r="F861" s="5">
        <f>IFERROR(VLOOKUP($C$2&amp;"-"&amp;E861,IRRADIAÇÃO!A:C,3,0),1)</f>
        <v>1</v>
      </c>
    </row>
    <row r="862" spans="5:6">
      <c r="E862" s="5">
        <v>861</v>
      </c>
      <c r="F862" s="5">
        <f>IFERROR(VLOOKUP($C$2&amp;"-"&amp;E862,IRRADIAÇÃO!A:C,3,0),1)</f>
        <v>1</v>
      </c>
    </row>
    <row r="863" spans="5:6">
      <c r="E863" s="5">
        <v>862</v>
      </c>
      <c r="F863" s="5">
        <f>IFERROR(VLOOKUP($C$2&amp;"-"&amp;E863,IRRADIAÇÃO!A:C,3,0),1)</f>
        <v>1</v>
      </c>
    </row>
    <row r="864" spans="5:6">
      <c r="E864" s="5">
        <v>863</v>
      </c>
      <c r="F864" s="5">
        <f>IFERROR(VLOOKUP($C$2&amp;"-"&amp;E864,IRRADIAÇÃO!A:C,3,0),1)</f>
        <v>1</v>
      </c>
    </row>
    <row r="865" spans="5:6">
      <c r="E865" s="5">
        <v>864</v>
      </c>
      <c r="F865" s="5">
        <f>IFERROR(VLOOKUP($C$2&amp;"-"&amp;E865,IRRADIAÇÃO!A:C,3,0),1)</f>
        <v>1</v>
      </c>
    </row>
    <row r="866" spans="5:6">
      <c r="E866" s="5">
        <v>865</v>
      </c>
      <c r="F866" s="5">
        <f>IFERROR(VLOOKUP($C$2&amp;"-"&amp;E866,IRRADIAÇÃO!A:C,3,0),1)</f>
        <v>1</v>
      </c>
    </row>
    <row r="867" spans="5:6">
      <c r="E867" s="5">
        <v>866</v>
      </c>
      <c r="F867" s="5">
        <f>IFERROR(VLOOKUP($C$2&amp;"-"&amp;E867,IRRADIAÇÃO!A:C,3,0),1)</f>
        <v>1</v>
      </c>
    </row>
    <row r="868" spans="5:6">
      <c r="E868" s="5">
        <v>867</v>
      </c>
      <c r="F868" s="5">
        <f>IFERROR(VLOOKUP($C$2&amp;"-"&amp;E868,IRRADIAÇÃO!A:C,3,0),1)</f>
        <v>1</v>
      </c>
    </row>
    <row r="869" spans="5:6">
      <c r="E869" s="5">
        <v>868</v>
      </c>
      <c r="F869" s="5">
        <f>IFERROR(VLOOKUP($C$2&amp;"-"&amp;E869,IRRADIAÇÃO!A:C,3,0),1)</f>
        <v>1</v>
      </c>
    </row>
    <row r="870" spans="5:6">
      <c r="E870" s="5">
        <v>869</v>
      </c>
      <c r="F870" s="5">
        <f>IFERROR(VLOOKUP($C$2&amp;"-"&amp;E870,IRRADIAÇÃO!A:C,3,0),1)</f>
        <v>1</v>
      </c>
    </row>
    <row r="871" spans="5:6">
      <c r="E871" s="5">
        <v>870</v>
      </c>
      <c r="F871" s="5">
        <f>IFERROR(VLOOKUP($C$2&amp;"-"&amp;E871,IRRADIAÇÃO!A:C,3,0),1)</f>
        <v>1</v>
      </c>
    </row>
    <row r="872" spans="5:6">
      <c r="E872" s="5">
        <v>871</v>
      </c>
      <c r="F872" s="5">
        <f>IFERROR(VLOOKUP($C$2&amp;"-"&amp;E872,IRRADIAÇÃO!A:C,3,0),1)</f>
        <v>1</v>
      </c>
    </row>
    <row r="873" spans="5:6">
      <c r="E873" s="5">
        <v>872</v>
      </c>
      <c r="F873" s="5">
        <f>IFERROR(VLOOKUP($C$2&amp;"-"&amp;E873,IRRADIAÇÃO!A:C,3,0),1)</f>
        <v>1</v>
      </c>
    </row>
    <row r="874" spans="5:6">
      <c r="E874" s="5">
        <v>873</v>
      </c>
      <c r="F874" s="5">
        <f>IFERROR(VLOOKUP($C$2&amp;"-"&amp;E874,IRRADIAÇÃO!A:C,3,0),1)</f>
        <v>1</v>
      </c>
    </row>
    <row r="875" spans="5:6">
      <c r="E875" s="5">
        <v>874</v>
      </c>
      <c r="F875" s="5">
        <f>IFERROR(VLOOKUP($C$2&amp;"-"&amp;E875,IRRADIAÇÃO!A:C,3,0),1)</f>
        <v>1</v>
      </c>
    </row>
    <row r="876" spans="5:6">
      <c r="E876" s="5">
        <v>875</v>
      </c>
      <c r="F876" s="5">
        <f>IFERROR(VLOOKUP($C$2&amp;"-"&amp;E876,IRRADIAÇÃO!A:C,3,0),1)</f>
        <v>1</v>
      </c>
    </row>
    <row r="877" spans="5:6">
      <c r="E877" s="5">
        <v>876</v>
      </c>
      <c r="F877" s="5">
        <f>IFERROR(VLOOKUP($C$2&amp;"-"&amp;E877,IRRADIAÇÃO!A:C,3,0),1)</f>
        <v>1</v>
      </c>
    </row>
    <row r="878" spans="5:6">
      <c r="E878" s="5">
        <v>877</v>
      </c>
      <c r="F878" s="5">
        <f>IFERROR(VLOOKUP($C$2&amp;"-"&amp;E878,IRRADIAÇÃO!A:C,3,0),1)</f>
        <v>1</v>
      </c>
    </row>
    <row r="879" spans="5:6">
      <c r="E879" s="5">
        <v>878</v>
      </c>
      <c r="F879" s="5">
        <f>IFERROR(VLOOKUP($C$2&amp;"-"&amp;E879,IRRADIAÇÃO!A:C,3,0),1)</f>
        <v>1</v>
      </c>
    </row>
    <row r="880" spans="5:6">
      <c r="E880" s="5">
        <v>879</v>
      </c>
      <c r="F880" s="5">
        <f>IFERROR(VLOOKUP($C$2&amp;"-"&amp;E880,IRRADIAÇÃO!A:C,3,0),1)</f>
        <v>1</v>
      </c>
    </row>
    <row r="881" spans="5:6">
      <c r="E881" s="5">
        <v>880</v>
      </c>
      <c r="F881" s="5">
        <f>IFERROR(VLOOKUP($C$2&amp;"-"&amp;E881,IRRADIAÇÃO!A:C,3,0),1)</f>
        <v>1</v>
      </c>
    </row>
    <row r="882" spans="5:6">
      <c r="E882" s="5">
        <v>881</v>
      </c>
      <c r="F882" s="5">
        <f>IFERROR(VLOOKUP($C$2&amp;"-"&amp;E882,IRRADIAÇÃO!A:C,3,0),1)</f>
        <v>1</v>
      </c>
    </row>
  </sheetData>
  <autoFilter ref="C1:C28" xr:uid="{00000000-0009-0000-0000-000009000000}"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CBF9-068C-4704-8616-94B26DD5B2AB}">
  <sheetPr codeName="Planilha9"/>
  <dimension ref="M4:Y310"/>
  <sheetViews>
    <sheetView showGridLines="0" zoomScaleNormal="100" workbookViewId="0"/>
  </sheetViews>
  <sheetFormatPr defaultColWidth="9.140625" defaultRowHeight="15"/>
  <cols>
    <col min="1" max="12" width="9.140625" style="36"/>
    <col min="13" max="13" width="28.5703125" style="36" bestFit="1" customWidth="1"/>
    <col min="14" max="14" width="31.7109375" style="36" bestFit="1" customWidth="1"/>
    <col min="15" max="15" width="36.5703125" style="36" bestFit="1" customWidth="1"/>
    <col min="16" max="16" width="16.42578125" style="36" bestFit="1" customWidth="1"/>
    <col min="17" max="17" width="17.7109375" style="36" bestFit="1" customWidth="1"/>
    <col min="18" max="18" width="9.140625" style="36"/>
    <col min="19" max="19" width="13.140625" style="36" bestFit="1" customWidth="1"/>
    <col min="20" max="20" width="20.7109375" style="36" bestFit="1" customWidth="1"/>
    <col min="21" max="21" width="11.42578125" style="36" bestFit="1" customWidth="1"/>
    <col min="22" max="16384" width="9.140625" style="36"/>
  </cols>
  <sheetData>
    <row r="4" spans="14:24">
      <c r="N4" s="584" t="s">
        <v>3889</v>
      </c>
      <c r="O4" s="584"/>
    </row>
    <row r="5" spans="14:24">
      <c r="N5" s="46" t="s">
        <v>3887</v>
      </c>
      <c r="O5" s="46" t="s">
        <v>3885</v>
      </c>
    </row>
    <row r="6" spans="14:24">
      <c r="N6" s="47" t="s">
        <v>3899</v>
      </c>
      <c r="O6" s="47" t="s">
        <v>6148</v>
      </c>
      <c r="W6" s="36" t="str">
        <f>CONCATENATE(O6, ",")</f>
        <v>Testeeee,</v>
      </c>
    </row>
    <row r="8" spans="14:24">
      <c r="N8" s="46" t="s">
        <v>3884</v>
      </c>
      <c r="O8" s="46" t="s">
        <v>3886</v>
      </c>
    </row>
    <row r="9" spans="14:24">
      <c r="N9" s="48" t="s">
        <v>3900</v>
      </c>
      <c r="O9" s="48" t="s">
        <v>3901</v>
      </c>
    </row>
    <row r="10" spans="14:24">
      <c r="V10" s="36" t="str">
        <f>CONCATENATE("Quem é a ", N6, ":")</f>
        <v>Quem é a Danig Engenharia Elétrica :</v>
      </c>
    </row>
    <row r="11" spans="14:24">
      <c r="N11" s="46" t="s">
        <v>6142</v>
      </c>
      <c r="O11" s="46" t="s">
        <v>3883</v>
      </c>
    </row>
    <row r="12" spans="14:24">
      <c r="N12" s="48">
        <v>123</v>
      </c>
      <c r="O12" s="51" t="s">
        <v>3902</v>
      </c>
      <c r="V12" s="36" t="str">
        <f>CONCATENATE("Quem confia na ", N6, ":")</f>
        <v>Quem confia na Danig Engenharia Elétrica :</v>
      </c>
    </row>
    <row r="14" spans="14:24">
      <c r="N14" s="46" t="s">
        <v>6141</v>
      </c>
      <c r="O14" s="46" t="s">
        <v>3882</v>
      </c>
    </row>
    <row r="15" spans="14:24">
      <c r="N15" s="47" t="str">
        <f>'DADOS INICIAIS'!T34</f>
        <v>Jinko</v>
      </c>
      <c r="O15" s="48" t="s">
        <v>3881</v>
      </c>
      <c r="X15" s="36" t="str">
        <f>CONCATENATE(R18," ",N15)</f>
        <v>445 Jinko</v>
      </c>
    </row>
    <row r="17" spans="13:25">
      <c r="N17" s="46" t="s">
        <v>6146</v>
      </c>
      <c r="O17" s="46" t="s">
        <v>6147</v>
      </c>
    </row>
    <row r="18" spans="13:25">
      <c r="N18" s="133">
        <f>'DADOS INICIAIS'!AD46</f>
        <v>2</v>
      </c>
      <c r="O18" s="58" t="e">
        <f>'DADOS INICIAIS'!#REF!</f>
        <v>#REF!</v>
      </c>
      <c r="R18" s="49">
        <f>ORÇAMENTO!E5</f>
        <v>445</v>
      </c>
    </row>
    <row r="20" spans="13:25">
      <c r="N20" s="46" t="s">
        <v>6143</v>
      </c>
      <c r="O20" s="46" t="s">
        <v>6144</v>
      </c>
      <c r="X20" s="36" t="e">
        <f>CONCATENATE(N18," ",O18)</f>
        <v>#REF!</v>
      </c>
    </row>
    <row r="21" spans="13:25">
      <c r="N21" s="60">
        <f>'DADOS INICIAIS'!AM34</f>
        <v>0</v>
      </c>
      <c r="O21" s="47" t="str">
        <f>$O$15</f>
        <v>Fibrocimento/romana</v>
      </c>
    </row>
    <row r="23" spans="13:25">
      <c r="N23" s="46" t="s">
        <v>6145</v>
      </c>
      <c r="O23" s="46" t="s">
        <v>3895</v>
      </c>
      <c r="X23" s="36" t="str">
        <f>CONCATENATE(Y25, " m²")</f>
        <v>1147,52862 m²</v>
      </c>
    </row>
    <row r="24" spans="13:25">
      <c r="N24" s="134">
        <f>'RESUMO FINAL'!D4</f>
        <v>244.75</v>
      </c>
      <c r="O24" s="57">
        <f>$T$153</f>
        <v>149295.31956633512</v>
      </c>
    </row>
    <row r="25" spans="13:25">
      <c r="X25" s="45" t="s">
        <v>3880</v>
      </c>
      <c r="Y25" s="36">
        <f>'RESUMO FINAL'!D6</f>
        <v>1147.52862</v>
      </c>
    </row>
    <row r="26" spans="13:25">
      <c r="N26" s="46" t="s">
        <v>3896</v>
      </c>
      <c r="O26" s="46" t="s">
        <v>3897</v>
      </c>
    </row>
    <row r="27" spans="13:25">
      <c r="N27" s="105">
        <f>$T$155</f>
        <v>1011463</v>
      </c>
      <c r="O27" s="50" t="str">
        <f>'DADOS INICIAIS'!AU12</f>
        <v xml:space="preserve">5 Anos 7 Meses </v>
      </c>
    </row>
    <row r="29" spans="13:25">
      <c r="M29" s="46" t="s">
        <v>6149</v>
      </c>
      <c r="N29" s="46" t="s">
        <v>6150</v>
      </c>
      <c r="O29" s="46" t="s">
        <v>3898</v>
      </c>
    </row>
    <row r="30" spans="13:25">
      <c r="M30" s="105">
        <f>'RESUMO FINAL'!H19</f>
        <v>19748.058143695122</v>
      </c>
      <c r="N30" s="105">
        <f>'RESUMO FINAL'!I19</f>
        <v>7306.781513167195</v>
      </c>
      <c r="O30" s="52">
        <f>$T$160</f>
        <v>0.16426400568692912</v>
      </c>
    </row>
    <row r="32" spans="13:25">
      <c r="N32" s="46" t="s">
        <v>5819</v>
      </c>
      <c r="O32" s="46" t="s">
        <v>5820</v>
      </c>
    </row>
    <row r="33" spans="14:15">
      <c r="N33" s="48" t="str">
        <f>$X$23</f>
        <v>1147,52862 m²</v>
      </c>
      <c r="O33" s="58">
        <f>ORÇAMENTO!E5</f>
        <v>445</v>
      </c>
    </row>
    <row r="35" spans="14:15">
      <c r="N35" s="46" t="s">
        <v>5821</v>
      </c>
      <c r="O35" s="46" t="s">
        <v>5822</v>
      </c>
    </row>
    <row r="36" spans="14:15">
      <c r="N36" s="59">
        <f>$N$304</f>
        <v>0.5</v>
      </c>
      <c r="O36" s="52">
        <f>$O$304</f>
        <v>0.5</v>
      </c>
    </row>
    <row r="38" spans="14:15">
      <c r="N38" s="46" t="s">
        <v>5823</v>
      </c>
      <c r="O38" s="46" t="s">
        <v>5824</v>
      </c>
    </row>
    <row r="39" spans="14:15">
      <c r="N39" s="60">
        <f>$N$307</f>
        <v>0.80059756097560975</v>
      </c>
      <c r="O39" s="52">
        <v>7.0000000000000001E-3</v>
      </c>
    </row>
    <row r="41" spans="14:15">
      <c r="N41" s="46" t="s">
        <v>5825</v>
      </c>
      <c r="O41" s="46" t="s">
        <v>5826</v>
      </c>
    </row>
    <row r="42" spans="14:15">
      <c r="N42" s="106">
        <f>'DADOS INICIAIS'!AR11</f>
        <v>0.06</v>
      </c>
      <c r="O42" s="58">
        <f>'RESUMO FINAL'!D14</f>
        <v>243879.174</v>
      </c>
    </row>
    <row r="144" spans="15:16">
      <c r="O144" s="44"/>
      <c r="P144" s="54"/>
    </row>
    <row r="148" spans="16:22">
      <c r="Q148" s="36" t="str">
        <f>Q153&amp;" "&amp;Q150</f>
        <v>244,75 Kwp</v>
      </c>
    </row>
    <row r="149" spans="16:22">
      <c r="P149" s="103" t="str">
        <f>INT(Q153) &amp;" "&amp;Q150</f>
        <v>244 Kwp</v>
      </c>
    </row>
    <row r="150" spans="16:22">
      <c r="P150" s="36" t="str">
        <f>CONCATENATE(TEXT(Q153,0.01)," "," KWp")</f>
        <v>244,81  KWp</v>
      </c>
      <c r="Q150" s="36" t="s">
        <v>5968</v>
      </c>
    </row>
    <row r="152" spans="16:22">
      <c r="Q152" s="103"/>
    </row>
    <row r="153" spans="16:22">
      <c r="Q153" s="43">
        <f>'RESUMO FINAL'!D4</f>
        <v>244.75</v>
      </c>
      <c r="T153" s="39">
        <f>'RESUMO FINAL'!D25</f>
        <v>149295.31956633512</v>
      </c>
    </row>
    <row r="155" spans="16:22">
      <c r="T155" s="39">
        <f>'RESUMO FINAL'!D31</f>
        <v>1011463</v>
      </c>
    </row>
    <row r="156" spans="16:22">
      <c r="Q156" s="104"/>
    </row>
    <row r="158" spans="16:22">
      <c r="T158" s="43" t="str">
        <f>'RESUMO FINAL'!D29</f>
        <v xml:space="preserve">5 Anos 7 Meses </v>
      </c>
      <c r="V158" s="36" t="e">
        <f>CONCATENATE((ROUND(T158, 1)), " anos")</f>
        <v>#VALUE!</v>
      </c>
    </row>
    <row r="160" spans="16:22">
      <c r="T160" s="42">
        <f>'RESUMO FINAL'!D27</f>
        <v>0.16426400568692912</v>
      </c>
    </row>
    <row r="163" spans="17:21">
      <c r="T163" s="41">
        <f>(3.4/T160)</f>
        <v>20.698387244251563</v>
      </c>
    </row>
    <row r="165" spans="17:21">
      <c r="Q165" s="39">
        <f>'RESUMO FINAL'!H19</f>
        <v>19748.058143695122</v>
      </c>
      <c r="S165" s="39">
        <f>'RESUMO FINAL'!H21</f>
        <v>12441.276630527926</v>
      </c>
      <c r="U165" s="39">
        <f>Q165-S165</f>
        <v>7306.781513167196</v>
      </c>
    </row>
    <row r="169" spans="17:21">
      <c r="S169" s="40" t="str">
        <f>TEXT(CONCATENATE((ROUND(Q165, 2)), " para ", (ROUND(U165, 2))),1)</f>
        <v>19748,06 para 7306,78</v>
      </c>
    </row>
    <row r="303" spans="14:15">
      <c r="N303" s="36" t="s">
        <v>3879</v>
      </c>
      <c r="O303" s="36" t="s">
        <v>3878</v>
      </c>
    </row>
    <row r="304" spans="14:15">
      <c r="N304" s="38">
        <f>'DADOS INICIAIS'!D20</f>
        <v>0.5</v>
      </c>
      <c r="O304" s="38">
        <f>(1-N304)</f>
        <v>0.5</v>
      </c>
    </row>
    <row r="307" spans="14:15">
      <c r="N307" s="39">
        <f>'DADOS INICIAIS'!T17</f>
        <v>0.80059756097560975</v>
      </c>
    </row>
    <row r="309" spans="14:15">
      <c r="N309" s="38">
        <f>'DADOS INICIAIS'!AR11</f>
        <v>0.06</v>
      </c>
    </row>
    <row r="310" spans="14:15">
      <c r="N310" s="37">
        <f>'RESUMO FINAL'!D14</f>
        <v>243879.174</v>
      </c>
      <c r="O310" s="36" t="str">
        <f>CONCATENATE((ROUND(N310,0)), " kWh")</f>
        <v>243879 kWh</v>
      </c>
    </row>
  </sheetData>
  <mergeCells count="1">
    <mergeCell ref="N4:O4"/>
  </mergeCells>
  <hyperlinks>
    <hyperlink ref="O12" r:id="rId1" xr:uid="{1963C40D-AD51-4983-B500-40FCBA482271}"/>
  </hyperlinks>
  <pageMargins left="0" right="0" top="0" bottom="0" header="0" footer="0"/>
  <pageSetup paperSize="9"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DADOS INICIAIS</vt:lpstr>
      <vt:lpstr>ORÇAMENTO</vt:lpstr>
      <vt:lpstr>RESUMO FINAL</vt:lpstr>
      <vt:lpstr>Automação Word </vt:lpstr>
      <vt:lpstr>RESUMO TÉCNICO</vt:lpstr>
      <vt:lpstr>Tarifa - B3 </vt:lpstr>
      <vt:lpstr>Inversores</vt:lpstr>
      <vt:lpstr>TARIFAFIOB</vt:lpstr>
      <vt:lpstr>Módulos </vt:lpstr>
      <vt:lpstr>Fator k </vt:lpstr>
      <vt:lpstr>Tarifa - B3 Branca</vt:lpstr>
      <vt:lpstr>IRRADIAÇÃO</vt:lpstr>
      <vt:lpstr>PLANILHA3</vt:lpstr>
      <vt:lpstr>Imprimir</vt:lpstr>
      <vt:lpstr>IRRADIAÇÃO!_FiltrarBancodeDados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Peixoto</dc:creator>
  <cp:lastModifiedBy>Kevin Chammas Uzan</cp:lastModifiedBy>
  <cp:lastPrinted>2022-01-28T22:52:25Z</cp:lastPrinted>
  <dcterms:created xsi:type="dcterms:W3CDTF">2018-06-12T17:35:34Z</dcterms:created>
  <dcterms:modified xsi:type="dcterms:W3CDTF">2023-04-07T16:34:57Z</dcterms:modified>
</cp:coreProperties>
</file>